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csulb-my.sharepoint.com/personal/tess_monzon_csulb_edu/Documents/Desktop/"/>
    </mc:Choice>
  </mc:AlternateContent>
  <bookViews>
    <workbookView xWindow="0" yWindow="0" windowWidth="20490" windowHeight="6720" tabRatio="821" firstSheet="2" activeTab="2"/>
  </bookViews>
  <sheets>
    <sheet name="Interface" sheetId="1" state="hidden" r:id="rId1"/>
    <sheet name="DataSetting" sheetId="2" state="hidden" r:id="rId2"/>
    <sheet name="Summary" sheetId="3" r:id="rId3"/>
    <sheet name="OSR_Summary_18VAVWG" sheetId="4" state="hidden" r:id="rId4"/>
    <sheet name="OSR_Current ...69b7dd8c_1IEQKFK" sheetId="5" state="hidden" r:id="rId5"/>
    <sheet name="OSR_Div 1_7H47HR" sheetId="7" state="hidden" r:id="rId6"/>
    <sheet name="OSR_Div 3 (2)...4cb81c06_PBSMLS" sheetId="8" state="hidden" r:id="rId7"/>
    <sheet name="OSR_Div 2_1PQ800A" sheetId="10" state="hidden" r:id="rId8"/>
    <sheet name="OSR_Div 1 (2)...789fe994_2NV3KA" sheetId="11" state="hidden" r:id="rId9"/>
    <sheet name="OSR_Div 3_18723PH" sheetId="13" state="hidden" r:id="rId10"/>
    <sheet name="OSR_300 (2)_7...54cb56fc_UFX0O2" sheetId="14" state="hidden" r:id="rId11"/>
    <sheet name="OSR_300_IYZXI6" sheetId="16" state="hidden" r:id="rId12"/>
    <sheet name="OSR_310 (2)_5...3d931dee_QNK8R2" sheetId="17" state="hidden" r:id="rId13"/>
    <sheet name="OSR_300 &amp; 317_1C00ID4" sheetId="19" state="hidden" r:id="rId14"/>
    <sheet name="OSR_300 (2)_...6aa5a22d_14M6XO4" sheetId="20" state="hidden" r:id="rId15"/>
    <sheet name="OSR_310_1CMTOSB" sheetId="22" state="hidden" r:id="rId16"/>
    <sheet name="OSR_300 (2)_e...5d0da5bf_6BPGAO" sheetId="23" state="hidden" r:id="rId17"/>
    <sheet name="OSR_330_10VFP5Y" sheetId="25" state="hidden" r:id="rId18"/>
    <sheet name="OSR_310 (2)_...6e684f08_1FLCNJG" sheetId="26" state="hidden" r:id="rId19"/>
    <sheet name="OSR_308_UAWDAG" sheetId="28" state="hidden" r:id="rId20"/>
    <sheet name="OSR_330 (2)_...8a14c83e_1NSH7XI" sheetId="29" state="hidden" r:id="rId21"/>
    <sheet name="OSR_331_10VKQAJ" sheetId="31" state="hidden" r:id="rId22"/>
    <sheet name="OSR_308 (2)_...47685838_1YQW4QY" sheetId="32" state="hidden" r:id="rId23"/>
    <sheet name="OSR_332_6NDVBW" sheetId="34" state="hidden" r:id="rId24"/>
    <sheet name="OSR_331 (2)_...7280af70_1P5SPLT" sheetId="35" state="hidden" r:id="rId25"/>
    <sheet name="OSR_Div 4_1740TMT" sheetId="37" state="hidden" r:id="rId26"/>
    <sheet name="OSR_310 (2)_...8cac1423_1JTU33X" sheetId="38" state="hidden" r:id="rId27"/>
    <sheet name="OSR_310 &amp; 491_1NGRCS9" sheetId="40" state="hidden" r:id="rId28"/>
    <sheet name="OSR_491 (2)_...853a34aa_1UNC34K" sheetId="41" state="hidden" r:id="rId29"/>
    <sheet name="OSR_491_9Z9JH5" sheetId="43" state="hidden" r:id="rId30"/>
    <sheet name="OSR_Div 4 (2...2533da42_174R6QX" sheetId="44" state="hidden" r:id="rId31"/>
    <sheet name="OSR_492_943FP1" sheetId="46" state="hidden" r:id="rId32"/>
    <sheet name="OSR_Div 4 (2)...1a9a4454_CQFRNE" sheetId="47" state="hidden" r:id="rId33"/>
    <sheet name="OSR_Div 5_16NAZO2" sheetId="49" state="hidden" r:id="rId34"/>
    <sheet name="OSR_492 (2)_...cd97c6a6_13HYXEV" sheetId="50" state="hidden" r:id="rId35"/>
    <sheet name="OSR_Div 6_P37YY7" sheetId="52" state="hidden" r:id="rId36"/>
    <sheet name="OSR_Div 5 (2)...32d16c57_IVJ1QO" sheetId="53" state="hidden" r:id="rId37"/>
    <sheet name="Div 1" sheetId="6" r:id="rId38"/>
    <sheet name="100" sheetId="54" r:id="rId39"/>
    <sheet name="Div 2" sheetId="9" r:id="rId40"/>
    <sheet name="200" sheetId="55" r:id="rId41"/>
    <sheet name="201" sheetId="56" r:id="rId42"/>
    <sheet name="202" sheetId="57" r:id="rId43"/>
    <sheet name="203" sheetId="58" r:id="rId44"/>
    <sheet name="204" sheetId="59" r:id="rId45"/>
    <sheet name="205" sheetId="60" r:id="rId46"/>
    <sheet name="206" sheetId="61" r:id="rId47"/>
    <sheet name="Div 3" sheetId="12" r:id="rId48"/>
    <sheet name="300" sheetId="15" r:id="rId49"/>
    <sheet name="300 &amp; 317" sheetId="18" r:id="rId50"/>
    <sheet name="301" sheetId="63" r:id="rId51"/>
    <sheet name="306" sheetId="67" r:id="rId52"/>
    <sheet name="330" sheetId="24" r:id="rId53"/>
    <sheet name="307" sheetId="68" r:id="rId54"/>
    <sheet name="314" sheetId="73" r:id="rId55"/>
    <sheet name="308" sheetId="27" r:id="rId56"/>
    <sheet name="311" sheetId="70" r:id="rId57"/>
    <sheet name="324" sheetId="82" r:id="rId58"/>
    <sheet name="331" sheetId="30" r:id="rId59"/>
    <sheet name="315" sheetId="74" r:id="rId60"/>
    <sheet name="326" sheetId="84" r:id="rId61"/>
    <sheet name="332" sheetId="33" r:id="rId62"/>
    <sheet name="316" sheetId="75" r:id="rId63"/>
    <sheet name="320" sheetId="78" r:id="rId64"/>
    <sheet name="Div 6" sheetId="51" r:id="rId65"/>
    <sheet name="317" sheetId="76" r:id="rId66"/>
    <sheet name="310" sheetId="21" r:id="rId67"/>
    <sheet name="309" sheetId="69" r:id="rId68"/>
    <sheet name="313" sheetId="72" r:id="rId69"/>
    <sheet name="321" sheetId="79" r:id="rId70"/>
    <sheet name="322" sheetId="80" r:id="rId71"/>
    <sheet name="323" sheetId="81" r:id="rId72"/>
    <sheet name="327" sheetId="85" r:id="rId73"/>
    <sheet name="Div 4" sheetId="36" r:id="rId74"/>
    <sheet name="310 &amp; 491" sheetId="39" r:id="rId75"/>
    <sheet name="491" sheetId="42" r:id="rId76"/>
    <sheet name="405" sheetId="87" r:id="rId77"/>
    <sheet name="406" sheetId="88" r:id="rId78"/>
    <sheet name="411" sheetId="91" r:id="rId79"/>
    <sheet name="412" sheetId="92" r:id="rId80"/>
    <sheet name="420" sheetId="98" r:id="rId81"/>
    <sheet name="413" sheetId="93" r:id="rId82"/>
    <sheet name="414" sheetId="94" r:id="rId83"/>
    <sheet name="415" sheetId="95" r:id="rId84"/>
    <sheet name="418" sheetId="97" r:id="rId85"/>
    <sheet name="423" sheetId="99" r:id="rId86"/>
    <sheet name="424" sheetId="100" r:id="rId87"/>
    <sheet name="425" sheetId="101" r:id="rId88"/>
    <sheet name="455" sheetId="108" r:id="rId89"/>
    <sheet name="492" sheetId="45" r:id="rId90"/>
    <sheet name="430" sheetId="102" r:id="rId91"/>
    <sheet name="433" sheetId="103" r:id="rId92"/>
    <sheet name="435" sheetId="104" r:id="rId93"/>
    <sheet name="444" sheetId="105" r:id="rId94"/>
    <sheet name="445" sheetId="106" r:id="rId95"/>
    <sheet name="450" sheetId="107" r:id="rId96"/>
    <sheet name="Div 5" sheetId="48" r:id="rId97"/>
    <sheet name="501" sheetId="109" r:id="rId98"/>
    <sheet name="Dept" sheetId="110" state="hidden" r:id="rId99"/>
    <sheet name="OSR_Dept_Y0WUKY" sheetId="111" state="hidden" r:id="rId100"/>
    <sheet name="OSR_Summary (...56e5d78f_5JEYZH" sheetId="112" state="hidden" r:id="rId101"/>
  </sheets>
  <definedNames>
    <definedName name="OSRRefD13x_0" localSheetId="44">'204'!$D$13</definedName>
    <definedName name="OSRRefD13x_0" localSheetId="48">'300'!$D$13:$D$111</definedName>
    <definedName name="OSRRefD13x_0" localSheetId="49">'300 &amp; 317'!$D$13:$D$129</definedName>
    <definedName name="OSRRefD13x_0" localSheetId="53">'307'!$D$13:$D$50</definedName>
    <definedName name="OSRRefD13x_0" localSheetId="55">'308'!$D$13:$D$42</definedName>
    <definedName name="OSRRefD13x_0" localSheetId="67">'309'!$D$13:$D$15</definedName>
    <definedName name="OSRRefD13x_0" localSheetId="66">'310'!$D$13:$D$24</definedName>
    <definedName name="OSRRefD13x_0" localSheetId="74">'310 &amp; 491'!$D$13:$D$31</definedName>
    <definedName name="OSRRefD13x_0" localSheetId="56">'311'!$D$13:$D$42</definedName>
    <definedName name="OSRRefD13x_0" localSheetId="68">'313'!$D$13:$D$20</definedName>
    <definedName name="OSRRefD13x_0" localSheetId="54">'314'!$D$13:$D$34</definedName>
    <definedName name="OSRRefD13x_0" localSheetId="59">'315'!$D$13:$D$34</definedName>
    <definedName name="OSRRefD13x_0" localSheetId="62">'316'!$D$13:$D$28</definedName>
    <definedName name="OSRRefD13x_0" localSheetId="65">'317'!$D$13:$D$38</definedName>
    <definedName name="OSRRefD13x_0" localSheetId="63">'320'!$D$13:$D$18</definedName>
    <definedName name="OSRRefD13x_0" localSheetId="69">'321'!$D$13:$D$15</definedName>
    <definedName name="OSRRefD13x_0" localSheetId="70">'322'!$D$13</definedName>
    <definedName name="OSRRefD13x_0" localSheetId="57">'324'!$D$13:$D$15</definedName>
    <definedName name="OSRRefD13x_0" localSheetId="60">'326'!$D$13:$D$33</definedName>
    <definedName name="OSRRefD13x_0" localSheetId="72">'327'!$D$13:$D$14</definedName>
    <definedName name="OSRRefD13x_0" localSheetId="52">'330'!$D$13:$D$54</definedName>
    <definedName name="OSRRefD13x_0" localSheetId="58">'331'!$D$13:$D$42</definedName>
    <definedName name="OSRRefD13x_0" localSheetId="61">'332'!$D$13:$D$32</definedName>
    <definedName name="OSRRefD13x_0" localSheetId="76">'405'!$D$13:$D$15</definedName>
    <definedName name="OSRRefD13x_0" localSheetId="77">'406'!$D$13:$D$16</definedName>
    <definedName name="OSRRefD13x_0" localSheetId="79">'412'!$D$13:$D$16</definedName>
    <definedName name="OSRRefD13x_0" localSheetId="81">'413'!$D$13:$D$16</definedName>
    <definedName name="OSRRefD13x_0" localSheetId="82">'414'!$D$13:$D$16</definedName>
    <definedName name="OSRRefD13x_0" localSheetId="83">'415'!$D$13:$D$15</definedName>
    <definedName name="OSRRefD13x_0" localSheetId="84">'418'!$D$13:$D$16</definedName>
    <definedName name="OSRRefD13x_0" localSheetId="80">'420'!$D$13:$D$14</definedName>
    <definedName name="OSRRefD13x_0" localSheetId="86">'424'!$D$13:$D$16</definedName>
    <definedName name="OSRRefD13x_0" localSheetId="87">'425'!$D$13:$D$18</definedName>
    <definedName name="OSRRefD13x_0" localSheetId="91">'433'!$D$13:$D$17</definedName>
    <definedName name="OSRRefD13x_0" localSheetId="92">'435'!$D$13:$D$16</definedName>
    <definedName name="OSRRefD13x_0" localSheetId="93">'444'!$D$13:$D$16</definedName>
    <definedName name="OSRRefD13x_0" localSheetId="95">'450'!$D$13:$D$16</definedName>
    <definedName name="OSRRefD13x_0" localSheetId="75">'491'!$D$13:$D$24</definedName>
    <definedName name="OSRRefD13x_0" localSheetId="89">'492'!$D$13:$D$19</definedName>
    <definedName name="OSRRefD13x_0" localSheetId="97">'501'!$D$13</definedName>
    <definedName name="OSRRefD13x_0" localSheetId="39">'Div 2'!$D$13</definedName>
    <definedName name="OSRRefD13x_0" localSheetId="47">'Div 3'!$D$13:$D$114</definedName>
    <definedName name="OSRRefD13x_0" localSheetId="73">'Div 4'!$D$13:$D$25</definedName>
    <definedName name="OSRRefD13x_0" localSheetId="96">'Div 5'!$D$13</definedName>
    <definedName name="OSRRefD13x_0" localSheetId="64">'Div 6'!$D$13:$D$38</definedName>
    <definedName name="OSRRefD13x_0" localSheetId="2">Summary!$D$13:$D$140</definedName>
    <definedName name="OSRRefD16x_0" localSheetId="48">'300'!$D$114:$D$164</definedName>
    <definedName name="OSRRefD16x_0" localSheetId="49">'300 &amp; 317'!$D$132:$D$190</definedName>
    <definedName name="OSRRefD16x_0" localSheetId="53">'307'!$D$53:$D$73</definedName>
    <definedName name="OSRRefD16x_0" localSheetId="55">'308'!$D$45:$D$61</definedName>
    <definedName name="OSRRefD16x_0" localSheetId="67">'309'!$D$18:$D$20</definedName>
    <definedName name="OSRRefD16x_0" localSheetId="66">'310'!$D$27:$D$29</definedName>
    <definedName name="OSRRefD16x_0" localSheetId="74">'310 &amp; 491'!$D$34:$D$36</definedName>
    <definedName name="OSRRefD16x_0" localSheetId="56">'311'!$D$45:$D$61</definedName>
    <definedName name="OSRRefD16x_0" localSheetId="68">'313'!$D$23:$D$25</definedName>
    <definedName name="OSRRefD16x_0" localSheetId="54">'314'!$D$37:$D$52</definedName>
    <definedName name="OSRRefD16x_0" localSheetId="59">'315'!$D$37:$D$52</definedName>
    <definedName name="OSRRefD16x_0" localSheetId="65">'317'!$D$41:$D$55</definedName>
    <definedName name="OSRRefD16x_0" localSheetId="63">'320'!$D$21:$D$26</definedName>
    <definedName name="OSRRefD16x_0" localSheetId="69">'321'!$D$18:$D$20</definedName>
    <definedName name="OSRRefD16x_0" localSheetId="70">'322'!$D$16</definedName>
    <definedName name="OSRRefD16x_0" localSheetId="57">'324'!$D$18:$D$20</definedName>
    <definedName name="OSRRefD16x_0" localSheetId="60">'326'!$D$36:$D$52</definedName>
    <definedName name="OSRRefD16x_0" localSheetId="72">'327'!$D$17:$D$18</definedName>
    <definedName name="OSRRefD16x_0" localSheetId="52">'330'!$D$57:$D$80</definedName>
    <definedName name="OSRRefD16x_0" localSheetId="58">'331'!$D$45:$D$67</definedName>
    <definedName name="OSRRefD16x_0" localSheetId="61">'332'!$D$35:$D$40</definedName>
    <definedName name="OSRRefD16x_0" localSheetId="76">'405'!$D$18:$D$20</definedName>
    <definedName name="OSRRefD16x_0" localSheetId="77">'406'!$D$19:$D$21</definedName>
    <definedName name="OSRRefD16x_0" localSheetId="79">'412'!$D$19:$D$21</definedName>
    <definedName name="OSRRefD16x_0" localSheetId="81">'413'!$D$19:$D$21</definedName>
    <definedName name="OSRRefD16x_0" localSheetId="82">'414'!$D$19:$D$21</definedName>
    <definedName name="OSRRefD16x_0" localSheetId="83">'415'!$D$18:$D$20</definedName>
    <definedName name="OSRRefD16x_0" localSheetId="84">'418'!$D$19:$D$21</definedName>
    <definedName name="OSRRefD16x_0" localSheetId="80">'420'!$D$17:$D$18</definedName>
    <definedName name="OSRRefD16x_0" localSheetId="85">'423'!$D$15</definedName>
    <definedName name="OSRRefD16x_0" localSheetId="86">'424'!$D$19:$D$21</definedName>
    <definedName name="OSRRefD16x_0" localSheetId="87">'425'!$D$21:$D$23</definedName>
    <definedName name="OSRRefD16x_0" localSheetId="91">'433'!$D$20:$D$22</definedName>
    <definedName name="OSRRefD16x_0" localSheetId="92">'435'!$D$19:$D$21</definedName>
    <definedName name="OSRRefD16x_0" localSheetId="93">'444'!$D$19:$D$21</definedName>
    <definedName name="OSRRefD16x_0" localSheetId="95">'450'!$D$19:$D$21</definedName>
    <definedName name="OSRRefD16x_0" localSheetId="75">'491'!$D$27:$D$29</definedName>
    <definedName name="OSRRefD16x_0" localSheetId="89">'492'!$D$22:$D$24</definedName>
    <definedName name="OSRRefD16x_0" localSheetId="47">'Div 3'!$D$117:$D$169</definedName>
    <definedName name="OSRRefD16x_0" localSheetId="73">'Div 4'!$D$28:$D$30</definedName>
    <definedName name="OSRRefD16x_0" localSheetId="64">'Div 6'!$D$41:$D$55</definedName>
    <definedName name="OSRRefD16x_0" localSheetId="2">Summary!$D$143:$D$203</definedName>
    <definedName name="OSRRefD22_0x_0" localSheetId="40">'200'!$D$20</definedName>
    <definedName name="OSRRefD22_0x_0" localSheetId="41">'201'!$D$20:$D$28</definedName>
    <definedName name="OSRRefD22_0x_0" localSheetId="42">'202'!$D$20:$D$28</definedName>
    <definedName name="OSRRefD22_0x_0" localSheetId="43">'203'!$D$20:$D$29</definedName>
    <definedName name="OSRRefD22_0x_0" localSheetId="44">'204'!$D$21:$D$30</definedName>
    <definedName name="OSRRefD22_0x_0" localSheetId="45">'205'!$D$20:$D$28</definedName>
    <definedName name="OSRRefD22_0x_0" localSheetId="46">'206'!$D$20:$D$28</definedName>
    <definedName name="OSRRefD22_0x_0" localSheetId="48">'300'!$D$170:$D$179</definedName>
    <definedName name="OSRRefD22_0x_0" localSheetId="49">'300 &amp; 317'!$D$196:$D$205</definedName>
    <definedName name="OSRRefD22_0x_0" localSheetId="50">'301'!$D$20:$D$28</definedName>
    <definedName name="OSRRefD22_0x_0" localSheetId="51">'306'!$D$20:$D$28</definedName>
    <definedName name="OSRRefD22_0x_0" localSheetId="53">'307'!$D$79:$D$87</definedName>
    <definedName name="OSRRefD22_0x_0" localSheetId="55">'308'!$D$67:$D$76</definedName>
    <definedName name="OSRRefD22_0x_0" localSheetId="67">'309'!$D$26:$D$34</definedName>
    <definedName name="OSRRefD22_0x_0" localSheetId="66">'310'!$D$35:$D$43</definedName>
    <definedName name="OSRRefD22_0x_0" localSheetId="74">'310 &amp; 491'!$D$42:$D$51</definedName>
    <definedName name="OSRRefD22_0x_0" localSheetId="56">'311'!$D$67:$D$76</definedName>
    <definedName name="OSRRefD22_0x_0" localSheetId="68">'313'!$D$31:$D$39</definedName>
    <definedName name="OSRRefD22_0x_0" localSheetId="54">'314'!$D$58:$D$67</definedName>
    <definedName name="OSRRefD22_0x_0" localSheetId="59">'315'!$D$58:$D$66</definedName>
    <definedName name="OSRRefD22_0x_0" localSheetId="62">'316'!$D$36:$D$44</definedName>
    <definedName name="OSRRefD22_0x_0" localSheetId="65">'317'!$D$61:$D$70</definedName>
    <definedName name="OSRRefD22_0x_0" localSheetId="63">'320'!$D$32:$D$39</definedName>
    <definedName name="OSRRefD22_0x_0" localSheetId="69">'321'!$D$26:$D$33</definedName>
    <definedName name="OSRRefD22_0x_0" localSheetId="70">'322'!$D$22:$D$29</definedName>
    <definedName name="OSRRefD22_0x_0" localSheetId="60">'326'!$D$58:$D$66</definedName>
    <definedName name="OSRRefD22_0x_0" localSheetId="72">'327'!$D$24</definedName>
    <definedName name="OSRRefD22_0x_0" localSheetId="52">'330'!$D$86:$D$95</definedName>
    <definedName name="OSRRefD22_0x_0" localSheetId="58">'331'!$D$73:$D$81</definedName>
    <definedName name="OSRRefD22_0x_0" localSheetId="61">'332'!$D$46:$D$54</definedName>
    <definedName name="OSRRefD22_0x_0" localSheetId="76">'405'!$D$26:$D$34</definedName>
    <definedName name="OSRRefD22_0x_0" localSheetId="77">'406'!$D$27:$D$35</definedName>
    <definedName name="OSRRefD22_0x_0" localSheetId="78">'411'!$D$20:$D$29</definedName>
    <definedName name="OSRRefD22_0x_0" localSheetId="79">'412'!$D$27:$D$35</definedName>
    <definedName name="OSRRefD22_0x_0" localSheetId="81">'413'!$D$27:$D$35</definedName>
    <definedName name="OSRRefD22_0x_0" localSheetId="82">'414'!$D$27:$D$35</definedName>
    <definedName name="OSRRefD22_0x_0" localSheetId="83">'415'!$D$26:$D$34</definedName>
    <definedName name="OSRRefD22_0x_0" localSheetId="84">'418'!$D$27:$D$35</definedName>
    <definedName name="OSRRefD22_0x_0" localSheetId="80">'420'!$D$24:$D$31</definedName>
    <definedName name="OSRRefD22_0x_0" localSheetId="85">'423'!$D$21:$D$29</definedName>
    <definedName name="OSRRefD22_0x_0" localSheetId="86">'424'!$D$27:$D$34</definedName>
    <definedName name="OSRRefD22_0x_0" localSheetId="87">'425'!$D$29:$D$38</definedName>
    <definedName name="OSRRefD22_0x_0" localSheetId="90">'430'!$D$20:$D$28</definedName>
    <definedName name="OSRRefD22_0x_0" localSheetId="91">'433'!$D$28:$D$37</definedName>
    <definedName name="OSRRefD22_0x_0" localSheetId="92">'435'!$D$27:$D$34</definedName>
    <definedName name="OSRRefD22_0x_0" localSheetId="93">'444'!$D$27:$D$36</definedName>
    <definedName name="OSRRefD22_0x_0" localSheetId="95">'450'!$D$27:$D$36</definedName>
    <definedName name="OSRRefD22_0x_0" localSheetId="88">'455'!$D$20:$D$27</definedName>
    <definedName name="OSRRefD22_0x_0" localSheetId="75">'491'!$D$35:$D$44</definedName>
    <definedName name="OSRRefD22_0x_0" localSheetId="89">'492'!$D$30:$D$39</definedName>
    <definedName name="OSRRefD22_0x_0" localSheetId="97">'501'!$D$21:$D$29</definedName>
    <definedName name="OSRRefD22_0x_0" localSheetId="39">'Div 2'!$D$21:$D$31</definedName>
    <definedName name="OSRRefD22_0x_0" localSheetId="47">'Div 3'!$D$175:$D$184</definedName>
    <definedName name="OSRRefD22_0x_0" localSheetId="73">'Div 4'!$D$36:$D$45</definedName>
    <definedName name="OSRRefD22_0x_0" localSheetId="96">'Div 5'!$D$21:$D$29</definedName>
    <definedName name="OSRRefD22_0x_0" localSheetId="64">'Div 6'!$D$61:$D$70</definedName>
    <definedName name="OSRRefD22_0x_0" localSheetId="2">Summary!$D$209:$D$218</definedName>
    <definedName name="OSRRefD22_10x_0" localSheetId="41">'201'!$D$58:$D$60</definedName>
    <definedName name="OSRRefD22_10x_0" localSheetId="42">'202'!$D$59</definedName>
    <definedName name="OSRRefD22_10x_0" localSheetId="43">'203'!$D$60:$D$61</definedName>
    <definedName name="OSRRefD22_10x_0" localSheetId="44">'204'!$D$64:$D$65</definedName>
    <definedName name="OSRRefD22_10x_0" localSheetId="46">'206'!$D$58</definedName>
    <definedName name="OSRRefD22_10x_0" localSheetId="48">'300'!$D$214:$D$215</definedName>
    <definedName name="OSRRefD22_10x_0" localSheetId="49">'300 &amp; 317'!$D$240:$D$241</definedName>
    <definedName name="OSRRefD22_10x_0" localSheetId="50">'301'!$D$63</definedName>
    <definedName name="OSRRefD22_10x_0" localSheetId="51">'306'!$D$61</definedName>
    <definedName name="OSRRefD22_10x_0" localSheetId="53">'307'!$D$119:$D$121</definedName>
    <definedName name="OSRRefD22_10x_0" localSheetId="55">'308'!$D$110:$D$111</definedName>
    <definedName name="OSRRefD22_10x_0" localSheetId="67">'309'!$D$65:$D$67</definedName>
    <definedName name="OSRRefD22_10x_0" localSheetId="66">'310'!$D$74</definedName>
    <definedName name="OSRRefD22_10x_0" localSheetId="74">'310 &amp; 491'!$D$83:$D$84</definedName>
    <definedName name="OSRRefD22_10x_0" localSheetId="56">'311'!$D$110:$D$111</definedName>
    <definedName name="OSRRefD22_10x_0" localSheetId="68">'313'!$D$68:$D$70</definedName>
    <definedName name="OSRRefD22_10x_0" localSheetId="54">'314'!$D$98</definedName>
    <definedName name="OSRRefD22_10x_0" localSheetId="59">'315'!$D$98:$D$100</definedName>
    <definedName name="OSRRefD22_10x_0" localSheetId="62">'316'!$D$74:$D$75</definedName>
    <definedName name="OSRRefD22_10x_0" localSheetId="65">'317'!$D$99:$D$100</definedName>
    <definedName name="OSRRefD22_10x_0" localSheetId="69">'321'!$D$64:$D$65</definedName>
    <definedName name="OSRRefD22_10x_0" localSheetId="70">'322'!$D$60</definedName>
    <definedName name="OSRRefD22_10x_0" localSheetId="60">'326'!$D$96</definedName>
    <definedName name="OSRRefD22_10x_0" localSheetId="52">'330'!$D$126:$D$127</definedName>
    <definedName name="OSRRefD22_10x_0" localSheetId="58">'331'!$D$113</definedName>
    <definedName name="OSRRefD22_10x_0" localSheetId="61">'332'!$D$84:$D$85</definedName>
    <definedName name="OSRRefD22_10x_0" localSheetId="76">'405'!$D$65</definedName>
    <definedName name="OSRRefD22_10x_0" localSheetId="77">'406'!$D$67:$D$69</definedName>
    <definedName name="OSRRefD22_10x_0" localSheetId="78">'411'!$D$61</definedName>
    <definedName name="OSRRefD22_10x_0" localSheetId="79">'412'!$D$67</definedName>
    <definedName name="OSRRefD22_10x_0" localSheetId="81">'413'!$D$67:$D$73</definedName>
    <definedName name="OSRRefD22_10x_0" localSheetId="82">'414'!$D$66</definedName>
    <definedName name="OSRRefD22_10x_0" localSheetId="83">'415'!$D$65</definedName>
    <definedName name="OSRRefD22_10x_0" localSheetId="84">'418'!$D$66:$D$67</definedName>
    <definedName name="OSRRefD22_10x_0" localSheetId="86">'424'!$D$66</definedName>
    <definedName name="OSRRefD22_10x_0" localSheetId="87">'425'!$D$70:$D$71</definedName>
    <definedName name="OSRRefD22_10x_0" localSheetId="90">'430'!$D$60</definedName>
    <definedName name="OSRRefD22_10x_0" localSheetId="91">'433'!$D$66:$D$68</definedName>
    <definedName name="OSRRefD22_10x_0" localSheetId="93">'444'!$D$65</definedName>
    <definedName name="OSRRefD22_10x_0" localSheetId="95">'450'!$D$66</definedName>
    <definedName name="OSRRefD22_10x_0" localSheetId="75">'491'!$D$76</definedName>
    <definedName name="OSRRefD22_10x_0" localSheetId="89">'492'!$D$70</definedName>
    <definedName name="OSRRefD22_10x_0" localSheetId="97">'501'!$D$58:$D$61</definedName>
    <definedName name="OSRRefD22_10x_0" localSheetId="39">'Div 2'!$D$62</definedName>
    <definedName name="OSRRefD22_10x_0" localSheetId="47">'Div 3'!$D$219:$D$220</definedName>
    <definedName name="OSRRefD22_10x_0" localSheetId="73">'Div 4'!$D$79</definedName>
    <definedName name="OSRRefD22_10x_0" localSheetId="96">'Div 5'!$D$58:$D$61</definedName>
    <definedName name="OSRRefD22_10x_0" localSheetId="64">'Div 6'!$D$99:$D$100</definedName>
    <definedName name="OSRRefD22_10x_0" localSheetId="2">Summary!$D$254:$D$255</definedName>
    <definedName name="OSRRefD22_11x_0" localSheetId="41">'201'!$D$62:$D$64</definedName>
    <definedName name="OSRRefD22_11x_0" localSheetId="42">'202'!$D$61:$D$63</definedName>
    <definedName name="OSRRefD22_11x_0" localSheetId="43">'203'!$D$63</definedName>
    <definedName name="OSRRefD22_11x_0" localSheetId="44">'204'!$D$67</definedName>
    <definedName name="OSRRefD22_11x_0" localSheetId="48">'300'!$D$217</definedName>
    <definedName name="OSRRefD22_11x_0" localSheetId="49">'300 &amp; 317'!$D$243</definedName>
    <definedName name="OSRRefD22_11x_0" localSheetId="50">'301'!$D$65</definedName>
    <definedName name="OSRRefD22_11x_0" localSheetId="53">'307'!$D$123</definedName>
    <definedName name="OSRRefD22_11x_0" localSheetId="55">'308'!$D$113:$D$115</definedName>
    <definedName name="OSRRefD22_11x_0" localSheetId="67">'309'!$D$69:$D$71</definedName>
    <definedName name="OSRRefD22_11x_0" localSheetId="66">'310'!$D$76</definedName>
    <definedName name="OSRRefD22_11x_0" localSheetId="74">'310 &amp; 491'!$D$86:$D$87</definedName>
    <definedName name="OSRRefD22_11x_0" localSheetId="56">'311'!$D$113:$D$115</definedName>
    <definedName name="OSRRefD22_11x_0" localSheetId="68">'313'!$D$72</definedName>
    <definedName name="OSRRefD22_11x_0" localSheetId="59">'315'!$D$102:$D$103</definedName>
    <definedName name="OSRRefD22_11x_0" localSheetId="62">'316'!$D$77:$D$81</definedName>
    <definedName name="OSRRefD22_11x_0" localSheetId="65">'317'!$D$102:$D$103</definedName>
    <definedName name="OSRRefD22_11x_0" localSheetId="69">'321'!$D$67:$D$69</definedName>
    <definedName name="OSRRefD22_11x_0" localSheetId="70">'322'!$D$62</definedName>
    <definedName name="OSRRefD22_11x_0" localSheetId="60">'326'!$D$98</definedName>
    <definedName name="OSRRefD22_11x_0" localSheetId="52">'330'!$D$129</definedName>
    <definedName name="OSRRefD22_11x_0" localSheetId="58">'331'!$D$115</definedName>
    <definedName name="OSRRefD22_11x_0" localSheetId="61">'332'!$D$87:$D$88</definedName>
    <definedName name="OSRRefD22_11x_0" localSheetId="76">'405'!$D$67:$D$69</definedName>
    <definedName name="OSRRefD22_11x_0" localSheetId="77">'406'!$D$71:$D$76</definedName>
    <definedName name="OSRRefD22_11x_0" localSheetId="78">'411'!$D$63</definedName>
    <definedName name="OSRRefD22_11x_0" localSheetId="79">'412'!$D$69:$D$71</definedName>
    <definedName name="OSRRefD22_11x_0" localSheetId="81">'413'!$D$75:$D$76</definedName>
    <definedName name="OSRRefD22_11x_0" localSheetId="82">'414'!$D$68</definedName>
    <definedName name="OSRRefD22_11x_0" localSheetId="83">'415'!$D$67:$D$70</definedName>
    <definedName name="OSRRefD22_11x_0" localSheetId="84">'418'!$D$69:$D$71</definedName>
    <definedName name="OSRRefD22_11x_0" localSheetId="86">'424'!$D$68:$D$72</definedName>
    <definedName name="OSRRefD22_11x_0" localSheetId="87">'425'!$D$73:$D$75</definedName>
    <definedName name="OSRRefD22_11x_0" localSheetId="91">'433'!$D$70:$D$73</definedName>
    <definedName name="OSRRefD22_11x_0" localSheetId="93">'444'!$D$67:$D$69</definedName>
    <definedName name="OSRRefD22_11x_0" localSheetId="95">'450'!$D$68</definedName>
    <definedName name="OSRRefD22_11x_0" localSheetId="75">'491'!$D$78:$D$79</definedName>
    <definedName name="OSRRefD22_11x_0" localSheetId="89">'492'!$D$72</definedName>
    <definedName name="OSRRefD22_11x_0" localSheetId="97">'501'!$D$63</definedName>
    <definedName name="OSRRefD22_11x_0" localSheetId="39">'Div 2'!$D$64</definedName>
    <definedName name="OSRRefD22_11x_0" localSheetId="47">'Div 3'!$D$222</definedName>
    <definedName name="OSRRefD22_11x_0" localSheetId="73">'Div 4'!$D$81:$D$82</definedName>
    <definedName name="OSRRefD22_11x_0" localSheetId="96">'Div 5'!$D$63</definedName>
    <definedName name="OSRRefD22_11x_0" localSheetId="64">'Div 6'!$D$102:$D$103</definedName>
    <definedName name="OSRRefD22_11x_0" localSheetId="2">Summary!$D$257:$D$258</definedName>
    <definedName name="OSRRefD22_12x_0" localSheetId="41">'201'!$D$66</definedName>
    <definedName name="OSRRefD22_12x_0" localSheetId="42">'202'!$D$65</definedName>
    <definedName name="OSRRefD22_12x_0" localSheetId="43">'203'!$D$65:$D$67</definedName>
    <definedName name="OSRRefD22_12x_0" localSheetId="44">'204'!$D$69:$D$70</definedName>
    <definedName name="OSRRefD22_12x_0" localSheetId="48">'300'!$D$219</definedName>
    <definedName name="OSRRefD22_12x_0" localSheetId="49">'300 &amp; 317'!$D$245</definedName>
    <definedName name="OSRRefD22_12x_0" localSheetId="50">'301'!$D$67</definedName>
    <definedName name="OSRRefD22_12x_0" localSheetId="53">'307'!$D$125</definedName>
    <definedName name="OSRRefD22_12x_0" localSheetId="55">'308'!$D$117:$D$118</definedName>
    <definedName name="OSRRefD22_12x_0" localSheetId="67">'309'!$D$73</definedName>
    <definedName name="OSRRefD22_12x_0" localSheetId="66">'310'!$D$78</definedName>
    <definedName name="OSRRefD22_12x_0" localSheetId="74">'310 &amp; 491'!$D$89</definedName>
    <definedName name="OSRRefD22_12x_0" localSheetId="56">'311'!$D$117:$D$118</definedName>
    <definedName name="OSRRefD22_12x_0" localSheetId="68">'313'!$D$74:$D$79</definedName>
    <definedName name="OSRRefD22_12x_0" localSheetId="59">'315'!$D$105:$D$109</definedName>
    <definedName name="OSRRefD22_12x_0" localSheetId="62">'316'!$D$83:$D$84</definedName>
    <definedName name="OSRRefD22_12x_0" localSheetId="65">'317'!$D$105</definedName>
    <definedName name="OSRRefD22_12x_0" localSheetId="69">'321'!$D$71:$D$74</definedName>
    <definedName name="OSRRefD22_12x_0" localSheetId="60">'326'!$D$100</definedName>
    <definedName name="OSRRefD22_12x_0" localSheetId="52">'330'!$D$131:$D$133</definedName>
    <definedName name="OSRRefD22_12x_0" localSheetId="58">'331'!$D$117</definedName>
    <definedName name="OSRRefD22_12x_0" localSheetId="61">'332'!$D$90:$D$94</definedName>
    <definedName name="OSRRefD22_12x_0" localSheetId="76">'405'!$D$71</definedName>
    <definedName name="OSRRefD22_12x_0" localSheetId="77">'406'!$D$78:$D$79</definedName>
    <definedName name="OSRRefD22_12x_0" localSheetId="78">'411'!$D$65:$D$68</definedName>
    <definedName name="OSRRefD22_12x_0" localSheetId="79">'412'!$D$73:$D$80</definedName>
    <definedName name="OSRRefD22_12x_0" localSheetId="81">'413'!$D$78</definedName>
    <definedName name="OSRRefD22_12x_0" localSheetId="82">'414'!$D$70</definedName>
    <definedName name="OSRRefD22_12x_0" localSheetId="83">'415'!$D$72:$D$76</definedName>
    <definedName name="OSRRefD22_12x_0" localSheetId="84">'418'!$D$73:$D$75</definedName>
    <definedName name="OSRRefD22_12x_0" localSheetId="86">'424'!$D$74:$D$75</definedName>
    <definedName name="OSRRefD22_12x_0" localSheetId="87">'425'!$D$77</definedName>
    <definedName name="OSRRefD22_12x_0" localSheetId="91">'433'!$D$75:$D$83</definedName>
    <definedName name="OSRRefD22_12x_0" localSheetId="93">'444'!$D$71:$D$74</definedName>
    <definedName name="OSRRefD22_12x_0" localSheetId="95">'450'!$D$70:$D$73</definedName>
    <definedName name="OSRRefD22_12x_0" localSheetId="75">'491'!$D$81</definedName>
    <definedName name="OSRRefD22_12x_0" localSheetId="89">'492'!$D$74</definedName>
    <definedName name="OSRRefD22_12x_0" localSheetId="97">'501'!$D$65:$D$67</definedName>
    <definedName name="OSRRefD22_12x_0" localSheetId="39">'Div 2'!$D$66:$D$68</definedName>
    <definedName name="OSRRefD22_12x_0" localSheetId="47">'Div 3'!$D$224</definedName>
    <definedName name="OSRRefD22_12x_0" localSheetId="73">'Div 4'!$D$84</definedName>
    <definedName name="OSRRefD22_12x_0" localSheetId="96">'Div 5'!$D$65:$D$67</definedName>
    <definedName name="OSRRefD22_12x_0" localSheetId="64">'Div 6'!$D$105</definedName>
    <definedName name="OSRRefD22_12x_0" localSheetId="2">Summary!$D$260</definedName>
    <definedName name="OSRRefD22_13x_0" localSheetId="41">'201'!$D$68:$D$71</definedName>
    <definedName name="OSRRefD22_13x_0" localSheetId="42">'202'!$D$67</definedName>
    <definedName name="OSRRefD22_13x_0" localSheetId="43">'203'!$D$69</definedName>
    <definedName name="OSRRefD22_13x_0" localSheetId="48">'300'!$D$221</definedName>
    <definedName name="OSRRefD22_13x_0" localSheetId="49">'300 &amp; 317'!$D$247</definedName>
    <definedName name="OSRRefD22_13x_0" localSheetId="50">'301'!$D$69</definedName>
    <definedName name="OSRRefD22_13x_0" localSheetId="55">'308'!$D$120</definedName>
    <definedName name="OSRRefD22_13x_0" localSheetId="67">'309'!$D$75</definedName>
    <definedName name="OSRRefD22_13x_0" localSheetId="66">'310'!$D$80</definedName>
    <definedName name="OSRRefD22_13x_0" localSheetId="74">'310 &amp; 491'!$D$91</definedName>
    <definedName name="OSRRefD22_13x_0" localSheetId="56">'311'!$D$120</definedName>
    <definedName name="OSRRefD22_13x_0" localSheetId="68">'313'!$D$81</definedName>
    <definedName name="OSRRefD22_13x_0" localSheetId="59">'315'!$D$111</definedName>
    <definedName name="OSRRefD22_13x_0" localSheetId="62">'316'!$D$86</definedName>
    <definedName name="OSRRefD22_13x_0" localSheetId="65">'317'!$D$107</definedName>
    <definedName name="OSRRefD22_13x_0" localSheetId="69">'321'!$D$76</definedName>
    <definedName name="OSRRefD22_13x_0" localSheetId="60">'326'!$D$102:$D$103</definedName>
    <definedName name="OSRRefD22_13x_0" localSheetId="52">'330'!$D$135</definedName>
    <definedName name="OSRRefD22_13x_0" localSheetId="58">'331'!$D$119</definedName>
    <definedName name="OSRRefD22_13x_0" localSheetId="61">'332'!$D$96:$D$97</definedName>
    <definedName name="OSRRefD22_13x_0" localSheetId="76">'405'!$D$73:$D$75</definedName>
    <definedName name="OSRRefD22_13x_0" localSheetId="77">'406'!$D$81</definedName>
    <definedName name="OSRRefD22_13x_0" localSheetId="78">'411'!$D$70:$D$74</definedName>
    <definedName name="OSRRefD22_13x_0" localSheetId="79">'412'!$D$82</definedName>
    <definedName name="OSRRefD22_13x_0" localSheetId="81">'413'!$D$80</definedName>
    <definedName name="OSRRefD22_13x_0" localSheetId="82">'414'!$D$72:$D$78</definedName>
    <definedName name="OSRRefD22_13x_0" localSheetId="83">'415'!$D$78:$D$79</definedName>
    <definedName name="OSRRefD22_13x_0" localSheetId="84">'418'!$D$77:$D$78</definedName>
    <definedName name="OSRRefD22_13x_0" localSheetId="87">'425'!$D$79:$D$85</definedName>
    <definedName name="OSRRefD22_13x_0" localSheetId="91">'433'!$D$85</definedName>
    <definedName name="OSRRefD22_13x_0" localSheetId="93">'444'!$D$76:$D$83</definedName>
    <definedName name="OSRRefD22_13x_0" localSheetId="95">'450'!$D$75:$D$77</definedName>
    <definedName name="OSRRefD22_13x_0" localSheetId="75">'491'!$D$83</definedName>
    <definedName name="OSRRefD22_13x_0" localSheetId="89">'492'!$D$76:$D$79</definedName>
    <definedName name="OSRRefD22_13x_0" localSheetId="97">'501'!$D$69</definedName>
    <definedName name="OSRRefD22_13x_0" localSheetId="39">'Div 2'!$D$70:$D$73</definedName>
    <definedName name="OSRRefD22_13x_0" localSheetId="47">'Div 3'!$D$226</definedName>
    <definedName name="OSRRefD22_13x_0" localSheetId="73">'Div 4'!$D$86</definedName>
    <definedName name="OSRRefD22_13x_0" localSheetId="96">'Div 5'!$D$69</definedName>
    <definedName name="OSRRefD22_13x_0" localSheetId="64">'Div 6'!$D$107</definedName>
    <definedName name="OSRRefD22_13x_0" localSheetId="2">Summary!$D$262</definedName>
    <definedName name="OSRRefD22_14x_0" localSheetId="41">'201'!$D$73</definedName>
    <definedName name="OSRRefD22_14x_0" localSheetId="42">'202'!$D$69:$D$70</definedName>
    <definedName name="OSRRefD22_14x_0" localSheetId="43">'203'!$D$71</definedName>
    <definedName name="OSRRefD22_14x_0" localSheetId="48">'300'!$D$223</definedName>
    <definedName name="OSRRefD22_14x_0" localSheetId="49">'300 &amp; 317'!$D$249</definedName>
    <definedName name="OSRRefD22_14x_0" localSheetId="50">'301'!$D$71</definedName>
    <definedName name="OSRRefD22_14x_0" localSheetId="55">'308'!$D$122:$D$123</definedName>
    <definedName name="OSRRefD22_14x_0" localSheetId="66">'310'!$D$82</definedName>
    <definedName name="OSRRefD22_14x_0" localSheetId="74">'310 &amp; 491'!$D$93</definedName>
    <definedName name="OSRRefD22_14x_0" localSheetId="56">'311'!$D$122:$D$123</definedName>
    <definedName name="OSRRefD22_14x_0" localSheetId="68">'313'!$D$83</definedName>
    <definedName name="OSRRefD22_14x_0" localSheetId="59">'315'!$D$113</definedName>
    <definedName name="OSRRefD22_14x_0" localSheetId="69">'321'!$D$78</definedName>
    <definedName name="OSRRefD22_14x_0" localSheetId="60">'326'!$D$105:$D$107</definedName>
    <definedName name="OSRRefD22_14x_0" localSheetId="52">'330'!$D$137</definedName>
    <definedName name="OSRRefD22_14x_0" localSheetId="58">'331'!$D$121:$D$122</definedName>
    <definedName name="OSRRefD22_14x_0" localSheetId="61">'332'!$D$99</definedName>
    <definedName name="OSRRefD22_14x_0" localSheetId="76">'405'!$D$77:$D$78</definedName>
    <definedName name="OSRRefD22_14x_0" localSheetId="77">'406'!$D$83:$D$84</definedName>
    <definedName name="OSRRefD22_14x_0" localSheetId="78">'411'!$D$76</definedName>
    <definedName name="OSRRefD22_14x_0" localSheetId="79">'412'!$D$84</definedName>
    <definedName name="OSRRefD22_14x_0" localSheetId="82">'414'!$D$80</definedName>
    <definedName name="OSRRefD22_14x_0" localSheetId="83">'415'!$D$81:$D$89</definedName>
    <definedName name="OSRRefD22_14x_0" localSheetId="84">'418'!$D$80:$D$87</definedName>
    <definedName name="OSRRefD22_14x_0" localSheetId="87">'425'!$D$87:$D$88</definedName>
    <definedName name="OSRRefD22_14x_0" localSheetId="91">'433'!$D$87</definedName>
    <definedName name="OSRRefD22_14x_0" localSheetId="93">'444'!$D$85</definedName>
    <definedName name="OSRRefD22_14x_0" localSheetId="95">'450'!$D$79:$D$84</definedName>
    <definedName name="OSRRefD22_14x_0" localSheetId="75">'491'!$D$85</definedName>
    <definedName name="OSRRefD22_14x_0" localSheetId="89">'492'!$D$81:$D$84</definedName>
    <definedName name="OSRRefD22_14x_0" localSheetId="97">'501'!$D$71</definedName>
    <definedName name="OSRRefD22_14x_0" localSheetId="39">'Div 2'!$D$75:$D$78</definedName>
    <definedName name="OSRRefD22_14x_0" localSheetId="47">'Div 3'!$D$228</definedName>
    <definedName name="OSRRefD22_14x_0" localSheetId="73">'Div 4'!$D$88</definedName>
    <definedName name="OSRRefD22_14x_0" localSheetId="96">'Div 5'!$D$71</definedName>
    <definedName name="OSRRefD22_14x_0" localSheetId="2">Summary!$D$264</definedName>
    <definedName name="OSRRefD22_15x_0" localSheetId="41">'201'!$D$75</definedName>
    <definedName name="OSRRefD22_15x_0" localSheetId="42">'202'!$D$72</definedName>
    <definedName name="OSRRefD22_15x_0" localSheetId="43">'203'!$D$73</definedName>
    <definedName name="OSRRefD22_15x_0" localSheetId="48">'300'!$D$225</definedName>
    <definedName name="OSRRefD22_15x_0" localSheetId="49">'300 &amp; 317'!$D$251</definedName>
    <definedName name="OSRRefD22_15x_0" localSheetId="50">'301'!$D$73</definedName>
    <definedName name="OSRRefD22_15x_0" localSheetId="66">'310'!$D$84:$D$86</definedName>
    <definedName name="OSRRefD22_15x_0" localSheetId="74">'310 &amp; 491'!$D$95</definedName>
    <definedName name="OSRRefD22_15x_0" localSheetId="59">'315'!$D$115:$D$116</definedName>
    <definedName name="OSRRefD22_15x_0" localSheetId="60">'326'!$D$109:$D$110</definedName>
    <definedName name="OSRRefD22_15x_0" localSheetId="52">'330'!$D$139</definedName>
    <definedName name="OSRRefD22_15x_0" localSheetId="58">'331'!$D$124:$D$126</definedName>
    <definedName name="OSRRefD22_15x_0" localSheetId="76">'405'!$D$80:$D$88</definedName>
    <definedName name="OSRRefD22_15x_0" localSheetId="78">'411'!$D$78:$D$86</definedName>
    <definedName name="OSRRefD22_15x_0" localSheetId="79">'412'!$D$86</definedName>
    <definedName name="OSRRefD22_15x_0" localSheetId="82">'414'!$D$82</definedName>
    <definedName name="OSRRefD22_15x_0" localSheetId="83">'415'!$D$91</definedName>
    <definedName name="OSRRefD22_15x_0" localSheetId="84">'418'!$D$89</definedName>
    <definedName name="OSRRefD22_15x_0" localSheetId="87">'425'!$D$90</definedName>
    <definedName name="OSRRefD22_15x_0" localSheetId="91">'433'!$D$89:$D$90</definedName>
    <definedName name="OSRRefD22_15x_0" localSheetId="93">'444'!$D$87</definedName>
    <definedName name="OSRRefD22_15x_0" localSheetId="95">'450'!$D$86</definedName>
    <definedName name="OSRRefD22_15x_0" localSheetId="75">'491'!$D$87</definedName>
    <definedName name="OSRRefD22_15x_0" localSheetId="89">'492'!$D$86:$D$95</definedName>
    <definedName name="OSRRefD22_15x_0" localSheetId="39">'Div 2'!$D$80:$D$81</definedName>
    <definedName name="OSRRefD22_15x_0" localSheetId="47">'Div 3'!$D$230</definedName>
    <definedName name="OSRRefD22_15x_0" localSheetId="73">'Div 4'!$D$90</definedName>
    <definedName name="OSRRefD22_15x_0" localSheetId="2">Summary!$D$266</definedName>
    <definedName name="OSRRefD22_16x_0" localSheetId="41">'201'!$D$77:$D$78</definedName>
    <definedName name="OSRRefD22_16x_0" localSheetId="42">'202'!$D$74</definedName>
    <definedName name="OSRRefD22_16x_0" localSheetId="48">'300'!$D$227:$D$230</definedName>
    <definedName name="OSRRefD22_16x_0" localSheetId="49">'300 &amp; 317'!$D$253:$D$256</definedName>
    <definedName name="OSRRefD22_16x_0" localSheetId="50">'301'!$D$75:$D$78</definedName>
    <definedName name="OSRRefD22_16x_0" localSheetId="66">'310'!$D$88:$D$89</definedName>
    <definedName name="OSRRefD22_16x_0" localSheetId="74">'310 &amp; 491'!$D$97</definedName>
    <definedName name="OSRRefD22_16x_0" localSheetId="60">'326'!$D$112:$D$117</definedName>
    <definedName name="OSRRefD22_16x_0" localSheetId="58">'331'!$D$128:$D$130</definedName>
    <definedName name="OSRRefD22_16x_0" localSheetId="76">'405'!$D$90</definedName>
    <definedName name="OSRRefD22_16x_0" localSheetId="78">'411'!$D$88</definedName>
    <definedName name="OSRRefD22_16x_0" localSheetId="83">'415'!$D$93</definedName>
    <definedName name="OSRRefD22_16x_0" localSheetId="84">'418'!$D$91</definedName>
    <definedName name="OSRRefD22_16x_0" localSheetId="87">'425'!$D$92</definedName>
    <definedName name="OSRRefD22_16x_0" localSheetId="93">'444'!$D$89</definedName>
    <definedName name="OSRRefD22_16x_0" localSheetId="95">'450'!$D$88</definedName>
    <definedName name="OSRRefD22_16x_0" localSheetId="75">'491'!$D$89:$D$92</definedName>
    <definedName name="OSRRefD22_16x_0" localSheetId="89">'492'!$D$97</definedName>
    <definedName name="OSRRefD22_16x_0" localSheetId="39">'Div 2'!$D$83:$D$84</definedName>
    <definedName name="OSRRefD22_16x_0" localSheetId="47">'Div 3'!$D$232</definedName>
    <definedName name="OSRRefD22_16x_0" localSheetId="73">'Div 4'!$D$92</definedName>
    <definedName name="OSRRefD22_16x_0" localSheetId="2">Summary!$D$268</definedName>
    <definedName name="OSRRefD22_17x_0" localSheetId="48">'300'!$D$232:$D$235</definedName>
    <definedName name="OSRRefD22_17x_0" localSheetId="49">'300 &amp; 317'!$D$258:$D$261</definedName>
    <definedName name="OSRRefD22_17x_0" localSheetId="50">'301'!$D$80:$D$82</definedName>
    <definedName name="OSRRefD22_17x_0" localSheetId="66">'310'!$D$91:$D$95</definedName>
    <definedName name="OSRRefD22_17x_0" localSheetId="74">'310 &amp; 491'!$D$99:$D$102</definedName>
    <definedName name="OSRRefD22_17x_0" localSheetId="60">'326'!$D$119:$D$120</definedName>
    <definedName name="OSRRefD22_17x_0" localSheetId="58">'331'!$D$132:$D$133</definedName>
    <definedName name="OSRRefD22_17x_0" localSheetId="76">'405'!$D$92</definedName>
    <definedName name="OSRRefD22_17x_0" localSheetId="78">'411'!$D$90</definedName>
    <definedName name="OSRRefD22_17x_0" localSheetId="83">'415'!$D$95:$D$96</definedName>
    <definedName name="OSRRefD22_17x_0" localSheetId="84">'418'!$D$93:$D$94</definedName>
    <definedName name="OSRRefD22_17x_0" localSheetId="95">'450'!$D$90:$D$91</definedName>
    <definedName name="OSRRefD22_17x_0" localSheetId="75">'491'!$D$94:$D$97</definedName>
    <definedName name="OSRRefD22_17x_0" localSheetId="89">'492'!$D$99</definedName>
    <definedName name="OSRRefD22_17x_0" localSheetId="39">'Div 2'!$D$86:$D$91</definedName>
    <definedName name="OSRRefD22_17x_0" localSheetId="47">'Div 3'!$D$234</definedName>
    <definedName name="OSRRefD22_17x_0" localSheetId="73">'Div 4'!$D$94:$D$97</definedName>
    <definedName name="OSRRefD22_17x_0" localSheetId="2">Summary!$D$270</definedName>
    <definedName name="OSRRefD22_18x_0" localSheetId="48">'300'!$D$237:$D$240</definedName>
    <definedName name="OSRRefD22_18x_0" localSheetId="49">'300 &amp; 317'!$D$263:$D$266</definedName>
    <definedName name="OSRRefD22_18x_0" localSheetId="50">'301'!$D$84:$D$85</definedName>
    <definedName name="OSRRefD22_18x_0" localSheetId="66">'310'!$D$97</definedName>
    <definedName name="OSRRefD22_18x_0" localSheetId="74">'310 &amp; 491'!$D$104:$D$107</definedName>
    <definedName name="OSRRefD22_18x_0" localSheetId="60">'326'!$D$122</definedName>
    <definedName name="OSRRefD22_18x_0" localSheetId="58">'331'!$D$135:$D$140</definedName>
    <definedName name="OSRRefD22_18x_0" localSheetId="76">'405'!$D$94</definedName>
    <definedName name="OSRRefD22_18x_0" localSheetId="78">'411'!$D$92:$D$94</definedName>
    <definedName name="OSRRefD22_18x_0" localSheetId="83">'415'!$D$98</definedName>
    <definedName name="OSRRefD22_18x_0" localSheetId="75">'491'!$D$99:$D$103</definedName>
    <definedName name="OSRRefD22_18x_0" localSheetId="89">'492'!$D$101:$D$102</definedName>
    <definedName name="OSRRefD22_18x_0" localSheetId="39">'Div 2'!$D$93:$D$94</definedName>
    <definedName name="OSRRefD22_18x_0" localSheetId="47">'Div 3'!$D$236:$D$239</definedName>
    <definedName name="OSRRefD22_18x_0" localSheetId="73">'Div 4'!$D$99:$D$102</definedName>
    <definedName name="OSRRefD22_18x_0" localSheetId="2">Summary!$D$272:$D$275</definedName>
    <definedName name="OSRRefD22_19x_0" localSheetId="48">'300'!$D$242:$D$243</definedName>
    <definedName name="OSRRefD22_19x_0" localSheetId="49">'300 &amp; 317'!$D$268:$D$269</definedName>
    <definedName name="OSRRefD22_19x_0" localSheetId="50">'301'!$D$87:$D$93</definedName>
    <definedName name="OSRRefD22_19x_0" localSheetId="66">'310'!$D$99:$D$107</definedName>
    <definedName name="OSRRefD22_19x_0" localSheetId="74">'310 &amp; 491'!$D$109:$D$114</definedName>
    <definedName name="OSRRefD22_19x_0" localSheetId="60">'326'!$D$124</definedName>
    <definedName name="OSRRefD22_19x_0" localSheetId="58">'331'!$D$142:$D$143</definedName>
    <definedName name="OSRRefD22_19x_0" localSheetId="76">'405'!$D$96</definedName>
    <definedName name="OSRRefD22_19x_0" localSheetId="78">'411'!$D$96</definedName>
    <definedName name="OSRRefD22_19x_0" localSheetId="75">'491'!$D$105:$D$106</definedName>
    <definedName name="OSRRefD22_19x_0" localSheetId="39">'Div 2'!$D$96</definedName>
    <definedName name="OSRRefD22_19x_0" localSheetId="47">'Div 3'!$D$241:$D$244</definedName>
    <definedName name="OSRRefD22_19x_0" localSheetId="73">'Div 4'!$D$104:$D$108</definedName>
    <definedName name="OSRRefD22_19x_0" localSheetId="2">Summary!$D$277:$D$280</definedName>
    <definedName name="OSRRefD22_1x_0" localSheetId="40">'200'!$D$22</definedName>
    <definedName name="OSRRefD22_1x_0" localSheetId="41">'201'!$D$30:$D$39</definedName>
    <definedName name="OSRRefD22_1x_0" localSheetId="42">'202'!$D$30:$D$39</definedName>
    <definedName name="OSRRefD22_1x_0" localSheetId="43">'203'!$D$31:$D$40</definedName>
    <definedName name="OSRRefD22_1x_0" localSheetId="44">'204'!$D$32:$D$41</definedName>
    <definedName name="OSRRefD22_1x_0" localSheetId="45">'205'!$D$30:$D$39</definedName>
    <definedName name="OSRRefD22_1x_0" localSheetId="46">'206'!$D$30:$D$39</definedName>
    <definedName name="OSRRefD22_1x_0" localSheetId="48">'300'!$D$181:$D$190</definedName>
    <definedName name="OSRRefD22_1x_0" localSheetId="49">'300 &amp; 317'!$D$207:$D$216</definedName>
    <definedName name="OSRRefD22_1x_0" localSheetId="50">'301'!$D$30:$D$39</definedName>
    <definedName name="OSRRefD22_1x_0" localSheetId="51">'306'!$D$30:$D$39</definedName>
    <definedName name="OSRRefD22_1x_0" localSheetId="53">'307'!$D$89:$D$98</definedName>
    <definedName name="OSRRefD22_1x_0" localSheetId="55">'308'!$D$78:$D$87</definedName>
    <definedName name="OSRRefD22_1x_0" localSheetId="67">'309'!$D$36:$D$45</definedName>
    <definedName name="OSRRefD22_1x_0" localSheetId="66">'310'!$D$45:$D$54</definedName>
    <definedName name="OSRRefD22_1x_0" localSheetId="74">'310 &amp; 491'!$D$53:$D$62</definedName>
    <definedName name="OSRRefD22_1x_0" localSheetId="56">'311'!$D$78:$D$87</definedName>
    <definedName name="OSRRefD22_1x_0" localSheetId="68">'313'!$D$41:$D$50</definedName>
    <definedName name="OSRRefD22_1x_0" localSheetId="54">'314'!$D$69:$D$78</definedName>
    <definedName name="OSRRefD22_1x_0" localSheetId="59">'315'!$D$68:$D$77</definedName>
    <definedName name="OSRRefD22_1x_0" localSheetId="62">'316'!$D$46:$D$55</definedName>
    <definedName name="OSRRefD22_1x_0" localSheetId="65">'317'!$D$72:$D$81</definedName>
    <definedName name="OSRRefD22_1x_0" localSheetId="63">'320'!$D$41:$D$50</definedName>
    <definedName name="OSRRefD22_1x_0" localSheetId="69">'321'!$D$35:$D$44</definedName>
    <definedName name="OSRRefD22_1x_0" localSheetId="70">'322'!$D$31:$D$40</definedName>
    <definedName name="OSRRefD22_1x_0" localSheetId="60">'326'!$D$68:$D$77</definedName>
    <definedName name="OSRRefD22_1x_0" localSheetId="72">'327'!$D$26</definedName>
    <definedName name="OSRRefD22_1x_0" localSheetId="52">'330'!$D$97:$D$106</definedName>
    <definedName name="OSRRefD22_1x_0" localSheetId="58">'331'!$D$83:$D$92</definedName>
    <definedName name="OSRRefD22_1x_0" localSheetId="61">'332'!$D$56:$D$65</definedName>
    <definedName name="OSRRefD22_1x_0" localSheetId="76">'405'!$D$36:$D$45</definedName>
    <definedName name="OSRRefD22_1x_0" localSheetId="77">'406'!$D$37:$D$46</definedName>
    <definedName name="OSRRefD22_1x_0" localSheetId="78">'411'!$D$31:$D$40</definedName>
    <definedName name="OSRRefD22_1x_0" localSheetId="79">'412'!$D$37:$D$46</definedName>
    <definedName name="OSRRefD22_1x_0" localSheetId="81">'413'!$D$37:$D$46</definedName>
    <definedName name="OSRRefD22_1x_0" localSheetId="82">'414'!$D$37:$D$46</definedName>
    <definedName name="OSRRefD22_1x_0" localSheetId="83">'415'!$D$36:$D$45</definedName>
    <definedName name="OSRRefD22_1x_0" localSheetId="84">'418'!$D$37:$D$46</definedName>
    <definedName name="OSRRefD22_1x_0" localSheetId="80">'420'!$D$33:$D$36</definedName>
    <definedName name="OSRRefD22_1x_0" localSheetId="85">'423'!$D$31:$D$40</definedName>
    <definedName name="OSRRefD22_1x_0" localSheetId="86">'424'!$D$36:$D$45</definedName>
    <definedName name="OSRRefD22_1x_0" localSheetId="87">'425'!$D$40:$D$49</definedName>
    <definedName name="OSRRefD22_1x_0" localSheetId="90">'430'!$D$30:$D$39</definedName>
    <definedName name="OSRRefD22_1x_0" localSheetId="91">'433'!$D$39:$D$48</definedName>
    <definedName name="OSRRefD22_1x_0" localSheetId="92">'435'!$D$36:$D$45</definedName>
    <definedName name="OSRRefD22_1x_0" localSheetId="93">'444'!$D$38:$D$47</definedName>
    <definedName name="OSRRefD22_1x_0" localSheetId="95">'450'!$D$38:$D$47</definedName>
    <definedName name="OSRRefD22_1x_0" localSheetId="88">'455'!$D$29:$D$38</definedName>
    <definedName name="OSRRefD22_1x_0" localSheetId="75">'491'!$D$46:$D$55</definedName>
    <definedName name="OSRRefD22_1x_0" localSheetId="89">'492'!$D$41:$D$50</definedName>
    <definedName name="OSRRefD22_1x_0" localSheetId="97">'501'!$D$31:$D$40</definedName>
    <definedName name="OSRRefD22_1x_0" localSheetId="39">'Div 2'!$D$33:$D$42</definedName>
    <definedName name="OSRRefD22_1x_0" localSheetId="47">'Div 3'!$D$186:$D$195</definedName>
    <definedName name="OSRRefD22_1x_0" localSheetId="73">'Div 4'!$D$47:$D$56</definedName>
    <definedName name="OSRRefD22_1x_0" localSheetId="96">'Div 5'!$D$31:$D$40</definedName>
    <definedName name="OSRRefD22_1x_0" localSheetId="64">'Div 6'!$D$72:$D$81</definedName>
    <definedName name="OSRRefD22_1x_0" localSheetId="2">Summary!$D$220:$D$229</definedName>
    <definedName name="OSRRefD22_20x_0" localSheetId="48">'300'!$D$245:$D$252</definedName>
    <definedName name="OSRRefD22_20x_0" localSheetId="49">'300 &amp; 317'!$D$271:$D$278</definedName>
    <definedName name="OSRRefD22_20x_0" localSheetId="50">'301'!$D$95</definedName>
    <definedName name="OSRRefD22_20x_0" localSheetId="66">'310'!$D$109</definedName>
    <definedName name="OSRRefD22_20x_0" localSheetId="74">'310 &amp; 491'!$D$116:$D$117</definedName>
    <definedName name="OSRRefD22_20x_0" localSheetId="60">'326'!$D$126</definedName>
    <definedName name="OSRRefD22_20x_0" localSheetId="58">'331'!$D$145</definedName>
    <definedName name="OSRRefD22_20x_0" localSheetId="75">'491'!$D$108:$D$118</definedName>
    <definedName name="OSRRefD22_20x_0" localSheetId="39">'Div 2'!$D$98:$D$99</definedName>
    <definedName name="OSRRefD22_20x_0" localSheetId="47">'Div 3'!$D$246:$D$251</definedName>
    <definedName name="OSRRefD22_20x_0" localSheetId="73">'Div 4'!$D$110:$D$111</definedName>
    <definedName name="OSRRefD22_20x_0" localSheetId="2">Summary!$D$282:$D$287</definedName>
    <definedName name="OSRRefD22_21x_0" localSheetId="48">'300'!$D$254:$D$255</definedName>
    <definedName name="OSRRefD22_21x_0" localSheetId="49">'300 &amp; 317'!$D$280:$D$281</definedName>
    <definedName name="OSRRefD22_21x_0" localSheetId="50">'301'!$D$97</definedName>
    <definedName name="OSRRefD22_21x_0" localSheetId="66">'310'!$D$111</definedName>
    <definedName name="OSRRefD22_21x_0" localSheetId="74">'310 &amp; 491'!$D$119:$D$129</definedName>
    <definedName name="OSRRefD22_21x_0" localSheetId="58">'331'!$D$147:$D$148</definedName>
    <definedName name="OSRRefD22_21x_0" localSheetId="75">'491'!$D$120:$D$121</definedName>
    <definedName name="OSRRefD22_21x_0" localSheetId="47">'Div 3'!$D$253:$D$254</definedName>
    <definedName name="OSRRefD22_21x_0" localSheetId="73">'Div 4'!$D$113:$D$123</definedName>
    <definedName name="OSRRefD22_21x_0" localSheetId="2">Summary!$D$289:$D$290</definedName>
    <definedName name="OSRRefD22_22x_0" localSheetId="48">'300'!$D$257</definedName>
    <definedName name="OSRRefD22_22x_0" localSheetId="49">'300 &amp; 317'!$D$283</definedName>
    <definedName name="OSRRefD22_22x_0" localSheetId="50">'301'!$D$99:$D$101</definedName>
    <definedName name="OSRRefD22_22x_0" localSheetId="66">'310'!$D$113:$D$114</definedName>
    <definedName name="OSRRefD22_22x_0" localSheetId="74">'310 &amp; 491'!$D$131:$D$132</definedName>
    <definedName name="OSRRefD22_22x_0" localSheetId="58">'331'!$D$150</definedName>
    <definedName name="OSRRefD22_22x_0" localSheetId="75">'491'!$D$123</definedName>
    <definedName name="OSRRefD22_22x_0" localSheetId="47">'Div 3'!$D$256:$D$265</definedName>
    <definedName name="OSRRefD22_22x_0" localSheetId="73">'Div 4'!$D$125:$D$126</definedName>
    <definedName name="OSRRefD22_22x_0" localSheetId="2">Summary!$D$292:$D$302</definedName>
    <definedName name="OSRRefD22_23x_0" localSheetId="48">'300'!$D$259:$D$261</definedName>
    <definedName name="OSRRefD22_23x_0" localSheetId="49">'300 &amp; 317'!$D$285:$D$287</definedName>
    <definedName name="OSRRefD22_23x_0" localSheetId="50">'301'!$D$103</definedName>
    <definedName name="OSRRefD22_23x_0" localSheetId="66">'310'!$D$116</definedName>
    <definedName name="OSRRefD22_23x_0" localSheetId="74">'310 &amp; 491'!$D$134</definedName>
    <definedName name="OSRRefD22_23x_0" localSheetId="75">'491'!$D$125:$D$127</definedName>
    <definedName name="OSRRefD22_23x_0" localSheetId="47">'Div 3'!$D$267:$D$268</definedName>
    <definedName name="OSRRefD22_23x_0" localSheetId="73">'Div 4'!$D$128</definedName>
    <definedName name="OSRRefD22_23x_0" localSheetId="2">Summary!$D$304:$D$305</definedName>
    <definedName name="OSRRefD22_24x_0" localSheetId="48">'300'!$D$263</definedName>
    <definedName name="OSRRefD22_24x_0" localSheetId="49">'300 &amp; 317'!$D$289</definedName>
    <definedName name="OSRRefD22_24x_0" localSheetId="74">'310 &amp; 491'!$D$136:$D$138</definedName>
    <definedName name="OSRRefD22_24x_0" localSheetId="75">'491'!$D$129</definedName>
    <definedName name="OSRRefD22_24x_0" localSheetId="47">'Div 3'!$D$270</definedName>
    <definedName name="OSRRefD22_24x_0" localSheetId="73">'Div 4'!$D$130:$D$132</definedName>
    <definedName name="OSRRefD22_24x_0" localSheetId="2">Summary!$D$307</definedName>
    <definedName name="OSRRefD22_25x_0" localSheetId="74">'310 &amp; 491'!$D$140</definedName>
    <definedName name="OSRRefD22_25x_0" localSheetId="47">'Div 3'!$D$272:$D$274</definedName>
    <definedName name="OSRRefD22_25x_0" localSheetId="73">'Div 4'!$D$134</definedName>
    <definedName name="OSRRefD22_25x_0" localSheetId="2">Summary!$D$309:$D$311</definedName>
    <definedName name="OSRRefD22_26x_0" localSheetId="47">'Div 3'!$D$276</definedName>
    <definedName name="OSRRefD22_26x_0" localSheetId="2">Summary!$D$313</definedName>
    <definedName name="OSRRefD22_2x_0" localSheetId="40">'200'!$D$24</definedName>
    <definedName name="OSRRefD22_2x_0" localSheetId="41">'201'!$D$41</definedName>
    <definedName name="OSRRefD22_2x_0" localSheetId="42">'202'!$D$41</definedName>
    <definedName name="OSRRefD22_2x_0" localSheetId="43">'203'!$D$42</definedName>
    <definedName name="OSRRefD22_2x_0" localSheetId="44">'204'!$D$43</definedName>
    <definedName name="OSRRefD22_2x_0" localSheetId="45">'205'!$D$41</definedName>
    <definedName name="OSRRefD22_2x_0" localSheetId="46">'206'!$D$41</definedName>
    <definedName name="OSRRefD22_2x_0" localSheetId="48">'300'!$D$192</definedName>
    <definedName name="OSRRefD22_2x_0" localSheetId="49">'300 &amp; 317'!$D$218</definedName>
    <definedName name="OSRRefD22_2x_0" localSheetId="50">'301'!$D$41</definedName>
    <definedName name="OSRRefD22_2x_0" localSheetId="51">'306'!$D$41</definedName>
    <definedName name="OSRRefD22_2x_0" localSheetId="53">'307'!$D$100</definedName>
    <definedName name="OSRRefD22_2x_0" localSheetId="55">'308'!$D$89</definedName>
    <definedName name="OSRRefD22_2x_0" localSheetId="67">'309'!$D$47</definedName>
    <definedName name="OSRRefD22_2x_0" localSheetId="66">'310'!$D$56</definedName>
    <definedName name="OSRRefD22_2x_0" localSheetId="74">'310 &amp; 491'!$D$64</definedName>
    <definedName name="OSRRefD22_2x_0" localSheetId="56">'311'!$D$89</definedName>
    <definedName name="OSRRefD22_2x_0" localSheetId="68">'313'!$D$52</definedName>
    <definedName name="OSRRefD22_2x_0" localSheetId="54">'314'!$D$80</definedName>
    <definedName name="OSRRefD22_2x_0" localSheetId="59">'315'!$D$79</definedName>
    <definedName name="OSRRefD22_2x_0" localSheetId="62">'316'!$D$57</definedName>
    <definedName name="OSRRefD22_2x_0" localSheetId="65">'317'!$D$83</definedName>
    <definedName name="OSRRefD22_2x_0" localSheetId="63">'320'!$D$52</definedName>
    <definedName name="OSRRefD22_2x_0" localSheetId="69">'321'!$D$46</definedName>
    <definedName name="OSRRefD22_2x_0" localSheetId="70">'322'!$D$42</definedName>
    <definedName name="OSRRefD22_2x_0" localSheetId="60">'326'!$D$79</definedName>
    <definedName name="OSRRefD22_2x_0" localSheetId="72">'327'!$D$28</definedName>
    <definedName name="OSRRefD22_2x_0" localSheetId="52">'330'!$D$108</definedName>
    <definedName name="OSRRefD22_2x_0" localSheetId="58">'331'!$D$94</definedName>
    <definedName name="OSRRefD22_2x_0" localSheetId="61">'332'!$D$67</definedName>
    <definedName name="OSRRefD22_2x_0" localSheetId="76">'405'!$D$47</definedName>
    <definedName name="OSRRefD22_2x_0" localSheetId="77">'406'!$D$48</definedName>
    <definedName name="OSRRefD22_2x_0" localSheetId="78">'411'!$D$42</definedName>
    <definedName name="OSRRefD22_2x_0" localSheetId="79">'412'!$D$48</definedName>
    <definedName name="OSRRefD22_2x_0" localSheetId="81">'413'!$D$48</definedName>
    <definedName name="OSRRefD22_2x_0" localSheetId="82">'414'!$D$48</definedName>
    <definedName name="OSRRefD22_2x_0" localSheetId="83">'415'!$D$47</definedName>
    <definedName name="OSRRefD22_2x_0" localSheetId="84">'418'!$D$48</definedName>
    <definedName name="OSRRefD22_2x_0" localSheetId="80">'420'!$D$38</definedName>
    <definedName name="OSRRefD22_2x_0" localSheetId="85">'423'!$D$42</definedName>
    <definedName name="OSRRefD22_2x_0" localSheetId="86">'424'!$D$47</definedName>
    <definedName name="OSRRefD22_2x_0" localSheetId="87">'425'!$D$51</definedName>
    <definedName name="OSRRefD22_2x_0" localSheetId="90">'430'!$D$41</definedName>
    <definedName name="OSRRefD22_2x_0" localSheetId="91">'433'!$D$50</definedName>
    <definedName name="OSRRefD22_2x_0" localSheetId="92">'435'!$D$47</definedName>
    <definedName name="OSRRefD22_2x_0" localSheetId="93">'444'!$D$49</definedName>
    <definedName name="OSRRefD22_2x_0" localSheetId="95">'450'!$D$49</definedName>
    <definedName name="OSRRefD22_2x_0" localSheetId="75">'491'!$D$57</definedName>
    <definedName name="OSRRefD22_2x_0" localSheetId="89">'492'!$D$52</definedName>
    <definedName name="OSRRefD22_2x_0" localSheetId="97">'501'!$D$42</definedName>
    <definedName name="OSRRefD22_2x_0" localSheetId="39">'Div 2'!$D$44</definedName>
    <definedName name="OSRRefD22_2x_0" localSheetId="47">'Div 3'!$D$197</definedName>
    <definedName name="OSRRefD22_2x_0" localSheetId="73">'Div 4'!$D$58</definedName>
    <definedName name="OSRRefD22_2x_0" localSheetId="96">'Div 5'!$D$42</definedName>
    <definedName name="OSRRefD22_2x_0" localSheetId="64">'Div 6'!$D$83</definedName>
    <definedName name="OSRRefD22_2x_0" localSheetId="2">Summary!$D$231</definedName>
    <definedName name="OSRRefD22_3x_0" localSheetId="40">'200'!$D$26</definedName>
    <definedName name="OSRRefD22_3x_0" localSheetId="41">'201'!$D$43</definedName>
    <definedName name="OSRRefD22_3x_0" localSheetId="42">'202'!$D$43</definedName>
    <definedName name="OSRRefD22_3x_0" localSheetId="43">'203'!$D$44</definedName>
    <definedName name="OSRRefD22_3x_0" localSheetId="44">'204'!$D$45:$D$46</definedName>
    <definedName name="OSRRefD22_3x_0" localSheetId="45">'205'!$D$43</definedName>
    <definedName name="OSRRefD22_3x_0" localSheetId="46">'206'!$D$43</definedName>
    <definedName name="OSRRefD22_3x_0" localSheetId="48">'300'!$D$194:$D$195</definedName>
    <definedName name="OSRRefD22_3x_0" localSheetId="49">'300 &amp; 317'!$D$220:$D$221</definedName>
    <definedName name="OSRRefD22_3x_0" localSheetId="50">'301'!$D$43:$D$44</definedName>
    <definedName name="OSRRefD22_3x_0" localSheetId="51">'306'!$D$43</definedName>
    <definedName name="OSRRefD22_3x_0" localSheetId="53">'307'!$D$102</definedName>
    <definedName name="OSRRefD22_3x_0" localSheetId="55">'308'!$D$91:$D$92</definedName>
    <definedName name="OSRRefD22_3x_0" localSheetId="67">'309'!$D$49</definedName>
    <definedName name="OSRRefD22_3x_0" localSheetId="66">'310'!$D$58</definedName>
    <definedName name="OSRRefD22_3x_0" localSheetId="74">'310 &amp; 491'!$D$66</definedName>
    <definedName name="OSRRefD22_3x_0" localSheetId="56">'311'!$D$91:$D$92</definedName>
    <definedName name="OSRRefD22_3x_0" localSheetId="68">'313'!$D$54</definedName>
    <definedName name="OSRRefD22_3x_0" localSheetId="54">'314'!$D$82:$D$83</definedName>
    <definedName name="OSRRefD22_3x_0" localSheetId="59">'315'!$D$81:$D$82</definedName>
    <definedName name="OSRRefD22_3x_0" localSheetId="62">'316'!$D$59</definedName>
    <definedName name="OSRRefD22_3x_0" localSheetId="65">'317'!$D$85</definedName>
    <definedName name="OSRRefD22_3x_0" localSheetId="63">'320'!$D$54</definedName>
    <definedName name="OSRRefD22_3x_0" localSheetId="69">'321'!$D$48</definedName>
    <definedName name="OSRRefD22_3x_0" localSheetId="70">'322'!$D$44</definedName>
    <definedName name="OSRRefD22_3x_0" localSheetId="60">'326'!$D$81:$D$82</definedName>
    <definedName name="OSRRefD22_3x_0" localSheetId="52">'330'!$D$110</definedName>
    <definedName name="OSRRefD22_3x_0" localSheetId="58">'331'!$D$96:$D$97</definedName>
    <definedName name="OSRRefD22_3x_0" localSheetId="61">'332'!$D$69</definedName>
    <definedName name="OSRRefD22_3x_0" localSheetId="76">'405'!$D$49</definedName>
    <definedName name="OSRRefD22_3x_0" localSheetId="77">'406'!$D$50</definedName>
    <definedName name="OSRRefD22_3x_0" localSheetId="78">'411'!$D$44</definedName>
    <definedName name="OSRRefD22_3x_0" localSheetId="79">'412'!$D$50</definedName>
    <definedName name="OSRRefD22_3x_0" localSheetId="81">'413'!$D$50</definedName>
    <definedName name="OSRRefD22_3x_0" localSheetId="82">'414'!$D$50</definedName>
    <definedName name="OSRRefD22_3x_0" localSheetId="83">'415'!$D$49</definedName>
    <definedName name="OSRRefD22_3x_0" localSheetId="84">'418'!$D$50</definedName>
    <definedName name="OSRRefD22_3x_0" localSheetId="80">'420'!$D$40</definedName>
    <definedName name="OSRRefD22_3x_0" localSheetId="85">'423'!$D$44</definedName>
    <definedName name="OSRRefD22_3x_0" localSheetId="86">'424'!$D$49</definedName>
    <definedName name="OSRRefD22_3x_0" localSheetId="87">'425'!$D$53</definedName>
    <definedName name="OSRRefD22_3x_0" localSheetId="90">'430'!$D$43</definedName>
    <definedName name="OSRRefD22_3x_0" localSheetId="91">'433'!$D$52</definedName>
    <definedName name="OSRRefD22_3x_0" localSheetId="92">'435'!$D$49</definedName>
    <definedName name="OSRRefD22_3x_0" localSheetId="93">'444'!$D$51</definedName>
    <definedName name="OSRRefD22_3x_0" localSheetId="95">'450'!$D$51:$D$52</definedName>
    <definedName name="OSRRefD22_3x_0" localSheetId="75">'491'!$D$59</definedName>
    <definedName name="OSRRefD22_3x_0" localSheetId="89">'492'!$D$54:$D$55</definedName>
    <definedName name="OSRRefD22_3x_0" localSheetId="97">'501'!$D$44</definedName>
    <definedName name="OSRRefD22_3x_0" localSheetId="39">'Div 2'!$D$46</definedName>
    <definedName name="OSRRefD22_3x_0" localSheetId="47">'Div 3'!$D$199:$D$200</definedName>
    <definedName name="OSRRefD22_3x_0" localSheetId="73">'Div 4'!$D$60:$D$61</definedName>
    <definedName name="OSRRefD22_3x_0" localSheetId="96">'Div 5'!$D$44</definedName>
    <definedName name="OSRRefD22_3x_0" localSheetId="64">'Div 6'!$D$85</definedName>
    <definedName name="OSRRefD22_3x_0" localSheetId="2">Summary!$D$233:$D$234</definedName>
    <definedName name="OSRRefD22_4x_0" localSheetId="40">'200'!$D$28:$D$29</definedName>
    <definedName name="OSRRefD22_4x_0" localSheetId="41">'201'!$D$45:$D$46</definedName>
    <definedName name="OSRRefD22_4x_0" localSheetId="42">'202'!$D$45</definedName>
    <definedName name="OSRRefD22_4x_0" localSheetId="43">'203'!$D$46</definedName>
    <definedName name="OSRRefD22_4x_0" localSheetId="44">'204'!$D$48</definedName>
    <definedName name="OSRRefD22_4x_0" localSheetId="45">'205'!$D$45</definedName>
    <definedName name="OSRRefD22_4x_0" localSheetId="46">'206'!$D$45</definedName>
    <definedName name="OSRRefD22_4x_0" localSheetId="48">'300'!$D$197</definedName>
    <definedName name="OSRRefD22_4x_0" localSheetId="49">'300 &amp; 317'!$D$223</definedName>
    <definedName name="OSRRefD22_4x_0" localSheetId="50">'301'!$D$46</definedName>
    <definedName name="OSRRefD22_4x_0" localSheetId="51">'306'!$D$45</definedName>
    <definedName name="OSRRefD22_4x_0" localSheetId="53">'307'!$D$104:$D$105</definedName>
    <definedName name="OSRRefD22_4x_0" localSheetId="55">'308'!$D$94</definedName>
    <definedName name="OSRRefD22_4x_0" localSheetId="67">'309'!$D$51</definedName>
    <definedName name="OSRRefD22_4x_0" localSheetId="66">'310'!$D$60</definedName>
    <definedName name="OSRRefD22_4x_0" localSheetId="74">'310 &amp; 491'!$D$68</definedName>
    <definedName name="OSRRefD22_4x_0" localSheetId="56">'311'!$D$94</definedName>
    <definedName name="OSRRefD22_4x_0" localSheetId="68">'313'!$D$56</definedName>
    <definedName name="OSRRefD22_4x_0" localSheetId="54">'314'!$D$85</definedName>
    <definedName name="OSRRefD22_4x_0" localSheetId="59">'315'!$D$84</definedName>
    <definedName name="OSRRefD22_4x_0" localSheetId="62">'316'!$D$61</definedName>
    <definedName name="OSRRefD22_4x_0" localSheetId="65">'317'!$D$87</definedName>
    <definedName name="OSRRefD22_4x_0" localSheetId="63">'320'!$D$56:$D$57</definedName>
    <definedName name="OSRRefD22_4x_0" localSheetId="69">'321'!$D$50</definedName>
    <definedName name="OSRRefD22_4x_0" localSheetId="70">'322'!$D$46</definedName>
    <definedName name="OSRRefD22_4x_0" localSheetId="60">'326'!$D$84</definedName>
    <definedName name="OSRRefD22_4x_0" localSheetId="52">'330'!$D$112:$D$113</definedName>
    <definedName name="OSRRefD22_4x_0" localSheetId="58">'331'!$D$99</definedName>
    <definedName name="OSRRefD22_4x_0" localSheetId="61">'332'!$D$71</definedName>
    <definedName name="OSRRefD22_4x_0" localSheetId="76">'405'!$D$51</definedName>
    <definedName name="OSRRefD22_4x_0" localSheetId="77">'406'!$D$52</definedName>
    <definedName name="OSRRefD22_4x_0" localSheetId="78">'411'!$D$46:$D$49</definedName>
    <definedName name="OSRRefD22_4x_0" localSheetId="79">'412'!$D$52</definedName>
    <definedName name="OSRRefD22_4x_0" localSheetId="81">'413'!$D$52</definedName>
    <definedName name="OSRRefD22_4x_0" localSheetId="82">'414'!$D$52</definedName>
    <definedName name="OSRRefD22_4x_0" localSheetId="83">'415'!$D$51</definedName>
    <definedName name="OSRRefD22_4x_0" localSheetId="84">'418'!$D$52</definedName>
    <definedName name="OSRRefD22_4x_0" localSheetId="80">'420'!$D$42</definedName>
    <definedName name="OSRRefD22_4x_0" localSheetId="85">'423'!$D$46</definedName>
    <definedName name="OSRRefD22_4x_0" localSheetId="86">'424'!$D$51</definedName>
    <definedName name="OSRRefD22_4x_0" localSheetId="87">'425'!$D$55</definedName>
    <definedName name="OSRRefD22_4x_0" localSheetId="90">'430'!$D$45</definedName>
    <definedName name="OSRRefD22_4x_0" localSheetId="91">'433'!$D$54</definedName>
    <definedName name="OSRRefD22_4x_0" localSheetId="92">'435'!$D$51</definedName>
    <definedName name="OSRRefD22_4x_0" localSheetId="93">'444'!$D$53</definedName>
    <definedName name="OSRRefD22_4x_0" localSheetId="95">'450'!$D$54</definedName>
    <definedName name="OSRRefD22_4x_0" localSheetId="75">'491'!$D$61</definedName>
    <definedName name="OSRRefD22_4x_0" localSheetId="89">'492'!$D$57</definedName>
    <definedName name="OSRRefD22_4x_0" localSheetId="97">'501'!$D$46</definedName>
    <definedName name="OSRRefD22_4x_0" localSheetId="39">'Div 2'!$D$48</definedName>
    <definedName name="OSRRefD22_4x_0" localSheetId="47">'Div 3'!$D$202</definedName>
    <definedName name="OSRRefD22_4x_0" localSheetId="73">'Div 4'!$D$63</definedName>
    <definedName name="OSRRefD22_4x_0" localSheetId="96">'Div 5'!$D$46</definedName>
    <definedName name="OSRRefD22_4x_0" localSheetId="64">'Div 6'!$D$87</definedName>
    <definedName name="OSRRefD22_4x_0" localSheetId="2">Summary!$D$236</definedName>
    <definedName name="OSRRefD22_5x_0" localSheetId="41">'201'!$D$48</definedName>
    <definedName name="OSRRefD22_5x_0" localSheetId="42">'202'!$D$47</definedName>
    <definedName name="OSRRefD22_5x_0" localSheetId="43">'203'!$D$48</definedName>
    <definedName name="OSRRefD22_5x_0" localSheetId="44">'204'!$D$50</definedName>
    <definedName name="OSRRefD22_5x_0" localSheetId="45">'205'!$D$47:$D$49</definedName>
    <definedName name="OSRRefD22_5x_0" localSheetId="46">'206'!$D$47</definedName>
    <definedName name="OSRRefD22_5x_0" localSheetId="48">'300'!$D$199:$D$202</definedName>
    <definedName name="OSRRefD22_5x_0" localSheetId="49">'300 &amp; 317'!$D$225:$D$228</definedName>
    <definedName name="OSRRefD22_5x_0" localSheetId="50">'301'!$D$48:$D$51</definedName>
    <definedName name="OSRRefD22_5x_0" localSheetId="51">'306'!$D$47</definedName>
    <definedName name="OSRRefD22_5x_0" localSheetId="53">'307'!$D$107</definedName>
    <definedName name="OSRRefD22_5x_0" localSheetId="55">'308'!$D$96</definedName>
    <definedName name="OSRRefD22_5x_0" localSheetId="67">'309'!$D$53:$D$54</definedName>
    <definedName name="OSRRefD22_5x_0" localSheetId="66">'310'!$D$62:$D$64</definedName>
    <definedName name="OSRRefD22_5x_0" localSheetId="74">'310 &amp; 491'!$D$70:$D$73</definedName>
    <definedName name="OSRRefD22_5x_0" localSheetId="56">'311'!$D$96</definedName>
    <definedName name="OSRRefD22_5x_0" localSheetId="68">'313'!$D$58</definedName>
    <definedName name="OSRRefD22_5x_0" localSheetId="54">'314'!$D$87</definedName>
    <definedName name="OSRRefD22_5x_0" localSheetId="59">'315'!$D$86:$D$87</definedName>
    <definedName name="OSRRefD22_5x_0" localSheetId="62">'316'!$D$63</definedName>
    <definedName name="OSRRefD22_5x_0" localSheetId="65">'317'!$D$89</definedName>
    <definedName name="OSRRefD22_5x_0" localSheetId="63">'320'!$D$59</definedName>
    <definedName name="OSRRefD22_5x_0" localSheetId="69">'321'!$D$52</definedName>
    <definedName name="OSRRefD22_5x_0" localSheetId="70">'322'!$D$48:$D$49</definedName>
    <definedName name="OSRRefD22_5x_0" localSheetId="60">'326'!$D$86</definedName>
    <definedName name="OSRRefD22_5x_0" localSheetId="52">'330'!$D$115</definedName>
    <definedName name="OSRRefD22_5x_0" localSheetId="58">'331'!$D$101:$D$102</definedName>
    <definedName name="OSRRefD22_5x_0" localSheetId="61">'332'!$D$73</definedName>
    <definedName name="OSRRefD22_5x_0" localSheetId="76">'405'!$D$53:$D$55</definedName>
    <definedName name="OSRRefD22_5x_0" localSheetId="77">'406'!$D$54:$D$55</definedName>
    <definedName name="OSRRefD22_5x_0" localSheetId="78">'411'!$D$51</definedName>
    <definedName name="OSRRefD22_5x_0" localSheetId="79">'412'!$D$54:$D$56</definedName>
    <definedName name="OSRRefD22_5x_0" localSheetId="81">'413'!$D$54</definedName>
    <definedName name="OSRRefD22_5x_0" localSheetId="82">'414'!$D$54:$D$55</definedName>
    <definedName name="OSRRefD22_5x_0" localSheetId="83">'415'!$D$53:$D$55</definedName>
    <definedName name="OSRRefD22_5x_0" localSheetId="84">'418'!$D$54:$D$56</definedName>
    <definedName name="OSRRefD22_5x_0" localSheetId="80">'420'!$D$44</definedName>
    <definedName name="OSRRefD22_5x_0" localSheetId="85">'423'!$D$48</definedName>
    <definedName name="OSRRefD22_5x_0" localSheetId="86">'424'!$D$53</definedName>
    <definedName name="OSRRefD22_5x_0" localSheetId="87">'425'!$D$57:$D$58</definedName>
    <definedName name="OSRRefD22_5x_0" localSheetId="90">'430'!$D$47</definedName>
    <definedName name="OSRRefD22_5x_0" localSheetId="91">'433'!$D$56</definedName>
    <definedName name="OSRRefD22_5x_0" localSheetId="92">'435'!$D$53</definedName>
    <definedName name="OSRRefD22_5x_0" localSheetId="93">'444'!$D$55</definedName>
    <definedName name="OSRRefD22_5x_0" localSheetId="95">'450'!$D$56</definedName>
    <definedName name="OSRRefD22_5x_0" localSheetId="75">'491'!$D$63:$D$66</definedName>
    <definedName name="OSRRefD22_5x_0" localSheetId="89">'492'!$D$59</definedName>
    <definedName name="OSRRefD22_5x_0" localSheetId="97">'501'!$D$48</definedName>
    <definedName name="OSRRefD22_5x_0" localSheetId="39">'Div 2'!$D$50:$D$51</definedName>
    <definedName name="OSRRefD22_5x_0" localSheetId="47">'Div 3'!$D$204:$D$207</definedName>
    <definedName name="OSRRefD22_5x_0" localSheetId="73">'Div 4'!$D$65:$D$68</definedName>
    <definedName name="OSRRefD22_5x_0" localSheetId="96">'Div 5'!$D$48</definedName>
    <definedName name="OSRRefD22_5x_0" localSheetId="64">'Div 6'!$D$89</definedName>
    <definedName name="OSRRefD22_5x_0" localSheetId="2">Summary!$D$238:$D$241</definedName>
    <definedName name="OSRRefD22_6x_0" localSheetId="41">'201'!$D$50</definedName>
    <definedName name="OSRRefD22_6x_0" localSheetId="42">'202'!$D$49</definedName>
    <definedName name="OSRRefD22_6x_0" localSheetId="43">'203'!$D$50</definedName>
    <definedName name="OSRRefD22_6x_0" localSheetId="44">'204'!$D$52</definedName>
    <definedName name="OSRRefD22_6x_0" localSheetId="45">'205'!$D$51</definedName>
    <definedName name="OSRRefD22_6x_0" localSheetId="46">'206'!$D$49</definedName>
    <definedName name="OSRRefD22_6x_0" localSheetId="48">'300'!$D$204:$D$205</definedName>
    <definedName name="OSRRefD22_6x_0" localSheetId="49">'300 &amp; 317'!$D$230:$D$231</definedName>
    <definedName name="OSRRefD22_6x_0" localSheetId="50">'301'!$D$53:$D$54</definedName>
    <definedName name="OSRRefD22_6x_0" localSheetId="51">'306'!$D$49</definedName>
    <definedName name="OSRRefD22_6x_0" localSheetId="53">'307'!$D$109</definedName>
    <definedName name="OSRRefD22_6x_0" localSheetId="55">'308'!$D$98:$D$99</definedName>
    <definedName name="OSRRefD22_6x_0" localSheetId="67">'309'!$D$56</definedName>
    <definedName name="OSRRefD22_6x_0" localSheetId="66">'310'!$D$66</definedName>
    <definedName name="OSRRefD22_6x_0" localSheetId="74">'310 &amp; 491'!$D$75</definedName>
    <definedName name="OSRRefD22_6x_0" localSheetId="56">'311'!$D$98:$D$99</definedName>
    <definedName name="OSRRefD22_6x_0" localSheetId="68">'313'!$D$60</definedName>
    <definedName name="OSRRefD22_6x_0" localSheetId="54">'314'!$D$89</definedName>
    <definedName name="OSRRefD22_6x_0" localSheetId="59">'315'!$D$89</definedName>
    <definedName name="OSRRefD22_6x_0" localSheetId="62">'316'!$D$65</definedName>
    <definedName name="OSRRefD22_6x_0" localSheetId="65">'317'!$D$91</definedName>
    <definedName name="OSRRefD22_6x_0" localSheetId="63">'320'!$D$61</definedName>
    <definedName name="OSRRefD22_6x_0" localSheetId="69">'321'!$D$54</definedName>
    <definedName name="OSRRefD22_6x_0" localSheetId="70">'322'!$D$51</definedName>
    <definedName name="OSRRefD22_6x_0" localSheetId="60">'326'!$D$88</definedName>
    <definedName name="OSRRefD22_6x_0" localSheetId="52">'330'!$D$117</definedName>
    <definedName name="OSRRefD22_6x_0" localSheetId="58">'331'!$D$104</definedName>
    <definedName name="OSRRefD22_6x_0" localSheetId="61">'332'!$D$75</definedName>
    <definedName name="OSRRefD22_6x_0" localSheetId="76">'405'!$D$57</definedName>
    <definedName name="OSRRefD22_6x_0" localSheetId="77">'406'!$D$57</definedName>
    <definedName name="OSRRefD22_6x_0" localSheetId="78">'411'!$D$53</definedName>
    <definedName name="OSRRefD22_6x_0" localSheetId="79">'412'!$D$58</definedName>
    <definedName name="OSRRefD22_6x_0" localSheetId="81">'413'!$D$56</definedName>
    <definedName name="OSRRefD22_6x_0" localSheetId="82">'414'!$D$57</definedName>
    <definedName name="OSRRefD22_6x_0" localSheetId="83">'415'!$D$57</definedName>
    <definedName name="OSRRefD22_6x_0" localSheetId="84">'418'!$D$58</definedName>
    <definedName name="OSRRefD22_6x_0" localSheetId="80">'420'!$D$46:$D$47</definedName>
    <definedName name="OSRRefD22_6x_0" localSheetId="85">'423'!$D$50</definedName>
    <definedName name="OSRRefD22_6x_0" localSheetId="86">'424'!$D$55</definedName>
    <definedName name="OSRRefD22_6x_0" localSheetId="87">'425'!$D$60</definedName>
    <definedName name="OSRRefD22_6x_0" localSheetId="90">'430'!$D$49</definedName>
    <definedName name="OSRRefD22_6x_0" localSheetId="91">'433'!$D$58</definedName>
    <definedName name="OSRRefD22_6x_0" localSheetId="92">'435'!$D$55</definedName>
    <definedName name="OSRRefD22_6x_0" localSheetId="93">'444'!$D$57</definedName>
    <definedName name="OSRRefD22_6x_0" localSheetId="95">'450'!$D$58</definedName>
    <definedName name="OSRRefD22_6x_0" localSheetId="75">'491'!$D$68</definedName>
    <definedName name="OSRRefD22_6x_0" localSheetId="89">'492'!$D$61:$D$62</definedName>
    <definedName name="OSRRefD22_6x_0" localSheetId="97">'501'!$D$50</definedName>
    <definedName name="OSRRefD22_6x_0" localSheetId="39">'Div 2'!$D$53:$D$54</definedName>
    <definedName name="OSRRefD22_6x_0" localSheetId="47">'Div 3'!$D$209:$D$210</definedName>
    <definedName name="OSRRefD22_6x_0" localSheetId="73">'Div 4'!$D$70</definedName>
    <definedName name="OSRRefD22_6x_0" localSheetId="96">'Div 5'!$D$50</definedName>
    <definedName name="OSRRefD22_6x_0" localSheetId="64">'Div 6'!$D$91</definedName>
    <definedName name="OSRRefD22_6x_0" localSheetId="2">Summary!$D$243:$D$244</definedName>
    <definedName name="OSRRefD22_7x_0" localSheetId="41">'201'!$D$52</definedName>
    <definedName name="OSRRefD22_7x_0" localSheetId="42">'202'!$D$51</definedName>
    <definedName name="OSRRefD22_7x_0" localSheetId="43">'203'!$D$52</definedName>
    <definedName name="OSRRefD22_7x_0" localSheetId="44">'204'!$D$54:$D$57</definedName>
    <definedName name="OSRRefD22_7x_0" localSheetId="45">'205'!$D$53:$D$54</definedName>
    <definedName name="OSRRefD22_7x_0" localSheetId="46">'206'!$D$51:$D$52</definedName>
    <definedName name="OSRRefD22_7x_0" localSheetId="48">'300'!$D$207:$D$208</definedName>
    <definedName name="OSRRefD22_7x_0" localSheetId="49">'300 &amp; 317'!$D$233:$D$234</definedName>
    <definedName name="OSRRefD22_7x_0" localSheetId="50">'301'!$D$56:$D$57</definedName>
    <definedName name="OSRRefD22_7x_0" localSheetId="51">'306'!$D$51:$D$52</definedName>
    <definedName name="OSRRefD22_7x_0" localSheetId="53">'307'!$D$111</definedName>
    <definedName name="OSRRefD22_7x_0" localSheetId="55">'308'!$D$101</definedName>
    <definedName name="OSRRefD22_7x_0" localSheetId="67">'309'!$D$58</definedName>
    <definedName name="OSRRefD22_7x_0" localSheetId="66">'310'!$D$68</definedName>
    <definedName name="OSRRefD22_7x_0" localSheetId="74">'310 &amp; 491'!$D$77</definedName>
    <definedName name="OSRRefD22_7x_0" localSheetId="56">'311'!$D$101</definedName>
    <definedName name="OSRRefD22_7x_0" localSheetId="68">'313'!$D$62</definedName>
    <definedName name="OSRRefD22_7x_0" localSheetId="54">'314'!$D$91</definedName>
    <definedName name="OSRRefD22_7x_0" localSheetId="59">'315'!$D$91</definedName>
    <definedName name="OSRRefD22_7x_0" localSheetId="62">'316'!$D$67</definedName>
    <definedName name="OSRRefD22_7x_0" localSheetId="65">'317'!$D$93</definedName>
    <definedName name="OSRRefD22_7x_0" localSheetId="63">'320'!$D$63:$D$64</definedName>
    <definedName name="OSRRefD22_7x_0" localSheetId="69">'321'!$D$56</definedName>
    <definedName name="OSRRefD22_7x_0" localSheetId="70">'322'!$D$53</definedName>
    <definedName name="OSRRefD22_7x_0" localSheetId="60">'326'!$D$90</definedName>
    <definedName name="OSRRefD22_7x_0" localSheetId="52">'330'!$D$119</definedName>
    <definedName name="OSRRefD22_7x_0" localSheetId="58">'331'!$D$106</definedName>
    <definedName name="OSRRefD22_7x_0" localSheetId="61">'332'!$D$77:$D$78</definedName>
    <definedName name="OSRRefD22_7x_0" localSheetId="76">'405'!$D$59</definedName>
    <definedName name="OSRRefD22_7x_0" localSheetId="77">'406'!$D$59</definedName>
    <definedName name="OSRRefD22_7x_0" localSheetId="78">'411'!$D$55</definedName>
    <definedName name="OSRRefD22_7x_0" localSheetId="79">'412'!$D$60</definedName>
    <definedName name="OSRRefD22_7x_0" localSheetId="81">'413'!$D$58</definedName>
    <definedName name="OSRRefD22_7x_0" localSheetId="82">'414'!$D$59</definedName>
    <definedName name="OSRRefD22_7x_0" localSheetId="83">'415'!$D$59</definedName>
    <definedName name="OSRRefD22_7x_0" localSheetId="84">'418'!$D$60</definedName>
    <definedName name="OSRRefD22_7x_0" localSheetId="80">'420'!$D$49</definedName>
    <definedName name="OSRRefD22_7x_0" localSheetId="86">'424'!$D$57</definedName>
    <definedName name="OSRRefD22_7x_0" localSheetId="87">'425'!$D$62</definedName>
    <definedName name="OSRRefD22_7x_0" localSheetId="90">'430'!$D$51:$D$54</definedName>
    <definedName name="OSRRefD22_7x_0" localSheetId="91">'433'!$D$60</definedName>
    <definedName name="OSRRefD22_7x_0" localSheetId="92">'435'!$D$57:$D$59</definedName>
    <definedName name="OSRRefD22_7x_0" localSheetId="93">'444'!$D$59</definedName>
    <definedName name="OSRRefD22_7x_0" localSheetId="95">'450'!$D$60</definedName>
    <definedName name="OSRRefD22_7x_0" localSheetId="75">'491'!$D$70</definedName>
    <definedName name="OSRRefD22_7x_0" localSheetId="89">'492'!$D$64</definedName>
    <definedName name="OSRRefD22_7x_0" localSheetId="97">'501'!$D$52</definedName>
    <definedName name="OSRRefD22_7x_0" localSheetId="39">'Div 2'!$D$56</definedName>
    <definedName name="OSRRefD22_7x_0" localSheetId="47">'Div 3'!$D$212:$D$213</definedName>
    <definedName name="OSRRefD22_7x_0" localSheetId="73">'Div 4'!$D$72:$D$73</definedName>
    <definedName name="OSRRefD22_7x_0" localSheetId="96">'Div 5'!$D$52</definedName>
    <definedName name="OSRRefD22_7x_0" localSheetId="64">'Div 6'!$D$93</definedName>
    <definedName name="OSRRefD22_7x_0" localSheetId="2">Summary!$D$246:$D$248</definedName>
    <definedName name="OSRRefD22_8x_0" localSheetId="41">'201'!$D$54</definedName>
    <definedName name="OSRRefD22_8x_0" localSheetId="42">'202'!$D$53</definedName>
    <definedName name="OSRRefD22_8x_0" localSheetId="43">'203'!$D$54</definedName>
    <definedName name="OSRRefD22_8x_0" localSheetId="44">'204'!$D$59</definedName>
    <definedName name="OSRRefD22_8x_0" localSheetId="45">'205'!$D$56</definedName>
    <definedName name="OSRRefD22_8x_0" localSheetId="46">'206'!$D$54</definedName>
    <definedName name="OSRRefD22_8x_0" localSheetId="48">'300'!$D$210</definedName>
    <definedName name="OSRRefD22_8x_0" localSheetId="49">'300 &amp; 317'!$D$236</definedName>
    <definedName name="OSRRefD22_8x_0" localSheetId="50">'301'!$D$59</definedName>
    <definedName name="OSRRefD22_8x_0" localSheetId="51">'306'!$D$54:$D$57</definedName>
    <definedName name="OSRRefD22_8x_0" localSheetId="53">'307'!$D$113:$D$114</definedName>
    <definedName name="OSRRefD22_8x_0" localSheetId="55">'308'!$D$103</definedName>
    <definedName name="OSRRefD22_8x_0" localSheetId="67">'309'!$D$60</definedName>
    <definedName name="OSRRefD22_8x_0" localSheetId="66">'310'!$D$70</definedName>
    <definedName name="OSRRefD22_8x_0" localSheetId="74">'310 &amp; 491'!$D$79</definedName>
    <definedName name="OSRRefD22_8x_0" localSheetId="56">'311'!$D$103</definedName>
    <definedName name="OSRRefD22_8x_0" localSheetId="68">'313'!$D$64</definedName>
    <definedName name="OSRRefD22_8x_0" localSheetId="54">'314'!$D$93:$D$94</definedName>
    <definedName name="OSRRefD22_8x_0" localSheetId="59">'315'!$D$93</definedName>
    <definedName name="OSRRefD22_8x_0" localSheetId="62">'316'!$D$69</definedName>
    <definedName name="OSRRefD22_8x_0" localSheetId="65">'317'!$D$95</definedName>
    <definedName name="OSRRefD22_8x_0" localSheetId="63">'320'!$D$66</definedName>
    <definedName name="OSRRefD22_8x_0" localSheetId="69">'321'!$D$58</definedName>
    <definedName name="OSRRefD22_8x_0" localSheetId="70">'322'!$D$55</definedName>
    <definedName name="OSRRefD22_8x_0" localSheetId="60">'326'!$D$92</definedName>
    <definedName name="OSRRefD22_8x_0" localSheetId="52">'330'!$D$121</definedName>
    <definedName name="OSRRefD22_8x_0" localSheetId="58">'331'!$D$108:$D$109</definedName>
    <definedName name="OSRRefD22_8x_0" localSheetId="61">'332'!$D$80</definedName>
    <definedName name="OSRRefD22_8x_0" localSheetId="76">'405'!$D$61</definedName>
    <definedName name="OSRRefD22_8x_0" localSheetId="77">'406'!$D$61</definedName>
    <definedName name="OSRRefD22_8x_0" localSheetId="78">'411'!$D$57</definedName>
    <definedName name="OSRRefD22_8x_0" localSheetId="79">'412'!$D$62</definedName>
    <definedName name="OSRRefD22_8x_0" localSheetId="81">'413'!$D$60:$D$62</definedName>
    <definedName name="OSRRefD22_8x_0" localSheetId="82">'414'!$D$61</definedName>
    <definedName name="OSRRefD22_8x_0" localSheetId="83">'415'!$D$61</definedName>
    <definedName name="OSRRefD22_8x_0" localSheetId="84">'418'!$D$62</definedName>
    <definedName name="OSRRefD22_8x_0" localSheetId="86">'424'!$D$59:$D$60</definedName>
    <definedName name="OSRRefD22_8x_0" localSheetId="87">'425'!$D$64</definedName>
    <definedName name="OSRRefD22_8x_0" localSheetId="90">'430'!$D$56</definedName>
    <definedName name="OSRRefD22_8x_0" localSheetId="91">'433'!$D$62</definedName>
    <definedName name="OSRRefD22_8x_0" localSheetId="92">'435'!$D$61</definedName>
    <definedName name="OSRRefD22_8x_0" localSheetId="93">'444'!$D$61</definedName>
    <definedName name="OSRRefD22_8x_0" localSheetId="95">'450'!$D$62</definedName>
    <definedName name="OSRRefD22_8x_0" localSheetId="75">'491'!$D$72</definedName>
    <definedName name="OSRRefD22_8x_0" localSheetId="89">'492'!$D$66</definedName>
    <definedName name="OSRRefD22_8x_0" localSheetId="97">'501'!$D$54</definedName>
    <definedName name="OSRRefD22_8x_0" localSheetId="39">'Div 2'!$D$58</definedName>
    <definedName name="OSRRefD22_8x_0" localSheetId="47">'Div 3'!$D$215</definedName>
    <definedName name="OSRRefD22_8x_0" localSheetId="73">'Div 4'!$D$75</definedName>
    <definedName name="OSRRefD22_8x_0" localSheetId="96">'Div 5'!$D$54</definedName>
    <definedName name="OSRRefD22_8x_0" localSheetId="64">'Div 6'!$D$95</definedName>
    <definedName name="OSRRefD22_8x_0" localSheetId="2">Summary!$D$250</definedName>
    <definedName name="OSRRefD22_9x_0" localSheetId="41">'201'!$D$56</definedName>
    <definedName name="OSRRefD22_9x_0" localSheetId="42">'202'!$D$55:$D$57</definedName>
    <definedName name="OSRRefD22_9x_0" localSheetId="43">'203'!$D$56:$D$58</definedName>
    <definedName name="OSRRefD22_9x_0" localSheetId="44">'204'!$D$61:$D$62</definedName>
    <definedName name="OSRRefD22_9x_0" localSheetId="45">'205'!$D$58</definedName>
    <definedName name="OSRRefD22_9x_0" localSheetId="46">'206'!$D$56</definedName>
    <definedName name="OSRRefD22_9x_0" localSheetId="48">'300'!$D$212</definedName>
    <definedName name="OSRRefD22_9x_0" localSheetId="49">'300 &amp; 317'!$D$238</definedName>
    <definedName name="OSRRefD22_9x_0" localSheetId="50">'301'!$D$61</definedName>
    <definedName name="OSRRefD22_9x_0" localSheetId="51">'306'!$D$59</definedName>
    <definedName name="OSRRefD22_9x_0" localSheetId="53">'307'!$D$116:$D$117</definedName>
    <definedName name="OSRRefD22_9x_0" localSheetId="55">'308'!$D$105:$D$108</definedName>
    <definedName name="OSRRefD22_9x_0" localSheetId="67">'309'!$D$62:$D$63</definedName>
    <definedName name="OSRRefD22_9x_0" localSheetId="66">'310'!$D$72</definedName>
    <definedName name="OSRRefD22_9x_0" localSheetId="74">'310 &amp; 491'!$D$81</definedName>
    <definedName name="OSRRefD22_9x_0" localSheetId="56">'311'!$D$105:$D$108</definedName>
    <definedName name="OSRRefD22_9x_0" localSheetId="68">'313'!$D$66</definedName>
    <definedName name="OSRRefD22_9x_0" localSheetId="54">'314'!$D$96</definedName>
    <definedName name="OSRRefD22_9x_0" localSheetId="59">'315'!$D$95:$D$96</definedName>
    <definedName name="OSRRefD22_9x_0" localSheetId="62">'316'!$D$71:$D$72</definedName>
    <definedName name="OSRRefD22_9x_0" localSheetId="65">'317'!$D$97</definedName>
    <definedName name="OSRRefD22_9x_0" localSheetId="69">'321'!$D$60:$D$62</definedName>
    <definedName name="OSRRefD22_9x_0" localSheetId="70">'322'!$D$57:$D$58</definedName>
    <definedName name="OSRRefD22_9x_0" localSheetId="60">'326'!$D$94</definedName>
    <definedName name="OSRRefD22_9x_0" localSheetId="52">'330'!$D$123:$D$124</definedName>
    <definedName name="OSRRefD22_9x_0" localSheetId="58">'331'!$D$111</definedName>
    <definedName name="OSRRefD22_9x_0" localSheetId="61">'332'!$D$82</definedName>
    <definedName name="OSRRefD22_9x_0" localSheetId="76">'405'!$D$63</definedName>
    <definedName name="OSRRefD22_9x_0" localSheetId="77">'406'!$D$63:$D$65</definedName>
    <definedName name="OSRRefD22_9x_0" localSheetId="78">'411'!$D$59</definedName>
    <definedName name="OSRRefD22_9x_0" localSheetId="79">'412'!$D$64:$D$65</definedName>
    <definedName name="OSRRefD22_9x_0" localSheetId="81">'413'!$D$64:$D$65</definedName>
    <definedName name="OSRRefD22_9x_0" localSheetId="82">'414'!$D$63:$D$64</definedName>
    <definedName name="OSRRefD22_9x_0" localSheetId="83">'415'!$D$63</definedName>
    <definedName name="OSRRefD22_9x_0" localSheetId="84">'418'!$D$64</definedName>
    <definedName name="OSRRefD22_9x_0" localSheetId="86">'424'!$D$62:$D$64</definedName>
    <definedName name="OSRRefD22_9x_0" localSheetId="87">'425'!$D$66:$D$68</definedName>
    <definedName name="OSRRefD22_9x_0" localSheetId="90">'430'!$D$58</definedName>
    <definedName name="OSRRefD22_9x_0" localSheetId="91">'433'!$D$64</definedName>
    <definedName name="OSRRefD22_9x_0" localSheetId="93">'444'!$D$63</definedName>
    <definedName name="OSRRefD22_9x_0" localSheetId="95">'450'!$D$64</definedName>
    <definedName name="OSRRefD22_9x_0" localSheetId="75">'491'!$D$74</definedName>
    <definedName name="OSRRefD22_9x_0" localSheetId="89">'492'!$D$68</definedName>
    <definedName name="OSRRefD22_9x_0" localSheetId="97">'501'!$D$56</definedName>
    <definedName name="OSRRefD22_9x_0" localSheetId="39">'Div 2'!$D$60</definedName>
    <definedName name="OSRRefD22_9x_0" localSheetId="47">'Div 3'!$D$217</definedName>
    <definedName name="OSRRefD22_9x_0" localSheetId="73">'Div 4'!$D$77</definedName>
    <definedName name="OSRRefD22_9x_0" localSheetId="96">'Div 5'!$D$56</definedName>
    <definedName name="OSRRefD22_9x_0" localSheetId="64">'Div 6'!$D$97</definedName>
    <definedName name="OSRRefD22_9x_0" localSheetId="2">Summary!$D$252</definedName>
    <definedName name="OSRRefD22x_0" localSheetId="40">'200'!$D$20,'200'!$D$22,'200'!$D$24,'200'!$D$26,'200'!$D$28:$D$29</definedName>
    <definedName name="OSRRefD22x_0" localSheetId="41">'201'!$D$20:$D$28,'201'!$D$30:$D$39,'201'!$D$41,'201'!$D$43,'201'!$D$45:$D$46,'201'!$D$48,'201'!$D$50,'201'!$D$52,'201'!$D$54,'201'!$D$56,'201'!$D$58:$D$60,'201'!$D$62:$D$64,'201'!$D$66,'201'!$D$68:$D$71,'201'!$D$73,'201'!$D$75,'201'!$D$77:$D$78</definedName>
    <definedName name="OSRRefD22x_0" localSheetId="42">'202'!$D$20:$D$28,'202'!$D$30:$D$39,'202'!$D$41,'202'!$D$43,'202'!$D$45,'202'!$D$47,'202'!$D$49,'202'!$D$51,'202'!$D$53,'202'!$D$55:$D$57,'202'!$D$59,'202'!$D$61:$D$63,'202'!$D$65,'202'!$D$67,'202'!$D$69:$D$70,'202'!$D$72,'202'!$D$74</definedName>
    <definedName name="OSRRefD22x_0" localSheetId="43">'203'!$D$20:$D$29,'203'!$D$31:$D$40,'203'!$D$42,'203'!$D$44,'203'!$D$46,'203'!$D$48,'203'!$D$50,'203'!$D$52,'203'!$D$54,'203'!$D$56:$D$58,'203'!$D$60:$D$61,'203'!$D$63,'203'!$D$65:$D$67,'203'!$D$69,'203'!$D$71,'203'!$D$73</definedName>
    <definedName name="OSRRefD22x_0" localSheetId="44">'204'!$D$21:$D$30,'204'!$D$32:$D$41,'204'!$D$43,'204'!$D$45:$D$46,'204'!$D$48,'204'!$D$50,'204'!$D$52,'204'!$D$54:$D$57,'204'!$D$59,'204'!$D$61:$D$62,'204'!$D$64:$D$65,'204'!$D$67,'204'!$D$69:$D$70</definedName>
    <definedName name="OSRRefD22x_0" localSheetId="45">'205'!$D$20:$D$28,'205'!$D$30:$D$39,'205'!$D$41,'205'!$D$43,'205'!$D$45,'205'!$D$47:$D$49,'205'!$D$51,'205'!$D$53:$D$54,'205'!$D$56,'205'!$D$58</definedName>
    <definedName name="OSRRefD22x_0" localSheetId="46">'206'!$D$20:$D$28,'206'!$D$30:$D$39,'206'!$D$41,'206'!$D$43,'206'!$D$45,'206'!$D$47,'206'!$D$49,'206'!$D$51:$D$52,'206'!$D$54,'206'!$D$56,'206'!$D$58</definedName>
    <definedName name="OSRRefD22x_0" localSheetId="48">'300'!$D$170:$D$179,'300'!$D$181:$D$190,'300'!$D$192,'300'!$D$194:$D$195,'300'!$D$197,'300'!$D$199:$D$202,'300'!$D$204:$D$205,'300'!$D$207:$D$208,'300'!$D$210,'300'!$D$212,'300'!$D$214:$D$215,'300'!$D$217,'300'!$D$219,'300'!$D$221,'300'!$D$223,'300'!$D$225,'300'!$D$227:$D$230,'300'!$D$232:$D$235,'300'!$D$237:$D$240,'300'!$D$242:$D$243,'300'!$D$245:$D$252,'300'!$D$254:$D$255,'300'!$D$257,'300'!$D$259:$D$261,'300'!$D$263</definedName>
    <definedName name="OSRRefD22x_0" localSheetId="49">'300 &amp; 317'!$D$196:$D$205,'300 &amp; 317'!$D$207:$D$216,'300 &amp; 317'!$D$218,'300 &amp; 317'!$D$220:$D$221,'300 &amp; 317'!$D$223,'300 &amp; 317'!$D$225:$D$228,'300 &amp; 317'!$D$230:$D$231,'300 &amp; 317'!$D$233:$D$234,'300 &amp; 317'!$D$236,'300 &amp; 317'!$D$238,'300 &amp; 317'!$D$240:$D$241,'300 &amp; 317'!$D$243,'300 &amp; 317'!$D$245,'300 &amp; 317'!$D$247,'300 &amp; 317'!$D$249,'300 &amp; 317'!$D$251,'300 &amp; 317'!$D$253:$D$256,'300 &amp; 317'!$D$258:$D$261,'300 &amp; 317'!$D$263:$D$266,'300 &amp; 317'!$D$268:$D$269,'300 &amp; 317'!$D$271:$D$278,'300 &amp; 317'!$D$280:$D$281,'300 &amp; 317'!$D$283,'300 &amp; 317'!$D$285:$D$287,'300 &amp; 317'!$D$289</definedName>
    <definedName name="OSRRefD22x_0" localSheetId="50">'301'!$D$20:$D$28,'301'!$D$30:$D$39,'301'!$D$41,'301'!$D$43:$D$44,'301'!$D$46,'301'!$D$48:$D$51,'301'!$D$53:$D$54,'301'!$D$56:$D$57,'301'!$D$59,'301'!$D$61,'301'!$D$63,'301'!$D$65,'301'!$D$67,'301'!$D$69,'301'!$D$71,'301'!$D$73,'301'!$D$75:$D$78,'301'!$D$80:$D$82,'301'!$D$84:$D$85,'301'!$D$87:$D$93,'301'!$D$95,'301'!$D$97,'301'!$D$99:$D$101,'301'!$D$103</definedName>
    <definedName name="OSRRefD22x_0" localSheetId="51">'306'!$D$20:$D$28,'306'!$D$30:$D$39,'306'!$D$41,'306'!$D$43,'306'!$D$45,'306'!$D$47,'306'!$D$49,'306'!$D$51:$D$52,'306'!$D$54:$D$57,'306'!$D$59,'306'!$D$61</definedName>
    <definedName name="OSRRefD22x_0" localSheetId="53">'307'!$D$79:$D$87,'307'!$D$89:$D$98,'307'!$D$100,'307'!$D$102,'307'!$D$104:$D$105,'307'!$D$107,'307'!$D$109,'307'!$D$111,'307'!$D$113:$D$114,'307'!$D$116:$D$117,'307'!$D$119:$D$121,'307'!$D$123,'307'!$D$125</definedName>
    <definedName name="OSRRefD22x_0" localSheetId="55">'308'!$D$67:$D$76,'308'!$D$78:$D$87,'308'!$D$89,'308'!$D$91:$D$92,'308'!$D$94,'308'!$D$96,'308'!$D$98:$D$99,'308'!$D$101,'308'!$D$103,'308'!$D$105:$D$108,'308'!$D$110:$D$111,'308'!$D$113:$D$115,'308'!$D$117:$D$118,'308'!$D$120,'308'!$D$122:$D$123</definedName>
    <definedName name="OSRRefD22x_0" localSheetId="67">'309'!$D$26:$D$34,'309'!$D$36:$D$45,'309'!$D$47,'309'!$D$49,'309'!$D$51,'309'!$D$53:$D$54,'309'!$D$56,'309'!$D$58,'309'!$D$60,'309'!$D$62:$D$63,'309'!$D$65:$D$67,'309'!$D$69:$D$71,'309'!$D$73,'309'!$D$75</definedName>
    <definedName name="OSRRefD22x_0" localSheetId="66">'310'!$D$35:$D$43,'310'!$D$45:$D$54,'310'!$D$56,'310'!$D$58,'310'!$D$60,'310'!$D$62:$D$64,'310'!$D$66,'310'!$D$68,'310'!$D$70,'310'!$D$72,'310'!$D$74,'310'!$D$76,'310'!$D$78,'310'!$D$80,'310'!$D$82,'310'!$D$84:$D$86,'310'!$D$88:$D$89,'310'!$D$91:$D$95,'310'!$D$97,'310'!$D$99:$D$107,'310'!$D$109,'310'!$D$111,'310'!$D$113:$D$114,'310'!$D$116</definedName>
    <definedName name="OSRRefD22x_0" localSheetId="74">'310 &amp; 491'!$D$42:$D$51,'310 &amp; 491'!$D$53:$D$62,'310 &amp; 491'!$D$64,'310 &amp; 491'!$D$66,'310 &amp; 491'!$D$68,'310 &amp; 491'!$D$70:$D$73,'310 &amp; 491'!$D$75,'310 &amp; 491'!$D$77,'310 &amp; 491'!$D$79,'310 &amp; 491'!$D$81,'310 &amp; 491'!$D$83:$D$84,'310 &amp; 491'!$D$86:$D$87,'310 &amp; 491'!$D$89,'310 &amp; 491'!$D$91,'310 &amp; 491'!$D$93,'310 &amp; 491'!$D$95,'310 &amp; 491'!$D$97,'310 &amp; 491'!$D$99:$D$102,'310 &amp; 491'!$D$104:$D$107,'310 &amp; 491'!$D$109:$D$114,'310 &amp; 491'!$D$116:$D$117,'310 &amp; 491'!$D$119:$D$129,'310 &amp; 491'!$D$131:$D$132,'310 &amp; 491'!$D$134,'310 &amp; 491'!$D$136:$D$138,'310 &amp; 491'!$D$140</definedName>
    <definedName name="OSRRefD22x_0" localSheetId="56">'311'!$D$67:$D$76,'311'!$D$78:$D$87,'311'!$D$89,'311'!$D$91:$D$92,'311'!$D$94,'311'!$D$96,'311'!$D$98:$D$99,'311'!$D$101,'311'!$D$103,'311'!$D$105:$D$108,'311'!$D$110:$D$111,'311'!$D$113:$D$115,'311'!$D$117:$D$118,'311'!$D$120,'311'!$D$122:$D$123</definedName>
    <definedName name="OSRRefD22x_0" localSheetId="68">'313'!$D$31:$D$39,'313'!$D$41:$D$50,'313'!$D$52,'313'!$D$54,'313'!$D$56,'313'!$D$58,'313'!$D$60,'313'!$D$62,'313'!$D$64,'313'!$D$66,'313'!$D$68:$D$70,'313'!$D$72,'313'!$D$74:$D$79,'313'!$D$81,'313'!$D$83</definedName>
    <definedName name="OSRRefD22x_0" localSheetId="54">'314'!$D$58:$D$67,'314'!$D$69:$D$78,'314'!$D$80,'314'!$D$82:$D$83,'314'!$D$85,'314'!$D$87,'314'!$D$89,'314'!$D$91,'314'!$D$93:$D$94,'314'!$D$96,'314'!$D$98</definedName>
    <definedName name="OSRRefD22x_0" localSheetId="59">'315'!$D$58:$D$66,'315'!$D$68:$D$77,'315'!$D$79,'315'!$D$81:$D$82,'315'!$D$84,'315'!$D$86:$D$87,'315'!$D$89,'315'!$D$91,'315'!$D$93,'315'!$D$95:$D$96,'315'!$D$98:$D$100,'315'!$D$102:$D$103,'315'!$D$105:$D$109,'315'!$D$111,'315'!$D$113,'315'!$D$115:$D$116</definedName>
    <definedName name="OSRRefD22x_0" localSheetId="62">'316'!$D$36:$D$44,'316'!$D$46:$D$55,'316'!$D$57,'316'!$D$59,'316'!$D$61,'316'!$D$63,'316'!$D$65,'316'!$D$67,'316'!$D$69,'316'!$D$71:$D$72,'316'!$D$74:$D$75,'316'!$D$77:$D$81,'316'!$D$83:$D$84,'316'!$D$86</definedName>
    <definedName name="OSRRefD22x_0" localSheetId="65">'317'!$D$61:$D$70,'317'!$D$72:$D$81,'317'!$D$83,'317'!$D$85,'317'!$D$87,'317'!$D$89,'317'!$D$91,'317'!$D$93,'317'!$D$95,'317'!$D$97,'317'!$D$99:$D$100,'317'!$D$102:$D$103,'317'!$D$105,'317'!$D$107</definedName>
    <definedName name="OSRRefD22x_0" localSheetId="63">'320'!$D$32:$D$39,'320'!$D$41:$D$50,'320'!$D$52,'320'!$D$54,'320'!$D$56:$D$57,'320'!$D$59,'320'!$D$61,'320'!$D$63:$D$64,'320'!$D$66</definedName>
    <definedName name="OSRRefD22x_0" localSheetId="69">'321'!$D$26:$D$33,'321'!$D$35:$D$44,'321'!$D$46,'321'!$D$48,'321'!$D$50,'321'!$D$52,'321'!$D$54,'321'!$D$56,'321'!$D$58,'321'!$D$60:$D$62,'321'!$D$64:$D$65,'321'!$D$67:$D$69,'321'!$D$71:$D$74,'321'!$D$76,'321'!$D$78</definedName>
    <definedName name="OSRRefD22x_0" localSheetId="70">'322'!$D$22:$D$29,'322'!$D$31:$D$40,'322'!$D$42,'322'!$D$44,'322'!$D$46,'322'!$D$48:$D$49,'322'!$D$51,'322'!$D$53,'322'!$D$55,'322'!$D$57:$D$58,'322'!$D$60,'322'!$D$62</definedName>
    <definedName name="OSRRefD22x_0" localSheetId="60">'326'!$D$58:$D$66,'326'!$D$68:$D$77,'326'!$D$79,'326'!$D$81:$D$82,'326'!$D$84,'326'!$D$86,'326'!$D$88,'326'!$D$90,'326'!$D$92,'326'!$D$94,'326'!$D$96,'326'!$D$98,'326'!$D$100,'326'!$D$102:$D$103,'326'!$D$105:$D$107,'326'!$D$109:$D$110,'326'!$D$112:$D$117,'326'!$D$119:$D$120,'326'!$D$122,'326'!$D$124,'326'!$D$126</definedName>
    <definedName name="OSRRefD22x_0" localSheetId="72">'327'!$D$24,'327'!$D$26,'327'!$D$28</definedName>
    <definedName name="OSRRefD22x_0" localSheetId="52">'330'!$D$86:$D$95,'330'!$D$97:$D$106,'330'!$D$108,'330'!$D$110,'330'!$D$112:$D$113,'330'!$D$115,'330'!$D$117,'330'!$D$119,'330'!$D$121,'330'!$D$123:$D$124,'330'!$D$126:$D$127,'330'!$D$129,'330'!$D$131:$D$133,'330'!$D$135,'330'!$D$137,'330'!$D$139</definedName>
    <definedName name="OSRRefD22x_0" localSheetId="58">'331'!$D$73:$D$81,'331'!$D$83:$D$92,'331'!$D$94,'331'!$D$96:$D$97,'331'!$D$99,'331'!$D$101:$D$102,'331'!$D$104,'331'!$D$106,'331'!$D$108:$D$109,'331'!$D$111,'331'!$D$113,'331'!$D$115,'331'!$D$117,'331'!$D$119,'331'!$D$121:$D$122,'331'!$D$124:$D$126,'331'!$D$128:$D$130,'331'!$D$132:$D$133,'331'!$D$135:$D$140,'331'!$D$142:$D$143,'331'!$D$145,'331'!$D$147:$D$148,'331'!$D$150</definedName>
    <definedName name="OSRRefD22x_0" localSheetId="61">'332'!$D$46:$D$54,'332'!$D$56:$D$65,'332'!$D$67,'332'!$D$69,'332'!$D$71,'332'!$D$73,'332'!$D$75,'332'!$D$77:$D$78,'332'!$D$80,'332'!$D$82,'332'!$D$84:$D$85,'332'!$D$87:$D$88,'332'!$D$90:$D$94,'332'!$D$96:$D$97,'332'!$D$99</definedName>
    <definedName name="OSRRefD22x_0" localSheetId="76">'405'!$D$26:$D$34,'405'!$D$36:$D$45,'405'!$D$47,'405'!$D$49,'405'!$D$51,'405'!$D$53:$D$55,'405'!$D$57,'405'!$D$59,'405'!$D$61,'405'!$D$63,'405'!$D$65,'405'!$D$67:$D$69,'405'!$D$71,'405'!$D$73:$D$75,'405'!$D$77:$D$78,'405'!$D$80:$D$88,'405'!$D$90,'405'!$D$92,'405'!$D$94,'405'!$D$96</definedName>
    <definedName name="OSRRefD22x_0" localSheetId="77">'406'!$D$27:$D$35,'406'!$D$37:$D$46,'406'!$D$48,'406'!$D$50,'406'!$D$52,'406'!$D$54:$D$55,'406'!$D$57,'406'!$D$59,'406'!$D$61,'406'!$D$63:$D$65,'406'!$D$67:$D$69,'406'!$D$71:$D$76,'406'!$D$78:$D$79,'406'!$D$81,'406'!$D$83:$D$84</definedName>
    <definedName name="OSRRefD22x_0" localSheetId="78">'411'!$D$20:$D$29,'411'!$D$31:$D$40,'411'!$D$42,'411'!$D$44,'411'!$D$46:$D$49,'411'!$D$51,'411'!$D$53,'411'!$D$55,'411'!$D$57,'411'!$D$59,'411'!$D$61,'411'!$D$63,'411'!$D$65:$D$68,'411'!$D$70:$D$74,'411'!$D$76,'411'!$D$78:$D$86,'411'!$D$88,'411'!$D$90,'411'!$D$92:$D$94,'411'!$D$96</definedName>
    <definedName name="OSRRefD22x_0" localSheetId="79">'412'!$D$27:$D$35,'412'!$D$37:$D$46,'412'!$D$48,'412'!$D$50,'412'!$D$52,'412'!$D$54:$D$56,'412'!$D$58,'412'!$D$60,'412'!$D$62,'412'!$D$64:$D$65,'412'!$D$67,'412'!$D$69:$D$71,'412'!$D$73:$D$80,'412'!$D$82,'412'!$D$84,'412'!$D$86</definedName>
    <definedName name="OSRRefD22x_0" localSheetId="81">'413'!$D$27:$D$35,'413'!$D$37:$D$46,'413'!$D$48,'413'!$D$50,'413'!$D$52,'413'!$D$54,'413'!$D$56,'413'!$D$58,'413'!$D$60:$D$62,'413'!$D$64:$D$65,'413'!$D$67:$D$73,'413'!$D$75:$D$76,'413'!$D$78,'413'!$D$80</definedName>
    <definedName name="OSRRefD22x_0" localSheetId="82">'414'!$D$27:$D$35,'414'!$D$37:$D$46,'414'!$D$48,'414'!$D$50,'414'!$D$52,'414'!$D$54:$D$55,'414'!$D$57,'414'!$D$59,'414'!$D$61,'414'!$D$63:$D$64,'414'!$D$66,'414'!$D$68,'414'!$D$70,'414'!$D$72:$D$78,'414'!$D$80,'414'!$D$82</definedName>
    <definedName name="OSRRefD22x_0" localSheetId="83">'415'!$D$26:$D$34,'415'!$D$36:$D$45,'415'!$D$47,'415'!$D$49,'415'!$D$51,'415'!$D$53:$D$55,'415'!$D$57,'415'!$D$59,'415'!$D$61,'415'!$D$63,'415'!$D$65,'415'!$D$67:$D$70,'415'!$D$72:$D$76,'415'!$D$78:$D$79,'415'!$D$81:$D$89,'415'!$D$91,'415'!$D$93,'415'!$D$95:$D$96,'415'!$D$98</definedName>
    <definedName name="OSRRefD22x_0" localSheetId="84">'418'!$D$27:$D$35,'418'!$D$37:$D$46,'418'!$D$48,'418'!$D$50,'418'!$D$52,'418'!$D$54:$D$56,'418'!$D$58,'418'!$D$60,'418'!$D$62,'418'!$D$64,'418'!$D$66:$D$67,'418'!$D$69:$D$71,'418'!$D$73:$D$75,'418'!$D$77:$D$78,'418'!$D$80:$D$87,'418'!$D$89,'418'!$D$91,'418'!$D$93:$D$94</definedName>
    <definedName name="OSRRefD22x_0" localSheetId="80">'420'!$D$24:$D$31,'420'!$D$33:$D$36,'420'!$D$38,'420'!$D$40,'420'!$D$42,'420'!$D$44,'420'!$D$46:$D$47,'420'!$D$49</definedName>
    <definedName name="OSRRefD22x_0" localSheetId="85">'423'!$D$21:$D$29,'423'!$D$31:$D$40,'423'!$D$42,'423'!$D$44,'423'!$D$46,'423'!$D$48,'423'!$D$50</definedName>
    <definedName name="OSRRefD22x_0" localSheetId="86">'424'!$D$27:$D$34,'424'!$D$36:$D$45,'424'!$D$47,'424'!$D$49,'424'!$D$51,'424'!$D$53,'424'!$D$55,'424'!$D$57,'424'!$D$59:$D$60,'424'!$D$62:$D$64,'424'!$D$66,'424'!$D$68:$D$72,'424'!$D$74:$D$75</definedName>
    <definedName name="OSRRefD22x_0" localSheetId="87">'425'!$D$29:$D$38,'425'!$D$40:$D$49,'425'!$D$51,'425'!$D$53,'425'!$D$55,'425'!$D$57:$D$58,'425'!$D$60,'425'!$D$62,'425'!$D$64,'425'!$D$66:$D$68,'425'!$D$70:$D$71,'425'!$D$73:$D$75,'425'!$D$77,'425'!$D$79:$D$85,'425'!$D$87:$D$88,'425'!$D$90,'425'!$D$92</definedName>
    <definedName name="OSRRefD22x_0" localSheetId="90">'430'!$D$20:$D$28,'430'!$D$30:$D$39,'430'!$D$41,'430'!$D$43,'430'!$D$45,'430'!$D$47,'430'!$D$49,'430'!$D$51:$D$54,'430'!$D$56,'430'!$D$58,'430'!$D$60</definedName>
    <definedName name="OSRRefD22x_0" localSheetId="91">'433'!$D$28:$D$37,'433'!$D$39:$D$48,'433'!$D$50,'433'!$D$52,'433'!$D$54,'433'!$D$56,'433'!$D$58,'433'!$D$60,'433'!$D$62,'433'!$D$64,'433'!$D$66:$D$68,'433'!$D$70:$D$73,'433'!$D$75:$D$83,'433'!$D$85,'433'!$D$87,'433'!$D$89:$D$90</definedName>
    <definedName name="OSRRefD22x_0" localSheetId="92">'435'!$D$27:$D$34,'435'!$D$36:$D$45,'435'!$D$47,'435'!$D$49,'435'!$D$51,'435'!$D$53,'435'!$D$55,'435'!$D$57:$D$59,'435'!$D$61</definedName>
    <definedName name="OSRRefD22x_0" localSheetId="93">'444'!$D$27:$D$36,'444'!$D$38:$D$47,'444'!$D$49,'444'!$D$51,'444'!$D$53,'444'!$D$55,'444'!$D$57,'444'!$D$59,'444'!$D$61,'444'!$D$63,'444'!$D$65,'444'!$D$67:$D$69,'444'!$D$71:$D$74,'444'!$D$76:$D$83,'444'!$D$85,'444'!$D$87,'444'!$D$89</definedName>
    <definedName name="OSRRefD22x_0" localSheetId="95">'450'!$D$27:$D$36,'450'!$D$38:$D$47,'450'!$D$49,'450'!$D$51:$D$52,'450'!$D$54,'450'!$D$56,'450'!$D$58,'450'!$D$60,'450'!$D$62,'450'!$D$64,'450'!$D$66,'450'!$D$68,'450'!$D$70:$D$73,'450'!$D$75:$D$77,'450'!$D$79:$D$84,'450'!$D$86,'450'!$D$88,'450'!$D$90:$D$91</definedName>
    <definedName name="OSRRefD22x_0" localSheetId="88">'455'!$D$20:$D$27,'455'!$D$29:$D$38</definedName>
    <definedName name="OSRRefD22x_0" localSheetId="75">'491'!$D$35:$D$44,'491'!$D$46:$D$55,'491'!$D$57,'491'!$D$59,'491'!$D$61,'491'!$D$63:$D$66,'491'!$D$68,'491'!$D$70,'491'!$D$72,'491'!$D$74,'491'!$D$76,'491'!$D$78:$D$79,'491'!$D$81,'491'!$D$83,'491'!$D$85,'491'!$D$87,'491'!$D$89:$D$92,'491'!$D$94:$D$97,'491'!$D$99:$D$103,'491'!$D$105:$D$106,'491'!$D$108:$D$118,'491'!$D$120:$D$121,'491'!$D$123,'491'!$D$125:$D$127,'491'!$D$129</definedName>
    <definedName name="OSRRefD22x_0" localSheetId="89">'492'!$D$30:$D$39,'492'!$D$41:$D$50,'492'!$D$52,'492'!$D$54:$D$55,'492'!$D$57,'492'!$D$59,'492'!$D$61:$D$62,'492'!$D$64,'492'!$D$66,'492'!$D$68,'492'!$D$70,'492'!$D$72,'492'!$D$74,'492'!$D$76:$D$79,'492'!$D$81:$D$84,'492'!$D$86:$D$95,'492'!$D$97,'492'!$D$99,'492'!$D$101:$D$102</definedName>
    <definedName name="OSRRefD22x_0" localSheetId="97">'501'!$D$21:$D$29,'501'!$D$31:$D$40,'501'!$D$42,'501'!$D$44,'501'!$D$46,'501'!$D$48,'501'!$D$50,'501'!$D$52,'501'!$D$54,'501'!$D$56,'501'!$D$58:$D$61,'501'!$D$63,'501'!$D$65:$D$67,'501'!$D$69,'501'!$D$71</definedName>
    <definedName name="OSRRefD22x_0" localSheetId="39">'Div 2'!$D$21:$D$31,'Div 2'!$D$33:$D$42,'Div 2'!$D$44,'Div 2'!$D$46,'Div 2'!$D$48,'Div 2'!$D$50:$D$51,'Div 2'!$D$53:$D$54,'Div 2'!$D$56,'Div 2'!$D$58,'Div 2'!$D$60,'Div 2'!$D$62,'Div 2'!$D$64,'Div 2'!$D$66:$D$68,'Div 2'!$D$70:$D$73,'Div 2'!$D$75:$D$78,'Div 2'!$D$80:$D$81,'Div 2'!$D$83:$D$84,'Div 2'!$D$86:$D$91,'Div 2'!$D$93:$D$94,'Div 2'!$D$96,'Div 2'!$D$98:$D$99</definedName>
    <definedName name="OSRRefD22x_0" localSheetId="47">'Div 3'!$D$175:$D$184,'Div 3'!$D$186:$D$195,'Div 3'!$D$197,'Div 3'!$D$199:$D$200,'Div 3'!$D$202,'Div 3'!$D$204:$D$207,'Div 3'!$D$209:$D$210,'Div 3'!$D$212:$D$213,'Div 3'!$D$215,'Div 3'!$D$217,'Div 3'!$D$219:$D$220,'Div 3'!$D$222,'Div 3'!$D$224,'Div 3'!$D$226,'Div 3'!$D$228,'Div 3'!$D$230,'Div 3'!$D$232,'Div 3'!$D$234,'Div 3'!$D$236:$D$239,'Div 3'!$D$241:$D$244,'Div 3'!$D$246:$D$251,'Div 3'!$D$253:$D$254,'Div 3'!$D$256:$D$265,'Div 3'!$D$267:$D$268,'Div 3'!$D$270,'Div 3'!$D$272:$D$274,'Div 3'!$D$276</definedName>
    <definedName name="OSRRefD22x_0" localSheetId="73">'Div 4'!$D$36:$D$45,'Div 4'!$D$47:$D$56,'Div 4'!$D$58,'Div 4'!$D$60:$D$61,'Div 4'!$D$63,'Div 4'!$D$65:$D$68,'Div 4'!$D$70,'Div 4'!$D$72:$D$73,'Div 4'!$D$75,'Div 4'!$D$77,'Div 4'!$D$79,'Div 4'!$D$81:$D$82,'Div 4'!$D$84,'Div 4'!$D$86,'Div 4'!$D$88,'Div 4'!$D$90,'Div 4'!$D$92,'Div 4'!$D$94:$D$97,'Div 4'!$D$99:$D$102,'Div 4'!$D$104:$D$108,'Div 4'!$D$110:$D$111,'Div 4'!$D$113:$D$123,'Div 4'!$D$125:$D$126,'Div 4'!$D$128,'Div 4'!$D$130:$D$132,'Div 4'!$D$134</definedName>
    <definedName name="OSRRefD22x_0" localSheetId="96">'Div 5'!$D$21:$D$29,'Div 5'!$D$31:$D$40,'Div 5'!$D$42,'Div 5'!$D$44,'Div 5'!$D$46,'Div 5'!$D$48,'Div 5'!$D$50,'Div 5'!$D$52,'Div 5'!$D$54,'Div 5'!$D$56,'Div 5'!$D$58:$D$61,'Div 5'!$D$63,'Div 5'!$D$65:$D$67,'Div 5'!$D$69,'Div 5'!$D$71</definedName>
    <definedName name="OSRRefD22x_0" localSheetId="64">'Div 6'!$D$61:$D$70,'Div 6'!$D$72:$D$81,'Div 6'!$D$83,'Div 6'!$D$85,'Div 6'!$D$87,'Div 6'!$D$89,'Div 6'!$D$91,'Div 6'!$D$93,'Div 6'!$D$95,'Div 6'!$D$97,'Div 6'!$D$99:$D$100,'Div 6'!$D$102:$D$103,'Div 6'!$D$105,'Div 6'!$D$107</definedName>
    <definedName name="OSRRefD22x_0" localSheetId="2">Summary!$D$209:$D$218,Summary!$D$220:$D$229,Summary!$D$231,Summary!$D$233:$D$234,Summary!$D$236,Summary!$D$238:$D$241,Summary!$D$243:$D$244,Summary!$D$246:$D$248,Summary!$D$250,Summary!$D$252,Summary!$D$254:$D$255,Summary!$D$257:$D$258,Summary!$D$260,Summary!$D$262,Summary!$D$264,Summary!$D$266,Summary!$D$268,Summary!$D$270,Summary!$D$272:$D$275,Summary!$D$277:$D$280,Summary!$D$282:$D$287,Summary!$D$289:$D$290,Summary!$D$292:$D$302,Summary!$D$304:$D$305,Summary!$D$307,Summary!$D$309:$D$311,Summary!$D$313</definedName>
    <definedName name="OSRRefD25x_0" localSheetId="48">'300'!$D$266:$D$274</definedName>
    <definedName name="OSRRefD25x_0" localSheetId="49">'300 &amp; 317'!$D$292:$D$303</definedName>
    <definedName name="OSRRefD25x_0" localSheetId="50">'301'!$D$106:$D$109</definedName>
    <definedName name="OSRRefD25x_0" localSheetId="53">'307'!$D$128</definedName>
    <definedName name="OSRRefD25x_0" localSheetId="55">'308'!$D$126:$D$129</definedName>
    <definedName name="OSRRefD25x_0" localSheetId="74">'310 &amp; 491'!$D$143:$D$146</definedName>
    <definedName name="OSRRefD25x_0" localSheetId="56">'311'!$D$126:$D$129</definedName>
    <definedName name="OSRRefD25x_0" localSheetId="59">'315'!$D$119:$D$121</definedName>
    <definedName name="OSRRefD25x_0" localSheetId="62">'316'!$D$89:$D$90</definedName>
    <definedName name="OSRRefD25x_0" localSheetId="65">'317'!$D$110:$D$113</definedName>
    <definedName name="OSRRefD25x_0" localSheetId="63">'320'!$D$69:$D$73</definedName>
    <definedName name="OSRRefD25x_0" localSheetId="52">'330'!$D$142</definedName>
    <definedName name="OSRRefD25x_0" localSheetId="58">'331'!$D$153:$D$155</definedName>
    <definedName name="OSRRefD25x_0" localSheetId="61">'332'!$D$102:$D$108</definedName>
    <definedName name="OSRRefD25x_0" localSheetId="78">'411'!$D$99:$D$100</definedName>
    <definedName name="OSRRefD25x_0" localSheetId="81">'413'!$D$83</definedName>
    <definedName name="OSRRefD25x_0" localSheetId="83">'415'!$D$101</definedName>
    <definedName name="OSRRefD25x_0" localSheetId="85">'423'!$D$53</definedName>
    <definedName name="OSRRefD25x_0" localSheetId="86">'424'!$D$78</definedName>
    <definedName name="OSRRefD25x_0" localSheetId="87">'425'!$D$95</definedName>
    <definedName name="OSRRefD25x_0" localSheetId="88">'455'!$D$41:$D$44</definedName>
    <definedName name="OSRRefD25x_0" localSheetId="75">'491'!$D$132:$D$135</definedName>
    <definedName name="OSRRefD25x_0" localSheetId="97">'501'!$D$74</definedName>
    <definedName name="OSRRefD25x_0" localSheetId="47">'Div 3'!$D$279:$D$287</definedName>
    <definedName name="OSRRefD25x_0" localSheetId="73">'Div 4'!$D$137:$D$140</definedName>
    <definedName name="OSRRefD25x_0" localSheetId="96">'Div 5'!$D$74</definedName>
    <definedName name="OSRRefD25x_0" localSheetId="64">'Div 6'!$D$110:$D$113</definedName>
    <definedName name="OSRRefD25x_0" localSheetId="2">Summary!$D$316:$D$328</definedName>
    <definedName name="OSRRefH13x_0" localSheetId="44">'204'!$H$13</definedName>
    <definedName name="OSRRefH13x_0" localSheetId="48">'300'!$H$13:$H$111</definedName>
    <definedName name="OSRRefH13x_0" localSheetId="49">'300 &amp; 317'!$H$13:$H$129</definedName>
    <definedName name="OSRRefH13x_0" localSheetId="53">'307'!$H$13:$H$50</definedName>
    <definedName name="OSRRefH13x_0" localSheetId="55">'308'!$H$13:$H$42</definedName>
    <definedName name="OSRRefH13x_0" localSheetId="67">'309'!$H$13:$H$15</definedName>
    <definedName name="OSRRefH13x_0" localSheetId="66">'310'!$H$13:$H$24</definedName>
    <definedName name="OSRRefH13x_0" localSheetId="74">'310 &amp; 491'!$H$13:$H$31</definedName>
    <definedName name="OSRRefH13x_0" localSheetId="56">'311'!$H$13:$H$42</definedName>
    <definedName name="OSRRefH13x_0" localSheetId="68">'313'!$H$13:$H$20</definedName>
    <definedName name="OSRRefH13x_0" localSheetId="54">'314'!$H$13:$H$34</definedName>
    <definedName name="OSRRefH13x_0" localSheetId="59">'315'!$H$13:$H$34</definedName>
    <definedName name="OSRRefH13x_0" localSheetId="62">'316'!$H$13:$H$28</definedName>
    <definedName name="OSRRefH13x_0" localSheetId="65">'317'!$H$13:$H$38</definedName>
    <definedName name="OSRRefH13x_0" localSheetId="63">'320'!$H$13:$H$18</definedName>
    <definedName name="OSRRefH13x_0" localSheetId="69">'321'!$H$13:$H$15</definedName>
    <definedName name="OSRRefH13x_0" localSheetId="70">'322'!$H$13</definedName>
    <definedName name="OSRRefH13x_0" localSheetId="57">'324'!$H$13:$H$15</definedName>
    <definedName name="OSRRefH13x_0" localSheetId="60">'326'!$H$13:$H$33</definedName>
    <definedName name="OSRRefH13x_0" localSheetId="72">'327'!$H$13:$H$14</definedName>
    <definedName name="OSRRefH13x_0" localSheetId="52">'330'!$H$13:$H$54</definedName>
    <definedName name="OSRRefH13x_0" localSheetId="58">'331'!$H$13:$H$42</definedName>
    <definedName name="OSRRefH13x_0" localSheetId="61">'332'!$H$13:$H$32</definedName>
    <definedName name="OSRRefH13x_0" localSheetId="76">'405'!$H$13:$H$15</definedName>
    <definedName name="OSRRefH13x_0" localSheetId="77">'406'!$H$13:$H$16</definedName>
    <definedName name="OSRRefH13x_0" localSheetId="79">'412'!$H$13:$H$16</definedName>
    <definedName name="OSRRefH13x_0" localSheetId="81">'413'!$H$13:$H$16</definedName>
    <definedName name="OSRRefH13x_0" localSheetId="82">'414'!$H$13:$H$16</definedName>
    <definedName name="OSRRefH13x_0" localSheetId="83">'415'!$H$13:$H$15</definedName>
    <definedName name="OSRRefH13x_0" localSheetId="84">'418'!$H$13:$H$16</definedName>
    <definedName name="OSRRefH13x_0" localSheetId="80">'420'!$H$13:$H$14</definedName>
    <definedName name="OSRRefH13x_0" localSheetId="86">'424'!$H$13:$H$16</definedName>
    <definedName name="OSRRefH13x_0" localSheetId="87">'425'!$H$13:$H$18</definedName>
    <definedName name="OSRRefH13x_0" localSheetId="91">'433'!$H$13:$H$17</definedName>
    <definedName name="OSRRefH13x_0" localSheetId="92">'435'!$H$13:$H$16</definedName>
    <definedName name="OSRRefH13x_0" localSheetId="93">'444'!$H$13:$H$16</definedName>
    <definedName name="OSRRefH13x_0" localSheetId="95">'450'!$H$13:$H$16</definedName>
    <definedName name="OSRRefH13x_0" localSheetId="75">'491'!$H$13:$H$24</definedName>
    <definedName name="OSRRefH13x_0" localSheetId="89">'492'!$H$13:$H$19</definedName>
    <definedName name="OSRRefH13x_0" localSheetId="97">'501'!$H$13</definedName>
    <definedName name="OSRRefH13x_0" localSheetId="39">'Div 2'!$H$13</definedName>
    <definedName name="OSRRefH13x_0" localSheetId="47">'Div 3'!$H$13:$H$114</definedName>
    <definedName name="OSRRefH13x_0" localSheetId="73">'Div 4'!$H$13:$H$25</definedName>
    <definedName name="OSRRefH13x_0" localSheetId="96">'Div 5'!$H$13</definedName>
    <definedName name="OSRRefH13x_0" localSheetId="64">'Div 6'!$H$13:$H$38</definedName>
    <definedName name="OSRRefH13x_0" localSheetId="2">Summary!$H$13:$H$140</definedName>
    <definedName name="OSRRefH16x_0" localSheetId="48">'300'!$H$114:$H$164</definedName>
    <definedName name="OSRRefH16x_0" localSheetId="49">'300 &amp; 317'!$H$132:$H$190</definedName>
    <definedName name="OSRRefH16x_0" localSheetId="53">'307'!$H$53:$H$73</definedName>
    <definedName name="OSRRefH16x_0" localSheetId="55">'308'!$H$45:$H$61</definedName>
    <definedName name="OSRRefH16x_0" localSheetId="67">'309'!$H$18:$H$20</definedName>
    <definedName name="OSRRefH16x_0" localSheetId="66">'310'!$H$27:$H$29</definedName>
    <definedName name="OSRRefH16x_0" localSheetId="74">'310 &amp; 491'!$H$34:$H$36</definedName>
    <definedName name="OSRRefH16x_0" localSheetId="56">'311'!$H$45:$H$61</definedName>
    <definedName name="OSRRefH16x_0" localSheetId="68">'313'!$H$23:$H$25</definedName>
    <definedName name="OSRRefH16x_0" localSheetId="54">'314'!$H$37:$H$52</definedName>
    <definedName name="OSRRefH16x_0" localSheetId="59">'315'!$H$37:$H$52</definedName>
    <definedName name="OSRRefH16x_0" localSheetId="65">'317'!$H$41:$H$55</definedName>
    <definedName name="OSRRefH16x_0" localSheetId="63">'320'!$H$21:$H$26</definedName>
    <definedName name="OSRRefH16x_0" localSheetId="69">'321'!$H$18:$H$20</definedName>
    <definedName name="OSRRefH16x_0" localSheetId="70">'322'!$H$16</definedName>
    <definedName name="OSRRefH16x_0" localSheetId="57">'324'!$H$18:$H$20</definedName>
    <definedName name="OSRRefH16x_0" localSheetId="60">'326'!$H$36:$H$52</definedName>
    <definedName name="OSRRefH16x_0" localSheetId="72">'327'!$H$17:$H$18</definedName>
    <definedName name="OSRRefH16x_0" localSheetId="52">'330'!$H$57:$H$80</definedName>
    <definedName name="OSRRefH16x_0" localSheetId="58">'331'!$H$45:$H$67</definedName>
    <definedName name="OSRRefH16x_0" localSheetId="61">'332'!$H$35:$H$40</definedName>
    <definedName name="OSRRefH16x_0" localSheetId="76">'405'!$H$18:$H$20</definedName>
    <definedName name="OSRRefH16x_0" localSheetId="77">'406'!$H$19:$H$21</definedName>
    <definedName name="OSRRefH16x_0" localSheetId="79">'412'!$H$19:$H$21</definedName>
    <definedName name="OSRRefH16x_0" localSheetId="81">'413'!$H$19:$H$21</definedName>
    <definedName name="OSRRefH16x_0" localSheetId="82">'414'!$H$19:$H$21</definedName>
    <definedName name="OSRRefH16x_0" localSheetId="83">'415'!$H$18:$H$20</definedName>
    <definedName name="OSRRefH16x_0" localSheetId="84">'418'!$H$19:$H$21</definedName>
    <definedName name="OSRRefH16x_0" localSheetId="80">'420'!$H$17:$H$18</definedName>
    <definedName name="OSRRefH16x_0" localSheetId="85">'423'!$H$15</definedName>
    <definedName name="OSRRefH16x_0" localSheetId="86">'424'!$H$19:$H$21</definedName>
    <definedName name="OSRRefH16x_0" localSheetId="87">'425'!$H$21:$H$23</definedName>
    <definedName name="OSRRefH16x_0" localSheetId="91">'433'!$H$20:$H$22</definedName>
    <definedName name="OSRRefH16x_0" localSheetId="92">'435'!$H$19:$H$21</definedName>
    <definedName name="OSRRefH16x_0" localSheetId="93">'444'!$H$19:$H$21</definedName>
    <definedName name="OSRRefH16x_0" localSheetId="95">'450'!$H$19:$H$21</definedName>
    <definedName name="OSRRefH16x_0" localSheetId="75">'491'!$H$27:$H$29</definedName>
    <definedName name="OSRRefH16x_0" localSheetId="89">'492'!$H$22:$H$24</definedName>
    <definedName name="OSRRefH16x_0" localSheetId="47">'Div 3'!$H$117:$H$169</definedName>
    <definedName name="OSRRefH16x_0" localSheetId="73">'Div 4'!$H$28:$H$30</definedName>
    <definedName name="OSRRefH16x_0" localSheetId="64">'Div 6'!$H$41:$H$55</definedName>
    <definedName name="OSRRefH16x_0" localSheetId="2">Summary!$H$143:$H$203</definedName>
    <definedName name="OSRRefH22_0x_0" localSheetId="40">'200'!$H$20</definedName>
    <definedName name="OSRRefH22_0x_0" localSheetId="41">'201'!$H$20:$H$28</definedName>
    <definedName name="OSRRefH22_0x_0" localSheetId="42">'202'!$H$20:$H$28</definedName>
    <definedName name="OSRRefH22_0x_0" localSheetId="43">'203'!$H$20:$H$29</definedName>
    <definedName name="OSRRefH22_0x_0" localSheetId="44">'204'!$H$21:$H$30</definedName>
    <definedName name="OSRRefH22_0x_0" localSheetId="45">'205'!$H$20:$H$28</definedName>
    <definedName name="OSRRefH22_0x_0" localSheetId="46">'206'!$H$20:$H$28</definedName>
    <definedName name="OSRRefH22_0x_0" localSheetId="48">'300'!$H$170:$H$179</definedName>
    <definedName name="OSRRefH22_0x_0" localSheetId="49">'300 &amp; 317'!$H$196:$H$205</definedName>
    <definedName name="OSRRefH22_0x_0" localSheetId="50">'301'!$H$20:$H$28</definedName>
    <definedName name="OSRRefH22_0x_0" localSheetId="51">'306'!$H$20:$H$28</definedName>
    <definedName name="OSRRefH22_0x_0" localSheetId="53">'307'!$H$79:$H$87</definedName>
    <definedName name="OSRRefH22_0x_0" localSheetId="55">'308'!$H$67:$H$76</definedName>
    <definedName name="OSRRefH22_0x_0" localSheetId="67">'309'!$H$26:$H$34</definedName>
    <definedName name="OSRRefH22_0x_0" localSheetId="66">'310'!$H$35:$H$43</definedName>
    <definedName name="OSRRefH22_0x_0" localSheetId="74">'310 &amp; 491'!$H$42:$H$51</definedName>
    <definedName name="OSRRefH22_0x_0" localSheetId="56">'311'!$H$67:$H$76</definedName>
    <definedName name="OSRRefH22_0x_0" localSheetId="68">'313'!$H$31:$H$39</definedName>
    <definedName name="OSRRefH22_0x_0" localSheetId="54">'314'!$H$58:$H$67</definedName>
    <definedName name="OSRRefH22_0x_0" localSheetId="59">'315'!$H$58:$H$66</definedName>
    <definedName name="OSRRefH22_0x_0" localSheetId="62">'316'!$H$36:$H$44</definedName>
    <definedName name="OSRRefH22_0x_0" localSheetId="65">'317'!$H$61:$H$70</definedName>
    <definedName name="OSRRefH22_0x_0" localSheetId="63">'320'!$H$32:$H$39</definedName>
    <definedName name="OSRRefH22_0x_0" localSheetId="69">'321'!$H$26:$H$33</definedName>
    <definedName name="OSRRefH22_0x_0" localSheetId="70">'322'!$H$22:$H$29</definedName>
    <definedName name="OSRRefH22_0x_0" localSheetId="60">'326'!$H$58:$H$66</definedName>
    <definedName name="OSRRefH22_0x_0" localSheetId="72">'327'!$H$24</definedName>
    <definedName name="OSRRefH22_0x_0" localSheetId="52">'330'!$H$86:$H$95</definedName>
    <definedName name="OSRRefH22_0x_0" localSheetId="58">'331'!$H$73:$H$81</definedName>
    <definedName name="OSRRefH22_0x_0" localSheetId="61">'332'!$H$46:$H$54</definedName>
    <definedName name="OSRRefH22_0x_0" localSheetId="76">'405'!$H$26:$H$34</definedName>
    <definedName name="OSRRefH22_0x_0" localSheetId="77">'406'!$H$27:$H$35</definedName>
    <definedName name="OSRRefH22_0x_0" localSheetId="78">'411'!$H$20:$H$29</definedName>
    <definedName name="OSRRefH22_0x_0" localSheetId="79">'412'!$H$27:$H$35</definedName>
    <definedName name="OSRRefH22_0x_0" localSheetId="81">'413'!$H$27:$H$35</definedName>
    <definedName name="OSRRefH22_0x_0" localSheetId="82">'414'!$H$27:$H$35</definedName>
    <definedName name="OSRRefH22_0x_0" localSheetId="83">'415'!$H$26:$H$34</definedName>
    <definedName name="OSRRefH22_0x_0" localSheetId="84">'418'!$H$27:$H$35</definedName>
    <definedName name="OSRRefH22_0x_0" localSheetId="80">'420'!$H$24:$H$31</definedName>
    <definedName name="OSRRefH22_0x_0" localSheetId="85">'423'!$H$21:$H$29</definedName>
    <definedName name="OSRRefH22_0x_0" localSheetId="86">'424'!$H$27:$H$34</definedName>
    <definedName name="OSRRefH22_0x_0" localSheetId="87">'425'!$H$29:$H$38</definedName>
    <definedName name="OSRRefH22_0x_0" localSheetId="90">'430'!$H$20:$H$28</definedName>
    <definedName name="OSRRefH22_0x_0" localSheetId="91">'433'!$H$28:$H$37</definedName>
    <definedName name="OSRRefH22_0x_0" localSheetId="92">'435'!$H$27:$H$34</definedName>
    <definedName name="OSRRefH22_0x_0" localSheetId="93">'444'!$H$27:$H$36</definedName>
    <definedName name="OSRRefH22_0x_0" localSheetId="95">'450'!$H$27:$H$36</definedName>
    <definedName name="OSRRefH22_0x_0" localSheetId="88">'455'!$H$20:$H$27</definedName>
    <definedName name="OSRRefH22_0x_0" localSheetId="75">'491'!$H$35:$H$44</definedName>
    <definedName name="OSRRefH22_0x_0" localSheetId="89">'492'!$H$30:$H$39</definedName>
    <definedName name="OSRRefH22_0x_0" localSheetId="97">'501'!$H$21:$H$29</definedName>
    <definedName name="OSRRefH22_0x_0" localSheetId="39">'Div 2'!$H$21:$H$31</definedName>
    <definedName name="OSRRefH22_0x_0" localSheetId="47">'Div 3'!$H$175:$H$184</definedName>
    <definedName name="OSRRefH22_0x_0" localSheetId="73">'Div 4'!$H$36:$H$45</definedName>
    <definedName name="OSRRefH22_0x_0" localSheetId="96">'Div 5'!$H$21:$H$29</definedName>
    <definedName name="OSRRefH22_0x_0" localSheetId="64">'Div 6'!$H$61:$H$70</definedName>
    <definedName name="OSRRefH22_0x_0" localSheetId="2">Summary!$H$209:$H$218</definedName>
    <definedName name="OSRRefH22_10x_0" localSheetId="41">'201'!$H$58:$H$60</definedName>
    <definedName name="OSRRefH22_10x_0" localSheetId="42">'202'!$H$59</definedName>
    <definedName name="OSRRefH22_10x_0" localSheetId="43">'203'!$H$60:$H$61</definedName>
    <definedName name="OSRRefH22_10x_0" localSheetId="44">'204'!$H$64:$H$65</definedName>
    <definedName name="OSRRefH22_10x_0" localSheetId="46">'206'!$H$58</definedName>
    <definedName name="OSRRefH22_10x_0" localSheetId="48">'300'!$H$214:$H$215</definedName>
    <definedName name="OSRRefH22_10x_0" localSheetId="49">'300 &amp; 317'!$H$240:$H$241</definedName>
    <definedName name="OSRRefH22_10x_0" localSheetId="50">'301'!$H$63</definedName>
    <definedName name="OSRRefH22_10x_0" localSheetId="51">'306'!$H$61</definedName>
    <definedName name="OSRRefH22_10x_0" localSheetId="53">'307'!$H$119:$H$121</definedName>
    <definedName name="OSRRefH22_10x_0" localSheetId="55">'308'!$H$110:$H$111</definedName>
    <definedName name="OSRRefH22_10x_0" localSheetId="67">'309'!$H$65:$H$67</definedName>
    <definedName name="OSRRefH22_10x_0" localSheetId="66">'310'!$H$74</definedName>
    <definedName name="OSRRefH22_10x_0" localSheetId="74">'310 &amp; 491'!$H$83:$H$84</definedName>
    <definedName name="OSRRefH22_10x_0" localSheetId="56">'311'!$H$110:$H$111</definedName>
    <definedName name="OSRRefH22_10x_0" localSheetId="68">'313'!$H$68:$H$70</definedName>
    <definedName name="OSRRefH22_10x_0" localSheetId="54">'314'!$H$98</definedName>
    <definedName name="OSRRefH22_10x_0" localSheetId="59">'315'!$H$98:$H$100</definedName>
    <definedName name="OSRRefH22_10x_0" localSheetId="62">'316'!$H$74:$H$75</definedName>
    <definedName name="OSRRefH22_10x_0" localSheetId="65">'317'!$H$99:$H$100</definedName>
    <definedName name="OSRRefH22_10x_0" localSheetId="69">'321'!$H$64:$H$65</definedName>
    <definedName name="OSRRefH22_10x_0" localSheetId="70">'322'!$H$60</definedName>
    <definedName name="OSRRefH22_10x_0" localSheetId="60">'326'!$H$96</definedName>
    <definedName name="OSRRefH22_10x_0" localSheetId="52">'330'!$H$126:$H$127</definedName>
    <definedName name="OSRRefH22_10x_0" localSheetId="58">'331'!$H$113</definedName>
    <definedName name="OSRRefH22_10x_0" localSheetId="61">'332'!$H$84:$H$85</definedName>
    <definedName name="OSRRefH22_10x_0" localSheetId="76">'405'!$H$65</definedName>
    <definedName name="OSRRefH22_10x_0" localSheetId="77">'406'!$H$67:$H$69</definedName>
    <definedName name="OSRRefH22_10x_0" localSheetId="78">'411'!$H$61</definedName>
    <definedName name="OSRRefH22_10x_0" localSheetId="79">'412'!$H$67</definedName>
    <definedName name="OSRRefH22_10x_0" localSheetId="81">'413'!$H$67:$H$73</definedName>
    <definedName name="OSRRefH22_10x_0" localSheetId="82">'414'!$H$66</definedName>
    <definedName name="OSRRefH22_10x_0" localSheetId="83">'415'!$H$65</definedName>
    <definedName name="OSRRefH22_10x_0" localSheetId="84">'418'!$H$66:$H$67</definedName>
    <definedName name="OSRRefH22_10x_0" localSheetId="86">'424'!$H$66</definedName>
    <definedName name="OSRRefH22_10x_0" localSheetId="87">'425'!$H$70:$H$71</definedName>
    <definedName name="OSRRefH22_10x_0" localSheetId="90">'430'!$H$60</definedName>
    <definedName name="OSRRefH22_10x_0" localSheetId="91">'433'!$H$66:$H$68</definedName>
    <definedName name="OSRRefH22_10x_0" localSheetId="93">'444'!$H$65</definedName>
    <definedName name="OSRRefH22_10x_0" localSheetId="95">'450'!$H$66</definedName>
    <definedName name="OSRRefH22_10x_0" localSheetId="75">'491'!$H$76</definedName>
    <definedName name="OSRRefH22_10x_0" localSheetId="89">'492'!$H$70</definedName>
    <definedName name="OSRRefH22_10x_0" localSheetId="97">'501'!$H$58:$H$61</definedName>
    <definedName name="OSRRefH22_10x_0" localSheetId="39">'Div 2'!$H$62</definedName>
    <definedName name="OSRRefH22_10x_0" localSheetId="47">'Div 3'!$H$219:$H$220</definedName>
    <definedName name="OSRRefH22_10x_0" localSheetId="73">'Div 4'!$H$79</definedName>
    <definedName name="OSRRefH22_10x_0" localSheetId="96">'Div 5'!$H$58:$H$61</definedName>
    <definedName name="OSRRefH22_10x_0" localSheetId="64">'Div 6'!$H$99:$H$100</definedName>
    <definedName name="OSRRefH22_10x_0" localSheetId="2">Summary!$H$254:$H$255</definedName>
    <definedName name="OSRRefH22_11x_0" localSheetId="41">'201'!$H$62:$H$64</definedName>
    <definedName name="OSRRefH22_11x_0" localSheetId="42">'202'!$H$61:$H$63</definedName>
    <definedName name="OSRRefH22_11x_0" localSheetId="43">'203'!$H$63</definedName>
    <definedName name="OSRRefH22_11x_0" localSheetId="44">'204'!$H$67</definedName>
    <definedName name="OSRRefH22_11x_0" localSheetId="48">'300'!$H$217</definedName>
    <definedName name="OSRRefH22_11x_0" localSheetId="49">'300 &amp; 317'!$H$243</definedName>
    <definedName name="OSRRefH22_11x_0" localSheetId="50">'301'!$H$65</definedName>
    <definedName name="OSRRefH22_11x_0" localSheetId="53">'307'!$H$123</definedName>
    <definedName name="OSRRefH22_11x_0" localSheetId="55">'308'!$H$113:$H$115</definedName>
    <definedName name="OSRRefH22_11x_0" localSheetId="67">'309'!$H$69:$H$71</definedName>
    <definedName name="OSRRefH22_11x_0" localSheetId="66">'310'!$H$76</definedName>
    <definedName name="OSRRefH22_11x_0" localSheetId="74">'310 &amp; 491'!$H$86:$H$87</definedName>
    <definedName name="OSRRefH22_11x_0" localSheetId="56">'311'!$H$113:$H$115</definedName>
    <definedName name="OSRRefH22_11x_0" localSheetId="68">'313'!$H$72</definedName>
    <definedName name="OSRRefH22_11x_0" localSheetId="59">'315'!$H$102:$H$103</definedName>
    <definedName name="OSRRefH22_11x_0" localSheetId="62">'316'!$H$77:$H$81</definedName>
    <definedName name="OSRRefH22_11x_0" localSheetId="65">'317'!$H$102:$H$103</definedName>
    <definedName name="OSRRefH22_11x_0" localSheetId="69">'321'!$H$67:$H$69</definedName>
    <definedName name="OSRRefH22_11x_0" localSheetId="70">'322'!$H$62</definedName>
    <definedName name="OSRRefH22_11x_0" localSheetId="60">'326'!$H$98</definedName>
    <definedName name="OSRRefH22_11x_0" localSheetId="52">'330'!$H$129</definedName>
    <definedName name="OSRRefH22_11x_0" localSheetId="58">'331'!$H$115</definedName>
    <definedName name="OSRRefH22_11x_0" localSheetId="61">'332'!$H$87:$H$88</definedName>
    <definedName name="OSRRefH22_11x_0" localSheetId="76">'405'!$H$67:$H$69</definedName>
    <definedName name="OSRRefH22_11x_0" localSheetId="77">'406'!$H$71:$H$76</definedName>
    <definedName name="OSRRefH22_11x_0" localSheetId="78">'411'!$H$63</definedName>
    <definedName name="OSRRefH22_11x_0" localSheetId="79">'412'!$H$69:$H$71</definedName>
    <definedName name="OSRRefH22_11x_0" localSheetId="81">'413'!$H$75:$H$76</definedName>
    <definedName name="OSRRefH22_11x_0" localSheetId="82">'414'!$H$68</definedName>
    <definedName name="OSRRefH22_11x_0" localSheetId="83">'415'!$H$67:$H$70</definedName>
    <definedName name="OSRRefH22_11x_0" localSheetId="84">'418'!$H$69:$H$71</definedName>
    <definedName name="OSRRefH22_11x_0" localSheetId="86">'424'!$H$68:$H$72</definedName>
    <definedName name="OSRRefH22_11x_0" localSheetId="87">'425'!$H$73:$H$75</definedName>
    <definedName name="OSRRefH22_11x_0" localSheetId="91">'433'!$H$70:$H$73</definedName>
    <definedName name="OSRRefH22_11x_0" localSheetId="93">'444'!$H$67:$H$69</definedName>
    <definedName name="OSRRefH22_11x_0" localSheetId="95">'450'!$H$68</definedName>
    <definedName name="OSRRefH22_11x_0" localSheetId="75">'491'!$H$78:$H$79</definedName>
    <definedName name="OSRRefH22_11x_0" localSheetId="89">'492'!$H$72</definedName>
    <definedName name="OSRRefH22_11x_0" localSheetId="97">'501'!$H$63</definedName>
    <definedName name="OSRRefH22_11x_0" localSheetId="39">'Div 2'!$H$64</definedName>
    <definedName name="OSRRefH22_11x_0" localSheetId="47">'Div 3'!$H$222</definedName>
    <definedName name="OSRRefH22_11x_0" localSheetId="73">'Div 4'!$H$81:$H$82</definedName>
    <definedName name="OSRRefH22_11x_0" localSheetId="96">'Div 5'!$H$63</definedName>
    <definedName name="OSRRefH22_11x_0" localSheetId="64">'Div 6'!$H$102:$H$103</definedName>
    <definedName name="OSRRefH22_11x_0" localSheetId="2">Summary!$H$257:$H$258</definedName>
    <definedName name="OSRRefH22_12x_0" localSheetId="41">'201'!$H$66</definedName>
    <definedName name="OSRRefH22_12x_0" localSheetId="42">'202'!$H$65</definedName>
    <definedName name="OSRRefH22_12x_0" localSheetId="43">'203'!$H$65:$H$67</definedName>
    <definedName name="OSRRefH22_12x_0" localSheetId="44">'204'!$H$69:$H$70</definedName>
    <definedName name="OSRRefH22_12x_0" localSheetId="48">'300'!$H$219</definedName>
    <definedName name="OSRRefH22_12x_0" localSheetId="49">'300 &amp; 317'!$H$245</definedName>
    <definedName name="OSRRefH22_12x_0" localSheetId="50">'301'!$H$67</definedName>
    <definedName name="OSRRefH22_12x_0" localSheetId="53">'307'!$H$125</definedName>
    <definedName name="OSRRefH22_12x_0" localSheetId="55">'308'!$H$117:$H$118</definedName>
    <definedName name="OSRRefH22_12x_0" localSheetId="67">'309'!$H$73</definedName>
    <definedName name="OSRRefH22_12x_0" localSheetId="66">'310'!$H$78</definedName>
    <definedName name="OSRRefH22_12x_0" localSheetId="74">'310 &amp; 491'!$H$89</definedName>
    <definedName name="OSRRefH22_12x_0" localSheetId="56">'311'!$H$117:$H$118</definedName>
    <definedName name="OSRRefH22_12x_0" localSheetId="68">'313'!$H$74:$H$79</definedName>
    <definedName name="OSRRefH22_12x_0" localSheetId="59">'315'!$H$105:$H$109</definedName>
    <definedName name="OSRRefH22_12x_0" localSheetId="62">'316'!$H$83:$H$84</definedName>
    <definedName name="OSRRefH22_12x_0" localSheetId="65">'317'!$H$105</definedName>
    <definedName name="OSRRefH22_12x_0" localSheetId="69">'321'!$H$71:$H$74</definedName>
    <definedName name="OSRRefH22_12x_0" localSheetId="60">'326'!$H$100</definedName>
    <definedName name="OSRRefH22_12x_0" localSheetId="52">'330'!$H$131:$H$133</definedName>
    <definedName name="OSRRefH22_12x_0" localSheetId="58">'331'!$H$117</definedName>
    <definedName name="OSRRefH22_12x_0" localSheetId="61">'332'!$H$90:$H$94</definedName>
    <definedName name="OSRRefH22_12x_0" localSheetId="76">'405'!$H$71</definedName>
    <definedName name="OSRRefH22_12x_0" localSheetId="77">'406'!$H$78:$H$79</definedName>
    <definedName name="OSRRefH22_12x_0" localSheetId="78">'411'!$H$65:$H$68</definedName>
    <definedName name="OSRRefH22_12x_0" localSheetId="79">'412'!$H$73:$H$80</definedName>
    <definedName name="OSRRefH22_12x_0" localSheetId="81">'413'!$H$78</definedName>
    <definedName name="OSRRefH22_12x_0" localSheetId="82">'414'!$H$70</definedName>
    <definedName name="OSRRefH22_12x_0" localSheetId="83">'415'!$H$72:$H$76</definedName>
    <definedName name="OSRRefH22_12x_0" localSheetId="84">'418'!$H$73:$H$75</definedName>
    <definedName name="OSRRefH22_12x_0" localSheetId="86">'424'!$H$74:$H$75</definedName>
    <definedName name="OSRRefH22_12x_0" localSheetId="87">'425'!$H$77</definedName>
    <definedName name="OSRRefH22_12x_0" localSheetId="91">'433'!$H$75:$H$83</definedName>
    <definedName name="OSRRefH22_12x_0" localSheetId="93">'444'!$H$71:$H$74</definedName>
    <definedName name="OSRRefH22_12x_0" localSheetId="95">'450'!$H$70:$H$73</definedName>
    <definedName name="OSRRefH22_12x_0" localSheetId="75">'491'!$H$81</definedName>
    <definedName name="OSRRefH22_12x_0" localSheetId="89">'492'!$H$74</definedName>
    <definedName name="OSRRefH22_12x_0" localSheetId="97">'501'!$H$65:$H$67</definedName>
    <definedName name="OSRRefH22_12x_0" localSheetId="39">'Div 2'!$H$66:$H$68</definedName>
    <definedName name="OSRRefH22_12x_0" localSheetId="47">'Div 3'!$H$224</definedName>
    <definedName name="OSRRefH22_12x_0" localSheetId="73">'Div 4'!$H$84</definedName>
    <definedName name="OSRRefH22_12x_0" localSheetId="96">'Div 5'!$H$65:$H$67</definedName>
    <definedName name="OSRRefH22_12x_0" localSheetId="64">'Div 6'!$H$105</definedName>
    <definedName name="OSRRefH22_12x_0" localSheetId="2">Summary!$H$260</definedName>
    <definedName name="OSRRefH22_13x_0" localSheetId="41">'201'!$H$68:$H$71</definedName>
    <definedName name="OSRRefH22_13x_0" localSheetId="42">'202'!$H$67</definedName>
    <definedName name="OSRRefH22_13x_0" localSheetId="43">'203'!$H$69</definedName>
    <definedName name="OSRRefH22_13x_0" localSheetId="48">'300'!$H$221</definedName>
    <definedName name="OSRRefH22_13x_0" localSheetId="49">'300 &amp; 317'!$H$247</definedName>
    <definedName name="OSRRefH22_13x_0" localSheetId="50">'301'!$H$69</definedName>
    <definedName name="OSRRefH22_13x_0" localSheetId="55">'308'!$H$120</definedName>
    <definedName name="OSRRefH22_13x_0" localSheetId="67">'309'!$H$75</definedName>
    <definedName name="OSRRefH22_13x_0" localSheetId="66">'310'!$H$80</definedName>
    <definedName name="OSRRefH22_13x_0" localSheetId="74">'310 &amp; 491'!$H$91</definedName>
    <definedName name="OSRRefH22_13x_0" localSheetId="56">'311'!$H$120</definedName>
    <definedName name="OSRRefH22_13x_0" localSheetId="68">'313'!$H$81</definedName>
    <definedName name="OSRRefH22_13x_0" localSheetId="59">'315'!$H$111</definedName>
    <definedName name="OSRRefH22_13x_0" localSheetId="62">'316'!$H$86</definedName>
    <definedName name="OSRRefH22_13x_0" localSheetId="65">'317'!$H$107</definedName>
    <definedName name="OSRRefH22_13x_0" localSheetId="69">'321'!$H$76</definedName>
    <definedName name="OSRRefH22_13x_0" localSheetId="60">'326'!$H$102:$H$103</definedName>
    <definedName name="OSRRefH22_13x_0" localSheetId="52">'330'!$H$135</definedName>
    <definedName name="OSRRefH22_13x_0" localSheetId="58">'331'!$H$119</definedName>
    <definedName name="OSRRefH22_13x_0" localSheetId="61">'332'!$H$96:$H$97</definedName>
    <definedName name="OSRRefH22_13x_0" localSheetId="76">'405'!$H$73:$H$75</definedName>
    <definedName name="OSRRefH22_13x_0" localSheetId="77">'406'!$H$81</definedName>
    <definedName name="OSRRefH22_13x_0" localSheetId="78">'411'!$H$70:$H$74</definedName>
    <definedName name="OSRRefH22_13x_0" localSheetId="79">'412'!$H$82</definedName>
    <definedName name="OSRRefH22_13x_0" localSheetId="81">'413'!$H$80</definedName>
    <definedName name="OSRRefH22_13x_0" localSheetId="82">'414'!$H$72:$H$78</definedName>
    <definedName name="OSRRefH22_13x_0" localSheetId="83">'415'!$H$78:$H$79</definedName>
    <definedName name="OSRRefH22_13x_0" localSheetId="84">'418'!$H$77:$H$78</definedName>
    <definedName name="OSRRefH22_13x_0" localSheetId="87">'425'!$H$79:$H$85</definedName>
    <definedName name="OSRRefH22_13x_0" localSheetId="91">'433'!$H$85</definedName>
    <definedName name="OSRRefH22_13x_0" localSheetId="93">'444'!$H$76:$H$83</definedName>
    <definedName name="OSRRefH22_13x_0" localSheetId="95">'450'!$H$75:$H$77</definedName>
    <definedName name="OSRRefH22_13x_0" localSheetId="75">'491'!$H$83</definedName>
    <definedName name="OSRRefH22_13x_0" localSheetId="89">'492'!$H$76:$H$79</definedName>
    <definedName name="OSRRefH22_13x_0" localSheetId="97">'501'!$H$69</definedName>
    <definedName name="OSRRefH22_13x_0" localSheetId="39">'Div 2'!$H$70:$H$73</definedName>
    <definedName name="OSRRefH22_13x_0" localSheetId="47">'Div 3'!$H$226</definedName>
    <definedName name="OSRRefH22_13x_0" localSheetId="73">'Div 4'!$H$86</definedName>
    <definedName name="OSRRefH22_13x_0" localSheetId="96">'Div 5'!$H$69</definedName>
    <definedName name="OSRRefH22_13x_0" localSheetId="64">'Div 6'!$H$107</definedName>
    <definedName name="OSRRefH22_13x_0" localSheetId="2">Summary!$H$262</definedName>
    <definedName name="OSRRefH22_14x_0" localSheetId="41">'201'!$H$73</definedName>
    <definedName name="OSRRefH22_14x_0" localSheetId="42">'202'!$H$69:$H$70</definedName>
    <definedName name="OSRRefH22_14x_0" localSheetId="43">'203'!$H$71</definedName>
    <definedName name="OSRRefH22_14x_0" localSheetId="48">'300'!$H$223</definedName>
    <definedName name="OSRRefH22_14x_0" localSheetId="49">'300 &amp; 317'!$H$249</definedName>
    <definedName name="OSRRefH22_14x_0" localSheetId="50">'301'!$H$71</definedName>
    <definedName name="OSRRefH22_14x_0" localSheetId="55">'308'!$H$122:$H$123</definedName>
    <definedName name="OSRRefH22_14x_0" localSheetId="66">'310'!$H$82</definedName>
    <definedName name="OSRRefH22_14x_0" localSheetId="74">'310 &amp; 491'!$H$93</definedName>
    <definedName name="OSRRefH22_14x_0" localSheetId="56">'311'!$H$122:$H$123</definedName>
    <definedName name="OSRRefH22_14x_0" localSheetId="68">'313'!$H$83</definedName>
    <definedName name="OSRRefH22_14x_0" localSheetId="59">'315'!$H$113</definedName>
    <definedName name="OSRRefH22_14x_0" localSheetId="69">'321'!$H$78</definedName>
    <definedName name="OSRRefH22_14x_0" localSheetId="60">'326'!$H$105:$H$107</definedName>
    <definedName name="OSRRefH22_14x_0" localSheetId="52">'330'!$H$137</definedName>
    <definedName name="OSRRefH22_14x_0" localSheetId="58">'331'!$H$121:$H$122</definedName>
    <definedName name="OSRRefH22_14x_0" localSheetId="61">'332'!$H$99</definedName>
    <definedName name="OSRRefH22_14x_0" localSheetId="76">'405'!$H$77:$H$78</definedName>
    <definedName name="OSRRefH22_14x_0" localSheetId="77">'406'!$H$83:$H$84</definedName>
    <definedName name="OSRRefH22_14x_0" localSheetId="78">'411'!$H$76</definedName>
    <definedName name="OSRRefH22_14x_0" localSheetId="79">'412'!$H$84</definedName>
    <definedName name="OSRRefH22_14x_0" localSheetId="82">'414'!$H$80</definedName>
    <definedName name="OSRRefH22_14x_0" localSheetId="83">'415'!$H$81:$H$89</definedName>
    <definedName name="OSRRefH22_14x_0" localSheetId="84">'418'!$H$80:$H$87</definedName>
    <definedName name="OSRRefH22_14x_0" localSheetId="87">'425'!$H$87:$H$88</definedName>
    <definedName name="OSRRefH22_14x_0" localSheetId="91">'433'!$H$87</definedName>
    <definedName name="OSRRefH22_14x_0" localSheetId="93">'444'!$H$85</definedName>
    <definedName name="OSRRefH22_14x_0" localSheetId="95">'450'!$H$79:$H$84</definedName>
    <definedName name="OSRRefH22_14x_0" localSheetId="75">'491'!$H$85</definedName>
    <definedName name="OSRRefH22_14x_0" localSheetId="89">'492'!$H$81:$H$84</definedName>
    <definedName name="OSRRefH22_14x_0" localSheetId="97">'501'!$H$71</definedName>
    <definedName name="OSRRefH22_14x_0" localSheetId="39">'Div 2'!$H$75:$H$78</definedName>
    <definedName name="OSRRefH22_14x_0" localSheetId="47">'Div 3'!$H$228</definedName>
    <definedName name="OSRRefH22_14x_0" localSheetId="73">'Div 4'!$H$88</definedName>
    <definedName name="OSRRefH22_14x_0" localSheetId="96">'Div 5'!$H$71</definedName>
    <definedName name="OSRRefH22_14x_0" localSheetId="2">Summary!$H$264</definedName>
    <definedName name="OSRRefH22_15x_0" localSheetId="41">'201'!$H$75</definedName>
    <definedName name="OSRRefH22_15x_0" localSheetId="42">'202'!$H$72</definedName>
    <definedName name="OSRRefH22_15x_0" localSheetId="43">'203'!$H$73</definedName>
    <definedName name="OSRRefH22_15x_0" localSheetId="48">'300'!$H$225</definedName>
    <definedName name="OSRRefH22_15x_0" localSheetId="49">'300 &amp; 317'!$H$251</definedName>
    <definedName name="OSRRefH22_15x_0" localSheetId="50">'301'!$H$73</definedName>
    <definedName name="OSRRefH22_15x_0" localSheetId="66">'310'!$H$84:$H$86</definedName>
    <definedName name="OSRRefH22_15x_0" localSheetId="74">'310 &amp; 491'!$H$95</definedName>
    <definedName name="OSRRefH22_15x_0" localSheetId="59">'315'!$H$115:$H$116</definedName>
    <definedName name="OSRRefH22_15x_0" localSheetId="60">'326'!$H$109:$H$110</definedName>
    <definedName name="OSRRefH22_15x_0" localSheetId="52">'330'!$H$139</definedName>
    <definedName name="OSRRefH22_15x_0" localSheetId="58">'331'!$H$124:$H$126</definedName>
    <definedName name="OSRRefH22_15x_0" localSheetId="76">'405'!$H$80:$H$88</definedName>
    <definedName name="OSRRefH22_15x_0" localSheetId="78">'411'!$H$78:$H$86</definedName>
    <definedName name="OSRRefH22_15x_0" localSheetId="79">'412'!$H$86</definedName>
    <definedName name="OSRRefH22_15x_0" localSheetId="82">'414'!$H$82</definedName>
    <definedName name="OSRRefH22_15x_0" localSheetId="83">'415'!$H$91</definedName>
    <definedName name="OSRRefH22_15x_0" localSheetId="84">'418'!$H$89</definedName>
    <definedName name="OSRRefH22_15x_0" localSheetId="87">'425'!$H$90</definedName>
    <definedName name="OSRRefH22_15x_0" localSheetId="91">'433'!$H$89:$H$90</definedName>
    <definedName name="OSRRefH22_15x_0" localSheetId="93">'444'!$H$87</definedName>
    <definedName name="OSRRefH22_15x_0" localSheetId="95">'450'!$H$86</definedName>
    <definedName name="OSRRefH22_15x_0" localSheetId="75">'491'!$H$87</definedName>
    <definedName name="OSRRefH22_15x_0" localSheetId="89">'492'!$H$86:$H$95</definedName>
    <definedName name="OSRRefH22_15x_0" localSheetId="39">'Div 2'!$H$80:$H$81</definedName>
    <definedName name="OSRRefH22_15x_0" localSheetId="47">'Div 3'!$H$230</definedName>
    <definedName name="OSRRefH22_15x_0" localSheetId="73">'Div 4'!$H$90</definedName>
    <definedName name="OSRRefH22_15x_0" localSheetId="2">Summary!$H$266</definedName>
    <definedName name="OSRRefH22_16x_0" localSheetId="41">'201'!$H$77:$H$78</definedName>
    <definedName name="OSRRefH22_16x_0" localSheetId="42">'202'!$H$74</definedName>
    <definedName name="OSRRefH22_16x_0" localSheetId="48">'300'!$H$227:$H$230</definedName>
    <definedName name="OSRRefH22_16x_0" localSheetId="49">'300 &amp; 317'!$H$253:$H$256</definedName>
    <definedName name="OSRRefH22_16x_0" localSheetId="50">'301'!$H$75:$H$78</definedName>
    <definedName name="OSRRefH22_16x_0" localSheetId="66">'310'!$H$88:$H$89</definedName>
    <definedName name="OSRRefH22_16x_0" localSheetId="74">'310 &amp; 491'!$H$97</definedName>
    <definedName name="OSRRefH22_16x_0" localSheetId="60">'326'!$H$112:$H$117</definedName>
    <definedName name="OSRRefH22_16x_0" localSheetId="58">'331'!$H$128:$H$130</definedName>
    <definedName name="OSRRefH22_16x_0" localSheetId="76">'405'!$H$90</definedName>
    <definedName name="OSRRefH22_16x_0" localSheetId="78">'411'!$H$88</definedName>
    <definedName name="OSRRefH22_16x_0" localSheetId="83">'415'!$H$93</definedName>
    <definedName name="OSRRefH22_16x_0" localSheetId="84">'418'!$H$91</definedName>
    <definedName name="OSRRefH22_16x_0" localSheetId="87">'425'!$H$92</definedName>
    <definedName name="OSRRefH22_16x_0" localSheetId="93">'444'!$H$89</definedName>
    <definedName name="OSRRefH22_16x_0" localSheetId="95">'450'!$H$88</definedName>
    <definedName name="OSRRefH22_16x_0" localSheetId="75">'491'!$H$89:$H$92</definedName>
    <definedName name="OSRRefH22_16x_0" localSheetId="89">'492'!$H$97</definedName>
    <definedName name="OSRRefH22_16x_0" localSheetId="39">'Div 2'!$H$83:$H$84</definedName>
    <definedName name="OSRRefH22_16x_0" localSheetId="47">'Div 3'!$H$232</definedName>
    <definedName name="OSRRefH22_16x_0" localSheetId="73">'Div 4'!$H$92</definedName>
    <definedName name="OSRRefH22_16x_0" localSheetId="2">Summary!$H$268</definedName>
    <definedName name="OSRRefH22_17x_0" localSheetId="48">'300'!$H$232:$H$235</definedName>
    <definedName name="OSRRefH22_17x_0" localSheetId="49">'300 &amp; 317'!$H$258:$H$261</definedName>
    <definedName name="OSRRefH22_17x_0" localSheetId="50">'301'!$H$80:$H$82</definedName>
    <definedName name="OSRRefH22_17x_0" localSheetId="66">'310'!$H$91:$H$95</definedName>
    <definedName name="OSRRefH22_17x_0" localSheetId="74">'310 &amp; 491'!$H$99:$H$102</definedName>
    <definedName name="OSRRefH22_17x_0" localSheetId="60">'326'!$H$119:$H$120</definedName>
    <definedName name="OSRRefH22_17x_0" localSheetId="58">'331'!$H$132:$H$133</definedName>
    <definedName name="OSRRefH22_17x_0" localSheetId="76">'405'!$H$92</definedName>
    <definedName name="OSRRefH22_17x_0" localSheetId="78">'411'!$H$90</definedName>
    <definedName name="OSRRefH22_17x_0" localSheetId="83">'415'!$H$95:$H$96</definedName>
    <definedName name="OSRRefH22_17x_0" localSheetId="84">'418'!$H$93:$H$94</definedName>
    <definedName name="OSRRefH22_17x_0" localSheetId="95">'450'!$H$90:$H$91</definedName>
    <definedName name="OSRRefH22_17x_0" localSheetId="75">'491'!$H$94:$H$97</definedName>
    <definedName name="OSRRefH22_17x_0" localSheetId="89">'492'!$H$99</definedName>
    <definedName name="OSRRefH22_17x_0" localSheetId="39">'Div 2'!$H$86:$H$91</definedName>
    <definedName name="OSRRefH22_17x_0" localSheetId="47">'Div 3'!$H$234</definedName>
    <definedName name="OSRRefH22_17x_0" localSheetId="73">'Div 4'!$H$94:$H$97</definedName>
    <definedName name="OSRRefH22_17x_0" localSheetId="2">Summary!$H$270</definedName>
    <definedName name="OSRRefH22_18x_0" localSheetId="48">'300'!$H$237:$H$240</definedName>
    <definedName name="OSRRefH22_18x_0" localSheetId="49">'300 &amp; 317'!$H$263:$H$266</definedName>
    <definedName name="OSRRefH22_18x_0" localSheetId="50">'301'!$H$84:$H$85</definedName>
    <definedName name="OSRRefH22_18x_0" localSheetId="66">'310'!$H$97</definedName>
    <definedName name="OSRRefH22_18x_0" localSheetId="74">'310 &amp; 491'!$H$104:$H$107</definedName>
    <definedName name="OSRRefH22_18x_0" localSheetId="60">'326'!$H$122</definedName>
    <definedName name="OSRRefH22_18x_0" localSheetId="58">'331'!$H$135:$H$140</definedName>
    <definedName name="OSRRefH22_18x_0" localSheetId="76">'405'!$H$94</definedName>
    <definedName name="OSRRefH22_18x_0" localSheetId="78">'411'!$H$92:$H$94</definedName>
    <definedName name="OSRRefH22_18x_0" localSheetId="83">'415'!$H$98</definedName>
    <definedName name="OSRRefH22_18x_0" localSheetId="75">'491'!$H$99:$H$103</definedName>
    <definedName name="OSRRefH22_18x_0" localSheetId="89">'492'!$H$101:$H$102</definedName>
    <definedName name="OSRRefH22_18x_0" localSheetId="39">'Div 2'!$H$93:$H$94</definedName>
    <definedName name="OSRRefH22_18x_0" localSheetId="47">'Div 3'!$H$236:$H$239</definedName>
    <definedName name="OSRRefH22_18x_0" localSheetId="73">'Div 4'!$H$99:$H$102</definedName>
    <definedName name="OSRRefH22_18x_0" localSheetId="2">Summary!$H$272:$H$275</definedName>
    <definedName name="OSRRefH22_19x_0" localSheetId="48">'300'!$H$242:$H$243</definedName>
    <definedName name="OSRRefH22_19x_0" localSheetId="49">'300 &amp; 317'!$H$268:$H$269</definedName>
    <definedName name="OSRRefH22_19x_0" localSheetId="50">'301'!$H$87:$H$93</definedName>
    <definedName name="OSRRefH22_19x_0" localSheetId="66">'310'!$H$99:$H$107</definedName>
    <definedName name="OSRRefH22_19x_0" localSheetId="74">'310 &amp; 491'!$H$109:$H$114</definedName>
    <definedName name="OSRRefH22_19x_0" localSheetId="60">'326'!$H$124</definedName>
    <definedName name="OSRRefH22_19x_0" localSheetId="58">'331'!$H$142:$H$143</definedName>
    <definedName name="OSRRefH22_19x_0" localSheetId="76">'405'!$H$96</definedName>
    <definedName name="OSRRefH22_19x_0" localSheetId="78">'411'!$H$96</definedName>
    <definedName name="OSRRefH22_19x_0" localSheetId="75">'491'!$H$105:$H$106</definedName>
    <definedName name="OSRRefH22_19x_0" localSheetId="39">'Div 2'!$H$96</definedName>
    <definedName name="OSRRefH22_19x_0" localSheetId="47">'Div 3'!$H$241:$H$244</definedName>
    <definedName name="OSRRefH22_19x_0" localSheetId="73">'Div 4'!$H$104:$H$108</definedName>
    <definedName name="OSRRefH22_19x_0" localSheetId="2">Summary!$H$277:$H$280</definedName>
    <definedName name="OSRRefH22_1x_0" localSheetId="40">'200'!$H$22</definedName>
    <definedName name="OSRRefH22_1x_0" localSheetId="41">'201'!$H$30:$H$39</definedName>
    <definedName name="OSRRefH22_1x_0" localSheetId="42">'202'!$H$30:$H$39</definedName>
    <definedName name="OSRRefH22_1x_0" localSheetId="43">'203'!$H$31:$H$40</definedName>
    <definedName name="OSRRefH22_1x_0" localSheetId="44">'204'!$H$32:$H$41</definedName>
    <definedName name="OSRRefH22_1x_0" localSheetId="45">'205'!$H$30:$H$39</definedName>
    <definedName name="OSRRefH22_1x_0" localSheetId="46">'206'!$H$30:$H$39</definedName>
    <definedName name="OSRRefH22_1x_0" localSheetId="48">'300'!$H$181:$H$190</definedName>
    <definedName name="OSRRefH22_1x_0" localSheetId="49">'300 &amp; 317'!$H$207:$H$216</definedName>
    <definedName name="OSRRefH22_1x_0" localSheetId="50">'301'!$H$30:$H$39</definedName>
    <definedName name="OSRRefH22_1x_0" localSheetId="51">'306'!$H$30:$H$39</definedName>
    <definedName name="OSRRefH22_1x_0" localSheetId="53">'307'!$H$89:$H$98</definedName>
    <definedName name="OSRRefH22_1x_0" localSheetId="55">'308'!$H$78:$H$87</definedName>
    <definedName name="OSRRefH22_1x_0" localSheetId="67">'309'!$H$36:$H$45</definedName>
    <definedName name="OSRRefH22_1x_0" localSheetId="66">'310'!$H$45:$H$54</definedName>
    <definedName name="OSRRefH22_1x_0" localSheetId="74">'310 &amp; 491'!$H$53:$H$62</definedName>
    <definedName name="OSRRefH22_1x_0" localSheetId="56">'311'!$H$78:$H$87</definedName>
    <definedName name="OSRRefH22_1x_0" localSheetId="68">'313'!$H$41:$H$50</definedName>
    <definedName name="OSRRefH22_1x_0" localSheetId="54">'314'!$H$69:$H$78</definedName>
    <definedName name="OSRRefH22_1x_0" localSheetId="59">'315'!$H$68:$H$77</definedName>
    <definedName name="OSRRefH22_1x_0" localSheetId="62">'316'!$H$46:$H$55</definedName>
    <definedName name="OSRRefH22_1x_0" localSheetId="65">'317'!$H$72:$H$81</definedName>
    <definedName name="OSRRefH22_1x_0" localSheetId="63">'320'!$H$41:$H$50</definedName>
    <definedName name="OSRRefH22_1x_0" localSheetId="69">'321'!$H$35:$H$44</definedName>
    <definedName name="OSRRefH22_1x_0" localSheetId="70">'322'!$H$31:$H$40</definedName>
    <definedName name="OSRRefH22_1x_0" localSheetId="60">'326'!$H$68:$H$77</definedName>
    <definedName name="OSRRefH22_1x_0" localSheetId="72">'327'!$H$26</definedName>
    <definedName name="OSRRefH22_1x_0" localSheetId="52">'330'!$H$97:$H$106</definedName>
    <definedName name="OSRRefH22_1x_0" localSheetId="58">'331'!$H$83:$H$92</definedName>
    <definedName name="OSRRefH22_1x_0" localSheetId="61">'332'!$H$56:$H$65</definedName>
    <definedName name="OSRRefH22_1x_0" localSheetId="76">'405'!$H$36:$H$45</definedName>
    <definedName name="OSRRefH22_1x_0" localSheetId="77">'406'!$H$37:$H$46</definedName>
    <definedName name="OSRRefH22_1x_0" localSheetId="78">'411'!$H$31:$H$40</definedName>
    <definedName name="OSRRefH22_1x_0" localSheetId="79">'412'!$H$37:$H$46</definedName>
    <definedName name="OSRRefH22_1x_0" localSheetId="81">'413'!$H$37:$H$46</definedName>
    <definedName name="OSRRefH22_1x_0" localSheetId="82">'414'!$H$37:$H$46</definedName>
    <definedName name="OSRRefH22_1x_0" localSheetId="83">'415'!$H$36:$H$45</definedName>
    <definedName name="OSRRefH22_1x_0" localSheetId="84">'418'!$H$37:$H$46</definedName>
    <definedName name="OSRRefH22_1x_0" localSheetId="80">'420'!$H$33:$H$36</definedName>
    <definedName name="OSRRefH22_1x_0" localSheetId="85">'423'!$H$31:$H$40</definedName>
    <definedName name="OSRRefH22_1x_0" localSheetId="86">'424'!$H$36:$H$45</definedName>
    <definedName name="OSRRefH22_1x_0" localSheetId="87">'425'!$H$40:$H$49</definedName>
    <definedName name="OSRRefH22_1x_0" localSheetId="90">'430'!$H$30:$H$39</definedName>
    <definedName name="OSRRefH22_1x_0" localSheetId="91">'433'!$H$39:$H$48</definedName>
    <definedName name="OSRRefH22_1x_0" localSheetId="92">'435'!$H$36:$H$45</definedName>
    <definedName name="OSRRefH22_1x_0" localSheetId="93">'444'!$H$38:$H$47</definedName>
    <definedName name="OSRRefH22_1x_0" localSheetId="95">'450'!$H$38:$H$47</definedName>
    <definedName name="OSRRefH22_1x_0" localSheetId="88">'455'!$H$29:$H$38</definedName>
    <definedName name="OSRRefH22_1x_0" localSheetId="75">'491'!$H$46:$H$55</definedName>
    <definedName name="OSRRefH22_1x_0" localSheetId="89">'492'!$H$41:$H$50</definedName>
    <definedName name="OSRRefH22_1x_0" localSheetId="97">'501'!$H$31:$H$40</definedName>
    <definedName name="OSRRefH22_1x_0" localSheetId="39">'Div 2'!$H$33:$H$42</definedName>
    <definedName name="OSRRefH22_1x_0" localSheetId="47">'Div 3'!$H$186:$H$195</definedName>
    <definedName name="OSRRefH22_1x_0" localSheetId="73">'Div 4'!$H$47:$H$56</definedName>
    <definedName name="OSRRefH22_1x_0" localSheetId="96">'Div 5'!$H$31:$H$40</definedName>
    <definedName name="OSRRefH22_1x_0" localSheetId="64">'Div 6'!$H$72:$H$81</definedName>
    <definedName name="OSRRefH22_1x_0" localSheetId="2">Summary!$H$220:$H$229</definedName>
    <definedName name="OSRRefH22_20x_0" localSheetId="48">'300'!$H$245:$H$252</definedName>
    <definedName name="OSRRefH22_20x_0" localSheetId="49">'300 &amp; 317'!$H$271:$H$278</definedName>
    <definedName name="OSRRefH22_20x_0" localSheetId="50">'301'!$H$95</definedName>
    <definedName name="OSRRefH22_20x_0" localSheetId="66">'310'!$H$109</definedName>
    <definedName name="OSRRefH22_20x_0" localSheetId="74">'310 &amp; 491'!$H$116:$H$117</definedName>
    <definedName name="OSRRefH22_20x_0" localSheetId="60">'326'!$H$126</definedName>
    <definedName name="OSRRefH22_20x_0" localSheetId="58">'331'!$H$145</definedName>
    <definedName name="OSRRefH22_20x_0" localSheetId="75">'491'!$H$108:$H$118</definedName>
    <definedName name="OSRRefH22_20x_0" localSheetId="39">'Div 2'!$H$98:$H$99</definedName>
    <definedName name="OSRRefH22_20x_0" localSheetId="47">'Div 3'!$H$246:$H$251</definedName>
    <definedName name="OSRRefH22_20x_0" localSheetId="73">'Div 4'!$H$110:$H$111</definedName>
    <definedName name="OSRRefH22_20x_0" localSheetId="2">Summary!$H$282:$H$287</definedName>
    <definedName name="OSRRefH22_21x_0" localSheetId="48">'300'!$H$254:$H$255</definedName>
    <definedName name="OSRRefH22_21x_0" localSheetId="49">'300 &amp; 317'!$H$280:$H$281</definedName>
    <definedName name="OSRRefH22_21x_0" localSheetId="50">'301'!$H$97</definedName>
    <definedName name="OSRRefH22_21x_0" localSheetId="66">'310'!$H$111</definedName>
    <definedName name="OSRRefH22_21x_0" localSheetId="74">'310 &amp; 491'!$H$119:$H$129</definedName>
    <definedName name="OSRRefH22_21x_0" localSheetId="58">'331'!$H$147:$H$148</definedName>
    <definedName name="OSRRefH22_21x_0" localSheetId="75">'491'!$H$120:$H$121</definedName>
    <definedName name="OSRRefH22_21x_0" localSheetId="47">'Div 3'!$H$253:$H$254</definedName>
    <definedName name="OSRRefH22_21x_0" localSheetId="73">'Div 4'!$H$113:$H$123</definedName>
    <definedName name="OSRRefH22_21x_0" localSheetId="2">Summary!$H$289:$H$290</definedName>
    <definedName name="OSRRefH22_22x_0" localSheetId="48">'300'!$H$257</definedName>
    <definedName name="OSRRefH22_22x_0" localSheetId="49">'300 &amp; 317'!$H$283</definedName>
    <definedName name="OSRRefH22_22x_0" localSheetId="50">'301'!$H$99:$H$101</definedName>
    <definedName name="OSRRefH22_22x_0" localSheetId="66">'310'!$H$113:$H$114</definedName>
    <definedName name="OSRRefH22_22x_0" localSheetId="74">'310 &amp; 491'!$H$131:$H$132</definedName>
    <definedName name="OSRRefH22_22x_0" localSheetId="58">'331'!$H$150</definedName>
    <definedName name="OSRRefH22_22x_0" localSheetId="75">'491'!$H$123</definedName>
    <definedName name="OSRRefH22_22x_0" localSheetId="47">'Div 3'!$H$256:$H$265</definedName>
    <definedName name="OSRRefH22_22x_0" localSheetId="73">'Div 4'!$H$125:$H$126</definedName>
    <definedName name="OSRRefH22_22x_0" localSheetId="2">Summary!$H$292:$H$302</definedName>
    <definedName name="OSRRefH22_23x_0" localSheetId="48">'300'!$H$259:$H$261</definedName>
    <definedName name="OSRRefH22_23x_0" localSheetId="49">'300 &amp; 317'!$H$285:$H$287</definedName>
    <definedName name="OSRRefH22_23x_0" localSheetId="50">'301'!$H$103</definedName>
    <definedName name="OSRRefH22_23x_0" localSheetId="66">'310'!$H$116</definedName>
    <definedName name="OSRRefH22_23x_0" localSheetId="74">'310 &amp; 491'!$H$134</definedName>
    <definedName name="OSRRefH22_23x_0" localSheetId="75">'491'!$H$125:$H$127</definedName>
    <definedName name="OSRRefH22_23x_0" localSheetId="47">'Div 3'!$H$267:$H$268</definedName>
    <definedName name="OSRRefH22_23x_0" localSheetId="73">'Div 4'!$H$128</definedName>
    <definedName name="OSRRefH22_23x_0" localSheetId="2">Summary!$H$304:$H$305</definedName>
    <definedName name="OSRRefH22_24x_0" localSheetId="48">'300'!$H$263</definedName>
    <definedName name="OSRRefH22_24x_0" localSheetId="49">'300 &amp; 317'!$H$289</definedName>
    <definedName name="OSRRefH22_24x_0" localSheetId="74">'310 &amp; 491'!$H$136:$H$138</definedName>
    <definedName name="OSRRefH22_24x_0" localSheetId="75">'491'!$H$129</definedName>
    <definedName name="OSRRefH22_24x_0" localSheetId="47">'Div 3'!$H$270</definedName>
    <definedName name="OSRRefH22_24x_0" localSheetId="73">'Div 4'!$H$130:$H$132</definedName>
    <definedName name="OSRRefH22_24x_0" localSheetId="2">Summary!$H$307</definedName>
    <definedName name="OSRRefH22_25x_0" localSheetId="74">'310 &amp; 491'!$H$140</definedName>
    <definedName name="OSRRefH22_25x_0" localSheetId="47">'Div 3'!$H$272:$H$274</definedName>
    <definedName name="OSRRefH22_25x_0" localSheetId="73">'Div 4'!$H$134</definedName>
    <definedName name="OSRRefH22_25x_0" localSheetId="2">Summary!$H$309:$H$311</definedName>
    <definedName name="OSRRefH22_26x_0" localSheetId="47">'Div 3'!$H$276</definedName>
    <definedName name="OSRRefH22_26x_0" localSheetId="2">Summary!$H$313</definedName>
    <definedName name="OSRRefH22_2x_0" localSheetId="40">'200'!$H$24</definedName>
    <definedName name="OSRRefH22_2x_0" localSheetId="41">'201'!$H$41</definedName>
    <definedName name="OSRRefH22_2x_0" localSheetId="42">'202'!$H$41</definedName>
    <definedName name="OSRRefH22_2x_0" localSheetId="43">'203'!$H$42</definedName>
    <definedName name="OSRRefH22_2x_0" localSheetId="44">'204'!$H$43</definedName>
    <definedName name="OSRRefH22_2x_0" localSheetId="45">'205'!$H$41</definedName>
    <definedName name="OSRRefH22_2x_0" localSheetId="46">'206'!$H$41</definedName>
    <definedName name="OSRRefH22_2x_0" localSheetId="48">'300'!$H$192</definedName>
    <definedName name="OSRRefH22_2x_0" localSheetId="49">'300 &amp; 317'!$H$218</definedName>
    <definedName name="OSRRefH22_2x_0" localSheetId="50">'301'!$H$41</definedName>
    <definedName name="OSRRefH22_2x_0" localSheetId="51">'306'!$H$41</definedName>
    <definedName name="OSRRefH22_2x_0" localSheetId="53">'307'!$H$100</definedName>
    <definedName name="OSRRefH22_2x_0" localSheetId="55">'308'!$H$89</definedName>
    <definedName name="OSRRefH22_2x_0" localSheetId="67">'309'!$H$47</definedName>
    <definedName name="OSRRefH22_2x_0" localSheetId="66">'310'!$H$56</definedName>
    <definedName name="OSRRefH22_2x_0" localSheetId="74">'310 &amp; 491'!$H$64</definedName>
    <definedName name="OSRRefH22_2x_0" localSheetId="56">'311'!$H$89</definedName>
    <definedName name="OSRRefH22_2x_0" localSheetId="68">'313'!$H$52</definedName>
    <definedName name="OSRRefH22_2x_0" localSheetId="54">'314'!$H$80</definedName>
    <definedName name="OSRRefH22_2x_0" localSheetId="59">'315'!$H$79</definedName>
    <definedName name="OSRRefH22_2x_0" localSheetId="62">'316'!$H$57</definedName>
    <definedName name="OSRRefH22_2x_0" localSheetId="65">'317'!$H$83</definedName>
    <definedName name="OSRRefH22_2x_0" localSheetId="63">'320'!$H$52</definedName>
    <definedName name="OSRRefH22_2x_0" localSheetId="69">'321'!$H$46</definedName>
    <definedName name="OSRRefH22_2x_0" localSheetId="70">'322'!$H$42</definedName>
    <definedName name="OSRRefH22_2x_0" localSheetId="60">'326'!$H$79</definedName>
    <definedName name="OSRRefH22_2x_0" localSheetId="72">'327'!$H$28</definedName>
    <definedName name="OSRRefH22_2x_0" localSheetId="52">'330'!$H$108</definedName>
    <definedName name="OSRRefH22_2x_0" localSheetId="58">'331'!$H$94</definedName>
    <definedName name="OSRRefH22_2x_0" localSheetId="61">'332'!$H$67</definedName>
    <definedName name="OSRRefH22_2x_0" localSheetId="76">'405'!$H$47</definedName>
    <definedName name="OSRRefH22_2x_0" localSheetId="77">'406'!$H$48</definedName>
    <definedName name="OSRRefH22_2x_0" localSheetId="78">'411'!$H$42</definedName>
    <definedName name="OSRRefH22_2x_0" localSheetId="79">'412'!$H$48</definedName>
    <definedName name="OSRRefH22_2x_0" localSheetId="81">'413'!$H$48</definedName>
    <definedName name="OSRRefH22_2x_0" localSheetId="82">'414'!$H$48</definedName>
    <definedName name="OSRRefH22_2x_0" localSheetId="83">'415'!$H$47</definedName>
    <definedName name="OSRRefH22_2x_0" localSheetId="84">'418'!$H$48</definedName>
    <definedName name="OSRRefH22_2x_0" localSheetId="80">'420'!$H$38</definedName>
    <definedName name="OSRRefH22_2x_0" localSheetId="85">'423'!$H$42</definedName>
    <definedName name="OSRRefH22_2x_0" localSheetId="86">'424'!$H$47</definedName>
    <definedName name="OSRRefH22_2x_0" localSheetId="87">'425'!$H$51</definedName>
    <definedName name="OSRRefH22_2x_0" localSheetId="90">'430'!$H$41</definedName>
    <definedName name="OSRRefH22_2x_0" localSheetId="91">'433'!$H$50</definedName>
    <definedName name="OSRRefH22_2x_0" localSheetId="92">'435'!$H$47</definedName>
    <definedName name="OSRRefH22_2x_0" localSheetId="93">'444'!$H$49</definedName>
    <definedName name="OSRRefH22_2x_0" localSheetId="95">'450'!$H$49</definedName>
    <definedName name="OSRRefH22_2x_0" localSheetId="75">'491'!$H$57</definedName>
    <definedName name="OSRRefH22_2x_0" localSheetId="89">'492'!$H$52</definedName>
    <definedName name="OSRRefH22_2x_0" localSheetId="97">'501'!$H$42</definedName>
    <definedName name="OSRRefH22_2x_0" localSheetId="39">'Div 2'!$H$44</definedName>
    <definedName name="OSRRefH22_2x_0" localSheetId="47">'Div 3'!$H$197</definedName>
    <definedName name="OSRRefH22_2x_0" localSheetId="73">'Div 4'!$H$58</definedName>
    <definedName name="OSRRefH22_2x_0" localSheetId="96">'Div 5'!$H$42</definedName>
    <definedName name="OSRRefH22_2x_0" localSheetId="64">'Div 6'!$H$83</definedName>
    <definedName name="OSRRefH22_2x_0" localSheetId="2">Summary!$H$231</definedName>
    <definedName name="OSRRefH22_3x_0" localSheetId="40">'200'!$H$26</definedName>
    <definedName name="OSRRefH22_3x_0" localSheetId="41">'201'!$H$43</definedName>
    <definedName name="OSRRefH22_3x_0" localSheetId="42">'202'!$H$43</definedName>
    <definedName name="OSRRefH22_3x_0" localSheetId="43">'203'!$H$44</definedName>
    <definedName name="OSRRefH22_3x_0" localSheetId="44">'204'!$H$45:$H$46</definedName>
    <definedName name="OSRRefH22_3x_0" localSheetId="45">'205'!$H$43</definedName>
    <definedName name="OSRRefH22_3x_0" localSheetId="46">'206'!$H$43</definedName>
    <definedName name="OSRRefH22_3x_0" localSheetId="48">'300'!$H$194:$H$195</definedName>
    <definedName name="OSRRefH22_3x_0" localSheetId="49">'300 &amp; 317'!$H$220:$H$221</definedName>
    <definedName name="OSRRefH22_3x_0" localSheetId="50">'301'!$H$43:$H$44</definedName>
    <definedName name="OSRRefH22_3x_0" localSheetId="51">'306'!$H$43</definedName>
    <definedName name="OSRRefH22_3x_0" localSheetId="53">'307'!$H$102</definedName>
    <definedName name="OSRRefH22_3x_0" localSheetId="55">'308'!$H$91:$H$92</definedName>
    <definedName name="OSRRefH22_3x_0" localSheetId="67">'309'!$H$49</definedName>
    <definedName name="OSRRefH22_3x_0" localSheetId="66">'310'!$H$58</definedName>
    <definedName name="OSRRefH22_3x_0" localSheetId="74">'310 &amp; 491'!$H$66</definedName>
    <definedName name="OSRRefH22_3x_0" localSheetId="56">'311'!$H$91:$H$92</definedName>
    <definedName name="OSRRefH22_3x_0" localSheetId="68">'313'!$H$54</definedName>
    <definedName name="OSRRefH22_3x_0" localSheetId="54">'314'!$H$82:$H$83</definedName>
    <definedName name="OSRRefH22_3x_0" localSheetId="59">'315'!$H$81:$H$82</definedName>
    <definedName name="OSRRefH22_3x_0" localSheetId="62">'316'!$H$59</definedName>
    <definedName name="OSRRefH22_3x_0" localSheetId="65">'317'!$H$85</definedName>
    <definedName name="OSRRefH22_3x_0" localSheetId="63">'320'!$H$54</definedName>
    <definedName name="OSRRefH22_3x_0" localSheetId="69">'321'!$H$48</definedName>
    <definedName name="OSRRefH22_3x_0" localSheetId="70">'322'!$H$44</definedName>
    <definedName name="OSRRefH22_3x_0" localSheetId="60">'326'!$H$81:$H$82</definedName>
    <definedName name="OSRRefH22_3x_0" localSheetId="52">'330'!$H$110</definedName>
    <definedName name="OSRRefH22_3x_0" localSheetId="58">'331'!$H$96:$H$97</definedName>
    <definedName name="OSRRefH22_3x_0" localSheetId="61">'332'!$H$69</definedName>
    <definedName name="OSRRefH22_3x_0" localSheetId="76">'405'!$H$49</definedName>
    <definedName name="OSRRefH22_3x_0" localSheetId="77">'406'!$H$50</definedName>
    <definedName name="OSRRefH22_3x_0" localSheetId="78">'411'!$H$44</definedName>
    <definedName name="OSRRefH22_3x_0" localSheetId="79">'412'!$H$50</definedName>
    <definedName name="OSRRefH22_3x_0" localSheetId="81">'413'!$H$50</definedName>
    <definedName name="OSRRefH22_3x_0" localSheetId="82">'414'!$H$50</definedName>
    <definedName name="OSRRefH22_3x_0" localSheetId="83">'415'!$H$49</definedName>
    <definedName name="OSRRefH22_3x_0" localSheetId="84">'418'!$H$50</definedName>
    <definedName name="OSRRefH22_3x_0" localSheetId="80">'420'!$H$40</definedName>
    <definedName name="OSRRefH22_3x_0" localSheetId="85">'423'!$H$44</definedName>
    <definedName name="OSRRefH22_3x_0" localSheetId="86">'424'!$H$49</definedName>
    <definedName name="OSRRefH22_3x_0" localSheetId="87">'425'!$H$53</definedName>
    <definedName name="OSRRefH22_3x_0" localSheetId="90">'430'!$H$43</definedName>
    <definedName name="OSRRefH22_3x_0" localSheetId="91">'433'!$H$52</definedName>
    <definedName name="OSRRefH22_3x_0" localSheetId="92">'435'!$H$49</definedName>
    <definedName name="OSRRefH22_3x_0" localSheetId="93">'444'!$H$51</definedName>
    <definedName name="OSRRefH22_3x_0" localSheetId="95">'450'!$H$51:$H$52</definedName>
    <definedName name="OSRRefH22_3x_0" localSheetId="75">'491'!$H$59</definedName>
    <definedName name="OSRRefH22_3x_0" localSheetId="89">'492'!$H$54:$H$55</definedName>
    <definedName name="OSRRefH22_3x_0" localSheetId="97">'501'!$H$44</definedName>
    <definedName name="OSRRefH22_3x_0" localSheetId="39">'Div 2'!$H$46</definedName>
    <definedName name="OSRRefH22_3x_0" localSheetId="47">'Div 3'!$H$199:$H$200</definedName>
    <definedName name="OSRRefH22_3x_0" localSheetId="73">'Div 4'!$H$60:$H$61</definedName>
    <definedName name="OSRRefH22_3x_0" localSheetId="96">'Div 5'!$H$44</definedName>
    <definedName name="OSRRefH22_3x_0" localSheetId="64">'Div 6'!$H$85</definedName>
    <definedName name="OSRRefH22_3x_0" localSheetId="2">Summary!$H$233:$H$234</definedName>
    <definedName name="OSRRefH22_4x_0" localSheetId="40">'200'!$H$28:$H$29</definedName>
    <definedName name="OSRRefH22_4x_0" localSheetId="41">'201'!$H$45:$H$46</definedName>
    <definedName name="OSRRefH22_4x_0" localSheetId="42">'202'!$H$45</definedName>
    <definedName name="OSRRefH22_4x_0" localSheetId="43">'203'!$H$46</definedName>
    <definedName name="OSRRefH22_4x_0" localSheetId="44">'204'!$H$48</definedName>
    <definedName name="OSRRefH22_4x_0" localSheetId="45">'205'!$H$45</definedName>
    <definedName name="OSRRefH22_4x_0" localSheetId="46">'206'!$H$45</definedName>
    <definedName name="OSRRefH22_4x_0" localSheetId="48">'300'!$H$197</definedName>
    <definedName name="OSRRefH22_4x_0" localSheetId="49">'300 &amp; 317'!$H$223</definedName>
    <definedName name="OSRRefH22_4x_0" localSheetId="50">'301'!$H$46</definedName>
    <definedName name="OSRRefH22_4x_0" localSheetId="51">'306'!$H$45</definedName>
    <definedName name="OSRRefH22_4x_0" localSheetId="53">'307'!$H$104:$H$105</definedName>
    <definedName name="OSRRefH22_4x_0" localSheetId="55">'308'!$H$94</definedName>
    <definedName name="OSRRefH22_4x_0" localSheetId="67">'309'!$H$51</definedName>
    <definedName name="OSRRefH22_4x_0" localSheetId="66">'310'!$H$60</definedName>
    <definedName name="OSRRefH22_4x_0" localSheetId="74">'310 &amp; 491'!$H$68</definedName>
    <definedName name="OSRRefH22_4x_0" localSheetId="56">'311'!$H$94</definedName>
    <definedName name="OSRRefH22_4x_0" localSheetId="68">'313'!$H$56</definedName>
    <definedName name="OSRRefH22_4x_0" localSheetId="54">'314'!$H$85</definedName>
    <definedName name="OSRRefH22_4x_0" localSheetId="59">'315'!$H$84</definedName>
    <definedName name="OSRRefH22_4x_0" localSheetId="62">'316'!$H$61</definedName>
    <definedName name="OSRRefH22_4x_0" localSheetId="65">'317'!$H$87</definedName>
    <definedName name="OSRRefH22_4x_0" localSheetId="63">'320'!$H$56:$H$57</definedName>
    <definedName name="OSRRefH22_4x_0" localSheetId="69">'321'!$H$50</definedName>
    <definedName name="OSRRefH22_4x_0" localSheetId="70">'322'!$H$46</definedName>
    <definedName name="OSRRefH22_4x_0" localSheetId="60">'326'!$H$84</definedName>
    <definedName name="OSRRefH22_4x_0" localSheetId="52">'330'!$H$112:$H$113</definedName>
    <definedName name="OSRRefH22_4x_0" localSheetId="58">'331'!$H$99</definedName>
    <definedName name="OSRRefH22_4x_0" localSheetId="61">'332'!$H$71</definedName>
    <definedName name="OSRRefH22_4x_0" localSheetId="76">'405'!$H$51</definedName>
    <definedName name="OSRRefH22_4x_0" localSheetId="77">'406'!$H$52</definedName>
    <definedName name="OSRRefH22_4x_0" localSheetId="78">'411'!$H$46:$H$49</definedName>
    <definedName name="OSRRefH22_4x_0" localSheetId="79">'412'!$H$52</definedName>
    <definedName name="OSRRefH22_4x_0" localSheetId="81">'413'!$H$52</definedName>
    <definedName name="OSRRefH22_4x_0" localSheetId="82">'414'!$H$52</definedName>
    <definedName name="OSRRefH22_4x_0" localSheetId="83">'415'!$H$51</definedName>
    <definedName name="OSRRefH22_4x_0" localSheetId="84">'418'!$H$52</definedName>
    <definedName name="OSRRefH22_4x_0" localSheetId="80">'420'!$H$42</definedName>
    <definedName name="OSRRefH22_4x_0" localSheetId="85">'423'!$H$46</definedName>
    <definedName name="OSRRefH22_4x_0" localSheetId="86">'424'!$H$51</definedName>
    <definedName name="OSRRefH22_4x_0" localSheetId="87">'425'!$H$55</definedName>
    <definedName name="OSRRefH22_4x_0" localSheetId="90">'430'!$H$45</definedName>
    <definedName name="OSRRefH22_4x_0" localSheetId="91">'433'!$H$54</definedName>
    <definedName name="OSRRefH22_4x_0" localSheetId="92">'435'!$H$51</definedName>
    <definedName name="OSRRefH22_4x_0" localSheetId="93">'444'!$H$53</definedName>
    <definedName name="OSRRefH22_4x_0" localSheetId="95">'450'!$H$54</definedName>
    <definedName name="OSRRefH22_4x_0" localSheetId="75">'491'!$H$61</definedName>
    <definedName name="OSRRefH22_4x_0" localSheetId="89">'492'!$H$57</definedName>
    <definedName name="OSRRefH22_4x_0" localSheetId="97">'501'!$H$46</definedName>
    <definedName name="OSRRefH22_4x_0" localSheetId="39">'Div 2'!$H$48</definedName>
    <definedName name="OSRRefH22_4x_0" localSheetId="47">'Div 3'!$H$202</definedName>
    <definedName name="OSRRefH22_4x_0" localSheetId="73">'Div 4'!$H$63</definedName>
    <definedName name="OSRRefH22_4x_0" localSheetId="96">'Div 5'!$H$46</definedName>
    <definedName name="OSRRefH22_4x_0" localSheetId="64">'Div 6'!$H$87</definedName>
    <definedName name="OSRRefH22_4x_0" localSheetId="2">Summary!$H$236</definedName>
    <definedName name="OSRRefH22_5x_0" localSheetId="41">'201'!$H$48</definedName>
    <definedName name="OSRRefH22_5x_0" localSheetId="42">'202'!$H$47</definedName>
    <definedName name="OSRRefH22_5x_0" localSheetId="43">'203'!$H$48</definedName>
    <definedName name="OSRRefH22_5x_0" localSheetId="44">'204'!$H$50</definedName>
    <definedName name="OSRRefH22_5x_0" localSheetId="45">'205'!$H$47:$H$49</definedName>
    <definedName name="OSRRefH22_5x_0" localSheetId="46">'206'!$H$47</definedName>
    <definedName name="OSRRefH22_5x_0" localSheetId="48">'300'!$H$199:$H$202</definedName>
    <definedName name="OSRRefH22_5x_0" localSheetId="49">'300 &amp; 317'!$H$225:$H$228</definedName>
    <definedName name="OSRRefH22_5x_0" localSheetId="50">'301'!$H$48:$H$51</definedName>
    <definedName name="OSRRefH22_5x_0" localSheetId="51">'306'!$H$47</definedName>
    <definedName name="OSRRefH22_5x_0" localSheetId="53">'307'!$H$107</definedName>
    <definedName name="OSRRefH22_5x_0" localSheetId="55">'308'!$H$96</definedName>
    <definedName name="OSRRefH22_5x_0" localSheetId="67">'309'!$H$53:$H$54</definedName>
    <definedName name="OSRRefH22_5x_0" localSheetId="66">'310'!$H$62:$H$64</definedName>
    <definedName name="OSRRefH22_5x_0" localSheetId="74">'310 &amp; 491'!$H$70:$H$73</definedName>
    <definedName name="OSRRefH22_5x_0" localSheetId="56">'311'!$H$96</definedName>
    <definedName name="OSRRefH22_5x_0" localSheetId="68">'313'!$H$58</definedName>
    <definedName name="OSRRefH22_5x_0" localSheetId="54">'314'!$H$87</definedName>
    <definedName name="OSRRefH22_5x_0" localSheetId="59">'315'!$H$86:$H$87</definedName>
    <definedName name="OSRRefH22_5x_0" localSheetId="62">'316'!$H$63</definedName>
    <definedName name="OSRRefH22_5x_0" localSheetId="65">'317'!$H$89</definedName>
    <definedName name="OSRRefH22_5x_0" localSheetId="63">'320'!$H$59</definedName>
    <definedName name="OSRRefH22_5x_0" localSheetId="69">'321'!$H$52</definedName>
    <definedName name="OSRRefH22_5x_0" localSheetId="70">'322'!$H$48:$H$49</definedName>
    <definedName name="OSRRefH22_5x_0" localSheetId="60">'326'!$H$86</definedName>
    <definedName name="OSRRefH22_5x_0" localSheetId="52">'330'!$H$115</definedName>
    <definedName name="OSRRefH22_5x_0" localSheetId="58">'331'!$H$101:$H$102</definedName>
    <definedName name="OSRRefH22_5x_0" localSheetId="61">'332'!$H$73</definedName>
    <definedName name="OSRRefH22_5x_0" localSheetId="76">'405'!$H$53:$H$55</definedName>
    <definedName name="OSRRefH22_5x_0" localSheetId="77">'406'!$H$54:$H$55</definedName>
    <definedName name="OSRRefH22_5x_0" localSheetId="78">'411'!$H$51</definedName>
    <definedName name="OSRRefH22_5x_0" localSheetId="79">'412'!$H$54:$H$56</definedName>
    <definedName name="OSRRefH22_5x_0" localSheetId="81">'413'!$H$54</definedName>
    <definedName name="OSRRefH22_5x_0" localSheetId="82">'414'!$H$54:$H$55</definedName>
    <definedName name="OSRRefH22_5x_0" localSheetId="83">'415'!$H$53:$H$55</definedName>
    <definedName name="OSRRefH22_5x_0" localSheetId="84">'418'!$H$54:$H$56</definedName>
    <definedName name="OSRRefH22_5x_0" localSheetId="80">'420'!$H$44</definedName>
    <definedName name="OSRRefH22_5x_0" localSheetId="85">'423'!$H$48</definedName>
    <definedName name="OSRRefH22_5x_0" localSheetId="86">'424'!$H$53</definedName>
    <definedName name="OSRRefH22_5x_0" localSheetId="87">'425'!$H$57:$H$58</definedName>
    <definedName name="OSRRefH22_5x_0" localSheetId="90">'430'!$H$47</definedName>
    <definedName name="OSRRefH22_5x_0" localSheetId="91">'433'!$H$56</definedName>
    <definedName name="OSRRefH22_5x_0" localSheetId="92">'435'!$H$53</definedName>
    <definedName name="OSRRefH22_5x_0" localSheetId="93">'444'!$H$55</definedName>
    <definedName name="OSRRefH22_5x_0" localSheetId="95">'450'!$H$56</definedName>
    <definedName name="OSRRefH22_5x_0" localSheetId="75">'491'!$H$63:$H$66</definedName>
    <definedName name="OSRRefH22_5x_0" localSheetId="89">'492'!$H$59</definedName>
    <definedName name="OSRRefH22_5x_0" localSheetId="97">'501'!$H$48</definedName>
    <definedName name="OSRRefH22_5x_0" localSheetId="39">'Div 2'!$H$50:$H$51</definedName>
    <definedName name="OSRRefH22_5x_0" localSheetId="47">'Div 3'!$H$204:$H$207</definedName>
    <definedName name="OSRRefH22_5x_0" localSheetId="73">'Div 4'!$H$65:$H$68</definedName>
    <definedName name="OSRRefH22_5x_0" localSheetId="96">'Div 5'!$H$48</definedName>
    <definedName name="OSRRefH22_5x_0" localSheetId="64">'Div 6'!$H$89</definedName>
    <definedName name="OSRRefH22_5x_0" localSheetId="2">Summary!$H$238:$H$241</definedName>
    <definedName name="OSRRefH22_6x_0" localSheetId="41">'201'!$H$50</definedName>
    <definedName name="OSRRefH22_6x_0" localSheetId="42">'202'!$H$49</definedName>
    <definedName name="OSRRefH22_6x_0" localSheetId="43">'203'!$H$50</definedName>
    <definedName name="OSRRefH22_6x_0" localSheetId="44">'204'!$H$52</definedName>
    <definedName name="OSRRefH22_6x_0" localSheetId="45">'205'!$H$51</definedName>
    <definedName name="OSRRefH22_6x_0" localSheetId="46">'206'!$H$49</definedName>
    <definedName name="OSRRefH22_6x_0" localSheetId="48">'300'!$H$204:$H$205</definedName>
    <definedName name="OSRRefH22_6x_0" localSheetId="49">'300 &amp; 317'!$H$230:$H$231</definedName>
    <definedName name="OSRRefH22_6x_0" localSheetId="50">'301'!$H$53:$H$54</definedName>
    <definedName name="OSRRefH22_6x_0" localSheetId="51">'306'!$H$49</definedName>
    <definedName name="OSRRefH22_6x_0" localSheetId="53">'307'!$H$109</definedName>
    <definedName name="OSRRefH22_6x_0" localSheetId="55">'308'!$H$98:$H$99</definedName>
    <definedName name="OSRRefH22_6x_0" localSheetId="67">'309'!$H$56</definedName>
    <definedName name="OSRRefH22_6x_0" localSheetId="66">'310'!$H$66</definedName>
    <definedName name="OSRRefH22_6x_0" localSheetId="74">'310 &amp; 491'!$H$75</definedName>
    <definedName name="OSRRefH22_6x_0" localSheetId="56">'311'!$H$98:$H$99</definedName>
    <definedName name="OSRRefH22_6x_0" localSheetId="68">'313'!$H$60</definedName>
    <definedName name="OSRRefH22_6x_0" localSheetId="54">'314'!$H$89</definedName>
    <definedName name="OSRRefH22_6x_0" localSheetId="59">'315'!$H$89</definedName>
    <definedName name="OSRRefH22_6x_0" localSheetId="62">'316'!$H$65</definedName>
    <definedName name="OSRRefH22_6x_0" localSheetId="65">'317'!$H$91</definedName>
    <definedName name="OSRRefH22_6x_0" localSheetId="63">'320'!$H$61</definedName>
    <definedName name="OSRRefH22_6x_0" localSheetId="69">'321'!$H$54</definedName>
    <definedName name="OSRRefH22_6x_0" localSheetId="70">'322'!$H$51</definedName>
    <definedName name="OSRRefH22_6x_0" localSheetId="60">'326'!$H$88</definedName>
    <definedName name="OSRRefH22_6x_0" localSheetId="52">'330'!$H$117</definedName>
    <definedName name="OSRRefH22_6x_0" localSheetId="58">'331'!$H$104</definedName>
    <definedName name="OSRRefH22_6x_0" localSheetId="61">'332'!$H$75</definedName>
    <definedName name="OSRRefH22_6x_0" localSheetId="76">'405'!$H$57</definedName>
    <definedName name="OSRRefH22_6x_0" localSheetId="77">'406'!$H$57</definedName>
    <definedName name="OSRRefH22_6x_0" localSheetId="78">'411'!$H$53</definedName>
    <definedName name="OSRRefH22_6x_0" localSheetId="79">'412'!$H$58</definedName>
    <definedName name="OSRRefH22_6x_0" localSheetId="81">'413'!$H$56</definedName>
    <definedName name="OSRRefH22_6x_0" localSheetId="82">'414'!$H$57</definedName>
    <definedName name="OSRRefH22_6x_0" localSheetId="83">'415'!$H$57</definedName>
    <definedName name="OSRRefH22_6x_0" localSheetId="84">'418'!$H$58</definedName>
    <definedName name="OSRRefH22_6x_0" localSheetId="80">'420'!$H$46:$H$47</definedName>
    <definedName name="OSRRefH22_6x_0" localSheetId="85">'423'!$H$50</definedName>
    <definedName name="OSRRefH22_6x_0" localSheetId="86">'424'!$H$55</definedName>
    <definedName name="OSRRefH22_6x_0" localSheetId="87">'425'!$H$60</definedName>
    <definedName name="OSRRefH22_6x_0" localSheetId="90">'430'!$H$49</definedName>
    <definedName name="OSRRefH22_6x_0" localSheetId="91">'433'!$H$58</definedName>
    <definedName name="OSRRefH22_6x_0" localSheetId="92">'435'!$H$55</definedName>
    <definedName name="OSRRefH22_6x_0" localSheetId="93">'444'!$H$57</definedName>
    <definedName name="OSRRefH22_6x_0" localSheetId="95">'450'!$H$58</definedName>
    <definedName name="OSRRefH22_6x_0" localSheetId="75">'491'!$H$68</definedName>
    <definedName name="OSRRefH22_6x_0" localSheetId="89">'492'!$H$61:$H$62</definedName>
    <definedName name="OSRRefH22_6x_0" localSheetId="97">'501'!$H$50</definedName>
    <definedName name="OSRRefH22_6x_0" localSheetId="39">'Div 2'!$H$53:$H$54</definedName>
    <definedName name="OSRRefH22_6x_0" localSheetId="47">'Div 3'!$H$209:$H$210</definedName>
    <definedName name="OSRRefH22_6x_0" localSheetId="73">'Div 4'!$H$70</definedName>
    <definedName name="OSRRefH22_6x_0" localSheetId="96">'Div 5'!$H$50</definedName>
    <definedName name="OSRRefH22_6x_0" localSheetId="64">'Div 6'!$H$91</definedName>
    <definedName name="OSRRefH22_6x_0" localSheetId="2">Summary!$H$243:$H$244</definedName>
    <definedName name="OSRRefH22_7x_0" localSheetId="41">'201'!$H$52</definedName>
    <definedName name="OSRRefH22_7x_0" localSheetId="42">'202'!$H$51</definedName>
    <definedName name="OSRRefH22_7x_0" localSheetId="43">'203'!$H$52</definedName>
    <definedName name="OSRRefH22_7x_0" localSheetId="44">'204'!$H$54:$H$57</definedName>
    <definedName name="OSRRefH22_7x_0" localSheetId="45">'205'!$H$53:$H$54</definedName>
    <definedName name="OSRRefH22_7x_0" localSheetId="46">'206'!$H$51:$H$52</definedName>
    <definedName name="OSRRefH22_7x_0" localSheetId="48">'300'!$H$207:$H$208</definedName>
    <definedName name="OSRRefH22_7x_0" localSheetId="49">'300 &amp; 317'!$H$233:$H$234</definedName>
    <definedName name="OSRRefH22_7x_0" localSheetId="50">'301'!$H$56:$H$57</definedName>
    <definedName name="OSRRefH22_7x_0" localSheetId="51">'306'!$H$51:$H$52</definedName>
    <definedName name="OSRRefH22_7x_0" localSheetId="53">'307'!$H$111</definedName>
    <definedName name="OSRRefH22_7x_0" localSheetId="55">'308'!$H$101</definedName>
    <definedName name="OSRRefH22_7x_0" localSheetId="67">'309'!$H$58</definedName>
    <definedName name="OSRRefH22_7x_0" localSheetId="66">'310'!$H$68</definedName>
    <definedName name="OSRRefH22_7x_0" localSheetId="74">'310 &amp; 491'!$H$77</definedName>
    <definedName name="OSRRefH22_7x_0" localSheetId="56">'311'!$H$101</definedName>
    <definedName name="OSRRefH22_7x_0" localSheetId="68">'313'!$H$62</definedName>
    <definedName name="OSRRefH22_7x_0" localSheetId="54">'314'!$H$91</definedName>
    <definedName name="OSRRefH22_7x_0" localSheetId="59">'315'!$H$91</definedName>
    <definedName name="OSRRefH22_7x_0" localSheetId="62">'316'!$H$67</definedName>
    <definedName name="OSRRefH22_7x_0" localSheetId="65">'317'!$H$93</definedName>
    <definedName name="OSRRefH22_7x_0" localSheetId="63">'320'!$H$63:$H$64</definedName>
    <definedName name="OSRRefH22_7x_0" localSheetId="69">'321'!$H$56</definedName>
    <definedName name="OSRRefH22_7x_0" localSheetId="70">'322'!$H$53</definedName>
    <definedName name="OSRRefH22_7x_0" localSheetId="60">'326'!$H$90</definedName>
    <definedName name="OSRRefH22_7x_0" localSheetId="52">'330'!$H$119</definedName>
    <definedName name="OSRRefH22_7x_0" localSheetId="58">'331'!$H$106</definedName>
    <definedName name="OSRRefH22_7x_0" localSheetId="61">'332'!$H$77:$H$78</definedName>
    <definedName name="OSRRefH22_7x_0" localSheetId="76">'405'!$H$59</definedName>
    <definedName name="OSRRefH22_7x_0" localSheetId="77">'406'!$H$59</definedName>
    <definedName name="OSRRefH22_7x_0" localSheetId="78">'411'!$H$55</definedName>
    <definedName name="OSRRefH22_7x_0" localSheetId="79">'412'!$H$60</definedName>
    <definedName name="OSRRefH22_7x_0" localSheetId="81">'413'!$H$58</definedName>
    <definedName name="OSRRefH22_7x_0" localSheetId="82">'414'!$H$59</definedName>
    <definedName name="OSRRefH22_7x_0" localSheetId="83">'415'!$H$59</definedName>
    <definedName name="OSRRefH22_7x_0" localSheetId="84">'418'!$H$60</definedName>
    <definedName name="OSRRefH22_7x_0" localSheetId="80">'420'!$H$49</definedName>
    <definedName name="OSRRefH22_7x_0" localSheetId="86">'424'!$H$57</definedName>
    <definedName name="OSRRefH22_7x_0" localSheetId="87">'425'!$H$62</definedName>
    <definedName name="OSRRefH22_7x_0" localSheetId="90">'430'!$H$51:$H$54</definedName>
    <definedName name="OSRRefH22_7x_0" localSheetId="91">'433'!$H$60</definedName>
    <definedName name="OSRRefH22_7x_0" localSheetId="92">'435'!$H$57:$H$59</definedName>
    <definedName name="OSRRefH22_7x_0" localSheetId="93">'444'!$H$59</definedName>
    <definedName name="OSRRefH22_7x_0" localSheetId="95">'450'!$H$60</definedName>
    <definedName name="OSRRefH22_7x_0" localSheetId="75">'491'!$H$70</definedName>
    <definedName name="OSRRefH22_7x_0" localSheetId="89">'492'!$H$64</definedName>
    <definedName name="OSRRefH22_7x_0" localSheetId="97">'501'!$H$52</definedName>
    <definedName name="OSRRefH22_7x_0" localSheetId="39">'Div 2'!$H$56</definedName>
    <definedName name="OSRRefH22_7x_0" localSheetId="47">'Div 3'!$H$212:$H$213</definedName>
    <definedName name="OSRRefH22_7x_0" localSheetId="73">'Div 4'!$H$72:$H$73</definedName>
    <definedName name="OSRRefH22_7x_0" localSheetId="96">'Div 5'!$H$52</definedName>
    <definedName name="OSRRefH22_7x_0" localSheetId="64">'Div 6'!$H$93</definedName>
    <definedName name="OSRRefH22_7x_0" localSheetId="2">Summary!$H$246:$H$248</definedName>
    <definedName name="OSRRefH22_8x_0" localSheetId="41">'201'!$H$54</definedName>
    <definedName name="OSRRefH22_8x_0" localSheetId="42">'202'!$H$53</definedName>
    <definedName name="OSRRefH22_8x_0" localSheetId="43">'203'!$H$54</definedName>
    <definedName name="OSRRefH22_8x_0" localSheetId="44">'204'!$H$59</definedName>
    <definedName name="OSRRefH22_8x_0" localSheetId="45">'205'!$H$56</definedName>
    <definedName name="OSRRefH22_8x_0" localSheetId="46">'206'!$H$54</definedName>
    <definedName name="OSRRefH22_8x_0" localSheetId="48">'300'!$H$210</definedName>
    <definedName name="OSRRefH22_8x_0" localSheetId="49">'300 &amp; 317'!$H$236</definedName>
    <definedName name="OSRRefH22_8x_0" localSheetId="50">'301'!$H$59</definedName>
    <definedName name="OSRRefH22_8x_0" localSheetId="51">'306'!$H$54:$H$57</definedName>
    <definedName name="OSRRefH22_8x_0" localSheetId="53">'307'!$H$113:$H$114</definedName>
    <definedName name="OSRRefH22_8x_0" localSheetId="55">'308'!$H$103</definedName>
    <definedName name="OSRRefH22_8x_0" localSheetId="67">'309'!$H$60</definedName>
    <definedName name="OSRRefH22_8x_0" localSheetId="66">'310'!$H$70</definedName>
    <definedName name="OSRRefH22_8x_0" localSheetId="74">'310 &amp; 491'!$H$79</definedName>
    <definedName name="OSRRefH22_8x_0" localSheetId="56">'311'!$H$103</definedName>
    <definedName name="OSRRefH22_8x_0" localSheetId="68">'313'!$H$64</definedName>
    <definedName name="OSRRefH22_8x_0" localSheetId="54">'314'!$H$93:$H$94</definedName>
    <definedName name="OSRRefH22_8x_0" localSheetId="59">'315'!$H$93</definedName>
    <definedName name="OSRRefH22_8x_0" localSheetId="62">'316'!$H$69</definedName>
    <definedName name="OSRRefH22_8x_0" localSheetId="65">'317'!$H$95</definedName>
    <definedName name="OSRRefH22_8x_0" localSheetId="63">'320'!$H$66</definedName>
    <definedName name="OSRRefH22_8x_0" localSheetId="69">'321'!$H$58</definedName>
    <definedName name="OSRRefH22_8x_0" localSheetId="70">'322'!$H$55</definedName>
    <definedName name="OSRRefH22_8x_0" localSheetId="60">'326'!$H$92</definedName>
    <definedName name="OSRRefH22_8x_0" localSheetId="52">'330'!$H$121</definedName>
    <definedName name="OSRRefH22_8x_0" localSheetId="58">'331'!$H$108:$H$109</definedName>
    <definedName name="OSRRefH22_8x_0" localSheetId="61">'332'!$H$80</definedName>
    <definedName name="OSRRefH22_8x_0" localSheetId="76">'405'!$H$61</definedName>
    <definedName name="OSRRefH22_8x_0" localSheetId="77">'406'!$H$61</definedName>
    <definedName name="OSRRefH22_8x_0" localSheetId="78">'411'!$H$57</definedName>
    <definedName name="OSRRefH22_8x_0" localSheetId="79">'412'!$H$62</definedName>
    <definedName name="OSRRefH22_8x_0" localSheetId="81">'413'!$H$60:$H$62</definedName>
    <definedName name="OSRRefH22_8x_0" localSheetId="82">'414'!$H$61</definedName>
    <definedName name="OSRRefH22_8x_0" localSheetId="83">'415'!$H$61</definedName>
    <definedName name="OSRRefH22_8x_0" localSheetId="84">'418'!$H$62</definedName>
    <definedName name="OSRRefH22_8x_0" localSheetId="86">'424'!$H$59:$H$60</definedName>
    <definedName name="OSRRefH22_8x_0" localSheetId="87">'425'!$H$64</definedName>
    <definedName name="OSRRefH22_8x_0" localSheetId="90">'430'!$H$56</definedName>
    <definedName name="OSRRefH22_8x_0" localSheetId="91">'433'!$H$62</definedName>
    <definedName name="OSRRefH22_8x_0" localSheetId="92">'435'!$H$61</definedName>
    <definedName name="OSRRefH22_8x_0" localSheetId="93">'444'!$H$61</definedName>
    <definedName name="OSRRefH22_8x_0" localSheetId="95">'450'!$H$62</definedName>
    <definedName name="OSRRefH22_8x_0" localSheetId="75">'491'!$H$72</definedName>
    <definedName name="OSRRefH22_8x_0" localSheetId="89">'492'!$H$66</definedName>
    <definedName name="OSRRefH22_8x_0" localSheetId="97">'501'!$H$54</definedName>
    <definedName name="OSRRefH22_8x_0" localSheetId="39">'Div 2'!$H$58</definedName>
    <definedName name="OSRRefH22_8x_0" localSheetId="47">'Div 3'!$H$215</definedName>
    <definedName name="OSRRefH22_8x_0" localSheetId="73">'Div 4'!$H$75</definedName>
    <definedName name="OSRRefH22_8x_0" localSheetId="96">'Div 5'!$H$54</definedName>
    <definedName name="OSRRefH22_8x_0" localSheetId="64">'Div 6'!$H$95</definedName>
    <definedName name="OSRRefH22_8x_0" localSheetId="2">Summary!$H$250</definedName>
    <definedName name="OSRRefH22_9x_0" localSheetId="41">'201'!$H$56</definedName>
    <definedName name="OSRRefH22_9x_0" localSheetId="42">'202'!$H$55:$H$57</definedName>
    <definedName name="OSRRefH22_9x_0" localSheetId="43">'203'!$H$56:$H$58</definedName>
    <definedName name="OSRRefH22_9x_0" localSheetId="44">'204'!$H$61:$H$62</definedName>
    <definedName name="OSRRefH22_9x_0" localSheetId="45">'205'!$H$58</definedName>
    <definedName name="OSRRefH22_9x_0" localSheetId="46">'206'!$H$56</definedName>
    <definedName name="OSRRefH22_9x_0" localSheetId="48">'300'!$H$212</definedName>
    <definedName name="OSRRefH22_9x_0" localSheetId="49">'300 &amp; 317'!$H$238</definedName>
    <definedName name="OSRRefH22_9x_0" localSheetId="50">'301'!$H$61</definedName>
    <definedName name="OSRRefH22_9x_0" localSheetId="51">'306'!$H$59</definedName>
    <definedName name="OSRRefH22_9x_0" localSheetId="53">'307'!$H$116:$H$117</definedName>
    <definedName name="OSRRefH22_9x_0" localSheetId="55">'308'!$H$105:$H$108</definedName>
    <definedName name="OSRRefH22_9x_0" localSheetId="67">'309'!$H$62:$H$63</definedName>
    <definedName name="OSRRefH22_9x_0" localSheetId="66">'310'!$H$72</definedName>
    <definedName name="OSRRefH22_9x_0" localSheetId="74">'310 &amp; 491'!$H$81</definedName>
    <definedName name="OSRRefH22_9x_0" localSheetId="56">'311'!$H$105:$H$108</definedName>
    <definedName name="OSRRefH22_9x_0" localSheetId="68">'313'!$H$66</definedName>
    <definedName name="OSRRefH22_9x_0" localSheetId="54">'314'!$H$96</definedName>
    <definedName name="OSRRefH22_9x_0" localSheetId="59">'315'!$H$95:$H$96</definedName>
    <definedName name="OSRRefH22_9x_0" localSheetId="62">'316'!$H$71:$H$72</definedName>
    <definedName name="OSRRefH22_9x_0" localSheetId="65">'317'!$H$97</definedName>
    <definedName name="OSRRefH22_9x_0" localSheetId="69">'321'!$H$60:$H$62</definedName>
    <definedName name="OSRRefH22_9x_0" localSheetId="70">'322'!$H$57:$H$58</definedName>
    <definedName name="OSRRefH22_9x_0" localSheetId="60">'326'!$H$94</definedName>
    <definedName name="OSRRefH22_9x_0" localSheetId="52">'330'!$H$123:$H$124</definedName>
    <definedName name="OSRRefH22_9x_0" localSheetId="58">'331'!$H$111</definedName>
    <definedName name="OSRRefH22_9x_0" localSheetId="61">'332'!$H$82</definedName>
    <definedName name="OSRRefH22_9x_0" localSheetId="76">'405'!$H$63</definedName>
    <definedName name="OSRRefH22_9x_0" localSheetId="77">'406'!$H$63:$H$65</definedName>
    <definedName name="OSRRefH22_9x_0" localSheetId="78">'411'!$H$59</definedName>
    <definedName name="OSRRefH22_9x_0" localSheetId="79">'412'!$H$64:$H$65</definedName>
    <definedName name="OSRRefH22_9x_0" localSheetId="81">'413'!$H$64:$H$65</definedName>
    <definedName name="OSRRefH22_9x_0" localSheetId="82">'414'!$H$63:$H$64</definedName>
    <definedName name="OSRRefH22_9x_0" localSheetId="83">'415'!$H$63</definedName>
    <definedName name="OSRRefH22_9x_0" localSheetId="84">'418'!$H$64</definedName>
    <definedName name="OSRRefH22_9x_0" localSheetId="86">'424'!$H$62:$H$64</definedName>
    <definedName name="OSRRefH22_9x_0" localSheetId="87">'425'!$H$66:$H$68</definedName>
    <definedName name="OSRRefH22_9x_0" localSheetId="90">'430'!$H$58</definedName>
    <definedName name="OSRRefH22_9x_0" localSheetId="91">'433'!$H$64</definedName>
    <definedName name="OSRRefH22_9x_0" localSheetId="93">'444'!$H$63</definedName>
    <definedName name="OSRRefH22_9x_0" localSheetId="95">'450'!$H$64</definedName>
    <definedName name="OSRRefH22_9x_0" localSheetId="75">'491'!$H$74</definedName>
    <definedName name="OSRRefH22_9x_0" localSheetId="89">'492'!$H$68</definedName>
    <definedName name="OSRRefH22_9x_0" localSheetId="97">'501'!$H$56</definedName>
    <definedName name="OSRRefH22_9x_0" localSheetId="39">'Div 2'!$H$60</definedName>
    <definedName name="OSRRefH22_9x_0" localSheetId="47">'Div 3'!$H$217</definedName>
    <definedName name="OSRRefH22_9x_0" localSheetId="73">'Div 4'!$H$77</definedName>
    <definedName name="OSRRefH22_9x_0" localSheetId="96">'Div 5'!$H$56</definedName>
    <definedName name="OSRRefH22_9x_0" localSheetId="64">'Div 6'!$H$97</definedName>
    <definedName name="OSRRefH22_9x_0" localSheetId="2">Summary!$H$252</definedName>
    <definedName name="OSRRefH22x_0" localSheetId="40">'200'!$H$20,'200'!$H$22,'200'!$H$24,'200'!$H$26,'200'!$H$28:$H$29</definedName>
    <definedName name="OSRRefH22x_0" localSheetId="41">'201'!$H$20:$H$28,'201'!$H$30:$H$39,'201'!$H$41,'201'!$H$43,'201'!$H$45:$H$46,'201'!$H$48,'201'!$H$50,'201'!$H$52,'201'!$H$54,'201'!$H$56,'201'!$H$58:$H$60,'201'!$H$62:$H$64,'201'!$H$66,'201'!$H$68:$H$71,'201'!$H$73,'201'!$H$75,'201'!$H$77:$H$78</definedName>
    <definedName name="OSRRefH22x_0" localSheetId="42">'202'!$H$20:$H$28,'202'!$H$30:$H$39,'202'!$H$41,'202'!$H$43,'202'!$H$45,'202'!$H$47,'202'!$H$49,'202'!$H$51,'202'!$H$53,'202'!$H$55:$H$57,'202'!$H$59,'202'!$H$61:$H$63,'202'!$H$65,'202'!$H$67,'202'!$H$69:$H$70,'202'!$H$72,'202'!$H$74</definedName>
    <definedName name="OSRRefH22x_0" localSheetId="43">'203'!$H$20:$H$29,'203'!$H$31:$H$40,'203'!$H$42,'203'!$H$44,'203'!$H$46,'203'!$H$48,'203'!$H$50,'203'!$H$52,'203'!$H$54,'203'!$H$56:$H$58,'203'!$H$60:$H$61,'203'!$H$63,'203'!$H$65:$H$67,'203'!$H$69,'203'!$H$71,'203'!$H$73</definedName>
    <definedName name="OSRRefH22x_0" localSheetId="44">'204'!$H$21:$H$30,'204'!$H$32:$H$41,'204'!$H$43,'204'!$H$45:$H$46,'204'!$H$48,'204'!$H$50,'204'!$H$52,'204'!$H$54:$H$57,'204'!$H$59,'204'!$H$61:$H$62,'204'!$H$64:$H$65,'204'!$H$67,'204'!$H$69:$H$70</definedName>
    <definedName name="OSRRefH22x_0" localSheetId="45">'205'!$H$20:$H$28,'205'!$H$30:$H$39,'205'!$H$41,'205'!$H$43,'205'!$H$45,'205'!$H$47:$H$49,'205'!$H$51,'205'!$H$53:$H$54,'205'!$H$56,'205'!$H$58</definedName>
    <definedName name="OSRRefH22x_0" localSheetId="46">'206'!$H$20:$H$28,'206'!$H$30:$H$39,'206'!$H$41,'206'!$H$43,'206'!$H$45,'206'!$H$47,'206'!$H$49,'206'!$H$51:$H$52,'206'!$H$54,'206'!$H$56,'206'!$H$58</definedName>
    <definedName name="OSRRefH22x_0" localSheetId="48">'300'!$H$170:$H$179,'300'!$H$181:$H$190,'300'!$H$192,'300'!$H$194:$H$195,'300'!$H$197,'300'!$H$199:$H$202,'300'!$H$204:$H$205,'300'!$H$207:$H$208,'300'!$H$210,'300'!$H$212,'300'!$H$214:$H$215,'300'!$H$217,'300'!$H$219,'300'!$H$221,'300'!$H$223,'300'!$H$225,'300'!$H$227:$H$230,'300'!$H$232:$H$235,'300'!$H$237:$H$240,'300'!$H$242:$H$243,'300'!$H$245:$H$252,'300'!$H$254:$H$255,'300'!$H$257,'300'!$H$259:$H$261,'300'!$H$263</definedName>
    <definedName name="OSRRefH22x_0" localSheetId="49">'300 &amp; 317'!$H$196:$H$205,'300 &amp; 317'!$H$207:$H$216,'300 &amp; 317'!$H$218,'300 &amp; 317'!$H$220:$H$221,'300 &amp; 317'!$H$223,'300 &amp; 317'!$H$225:$H$228,'300 &amp; 317'!$H$230:$H$231,'300 &amp; 317'!$H$233:$H$234,'300 &amp; 317'!$H$236,'300 &amp; 317'!$H$238,'300 &amp; 317'!$H$240:$H$241,'300 &amp; 317'!$H$243,'300 &amp; 317'!$H$245,'300 &amp; 317'!$H$247,'300 &amp; 317'!$H$249,'300 &amp; 317'!$H$251,'300 &amp; 317'!$H$253:$H$256,'300 &amp; 317'!$H$258:$H$261,'300 &amp; 317'!$H$263:$H$266,'300 &amp; 317'!$H$268:$H$269,'300 &amp; 317'!$H$271:$H$278,'300 &amp; 317'!$H$280:$H$281,'300 &amp; 317'!$H$283,'300 &amp; 317'!$H$285:$H$287,'300 &amp; 317'!$H$289</definedName>
    <definedName name="OSRRefH22x_0" localSheetId="50">'301'!$H$20:$H$28,'301'!$H$30:$H$39,'301'!$H$41,'301'!$H$43:$H$44,'301'!$H$46,'301'!$H$48:$H$51,'301'!$H$53:$H$54,'301'!$H$56:$H$57,'301'!$H$59,'301'!$H$61,'301'!$H$63,'301'!$H$65,'301'!$H$67,'301'!$H$69,'301'!$H$71,'301'!$H$73,'301'!$H$75:$H$78,'301'!$H$80:$H$82,'301'!$H$84:$H$85,'301'!$H$87:$H$93,'301'!$H$95,'301'!$H$97,'301'!$H$99:$H$101,'301'!$H$103</definedName>
    <definedName name="OSRRefH22x_0" localSheetId="51">'306'!$H$20:$H$28,'306'!$H$30:$H$39,'306'!$H$41,'306'!$H$43,'306'!$H$45,'306'!$H$47,'306'!$H$49,'306'!$H$51:$H$52,'306'!$H$54:$H$57,'306'!$H$59,'306'!$H$61</definedName>
    <definedName name="OSRRefH22x_0" localSheetId="53">'307'!$H$79:$H$87,'307'!$H$89:$H$98,'307'!$H$100,'307'!$H$102,'307'!$H$104:$H$105,'307'!$H$107,'307'!$H$109,'307'!$H$111,'307'!$H$113:$H$114,'307'!$H$116:$H$117,'307'!$H$119:$H$121,'307'!$H$123,'307'!$H$125</definedName>
    <definedName name="OSRRefH22x_0" localSheetId="55">'308'!$H$67:$H$76,'308'!$H$78:$H$87,'308'!$H$89,'308'!$H$91:$H$92,'308'!$H$94,'308'!$H$96,'308'!$H$98:$H$99,'308'!$H$101,'308'!$H$103,'308'!$H$105:$H$108,'308'!$H$110:$H$111,'308'!$H$113:$H$115,'308'!$H$117:$H$118,'308'!$H$120,'308'!$H$122:$H$123</definedName>
    <definedName name="OSRRefH22x_0" localSheetId="67">'309'!$H$26:$H$34,'309'!$H$36:$H$45,'309'!$H$47,'309'!$H$49,'309'!$H$51,'309'!$H$53:$H$54,'309'!$H$56,'309'!$H$58,'309'!$H$60,'309'!$H$62:$H$63,'309'!$H$65:$H$67,'309'!$H$69:$H$71,'309'!$H$73,'309'!$H$75</definedName>
    <definedName name="OSRRefH22x_0" localSheetId="66">'310'!$H$35:$H$43,'310'!$H$45:$H$54,'310'!$H$56,'310'!$H$58,'310'!$H$60,'310'!$H$62:$H$64,'310'!$H$66,'310'!$H$68,'310'!$H$70,'310'!$H$72,'310'!$H$74,'310'!$H$76,'310'!$H$78,'310'!$H$80,'310'!$H$82,'310'!$H$84:$H$86,'310'!$H$88:$H$89,'310'!$H$91:$H$95,'310'!$H$97,'310'!$H$99:$H$107,'310'!$H$109,'310'!$H$111,'310'!$H$113:$H$114,'310'!$H$116</definedName>
    <definedName name="OSRRefH22x_0" localSheetId="74">'310 &amp; 491'!$H$42:$H$51,'310 &amp; 491'!$H$53:$H$62,'310 &amp; 491'!$H$64,'310 &amp; 491'!$H$66,'310 &amp; 491'!$H$68,'310 &amp; 491'!$H$70:$H$73,'310 &amp; 491'!$H$75,'310 &amp; 491'!$H$77,'310 &amp; 491'!$H$79,'310 &amp; 491'!$H$81,'310 &amp; 491'!$H$83:$H$84,'310 &amp; 491'!$H$86:$H$87,'310 &amp; 491'!$H$89,'310 &amp; 491'!$H$91,'310 &amp; 491'!$H$93,'310 &amp; 491'!$H$95,'310 &amp; 491'!$H$97,'310 &amp; 491'!$H$99:$H$102,'310 &amp; 491'!$H$104:$H$107,'310 &amp; 491'!$H$109:$H$114,'310 &amp; 491'!$H$116:$H$117,'310 &amp; 491'!$H$119:$H$129,'310 &amp; 491'!$H$131:$H$132,'310 &amp; 491'!$H$134,'310 &amp; 491'!$H$136:$H$138,'310 &amp; 491'!$H$140</definedName>
    <definedName name="OSRRefH22x_0" localSheetId="56">'311'!$H$67:$H$76,'311'!$H$78:$H$87,'311'!$H$89,'311'!$H$91:$H$92,'311'!$H$94,'311'!$H$96,'311'!$H$98:$H$99,'311'!$H$101,'311'!$H$103,'311'!$H$105:$H$108,'311'!$H$110:$H$111,'311'!$H$113:$H$115,'311'!$H$117:$H$118,'311'!$H$120,'311'!$H$122:$H$123</definedName>
    <definedName name="OSRRefH22x_0" localSheetId="68">'313'!$H$31:$H$39,'313'!$H$41:$H$50,'313'!$H$52,'313'!$H$54,'313'!$H$56,'313'!$H$58,'313'!$H$60,'313'!$H$62,'313'!$H$64,'313'!$H$66,'313'!$H$68:$H$70,'313'!$H$72,'313'!$H$74:$H$79,'313'!$H$81,'313'!$H$83</definedName>
    <definedName name="OSRRefH22x_0" localSheetId="54">'314'!$H$58:$H$67,'314'!$H$69:$H$78,'314'!$H$80,'314'!$H$82:$H$83,'314'!$H$85,'314'!$H$87,'314'!$H$89,'314'!$H$91,'314'!$H$93:$H$94,'314'!$H$96,'314'!$H$98</definedName>
    <definedName name="OSRRefH22x_0" localSheetId="59">'315'!$H$58:$H$66,'315'!$H$68:$H$77,'315'!$H$79,'315'!$H$81:$H$82,'315'!$H$84,'315'!$H$86:$H$87,'315'!$H$89,'315'!$H$91,'315'!$H$93,'315'!$H$95:$H$96,'315'!$H$98:$H$100,'315'!$H$102:$H$103,'315'!$H$105:$H$109,'315'!$H$111,'315'!$H$113,'315'!$H$115:$H$116</definedName>
    <definedName name="OSRRefH22x_0" localSheetId="62">'316'!$H$36:$H$44,'316'!$H$46:$H$55,'316'!$H$57,'316'!$H$59,'316'!$H$61,'316'!$H$63,'316'!$H$65,'316'!$H$67,'316'!$H$69,'316'!$H$71:$H$72,'316'!$H$74:$H$75,'316'!$H$77:$H$81,'316'!$H$83:$H$84,'316'!$H$86</definedName>
    <definedName name="OSRRefH22x_0" localSheetId="65">'317'!$H$61:$H$70,'317'!$H$72:$H$81,'317'!$H$83,'317'!$H$85,'317'!$H$87,'317'!$H$89,'317'!$H$91,'317'!$H$93,'317'!$H$95,'317'!$H$97,'317'!$H$99:$H$100,'317'!$H$102:$H$103,'317'!$H$105,'317'!$H$107</definedName>
    <definedName name="OSRRefH22x_0" localSheetId="63">'320'!$H$32:$H$39,'320'!$H$41:$H$50,'320'!$H$52,'320'!$H$54,'320'!$H$56:$H$57,'320'!$H$59,'320'!$H$61,'320'!$H$63:$H$64,'320'!$H$66</definedName>
    <definedName name="OSRRefH22x_0" localSheetId="69">'321'!$H$26:$H$33,'321'!$H$35:$H$44,'321'!$H$46,'321'!$H$48,'321'!$H$50,'321'!$H$52,'321'!$H$54,'321'!$H$56,'321'!$H$58,'321'!$H$60:$H$62,'321'!$H$64:$H$65,'321'!$H$67:$H$69,'321'!$H$71:$H$74,'321'!$H$76,'321'!$H$78</definedName>
    <definedName name="OSRRefH22x_0" localSheetId="70">'322'!$H$22:$H$29,'322'!$H$31:$H$40,'322'!$H$42,'322'!$H$44,'322'!$H$46,'322'!$H$48:$H$49,'322'!$H$51,'322'!$H$53,'322'!$H$55,'322'!$H$57:$H$58,'322'!$H$60,'322'!$H$62</definedName>
    <definedName name="OSRRefH22x_0" localSheetId="60">'326'!$H$58:$H$66,'326'!$H$68:$H$77,'326'!$H$79,'326'!$H$81:$H$82,'326'!$H$84,'326'!$H$86,'326'!$H$88,'326'!$H$90,'326'!$H$92,'326'!$H$94,'326'!$H$96,'326'!$H$98,'326'!$H$100,'326'!$H$102:$H$103,'326'!$H$105:$H$107,'326'!$H$109:$H$110,'326'!$H$112:$H$117,'326'!$H$119:$H$120,'326'!$H$122,'326'!$H$124,'326'!$H$126</definedName>
    <definedName name="OSRRefH22x_0" localSheetId="72">'327'!$H$24,'327'!$H$26,'327'!$H$28</definedName>
    <definedName name="OSRRefH22x_0" localSheetId="52">'330'!$H$86:$H$95,'330'!$H$97:$H$106,'330'!$H$108,'330'!$H$110,'330'!$H$112:$H$113,'330'!$H$115,'330'!$H$117,'330'!$H$119,'330'!$H$121,'330'!$H$123:$H$124,'330'!$H$126:$H$127,'330'!$H$129,'330'!$H$131:$H$133,'330'!$H$135,'330'!$H$137,'330'!$H$139</definedName>
    <definedName name="OSRRefH22x_0" localSheetId="58">'331'!$H$73:$H$81,'331'!$H$83:$H$92,'331'!$H$94,'331'!$H$96:$H$97,'331'!$H$99,'331'!$H$101:$H$102,'331'!$H$104,'331'!$H$106,'331'!$H$108:$H$109,'331'!$H$111,'331'!$H$113,'331'!$H$115,'331'!$H$117,'331'!$H$119,'331'!$H$121:$H$122,'331'!$H$124:$H$126,'331'!$H$128:$H$130,'331'!$H$132:$H$133,'331'!$H$135:$H$140,'331'!$H$142:$H$143,'331'!$H$145,'331'!$H$147:$H$148,'331'!$H$150</definedName>
    <definedName name="OSRRefH22x_0" localSheetId="61">'332'!$H$46:$H$54,'332'!$H$56:$H$65,'332'!$H$67,'332'!$H$69,'332'!$H$71,'332'!$H$73,'332'!$H$75,'332'!$H$77:$H$78,'332'!$H$80,'332'!$H$82,'332'!$H$84:$H$85,'332'!$H$87:$H$88,'332'!$H$90:$H$94,'332'!$H$96:$H$97,'332'!$H$99</definedName>
    <definedName name="OSRRefH22x_0" localSheetId="76">'405'!$H$26:$H$34,'405'!$H$36:$H$45,'405'!$H$47,'405'!$H$49,'405'!$H$51,'405'!$H$53:$H$55,'405'!$H$57,'405'!$H$59,'405'!$H$61,'405'!$H$63,'405'!$H$65,'405'!$H$67:$H$69,'405'!$H$71,'405'!$H$73:$H$75,'405'!$H$77:$H$78,'405'!$H$80:$H$88,'405'!$H$90,'405'!$H$92,'405'!$H$94,'405'!$H$96</definedName>
    <definedName name="OSRRefH22x_0" localSheetId="77">'406'!$H$27:$H$35,'406'!$H$37:$H$46,'406'!$H$48,'406'!$H$50,'406'!$H$52,'406'!$H$54:$H$55,'406'!$H$57,'406'!$H$59,'406'!$H$61,'406'!$H$63:$H$65,'406'!$H$67:$H$69,'406'!$H$71:$H$76,'406'!$H$78:$H$79,'406'!$H$81,'406'!$H$83:$H$84</definedName>
    <definedName name="OSRRefH22x_0" localSheetId="78">'411'!$H$20:$H$29,'411'!$H$31:$H$40,'411'!$H$42,'411'!$H$44,'411'!$H$46:$H$49,'411'!$H$51,'411'!$H$53,'411'!$H$55,'411'!$H$57,'411'!$H$59,'411'!$H$61,'411'!$H$63,'411'!$H$65:$H$68,'411'!$H$70:$H$74,'411'!$H$76,'411'!$H$78:$H$86,'411'!$H$88,'411'!$H$90,'411'!$H$92:$H$94,'411'!$H$96</definedName>
    <definedName name="OSRRefH22x_0" localSheetId="79">'412'!$H$27:$H$35,'412'!$H$37:$H$46,'412'!$H$48,'412'!$H$50,'412'!$H$52,'412'!$H$54:$H$56,'412'!$H$58,'412'!$H$60,'412'!$H$62,'412'!$H$64:$H$65,'412'!$H$67,'412'!$H$69:$H$71,'412'!$H$73:$H$80,'412'!$H$82,'412'!$H$84,'412'!$H$86</definedName>
    <definedName name="OSRRefH22x_0" localSheetId="81">'413'!$H$27:$H$35,'413'!$H$37:$H$46,'413'!$H$48,'413'!$H$50,'413'!$H$52,'413'!$H$54,'413'!$H$56,'413'!$H$58,'413'!$H$60:$H$62,'413'!$H$64:$H$65,'413'!$H$67:$H$73,'413'!$H$75:$H$76,'413'!$H$78,'413'!$H$80</definedName>
    <definedName name="OSRRefH22x_0" localSheetId="82">'414'!$H$27:$H$35,'414'!$H$37:$H$46,'414'!$H$48,'414'!$H$50,'414'!$H$52,'414'!$H$54:$H$55,'414'!$H$57,'414'!$H$59,'414'!$H$61,'414'!$H$63:$H$64,'414'!$H$66,'414'!$H$68,'414'!$H$70,'414'!$H$72:$H$78,'414'!$H$80,'414'!$H$82</definedName>
    <definedName name="OSRRefH22x_0" localSheetId="83">'415'!$H$26:$H$34,'415'!$H$36:$H$45,'415'!$H$47,'415'!$H$49,'415'!$H$51,'415'!$H$53:$H$55,'415'!$H$57,'415'!$H$59,'415'!$H$61,'415'!$H$63,'415'!$H$65,'415'!$H$67:$H$70,'415'!$H$72:$H$76,'415'!$H$78:$H$79,'415'!$H$81:$H$89,'415'!$H$91,'415'!$H$93,'415'!$H$95:$H$96,'415'!$H$98</definedName>
    <definedName name="OSRRefH22x_0" localSheetId="84">'418'!$H$27:$H$35,'418'!$H$37:$H$46,'418'!$H$48,'418'!$H$50,'418'!$H$52,'418'!$H$54:$H$56,'418'!$H$58,'418'!$H$60,'418'!$H$62,'418'!$H$64,'418'!$H$66:$H$67,'418'!$H$69:$H$71,'418'!$H$73:$H$75,'418'!$H$77:$H$78,'418'!$H$80:$H$87,'418'!$H$89,'418'!$H$91,'418'!$H$93:$H$94</definedName>
    <definedName name="OSRRefH22x_0" localSheetId="80">'420'!$H$24:$H$31,'420'!$H$33:$H$36,'420'!$H$38,'420'!$H$40,'420'!$H$42,'420'!$H$44,'420'!$H$46:$H$47,'420'!$H$49</definedName>
    <definedName name="OSRRefH22x_0" localSheetId="85">'423'!$H$21:$H$29,'423'!$H$31:$H$40,'423'!$H$42,'423'!$H$44,'423'!$H$46,'423'!$H$48,'423'!$H$50</definedName>
    <definedName name="OSRRefH22x_0" localSheetId="86">'424'!$H$27:$H$34,'424'!$H$36:$H$45,'424'!$H$47,'424'!$H$49,'424'!$H$51,'424'!$H$53,'424'!$H$55,'424'!$H$57,'424'!$H$59:$H$60,'424'!$H$62:$H$64,'424'!$H$66,'424'!$H$68:$H$72,'424'!$H$74:$H$75</definedName>
    <definedName name="OSRRefH22x_0" localSheetId="87">'425'!$H$29:$H$38,'425'!$H$40:$H$49,'425'!$H$51,'425'!$H$53,'425'!$H$55,'425'!$H$57:$H$58,'425'!$H$60,'425'!$H$62,'425'!$H$64,'425'!$H$66:$H$68,'425'!$H$70:$H$71,'425'!$H$73:$H$75,'425'!$H$77,'425'!$H$79:$H$85,'425'!$H$87:$H$88,'425'!$H$90,'425'!$H$92</definedName>
    <definedName name="OSRRefH22x_0" localSheetId="90">'430'!$H$20:$H$28,'430'!$H$30:$H$39,'430'!$H$41,'430'!$H$43,'430'!$H$45,'430'!$H$47,'430'!$H$49,'430'!$H$51:$H$54,'430'!$H$56,'430'!$H$58,'430'!$H$60</definedName>
    <definedName name="OSRRefH22x_0" localSheetId="91">'433'!$H$28:$H$37,'433'!$H$39:$H$48,'433'!$H$50,'433'!$H$52,'433'!$H$54,'433'!$H$56,'433'!$H$58,'433'!$H$60,'433'!$H$62,'433'!$H$64,'433'!$H$66:$H$68,'433'!$H$70:$H$73,'433'!$H$75:$H$83,'433'!$H$85,'433'!$H$87,'433'!$H$89:$H$90</definedName>
    <definedName name="OSRRefH22x_0" localSheetId="92">'435'!$H$27:$H$34,'435'!$H$36:$H$45,'435'!$H$47,'435'!$H$49,'435'!$H$51,'435'!$H$53,'435'!$H$55,'435'!$H$57:$H$59,'435'!$H$61</definedName>
    <definedName name="OSRRefH22x_0" localSheetId="93">'444'!$H$27:$H$36,'444'!$H$38:$H$47,'444'!$H$49,'444'!$H$51,'444'!$H$53,'444'!$H$55,'444'!$H$57,'444'!$H$59,'444'!$H$61,'444'!$H$63,'444'!$H$65,'444'!$H$67:$H$69,'444'!$H$71:$H$74,'444'!$H$76:$H$83,'444'!$H$85,'444'!$H$87,'444'!$H$89</definedName>
    <definedName name="OSRRefH22x_0" localSheetId="95">'450'!$H$27:$H$36,'450'!$H$38:$H$47,'450'!$H$49,'450'!$H$51:$H$52,'450'!$H$54,'450'!$H$56,'450'!$H$58,'450'!$H$60,'450'!$H$62,'450'!$H$64,'450'!$H$66,'450'!$H$68,'450'!$H$70:$H$73,'450'!$H$75:$H$77,'450'!$H$79:$H$84,'450'!$H$86,'450'!$H$88,'450'!$H$90:$H$91</definedName>
    <definedName name="OSRRefH22x_0" localSheetId="88">'455'!$H$20:$H$27,'455'!$H$29:$H$38</definedName>
    <definedName name="OSRRefH22x_0" localSheetId="75">'491'!$H$35:$H$44,'491'!$H$46:$H$55,'491'!$H$57,'491'!$H$59,'491'!$H$61,'491'!$H$63:$H$66,'491'!$H$68,'491'!$H$70,'491'!$H$72,'491'!$H$74,'491'!$H$76,'491'!$H$78:$H$79,'491'!$H$81,'491'!$H$83,'491'!$H$85,'491'!$H$87,'491'!$H$89:$H$92,'491'!$H$94:$H$97,'491'!$H$99:$H$103,'491'!$H$105:$H$106,'491'!$H$108:$H$118,'491'!$H$120:$H$121,'491'!$H$123,'491'!$H$125:$H$127,'491'!$H$129</definedName>
    <definedName name="OSRRefH22x_0" localSheetId="89">'492'!$H$30:$H$39,'492'!$H$41:$H$50,'492'!$H$52,'492'!$H$54:$H$55,'492'!$H$57,'492'!$H$59,'492'!$H$61:$H$62,'492'!$H$64,'492'!$H$66,'492'!$H$68,'492'!$H$70,'492'!$H$72,'492'!$H$74,'492'!$H$76:$H$79,'492'!$H$81:$H$84,'492'!$H$86:$H$95,'492'!$H$97,'492'!$H$99,'492'!$H$101:$H$102</definedName>
    <definedName name="OSRRefH22x_0" localSheetId="97">'501'!$H$21:$H$29,'501'!$H$31:$H$40,'501'!$H$42,'501'!$H$44,'501'!$H$46,'501'!$H$48,'501'!$H$50,'501'!$H$52,'501'!$H$54,'501'!$H$56,'501'!$H$58:$H$61,'501'!$H$63,'501'!$H$65:$H$67,'501'!$H$69,'501'!$H$71</definedName>
    <definedName name="OSRRefH22x_0" localSheetId="39">'Div 2'!$H$21:$H$31,'Div 2'!$H$33:$H$42,'Div 2'!$H$44,'Div 2'!$H$46,'Div 2'!$H$48,'Div 2'!$H$50:$H$51,'Div 2'!$H$53:$H$54,'Div 2'!$H$56,'Div 2'!$H$58,'Div 2'!$H$60,'Div 2'!$H$62,'Div 2'!$H$64,'Div 2'!$H$66:$H$68,'Div 2'!$H$70:$H$73,'Div 2'!$H$75:$H$78,'Div 2'!$H$80:$H$81,'Div 2'!$H$83:$H$84,'Div 2'!$H$86:$H$91,'Div 2'!$H$93:$H$94,'Div 2'!$H$96,'Div 2'!$H$98:$H$99</definedName>
    <definedName name="OSRRefH22x_0" localSheetId="47">'Div 3'!$H$175:$H$184,'Div 3'!$H$186:$H$195,'Div 3'!$H$197,'Div 3'!$H$199:$H$200,'Div 3'!$H$202,'Div 3'!$H$204:$H$207,'Div 3'!$H$209:$H$210,'Div 3'!$H$212:$H$213,'Div 3'!$H$215,'Div 3'!$H$217,'Div 3'!$H$219:$H$220,'Div 3'!$H$222,'Div 3'!$H$224,'Div 3'!$H$226,'Div 3'!$H$228,'Div 3'!$H$230,'Div 3'!$H$232,'Div 3'!$H$234,'Div 3'!$H$236:$H$239,'Div 3'!$H$241:$H$244,'Div 3'!$H$246:$H$251,'Div 3'!$H$253:$H$254,'Div 3'!$H$256:$H$265,'Div 3'!$H$267:$H$268,'Div 3'!$H$270,'Div 3'!$H$272:$H$274,'Div 3'!$H$276</definedName>
    <definedName name="OSRRefH22x_0" localSheetId="73">'Div 4'!$H$36:$H$45,'Div 4'!$H$47:$H$56,'Div 4'!$H$58,'Div 4'!$H$60:$H$61,'Div 4'!$H$63,'Div 4'!$H$65:$H$68,'Div 4'!$H$70,'Div 4'!$H$72:$H$73,'Div 4'!$H$75,'Div 4'!$H$77,'Div 4'!$H$79,'Div 4'!$H$81:$H$82,'Div 4'!$H$84,'Div 4'!$H$86,'Div 4'!$H$88,'Div 4'!$H$90,'Div 4'!$H$92,'Div 4'!$H$94:$H$97,'Div 4'!$H$99:$H$102,'Div 4'!$H$104:$H$108,'Div 4'!$H$110:$H$111,'Div 4'!$H$113:$H$123,'Div 4'!$H$125:$H$126,'Div 4'!$H$128,'Div 4'!$H$130:$H$132,'Div 4'!$H$134</definedName>
    <definedName name="OSRRefH22x_0" localSheetId="96">'Div 5'!$H$21:$H$29,'Div 5'!$H$31:$H$40,'Div 5'!$H$42,'Div 5'!$H$44,'Div 5'!$H$46,'Div 5'!$H$48,'Div 5'!$H$50,'Div 5'!$H$52,'Div 5'!$H$54,'Div 5'!$H$56,'Div 5'!$H$58:$H$61,'Div 5'!$H$63,'Div 5'!$H$65:$H$67,'Div 5'!$H$69,'Div 5'!$H$71</definedName>
    <definedName name="OSRRefH22x_0" localSheetId="64">'Div 6'!$H$61:$H$70,'Div 6'!$H$72:$H$81,'Div 6'!$H$83,'Div 6'!$H$85,'Div 6'!$H$87,'Div 6'!$H$89,'Div 6'!$H$91,'Div 6'!$H$93,'Div 6'!$H$95,'Div 6'!$H$97,'Div 6'!$H$99:$H$100,'Div 6'!$H$102:$H$103,'Div 6'!$H$105,'Div 6'!$H$107</definedName>
    <definedName name="OSRRefH22x_0" localSheetId="2">Summary!$H$209:$H$218,Summary!$H$220:$H$229,Summary!$H$231,Summary!$H$233:$H$234,Summary!$H$236,Summary!$H$238:$H$241,Summary!$H$243:$H$244,Summary!$H$246:$H$248,Summary!$H$250,Summary!$H$252,Summary!$H$254:$H$255,Summary!$H$257:$H$258,Summary!$H$260,Summary!$H$262,Summary!$H$264,Summary!$H$266,Summary!$H$268,Summary!$H$270,Summary!$H$272:$H$275,Summary!$H$277:$H$280,Summary!$H$282:$H$287,Summary!$H$289:$H$290,Summary!$H$292:$H$302,Summary!$H$304:$H$305,Summary!$H$307,Summary!$H$309:$H$311,Summary!$H$313</definedName>
    <definedName name="OSRRefH25x_0" localSheetId="48">'300'!$H$266:$H$274</definedName>
    <definedName name="OSRRefH25x_0" localSheetId="49">'300 &amp; 317'!$H$292:$H$303</definedName>
    <definedName name="OSRRefH25x_0" localSheetId="50">'301'!$H$106:$H$109</definedName>
    <definedName name="OSRRefH25x_0" localSheetId="53">'307'!$H$128</definedName>
    <definedName name="OSRRefH25x_0" localSheetId="55">'308'!$H$126:$H$129</definedName>
    <definedName name="OSRRefH25x_0" localSheetId="74">'310 &amp; 491'!$H$143:$H$146</definedName>
    <definedName name="OSRRefH25x_0" localSheetId="56">'311'!$H$126:$H$129</definedName>
    <definedName name="OSRRefH25x_0" localSheetId="59">'315'!$H$119:$H$121</definedName>
    <definedName name="OSRRefH25x_0" localSheetId="62">'316'!$H$89:$H$90</definedName>
    <definedName name="OSRRefH25x_0" localSheetId="65">'317'!$H$110:$H$113</definedName>
    <definedName name="OSRRefH25x_0" localSheetId="63">'320'!$H$69:$H$73</definedName>
    <definedName name="OSRRefH25x_0" localSheetId="52">'330'!$H$142</definedName>
    <definedName name="OSRRefH25x_0" localSheetId="58">'331'!$H$153:$H$155</definedName>
    <definedName name="OSRRefH25x_0" localSheetId="61">'332'!$H$102:$H$108</definedName>
    <definedName name="OSRRefH25x_0" localSheetId="78">'411'!$H$99:$H$100</definedName>
    <definedName name="OSRRefH25x_0" localSheetId="81">'413'!$H$83</definedName>
    <definedName name="OSRRefH25x_0" localSheetId="83">'415'!$H$101</definedName>
    <definedName name="OSRRefH25x_0" localSheetId="85">'423'!$H$53</definedName>
    <definedName name="OSRRefH25x_0" localSheetId="86">'424'!$H$78</definedName>
    <definedName name="OSRRefH25x_0" localSheetId="87">'425'!$H$95</definedName>
    <definedName name="OSRRefH25x_0" localSheetId="88">'455'!$H$41:$H$44</definedName>
    <definedName name="OSRRefH25x_0" localSheetId="75">'491'!$H$132:$H$135</definedName>
    <definedName name="OSRRefH25x_0" localSheetId="97">'501'!$H$74</definedName>
    <definedName name="OSRRefH25x_0" localSheetId="47">'Div 3'!$H$279:$H$287</definedName>
    <definedName name="OSRRefH25x_0" localSheetId="73">'Div 4'!$H$137:$H$140</definedName>
    <definedName name="OSRRefH25x_0" localSheetId="96">'Div 5'!$H$74</definedName>
    <definedName name="OSRRefH25x_0" localSheetId="64">'Div 6'!$H$110:$H$113</definedName>
    <definedName name="OSRRefH25x_0" localSheetId="2">Summary!$H$316:$H$328</definedName>
    <definedName name="OSRRefP13x_0" localSheetId="44">'204'!$P$13</definedName>
    <definedName name="OSRRefP13x_0" localSheetId="48">'300'!$P$13:$P$111</definedName>
    <definedName name="OSRRefP13x_0" localSheetId="49">'300 &amp; 317'!$P$13:$P$129</definedName>
    <definedName name="OSRRefP13x_0" localSheetId="53">'307'!$P$13:$P$50</definedName>
    <definedName name="OSRRefP13x_0" localSheetId="55">'308'!$P$13:$P$42</definedName>
    <definedName name="OSRRefP13x_0" localSheetId="67">'309'!$P$13:$P$15</definedName>
    <definedName name="OSRRefP13x_0" localSheetId="66">'310'!$P$13:$P$24</definedName>
    <definedName name="OSRRefP13x_0" localSheetId="74">'310 &amp; 491'!$P$13:$P$31</definedName>
    <definedName name="OSRRefP13x_0" localSheetId="56">'311'!$P$13:$P$42</definedName>
    <definedName name="OSRRefP13x_0" localSheetId="68">'313'!$P$13:$P$20</definedName>
    <definedName name="OSRRefP13x_0" localSheetId="54">'314'!$P$13:$P$34</definedName>
    <definedName name="OSRRefP13x_0" localSheetId="59">'315'!$P$13:$P$34</definedName>
    <definedName name="OSRRefP13x_0" localSheetId="62">'316'!$P$13:$P$28</definedName>
    <definedName name="OSRRefP13x_0" localSheetId="65">'317'!$P$13:$P$38</definedName>
    <definedName name="OSRRefP13x_0" localSheetId="63">'320'!$P$13:$P$18</definedName>
    <definedName name="OSRRefP13x_0" localSheetId="69">'321'!$P$13:$P$15</definedName>
    <definedName name="OSRRefP13x_0" localSheetId="70">'322'!$P$13</definedName>
    <definedName name="OSRRefP13x_0" localSheetId="57">'324'!$P$13:$P$15</definedName>
    <definedName name="OSRRefP13x_0" localSheetId="60">'326'!$P$13:$P$33</definedName>
    <definedName name="OSRRefP13x_0" localSheetId="72">'327'!$P$13:$P$14</definedName>
    <definedName name="OSRRefP13x_0" localSheetId="52">'330'!$P$13:$P$54</definedName>
    <definedName name="OSRRefP13x_0" localSheetId="58">'331'!$P$13:$P$42</definedName>
    <definedName name="OSRRefP13x_0" localSheetId="61">'332'!$P$13:$P$32</definedName>
    <definedName name="OSRRefP13x_0" localSheetId="76">'405'!$P$13:$P$15</definedName>
    <definedName name="OSRRefP13x_0" localSheetId="77">'406'!$P$13:$P$16</definedName>
    <definedName name="OSRRefP13x_0" localSheetId="79">'412'!$P$13:$P$16</definedName>
    <definedName name="OSRRefP13x_0" localSheetId="81">'413'!$P$13:$P$16</definedName>
    <definedName name="OSRRefP13x_0" localSheetId="82">'414'!$P$13:$P$16</definedName>
    <definedName name="OSRRefP13x_0" localSheetId="83">'415'!$P$13:$P$15</definedName>
    <definedName name="OSRRefP13x_0" localSheetId="84">'418'!$P$13:$P$16</definedName>
    <definedName name="OSRRefP13x_0" localSheetId="80">'420'!$P$13:$P$14</definedName>
    <definedName name="OSRRefP13x_0" localSheetId="86">'424'!$P$13:$P$16</definedName>
    <definedName name="OSRRefP13x_0" localSheetId="87">'425'!$P$13:$P$18</definedName>
    <definedName name="OSRRefP13x_0" localSheetId="91">'433'!$P$13:$P$17</definedName>
    <definedName name="OSRRefP13x_0" localSheetId="92">'435'!$P$13:$P$16</definedName>
    <definedName name="OSRRefP13x_0" localSheetId="93">'444'!$P$13:$P$16</definedName>
    <definedName name="OSRRefP13x_0" localSheetId="95">'450'!$P$13:$P$16</definedName>
    <definedName name="OSRRefP13x_0" localSheetId="75">'491'!$P$13:$P$24</definedName>
    <definedName name="OSRRefP13x_0" localSheetId="89">'492'!$P$13:$P$19</definedName>
    <definedName name="OSRRefP13x_0" localSheetId="97">'501'!$P$13</definedName>
    <definedName name="OSRRefP13x_0" localSheetId="39">'Div 2'!$P$13</definedName>
    <definedName name="OSRRefP13x_0" localSheetId="47">'Div 3'!$P$13:$P$114</definedName>
    <definedName name="OSRRefP13x_0" localSheetId="73">'Div 4'!$P$13:$P$25</definedName>
    <definedName name="OSRRefP13x_0" localSheetId="96">'Div 5'!$P$13</definedName>
    <definedName name="OSRRefP13x_0" localSheetId="64">'Div 6'!$P$13:$P$38</definedName>
    <definedName name="OSRRefP13x_0" localSheetId="2">Summary!$P$13:$P$140</definedName>
    <definedName name="OSRRefP16x_0" localSheetId="48">'300'!$P$114:$P$164</definedName>
    <definedName name="OSRRefP16x_0" localSheetId="49">'300 &amp; 317'!$P$132:$P$190</definedName>
    <definedName name="OSRRefP16x_0" localSheetId="53">'307'!$P$53:$P$73</definedName>
    <definedName name="OSRRefP16x_0" localSheetId="55">'308'!$P$45:$P$61</definedName>
    <definedName name="OSRRefP16x_0" localSheetId="67">'309'!$P$18:$P$20</definedName>
    <definedName name="OSRRefP16x_0" localSheetId="66">'310'!$P$27:$P$29</definedName>
    <definedName name="OSRRefP16x_0" localSheetId="74">'310 &amp; 491'!$P$34:$P$36</definedName>
    <definedName name="OSRRefP16x_0" localSheetId="56">'311'!$P$45:$P$61</definedName>
    <definedName name="OSRRefP16x_0" localSheetId="68">'313'!$P$23:$P$25</definedName>
    <definedName name="OSRRefP16x_0" localSheetId="54">'314'!$P$37:$P$52</definedName>
    <definedName name="OSRRefP16x_0" localSheetId="59">'315'!$P$37:$P$52</definedName>
    <definedName name="OSRRefP16x_0" localSheetId="65">'317'!$P$41:$P$55</definedName>
    <definedName name="OSRRefP16x_0" localSheetId="63">'320'!$P$21:$P$26</definedName>
    <definedName name="OSRRefP16x_0" localSheetId="69">'321'!$P$18:$P$20</definedName>
    <definedName name="OSRRefP16x_0" localSheetId="70">'322'!$P$16</definedName>
    <definedName name="OSRRefP16x_0" localSheetId="57">'324'!$P$18:$P$20</definedName>
    <definedName name="OSRRefP16x_0" localSheetId="60">'326'!$P$36:$P$52</definedName>
    <definedName name="OSRRefP16x_0" localSheetId="72">'327'!$P$17:$P$18</definedName>
    <definedName name="OSRRefP16x_0" localSheetId="52">'330'!$P$57:$P$80</definedName>
    <definedName name="OSRRefP16x_0" localSheetId="58">'331'!$P$45:$P$67</definedName>
    <definedName name="OSRRefP16x_0" localSheetId="61">'332'!$P$35:$P$40</definedName>
    <definedName name="OSRRefP16x_0" localSheetId="76">'405'!$P$18:$P$20</definedName>
    <definedName name="OSRRefP16x_0" localSheetId="77">'406'!$P$19:$P$21</definedName>
    <definedName name="OSRRefP16x_0" localSheetId="79">'412'!$P$19:$P$21</definedName>
    <definedName name="OSRRefP16x_0" localSheetId="81">'413'!$P$19:$P$21</definedName>
    <definedName name="OSRRefP16x_0" localSheetId="82">'414'!$P$19:$P$21</definedName>
    <definedName name="OSRRefP16x_0" localSheetId="83">'415'!$P$18:$P$20</definedName>
    <definedName name="OSRRefP16x_0" localSheetId="84">'418'!$P$19:$P$21</definedName>
    <definedName name="OSRRefP16x_0" localSheetId="80">'420'!$P$17:$P$18</definedName>
    <definedName name="OSRRefP16x_0" localSheetId="85">'423'!$P$15</definedName>
    <definedName name="OSRRefP16x_0" localSheetId="86">'424'!$P$19:$P$21</definedName>
    <definedName name="OSRRefP16x_0" localSheetId="87">'425'!$P$21:$P$23</definedName>
    <definedName name="OSRRefP16x_0" localSheetId="91">'433'!$P$20:$P$22</definedName>
    <definedName name="OSRRefP16x_0" localSheetId="92">'435'!$P$19:$P$21</definedName>
    <definedName name="OSRRefP16x_0" localSheetId="93">'444'!$P$19:$P$21</definedName>
    <definedName name="OSRRefP16x_0" localSheetId="95">'450'!$P$19:$P$21</definedName>
    <definedName name="OSRRefP16x_0" localSheetId="75">'491'!$P$27:$P$29</definedName>
    <definedName name="OSRRefP16x_0" localSheetId="89">'492'!$P$22:$P$24</definedName>
    <definedName name="OSRRefP16x_0" localSheetId="47">'Div 3'!$P$117:$P$169</definedName>
    <definedName name="OSRRefP16x_0" localSheetId="73">'Div 4'!$P$28:$P$30</definedName>
    <definedName name="OSRRefP16x_0" localSheetId="64">'Div 6'!$P$41:$P$55</definedName>
    <definedName name="OSRRefP16x_0" localSheetId="2">Summary!$P$143:$P$203</definedName>
    <definedName name="OSRRefP22_0x_0" localSheetId="40">'200'!$P$20</definedName>
    <definedName name="OSRRefP22_0x_0" localSheetId="41">'201'!$P$20:$P$28</definedName>
    <definedName name="OSRRefP22_0x_0" localSheetId="42">'202'!$P$20:$P$28</definedName>
    <definedName name="OSRRefP22_0x_0" localSheetId="43">'203'!$P$20:$P$29</definedName>
    <definedName name="OSRRefP22_0x_0" localSheetId="44">'204'!$P$21:$P$30</definedName>
    <definedName name="OSRRefP22_0x_0" localSheetId="45">'205'!$P$20:$P$28</definedName>
    <definedName name="OSRRefP22_0x_0" localSheetId="46">'206'!$P$20:$P$28</definedName>
    <definedName name="OSRRefP22_0x_0" localSheetId="48">'300'!$P$170:$P$179</definedName>
    <definedName name="OSRRefP22_0x_0" localSheetId="49">'300 &amp; 317'!$P$196:$P$205</definedName>
    <definedName name="OSRRefP22_0x_0" localSheetId="50">'301'!$P$20:$P$28</definedName>
    <definedName name="OSRRefP22_0x_0" localSheetId="51">'306'!$P$20:$P$28</definedName>
    <definedName name="OSRRefP22_0x_0" localSheetId="53">'307'!$P$79:$P$87</definedName>
    <definedName name="OSRRefP22_0x_0" localSheetId="55">'308'!$P$67:$P$76</definedName>
    <definedName name="OSRRefP22_0x_0" localSheetId="67">'309'!$P$26:$P$34</definedName>
    <definedName name="OSRRefP22_0x_0" localSheetId="66">'310'!$P$35:$P$43</definedName>
    <definedName name="OSRRefP22_0x_0" localSheetId="74">'310 &amp; 491'!$P$42:$P$51</definedName>
    <definedName name="OSRRefP22_0x_0" localSheetId="56">'311'!$P$67:$P$76</definedName>
    <definedName name="OSRRefP22_0x_0" localSheetId="68">'313'!$P$31:$P$39</definedName>
    <definedName name="OSRRefP22_0x_0" localSheetId="54">'314'!$P$58:$P$67</definedName>
    <definedName name="OSRRefP22_0x_0" localSheetId="59">'315'!$P$58:$P$66</definedName>
    <definedName name="OSRRefP22_0x_0" localSheetId="62">'316'!$P$36:$P$44</definedName>
    <definedName name="OSRRefP22_0x_0" localSheetId="65">'317'!$P$61:$P$70</definedName>
    <definedName name="OSRRefP22_0x_0" localSheetId="63">'320'!$P$32:$P$39</definedName>
    <definedName name="OSRRefP22_0x_0" localSheetId="69">'321'!$P$26:$P$33</definedName>
    <definedName name="OSRRefP22_0x_0" localSheetId="70">'322'!$P$22:$P$29</definedName>
    <definedName name="OSRRefP22_0x_0" localSheetId="60">'326'!$P$58:$P$66</definedName>
    <definedName name="OSRRefP22_0x_0" localSheetId="72">'327'!$P$24</definedName>
    <definedName name="OSRRefP22_0x_0" localSheetId="52">'330'!$P$86:$P$95</definedName>
    <definedName name="OSRRefP22_0x_0" localSheetId="58">'331'!$P$73:$P$81</definedName>
    <definedName name="OSRRefP22_0x_0" localSheetId="61">'332'!$P$46:$P$54</definedName>
    <definedName name="OSRRefP22_0x_0" localSheetId="76">'405'!$P$26:$P$34</definedName>
    <definedName name="OSRRefP22_0x_0" localSheetId="77">'406'!$P$27:$P$35</definedName>
    <definedName name="OSRRefP22_0x_0" localSheetId="78">'411'!$P$20:$P$29</definedName>
    <definedName name="OSRRefP22_0x_0" localSheetId="79">'412'!$P$27:$P$35</definedName>
    <definedName name="OSRRefP22_0x_0" localSheetId="81">'413'!$P$27:$P$35</definedName>
    <definedName name="OSRRefP22_0x_0" localSheetId="82">'414'!$P$27:$P$35</definedName>
    <definedName name="OSRRefP22_0x_0" localSheetId="83">'415'!$P$26:$P$34</definedName>
    <definedName name="OSRRefP22_0x_0" localSheetId="84">'418'!$P$27:$P$35</definedName>
    <definedName name="OSRRefP22_0x_0" localSheetId="80">'420'!$P$24:$P$31</definedName>
    <definedName name="OSRRefP22_0x_0" localSheetId="85">'423'!$P$21:$P$29</definedName>
    <definedName name="OSRRefP22_0x_0" localSheetId="86">'424'!$P$27:$P$34</definedName>
    <definedName name="OSRRefP22_0x_0" localSheetId="87">'425'!$P$29:$P$38</definedName>
    <definedName name="OSRRefP22_0x_0" localSheetId="90">'430'!$P$20:$P$28</definedName>
    <definedName name="OSRRefP22_0x_0" localSheetId="91">'433'!$P$28:$P$37</definedName>
    <definedName name="OSRRefP22_0x_0" localSheetId="92">'435'!$P$27:$P$34</definedName>
    <definedName name="OSRRefP22_0x_0" localSheetId="93">'444'!$P$27:$P$36</definedName>
    <definedName name="OSRRefP22_0x_0" localSheetId="95">'450'!$P$27:$P$36</definedName>
    <definedName name="OSRRefP22_0x_0" localSheetId="88">'455'!$P$20:$P$27</definedName>
    <definedName name="OSRRefP22_0x_0" localSheetId="75">'491'!$P$35:$P$44</definedName>
    <definedName name="OSRRefP22_0x_0" localSheetId="89">'492'!$P$30:$P$39</definedName>
    <definedName name="OSRRefP22_0x_0" localSheetId="97">'501'!$P$21:$P$29</definedName>
    <definedName name="OSRRefP22_0x_0" localSheetId="39">'Div 2'!$P$21:$P$31</definedName>
    <definedName name="OSRRefP22_0x_0" localSheetId="47">'Div 3'!$P$175:$P$184</definedName>
    <definedName name="OSRRefP22_0x_0" localSheetId="73">'Div 4'!$P$36:$P$45</definedName>
    <definedName name="OSRRefP22_0x_0" localSheetId="96">'Div 5'!$P$21:$P$29</definedName>
    <definedName name="OSRRefP22_0x_0" localSheetId="64">'Div 6'!$P$61:$P$70</definedName>
    <definedName name="OSRRefP22_0x_0" localSheetId="2">Summary!$P$209:$P$218</definedName>
    <definedName name="OSRRefP22_10x_0" localSheetId="41">'201'!$P$58:$P$60</definedName>
    <definedName name="OSRRefP22_10x_0" localSheetId="42">'202'!$P$59</definedName>
    <definedName name="OSRRefP22_10x_0" localSheetId="43">'203'!$P$60:$P$61</definedName>
    <definedName name="OSRRefP22_10x_0" localSheetId="44">'204'!$P$64:$P$65</definedName>
    <definedName name="OSRRefP22_10x_0" localSheetId="46">'206'!$P$58</definedName>
    <definedName name="OSRRefP22_10x_0" localSheetId="48">'300'!$P$214:$P$215</definedName>
    <definedName name="OSRRefP22_10x_0" localSheetId="49">'300 &amp; 317'!$P$240:$P$241</definedName>
    <definedName name="OSRRefP22_10x_0" localSheetId="50">'301'!$P$63</definedName>
    <definedName name="OSRRefP22_10x_0" localSheetId="51">'306'!$P$61</definedName>
    <definedName name="OSRRefP22_10x_0" localSheetId="53">'307'!$P$119:$P$121</definedName>
    <definedName name="OSRRefP22_10x_0" localSheetId="55">'308'!$P$110:$P$111</definedName>
    <definedName name="OSRRefP22_10x_0" localSheetId="67">'309'!$P$65:$P$67</definedName>
    <definedName name="OSRRefP22_10x_0" localSheetId="66">'310'!$P$74</definedName>
    <definedName name="OSRRefP22_10x_0" localSheetId="74">'310 &amp; 491'!$P$83:$P$84</definedName>
    <definedName name="OSRRefP22_10x_0" localSheetId="56">'311'!$P$110:$P$111</definedName>
    <definedName name="OSRRefP22_10x_0" localSheetId="68">'313'!$P$68:$P$70</definedName>
    <definedName name="OSRRefP22_10x_0" localSheetId="54">'314'!$P$98</definedName>
    <definedName name="OSRRefP22_10x_0" localSheetId="59">'315'!$P$98:$P$100</definedName>
    <definedName name="OSRRefP22_10x_0" localSheetId="62">'316'!$P$74:$P$75</definedName>
    <definedName name="OSRRefP22_10x_0" localSheetId="65">'317'!$P$99:$P$100</definedName>
    <definedName name="OSRRefP22_10x_0" localSheetId="69">'321'!$P$64:$P$65</definedName>
    <definedName name="OSRRefP22_10x_0" localSheetId="70">'322'!$P$60</definedName>
    <definedName name="OSRRefP22_10x_0" localSheetId="60">'326'!$P$96</definedName>
    <definedName name="OSRRefP22_10x_0" localSheetId="52">'330'!$P$126:$P$127</definedName>
    <definedName name="OSRRefP22_10x_0" localSheetId="58">'331'!$P$113</definedName>
    <definedName name="OSRRefP22_10x_0" localSheetId="61">'332'!$P$84:$P$85</definedName>
    <definedName name="OSRRefP22_10x_0" localSheetId="76">'405'!$P$65</definedName>
    <definedName name="OSRRefP22_10x_0" localSheetId="77">'406'!$P$67:$P$69</definedName>
    <definedName name="OSRRefP22_10x_0" localSheetId="78">'411'!$P$61</definedName>
    <definedName name="OSRRefP22_10x_0" localSheetId="79">'412'!$P$67</definedName>
    <definedName name="OSRRefP22_10x_0" localSheetId="81">'413'!$P$67:$P$73</definedName>
    <definedName name="OSRRefP22_10x_0" localSheetId="82">'414'!$P$66</definedName>
    <definedName name="OSRRefP22_10x_0" localSheetId="83">'415'!$P$65</definedName>
    <definedName name="OSRRefP22_10x_0" localSheetId="84">'418'!$P$66:$P$67</definedName>
    <definedName name="OSRRefP22_10x_0" localSheetId="86">'424'!$P$66</definedName>
    <definedName name="OSRRefP22_10x_0" localSheetId="87">'425'!$P$70:$P$71</definedName>
    <definedName name="OSRRefP22_10x_0" localSheetId="90">'430'!$P$60</definedName>
    <definedName name="OSRRefP22_10x_0" localSheetId="91">'433'!$P$66:$P$68</definedName>
    <definedName name="OSRRefP22_10x_0" localSheetId="93">'444'!$P$65</definedName>
    <definedName name="OSRRefP22_10x_0" localSheetId="95">'450'!$P$66</definedName>
    <definedName name="OSRRefP22_10x_0" localSheetId="75">'491'!$P$76</definedName>
    <definedName name="OSRRefP22_10x_0" localSheetId="89">'492'!$P$70</definedName>
    <definedName name="OSRRefP22_10x_0" localSheetId="97">'501'!$P$58:$P$61</definedName>
    <definedName name="OSRRefP22_10x_0" localSheetId="39">'Div 2'!$P$62</definedName>
    <definedName name="OSRRefP22_10x_0" localSheetId="47">'Div 3'!$P$219:$P$220</definedName>
    <definedName name="OSRRefP22_10x_0" localSheetId="73">'Div 4'!$P$79</definedName>
    <definedName name="OSRRefP22_10x_0" localSheetId="96">'Div 5'!$P$58:$P$61</definedName>
    <definedName name="OSRRefP22_10x_0" localSheetId="64">'Div 6'!$P$99:$P$100</definedName>
    <definedName name="OSRRefP22_10x_0" localSheetId="2">Summary!$P$254:$P$255</definedName>
    <definedName name="OSRRefP22_11x_0" localSheetId="41">'201'!$P$62:$P$64</definedName>
    <definedName name="OSRRefP22_11x_0" localSheetId="42">'202'!$P$61:$P$63</definedName>
    <definedName name="OSRRefP22_11x_0" localSheetId="43">'203'!$P$63</definedName>
    <definedName name="OSRRefP22_11x_0" localSheetId="44">'204'!$P$67</definedName>
    <definedName name="OSRRefP22_11x_0" localSheetId="48">'300'!$P$217</definedName>
    <definedName name="OSRRefP22_11x_0" localSheetId="49">'300 &amp; 317'!$P$243</definedName>
    <definedName name="OSRRefP22_11x_0" localSheetId="50">'301'!$P$65</definedName>
    <definedName name="OSRRefP22_11x_0" localSheetId="53">'307'!$P$123</definedName>
    <definedName name="OSRRefP22_11x_0" localSheetId="55">'308'!$P$113:$P$115</definedName>
    <definedName name="OSRRefP22_11x_0" localSheetId="67">'309'!$P$69:$P$71</definedName>
    <definedName name="OSRRefP22_11x_0" localSheetId="66">'310'!$P$76</definedName>
    <definedName name="OSRRefP22_11x_0" localSheetId="74">'310 &amp; 491'!$P$86:$P$87</definedName>
    <definedName name="OSRRefP22_11x_0" localSheetId="56">'311'!$P$113:$P$115</definedName>
    <definedName name="OSRRefP22_11x_0" localSheetId="68">'313'!$P$72</definedName>
    <definedName name="OSRRefP22_11x_0" localSheetId="59">'315'!$P$102:$P$103</definedName>
    <definedName name="OSRRefP22_11x_0" localSheetId="62">'316'!$P$77:$P$81</definedName>
    <definedName name="OSRRefP22_11x_0" localSheetId="65">'317'!$P$102:$P$103</definedName>
    <definedName name="OSRRefP22_11x_0" localSheetId="69">'321'!$P$67:$P$69</definedName>
    <definedName name="OSRRefP22_11x_0" localSheetId="70">'322'!$P$62</definedName>
    <definedName name="OSRRefP22_11x_0" localSheetId="60">'326'!$P$98</definedName>
    <definedName name="OSRRefP22_11x_0" localSheetId="52">'330'!$P$129</definedName>
    <definedName name="OSRRefP22_11x_0" localSheetId="58">'331'!$P$115</definedName>
    <definedName name="OSRRefP22_11x_0" localSheetId="61">'332'!$P$87:$P$88</definedName>
    <definedName name="OSRRefP22_11x_0" localSheetId="76">'405'!$P$67:$P$69</definedName>
    <definedName name="OSRRefP22_11x_0" localSheetId="77">'406'!$P$71:$P$76</definedName>
    <definedName name="OSRRefP22_11x_0" localSheetId="78">'411'!$P$63</definedName>
    <definedName name="OSRRefP22_11x_0" localSheetId="79">'412'!$P$69:$P$71</definedName>
    <definedName name="OSRRefP22_11x_0" localSheetId="81">'413'!$P$75:$P$76</definedName>
    <definedName name="OSRRefP22_11x_0" localSheetId="82">'414'!$P$68</definedName>
    <definedName name="OSRRefP22_11x_0" localSheetId="83">'415'!$P$67:$P$70</definedName>
    <definedName name="OSRRefP22_11x_0" localSheetId="84">'418'!$P$69:$P$71</definedName>
    <definedName name="OSRRefP22_11x_0" localSheetId="86">'424'!$P$68:$P$72</definedName>
    <definedName name="OSRRefP22_11x_0" localSheetId="87">'425'!$P$73:$P$75</definedName>
    <definedName name="OSRRefP22_11x_0" localSheetId="91">'433'!$P$70:$P$73</definedName>
    <definedName name="OSRRefP22_11x_0" localSheetId="93">'444'!$P$67:$P$69</definedName>
    <definedName name="OSRRefP22_11x_0" localSheetId="95">'450'!$P$68</definedName>
    <definedName name="OSRRefP22_11x_0" localSheetId="75">'491'!$P$78:$P$79</definedName>
    <definedName name="OSRRefP22_11x_0" localSheetId="89">'492'!$P$72</definedName>
    <definedName name="OSRRefP22_11x_0" localSheetId="97">'501'!$P$63</definedName>
    <definedName name="OSRRefP22_11x_0" localSheetId="39">'Div 2'!$P$64</definedName>
    <definedName name="OSRRefP22_11x_0" localSheetId="47">'Div 3'!$P$222</definedName>
    <definedName name="OSRRefP22_11x_0" localSheetId="73">'Div 4'!$P$81:$P$82</definedName>
    <definedName name="OSRRefP22_11x_0" localSheetId="96">'Div 5'!$P$63</definedName>
    <definedName name="OSRRefP22_11x_0" localSheetId="64">'Div 6'!$P$102:$P$103</definedName>
    <definedName name="OSRRefP22_11x_0" localSheetId="2">Summary!$P$257:$P$258</definedName>
    <definedName name="OSRRefP22_12x_0" localSheetId="41">'201'!$P$66</definedName>
    <definedName name="OSRRefP22_12x_0" localSheetId="42">'202'!$P$65</definedName>
    <definedName name="OSRRefP22_12x_0" localSheetId="43">'203'!$P$65:$P$67</definedName>
    <definedName name="OSRRefP22_12x_0" localSheetId="44">'204'!$P$69:$P$70</definedName>
    <definedName name="OSRRefP22_12x_0" localSheetId="48">'300'!$P$219</definedName>
    <definedName name="OSRRefP22_12x_0" localSheetId="49">'300 &amp; 317'!$P$245</definedName>
    <definedName name="OSRRefP22_12x_0" localSheetId="50">'301'!$P$67</definedName>
    <definedName name="OSRRefP22_12x_0" localSheetId="53">'307'!$P$125</definedName>
    <definedName name="OSRRefP22_12x_0" localSheetId="55">'308'!$P$117:$P$118</definedName>
    <definedName name="OSRRefP22_12x_0" localSheetId="67">'309'!$P$73</definedName>
    <definedName name="OSRRefP22_12x_0" localSheetId="66">'310'!$P$78</definedName>
    <definedName name="OSRRefP22_12x_0" localSheetId="74">'310 &amp; 491'!$P$89</definedName>
    <definedName name="OSRRefP22_12x_0" localSheetId="56">'311'!$P$117:$P$118</definedName>
    <definedName name="OSRRefP22_12x_0" localSheetId="68">'313'!$P$74:$P$79</definedName>
    <definedName name="OSRRefP22_12x_0" localSheetId="59">'315'!$P$105:$P$109</definedName>
    <definedName name="OSRRefP22_12x_0" localSheetId="62">'316'!$P$83:$P$84</definedName>
    <definedName name="OSRRefP22_12x_0" localSheetId="65">'317'!$P$105</definedName>
    <definedName name="OSRRefP22_12x_0" localSheetId="69">'321'!$P$71:$P$74</definedName>
    <definedName name="OSRRefP22_12x_0" localSheetId="60">'326'!$P$100</definedName>
    <definedName name="OSRRefP22_12x_0" localSheetId="52">'330'!$P$131:$P$133</definedName>
    <definedName name="OSRRefP22_12x_0" localSheetId="58">'331'!$P$117</definedName>
    <definedName name="OSRRefP22_12x_0" localSheetId="61">'332'!$P$90:$P$94</definedName>
    <definedName name="OSRRefP22_12x_0" localSheetId="76">'405'!$P$71</definedName>
    <definedName name="OSRRefP22_12x_0" localSheetId="77">'406'!$P$78:$P$79</definedName>
    <definedName name="OSRRefP22_12x_0" localSheetId="78">'411'!$P$65:$P$68</definedName>
    <definedName name="OSRRefP22_12x_0" localSheetId="79">'412'!$P$73:$P$80</definedName>
    <definedName name="OSRRefP22_12x_0" localSheetId="81">'413'!$P$78</definedName>
    <definedName name="OSRRefP22_12x_0" localSheetId="82">'414'!$P$70</definedName>
    <definedName name="OSRRefP22_12x_0" localSheetId="83">'415'!$P$72:$P$76</definedName>
    <definedName name="OSRRefP22_12x_0" localSheetId="84">'418'!$P$73:$P$75</definedName>
    <definedName name="OSRRefP22_12x_0" localSheetId="86">'424'!$P$74:$P$75</definedName>
    <definedName name="OSRRefP22_12x_0" localSheetId="87">'425'!$P$77</definedName>
    <definedName name="OSRRefP22_12x_0" localSheetId="91">'433'!$P$75:$P$83</definedName>
    <definedName name="OSRRefP22_12x_0" localSheetId="93">'444'!$P$71:$P$74</definedName>
    <definedName name="OSRRefP22_12x_0" localSheetId="95">'450'!$P$70:$P$73</definedName>
    <definedName name="OSRRefP22_12x_0" localSheetId="75">'491'!$P$81</definedName>
    <definedName name="OSRRefP22_12x_0" localSheetId="89">'492'!$P$74</definedName>
    <definedName name="OSRRefP22_12x_0" localSheetId="97">'501'!$P$65:$P$67</definedName>
    <definedName name="OSRRefP22_12x_0" localSheetId="39">'Div 2'!$P$66:$P$68</definedName>
    <definedName name="OSRRefP22_12x_0" localSheetId="47">'Div 3'!$P$224</definedName>
    <definedName name="OSRRefP22_12x_0" localSheetId="73">'Div 4'!$P$84</definedName>
    <definedName name="OSRRefP22_12x_0" localSheetId="96">'Div 5'!$P$65:$P$67</definedName>
    <definedName name="OSRRefP22_12x_0" localSheetId="64">'Div 6'!$P$105</definedName>
    <definedName name="OSRRefP22_12x_0" localSheetId="2">Summary!$P$260</definedName>
    <definedName name="OSRRefP22_13x_0" localSheetId="41">'201'!$P$68:$P$71</definedName>
    <definedName name="OSRRefP22_13x_0" localSheetId="42">'202'!$P$67</definedName>
    <definedName name="OSRRefP22_13x_0" localSheetId="43">'203'!$P$69</definedName>
    <definedName name="OSRRefP22_13x_0" localSheetId="48">'300'!$P$221</definedName>
    <definedName name="OSRRefP22_13x_0" localSheetId="49">'300 &amp; 317'!$P$247</definedName>
    <definedName name="OSRRefP22_13x_0" localSheetId="50">'301'!$P$69</definedName>
    <definedName name="OSRRefP22_13x_0" localSheetId="55">'308'!$P$120</definedName>
    <definedName name="OSRRefP22_13x_0" localSheetId="67">'309'!$P$75</definedName>
    <definedName name="OSRRefP22_13x_0" localSheetId="66">'310'!$P$80</definedName>
    <definedName name="OSRRefP22_13x_0" localSheetId="74">'310 &amp; 491'!$P$91</definedName>
    <definedName name="OSRRefP22_13x_0" localSheetId="56">'311'!$P$120</definedName>
    <definedName name="OSRRefP22_13x_0" localSheetId="68">'313'!$P$81</definedName>
    <definedName name="OSRRefP22_13x_0" localSheetId="59">'315'!$P$111</definedName>
    <definedName name="OSRRefP22_13x_0" localSheetId="62">'316'!$P$86</definedName>
    <definedName name="OSRRefP22_13x_0" localSheetId="65">'317'!$P$107</definedName>
    <definedName name="OSRRefP22_13x_0" localSheetId="69">'321'!$P$76</definedName>
    <definedName name="OSRRefP22_13x_0" localSheetId="60">'326'!$P$102:$P$103</definedName>
    <definedName name="OSRRefP22_13x_0" localSheetId="52">'330'!$P$135</definedName>
    <definedName name="OSRRefP22_13x_0" localSheetId="58">'331'!$P$119</definedName>
    <definedName name="OSRRefP22_13x_0" localSheetId="61">'332'!$P$96:$P$97</definedName>
    <definedName name="OSRRefP22_13x_0" localSheetId="76">'405'!$P$73:$P$75</definedName>
    <definedName name="OSRRefP22_13x_0" localSheetId="77">'406'!$P$81</definedName>
    <definedName name="OSRRefP22_13x_0" localSheetId="78">'411'!$P$70:$P$74</definedName>
    <definedName name="OSRRefP22_13x_0" localSheetId="79">'412'!$P$82</definedName>
    <definedName name="OSRRefP22_13x_0" localSheetId="81">'413'!$P$80</definedName>
    <definedName name="OSRRefP22_13x_0" localSheetId="82">'414'!$P$72:$P$78</definedName>
    <definedName name="OSRRefP22_13x_0" localSheetId="83">'415'!$P$78:$P$79</definedName>
    <definedName name="OSRRefP22_13x_0" localSheetId="84">'418'!$P$77:$P$78</definedName>
    <definedName name="OSRRefP22_13x_0" localSheetId="87">'425'!$P$79:$P$85</definedName>
    <definedName name="OSRRefP22_13x_0" localSheetId="91">'433'!$P$85</definedName>
    <definedName name="OSRRefP22_13x_0" localSheetId="93">'444'!$P$76:$P$83</definedName>
    <definedName name="OSRRefP22_13x_0" localSheetId="95">'450'!$P$75:$P$77</definedName>
    <definedName name="OSRRefP22_13x_0" localSheetId="75">'491'!$P$83</definedName>
    <definedName name="OSRRefP22_13x_0" localSheetId="89">'492'!$P$76:$P$79</definedName>
    <definedName name="OSRRefP22_13x_0" localSheetId="97">'501'!$P$69</definedName>
    <definedName name="OSRRefP22_13x_0" localSheetId="39">'Div 2'!$P$70:$P$73</definedName>
    <definedName name="OSRRefP22_13x_0" localSheetId="47">'Div 3'!$P$226</definedName>
    <definedName name="OSRRefP22_13x_0" localSheetId="73">'Div 4'!$P$86</definedName>
    <definedName name="OSRRefP22_13x_0" localSheetId="96">'Div 5'!$P$69</definedName>
    <definedName name="OSRRefP22_13x_0" localSheetId="64">'Div 6'!$P$107</definedName>
    <definedName name="OSRRefP22_13x_0" localSheetId="2">Summary!$P$262</definedName>
    <definedName name="OSRRefP22_14x_0" localSheetId="41">'201'!$P$73</definedName>
    <definedName name="OSRRefP22_14x_0" localSheetId="42">'202'!$P$69:$P$70</definedName>
    <definedName name="OSRRefP22_14x_0" localSheetId="43">'203'!$P$71</definedName>
    <definedName name="OSRRefP22_14x_0" localSheetId="48">'300'!$P$223</definedName>
    <definedName name="OSRRefP22_14x_0" localSheetId="49">'300 &amp; 317'!$P$249</definedName>
    <definedName name="OSRRefP22_14x_0" localSheetId="50">'301'!$P$71</definedName>
    <definedName name="OSRRefP22_14x_0" localSheetId="55">'308'!$P$122:$P$123</definedName>
    <definedName name="OSRRefP22_14x_0" localSheetId="66">'310'!$P$82</definedName>
    <definedName name="OSRRefP22_14x_0" localSheetId="74">'310 &amp; 491'!$P$93</definedName>
    <definedName name="OSRRefP22_14x_0" localSheetId="56">'311'!$P$122:$P$123</definedName>
    <definedName name="OSRRefP22_14x_0" localSheetId="68">'313'!$P$83</definedName>
    <definedName name="OSRRefP22_14x_0" localSheetId="59">'315'!$P$113</definedName>
    <definedName name="OSRRefP22_14x_0" localSheetId="69">'321'!$P$78</definedName>
    <definedName name="OSRRefP22_14x_0" localSheetId="60">'326'!$P$105:$P$107</definedName>
    <definedName name="OSRRefP22_14x_0" localSheetId="52">'330'!$P$137</definedName>
    <definedName name="OSRRefP22_14x_0" localSheetId="58">'331'!$P$121:$P$122</definedName>
    <definedName name="OSRRefP22_14x_0" localSheetId="61">'332'!$P$99</definedName>
    <definedName name="OSRRefP22_14x_0" localSheetId="76">'405'!$P$77:$P$78</definedName>
    <definedName name="OSRRefP22_14x_0" localSheetId="77">'406'!$P$83:$P$84</definedName>
    <definedName name="OSRRefP22_14x_0" localSheetId="78">'411'!$P$76</definedName>
    <definedName name="OSRRefP22_14x_0" localSheetId="79">'412'!$P$84</definedName>
    <definedName name="OSRRefP22_14x_0" localSheetId="82">'414'!$P$80</definedName>
    <definedName name="OSRRefP22_14x_0" localSheetId="83">'415'!$P$81:$P$89</definedName>
    <definedName name="OSRRefP22_14x_0" localSheetId="84">'418'!$P$80:$P$87</definedName>
    <definedName name="OSRRefP22_14x_0" localSheetId="87">'425'!$P$87:$P$88</definedName>
    <definedName name="OSRRefP22_14x_0" localSheetId="91">'433'!$P$87</definedName>
    <definedName name="OSRRefP22_14x_0" localSheetId="93">'444'!$P$85</definedName>
    <definedName name="OSRRefP22_14x_0" localSheetId="95">'450'!$P$79:$P$84</definedName>
    <definedName name="OSRRefP22_14x_0" localSheetId="75">'491'!$P$85</definedName>
    <definedName name="OSRRefP22_14x_0" localSheetId="89">'492'!$P$81:$P$84</definedName>
    <definedName name="OSRRefP22_14x_0" localSheetId="97">'501'!$P$71</definedName>
    <definedName name="OSRRefP22_14x_0" localSheetId="39">'Div 2'!$P$75:$P$78</definedName>
    <definedName name="OSRRefP22_14x_0" localSheetId="47">'Div 3'!$P$228</definedName>
    <definedName name="OSRRefP22_14x_0" localSheetId="73">'Div 4'!$P$88</definedName>
    <definedName name="OSRRefP22_14x_0" localSheetId="96">'Div 5'!$P$71</definedName>
    <definedName name="OSRRefP22_14x_0" localSheetId="2">Summary!$P$264</definedName>
    <definedName name="OSRRefP22_15x_0" localSheetId="41">'201'!$P$75</definedName>
    <definedName name="OSRRefP22_15x_0" localSheetId="42">'202'!$P$72</definedName>
    <definedName name="OSRRefP22_15x_0" localSheetId="43">'203'!$P$73</definedName>
    <definedName name="OSRRefP22_15x_0" localSheetId="48">'300'!$P$225</definedName>
    <definedName name="OSRRefP22_15x_0" localSheetId="49">'300 &amp; 317'!$P$251</definedName>
    <definedName name="OSRRefP22_15x_0" localSheetId="50">'301'!$P$73</definedName>
    <definedName name="OSRRefP22_15x_0" localSheetId="66">'310'!$P$84:$P$86</definedName>
    <definedName name="OSRRefP22_15x_0" localSheetId="74">'310 &amp; 491'!$P$95</definedName>
    <definedName name="OSRRefP22_15x_0" localSheetId="59">'315'!$P$115:$P$116</definedName>
    <definedName name="OSRRefP22_15x_0" localSheetId="60">'326'!$P$109:$P$110</definedName>
    <definedName name="OSRRefP22_15x_0" localSheetId="52">'330'!$P$139</definedName>
    <definedName name="OSRRefP22_15x_0" localSheetId="58">'331'!$P$124:$P$126</definedName>
    <definedName name="OSRRefP22_15x_0" localSheetId="76">'405'!$P$80:$P$88</definedName>
    <definedName name="OSRRefP22_15x_0" localSheetId="78">'411'!$P$78:$P$86</definedName>
    <definedName name="OSRRefP22_15x_0" localSheetId="79">'412'!$P$86</definedName>
    <definedName name="OSRRefP22_15x_0" localSheetId="82">'414'!$P$82</definedName>
    <definedName name="OSRRefP22_15x_0" localSheetId="83">'415'!$P$91</definedName>
    <definedName name="OSRRefP22_15x_0" localSheetId="84">'418'!$P$89</definedName>
    <definedName name="OSRRefP22_15x_0" localSheetId="87">'425'!$P$90</definedName>
    <definedName name="OSRRefP22_15x_0" localSheetId="91">'433'!$P$89:$P$90</definedName>
    <definedName name="OSRRefP22_15x_0" localSheetId="93">'444'!$P$87</definedName>
    <definedName name="OSRRefP22_15x_0" localSheetId="95">'450'!$P$86</definedName>
    <definedName name="OSRRefP22_15x_0" localSheetId="75">'491'!$P$87</definedName>
    <definedName name="OSRRefP22_15x_0" localSheetId="89">'492'!$P$86:$P$95</definedName>
    <definedName name="OSRRefP22_15x_0" localSheetId="39">'Div 2'!$P$80:$P$81</definedName>
    <definedName name="OSRRefP22_15x_0" localSheetId="47">'Div 3'!$P$230</definedName>
    <definedName name="OSRRefP22_15x_0" localSheetId="73">'Div 4'!$P$90</definedName>
    <definedName name="OSRRefP22_15x_0" localSheetId="2">Summary!$P$266</definedName>
    <definedName name="OSRRefP22_16x_0" localSheetId="41">'201'!$P$77:$P$78</definedName>
    <definedName name="OSRRefP22_16x_0" localSheetId="42">'202'!$P$74</definedName>
    <definedName name="OSRRefP22_16x_0" localSheetId="48">'300'!$P$227:$P$230</definedName>
    <definedName name="OSRRefP22_16x_0" localSheetId="49">'300 &amp; 317'!$P$253:$P$256</definedName>
    <definedName name="OSRRefP22_16x_0" localSheetId="50">'301'!$P$75:$P$78</definedName>
    <definedName name="OSRRefP22_16x_0" localSheetId="66">'310'!$P$88:$P$89</definedName>
    <definedName name="OSRRefP22_16x_0" localSheetId="74">'310 &amp; 491'!$P$97</definedName>
    <definedName name="OSRRefP22_16x_0" localSheetId="60">'326'!$P$112:$P$117</definedName>
    <definedName name="OSRRefP22_16x_0" localSheetId="58">'331'!$P$128:$P$130</definedName>
    <definedName name="OSRRefP22_16x_0" localSheetId="76">'405'!$P$90</definedName>
    <definedName name="OSRRefP22_16x_0" localSheetId="78">'411'!$P$88</definedName>
    <definedName name="OSRRefP22_16x_0" localSheetId="83">'415'!$P$93</definedName>
    <definedName name="OSRRefP22_16x_0" localSheetId="84">'418'!$P$91</definedName>
    <definedName name="OSRRefP22_16x_0" localSheetId="87">'425'!$P$92</definedName>
    <definedName name="OSRRefP22_16x_0" localSheetId="93">'444'!$P$89</definedName>
    <definedName name="OSRRefP22_16x_0" localSheetId="95">'450'!$P$88</definedName>
    <definedName name="OSRRefP22_16x_0" localSheetId="75">'491'!$P$89:$P$92</definedName>
    <definedName name="OSRRefP22_16x_0" localSheetId="89">'492'!$P$97</definedName>
    <definedName name="OSRRefP22_16x_0" localSheetId="39">'Div 2'!$P$83:$P$84</definedName>
    <definedName name="OSRRefP22_16x_0" localSheetId="47">'Div 3'!$P$232</definedName>
    <definedName name="OSRRefP22_16x_0" localSheetId="73">'Div 4'!$P$92</definedName>
    <definedName name="OSRRefP22_16x_0" localSheetId="2">Summary!$P$268</definedName>
    <definedName name="OSRRefP22_17x_0" localSheetId="48">'300'!$P$232:$P$235</definedName>
    <definedName name="OSRRefP22_17x_0" localSheetId="49">'300 &amp; 317'!$P$258:$P$261</definedName>
    <definedName name="OSRRefP22_17x_0" localSheetId="50">'301'!$P$80:$P$82</definedName>
    <definedName name="OSRRefP22_17x_0" localSheetId="66">'310'!$P$91:$P$95</definedName>
    <definedName name="OSRRefP22_17x_0" localSheetId="74">'310 &amp; 491'!$P$99:$P$102</definedName>
    <definedName name="OSRRefP22_17x_0" localSheetId="60">'326'!$P$119:$P$120</definedName>
    <definedName name="OSRRefP22_17x_0" localSheetId="58">'331'!$P$132:$P$133</definedName>
    <definedName name="OSRRefP22_17x_0" localSheetId="76">'405'!$P$92</definedName>
    <definedName name="OSRRefP22_17x_0" localSheetId="78">'411'!$P$90</definedName>
    <definedName name="OSRRefP22_17x_0" localSheetId="83">'415'!$P$95:$P$96</definedName>
    <definedName name="OSRRefP22_17x_0" localSheetId="84">'418'!$P$93:$P$94</definedName>
    <definedName name="OSRRefP22_17x_0" localSheetId="95">'450'!$P$90:$P$91</definedName>
    <definedName name="OSRRefP22_17x_0" localSheetId="75">'491'!$P$94:$P$97</definedName>
    <definedName name="OSRRefP22_17x_0" localSheetId="89">'492'!$P$99</definedName>
    <definedName name="OSRRefP22_17x_0" localSheetId="39">'Div 2'!$P$86:$P$91</definedName>
    <definedName name="OSRRefP22_17x_0" localSheetId="47">'Div 3'!$P$234</definedName>
    <definedName name="OSRRefP22_17x_0" localSheetId="73">'Div 4'!$P$94:$P$97</definedName>
    <definedName name="OSRRefP22_17x_0" localSheetId="2">Summary!$P$270</definedName>
    <definedName name="OSRRefP22_18x_0" localSheetId="48">'300'!$P$237:$P$240</definedName>
    <definedName name="OSRRefP22_18x_0" localSheetId="49">'300 &amp; 317'!$P$263:$P$266</definedName>
    <definedName name="OSRRefP22_18x_0" localSheetId="50">'301'!$P$84:$P$85</definedName>
    <definedName name="OSRRefP22_18x_0" localSheetId="66">'310'!$P$97</definedName>
    <definedName name="OSRRefP22_18x_0" localSheetId="74">'310 &amp; 491'!$P$104:$P$107</definedName>
    <definedName name="OSRRefP22_18x_0" localSheetId="60">'326'!$P$122</definedName>
    <definedName name="OSRRefP22_18x_0" localSheetId="58">'331'!$P$135:$P$140</definedName>
    <definedName name="OSRRefP22_18x_0" localSheetId="76">'405'!$P$94</definedName>
    <definedName name="OSRRefP22_18x_0" localSheetId="78">'411'!$P$92:$P$94</definedName>
    <definedName name="OSRRefP22_18x_0" localSheetId="83">'415'!$P$98</definedName>
    <definedName name="OSRRefP22_18x_0" localSheetId="75">'491'!$P$99:$P$103</definedName>
    <definedName name="OSRRefP22_18x_0" localSheetId="89">'492'!$P$101:$P$102</definedName>
    <definedName name="OSRRefP22_18x_0" localSheetId="39">'Div 2'!$P$93:$P$94</definedName>
    <definedName name="OSRRefP22_18x_0" localSheetId="47">'Div 3'!$P$236:$P$239</definedName>
    <definedName name="OSRRefP22_18x_0" localSheetId="73">'Div 4'!$P$99:$P$102</definedName>
    <definedName name="OSRRefP22_18x_0" localSheetId="2">Summary!$P$272:$P$275</definedName>
    <definedName name="OSRRefP22_19x_0" localSheetId="48">'300'!$P$242:$P$243</definedName>
    <definedName name="OSRRefP22_19x_0" localSheetId="49">'300 &amp; 317'!$P$268:$P$269</definedName>
    <definedName name="OSRRefP22_19x_0" localSheetId="50">'301'!$P$87:$P$93</definedName>
    <definedName name="OSRRefP22_19x_0" localSheetId="66">'310'!$P$99:$P$107</definedName>
    <definedName name="OSRRefP22_19x_0" localSheetId="74">'310 &amp; 491'!$P$109:$P$114</definedName>
    <definedName name="OSRRefP22_19x_0" localSheetId="60">'326'!$P$124</definedName>
    <definedName name="OSRRefP22_19x_0" localSheetId="58">'331'!$P$142:$P$143</definedName>
    <definedName name="OSRRefP22_19x_0" localSheetId="76">'405'!$P$96</definedName>
    <definedName name="OSRRefP22_19x_0" localSheetId="78">'411'!$P$96</definedName>
    <definedName name="OSRRefP22_19x_0" localSheetId="75">'491'!$P$105:$P$106</definedName>
    <definedName name="OSRRefP22_19x_0" localSheetId="39">'Div 2'!$P$96</definedName>
    <definedName name="OSRRefP22_19x_0" localSheetId="47">'Div 3'!$P$241:$P$244</definedName>
    <definedName name="OSRRefP22_19x_0" localSheetId="73">'Div 4'!$P$104:$P$108</definedName>
    <definedName name="OSRRefP22_19x_0" localSheetId="2">Summary!$P$277:$P$280</definedName>
    <definedName name="OSRRefP22_1x_0" localSheetId="40">'200'!$P$22</definedName>
    <definedName name="OSRRefP22_1x_0" localSheetId="41">'201'!$P$30:$P$39</definedName>
    <definedName name="OSRRefP22_1x_0" localSheetId="42">'202'!$P$30:$P$39</definedName>
    <definedName name="OSRRefP22_1x_0" localSheetId="43">'203'!$P$31:$P$40</definedName>
    <definedName name="OSRRefP22_1x_0" localSheetId="44">'204'!$P$32:$P$41</definedName>
    <definedName name="OSRRefP22_1x_0" localSheetId="45">'205'!$P$30:$P$39</definedName>
    <definedName name="OSRRefP22_1x_0" localSheetId="46">'206'!$P$30:$P$39</definedName>
    <definedName name="OSRRefP22_1x_0" localSheetId="48">'300'!$P$181:$P$190</definedName>
    <definedName name="OSRRefP22_1x_0" localSheetId="49">'300 &amp; 317'!$P$207:$P$216</definedName>
    <definedName name="OSRRefP22_1x_0" localSheetId="50">'301'!$P$30:$P$39</definedName>
    <definedName name="OSRRefP22_1x_0" localSheetId="51">'306'!$P$30:$P$39</definedName>
    <definedName name="OSRRefP22_1x_0" localSheetId="53">'307'!$P$89:$P$98</definedName>
    <definedName name="OSRRefP22_1x_0" localSheetId="55">'308'!$P$78:$P$87</definedName>
    <definedName name="OSRRefP22_1x_0" localSheetId="67">'309'!$P$36:$P$45</definedName>
    <definedName name="OSRRefP22_1x_0" localSheetId="66">'310'!$P$45:$P$54</definedName>
    <definedName name="OSRRefP22_1x_0" localSheetId="74">'310 &amp; 491'!$P$53:$P$62</definedName>
    <definedName name="OSRRefP22_1x_0" localSheetId="56">'311'!$P$78:$P$87</definedName>
    <definedName name="OSRRefP22_1x_0" localSheetId="68">'313'!$P$41:$P$50</definedName>
    <definedName name="OSRRefP22_1x_0" localSheetId="54">'314'!$P$69:$P$78</definedName>
    <definedName name="OSRRefP22_1x_0" localSheetId="59">'315'!$P$68:$P$77</definedName>
    <definedName name="OSRRefP22_1x_0" localSheetId="62">'316'!$P$46:$P$55</definedName>
    <definedName name="OSRRefP22_1x_0" localSheetId="65">'317'!$P$72:$P$81</definedName>
    <definedName name="OSRRefP22_1x_0" localSheetId="63">'320'!$P$41:$P$50</definedName>
    <definedName name="OSRRefP22_1x_0" localSheetId="69">'321'!$P$35:$P$44</definedName>
    <definedName name="OSRRefP22_1x_0" localSheetId="70">'322'!$P$31:$P$40</definedName>
    <definedName name="OSRRefP22_1x_0" localSheetId="60">'326'!$P$68:$P$77</definedName>
    <definedName name="OSRRefP22_1x_0" localSheetId="72">'327'!$P$26</definedName>
    <definedName name="OSRRefP22_1x_0" localSheetId="52">'330'!$P$97:$P$106</definedName>
    <definedName name="OSRRefP22_1x_0" localSheetId="58">'331'!$P$83:$P$92</definedName>
    <definedName name="OSRRefP22_1x_0" localSheetId="61">'332'!$P$56:$P$65</definedName>
    <definedName name="OSRRefP22_1x_0" localSheetId="76">'405'!$P$36:$P$45</definedName>
    <definedName name="OSRRefP22_1x_0" localSheetId="77">'406'!$P$37:$P$46</definedName>
    <definedName name="OSRRefP22_1x_0" localSheetId="78">'411'!$P$31:$P$40</definedName>
    <definedName name="OSRRefP22_1x_0" localSheetId="79">'412'!$P$37:$P$46</definedName>
    <definedName name="OSRRefP22_1x_0" localSheetId="81">'413'!$P$37:$P$46</definedName>
    <definedName name="OSRRefP22_1x_0" localSheetId="82">'414'!$P$37:$P$46</definedName>
    <definedName name="OSRRefP22_1x_0" localSheetId="83">'415'!$P$36:$P$45</definedName>
    <definedName name="OSRRefP22_1x_0" localSheetId="84">'418'!$P$37:$P$46</definedName>
    <definedName name="OSRRefP22_1x_0" localSheetId="80">'420'!$P$33:$P$36</definedName>
    <definedName name="OSRRefP22_1x_0" localSheetId="85">'423'!$P$31:$P$40</definedName>
    <definedName name="OSRRefP22_1x_0" localSheetId="86">'424'!$P$36:$P$45</definedName>
    <definedName name="OSRRefP22_1x_0" localSheetId="87">'425'!$P$40:$P$49</definedName>
    <definedName name="OSRRefP22_1x_0" localSheetId="90">'430'!$P$30:$P$39</definedName>
    <definedName name="OSRRefP22_1x_0" localSheetId="91">'433'!$P$39:$P$48</definedName>
    <definedName name="OSRRefP22_1x_0" localSheetId="92">'435'!$P$36:$P$45</definedName>
    <definedName name="OSRRefP22_1x_0" localSheetId="93">'444'!$P$38:$P$47</definedName>
    <definedName name="OSRRefP22_1x_0" localSheetId="95">'450'!$P$38:$P$47</definedName>
    <definedName name="OSRRefP22_1x_0" localSheetId="88">'455'!$P$29:$P$38</definedName>
    <definedName name="OSRRefP22_1x_0" localSheetId="75">'491'!$P$46:$P$55</definedName>
    <definedName name="OSRRefP22_1x_0" localSheetId="89">'492'!$P$41:$P$50</definedName>
    <definedName name="OSRRefP22_1x_0" localSheetId="97">'501'!$P$31:$P$40</definedName>
    <definedName name="OSRRefP22_1x_0" localSheetId="39">'Div 2'!$P$33:$P$42</definedName>
    <definedName name="OSRRefP22_1x_0" localSheetId="47">'Div 3'!$P$186:$P$195</definedName>
    <definedName name="OSRRefP22_1x_0" localSheetId="73">'Div 4'!$P$47:$P$56</definedName>
    <definedName name="OSRRefP22_1x_0" localSheetId="96">'Div 5'!$P$31:$P$40</definedName>
    <definedName name="OSRRefP22_1x_0" localSheetId="64">'Div 6'!$P$72:$P$81</definedName>
    <definedName name="OSRRefP22_1x_0" localSheetId="2">Summary!$P$220:$P$229</definedName>
    <definedName name="OSRRefP22_20x_0" localSheetId="48">'300'!$P$245:$P$252</definedName>
    <definedName name="OSRRefP22_20x_0" localSheetId="49">'300 &amp; 317'!$P$271:$P$278</definedName>
    <definedName name="OSRRefP22_20x_0" localSheetId="50">'301'!$P$95</definedName>
    <definedName name="OSRRefP22_20x_0" localSheetId="66">'310'!$P$109</definedName>
    <definedName name="OSRRefP22_20x_0" localSheetId="74">'310 &amp; 491'!$P$116:$P$117</definedName>
    <definedName name="OSRRefP22_20x_0" localSheetId="60">'326'!$P$126</definedName>
    <definedName name="OSRRefP22_20x_0" localSheetId="58">'331'!$P$145</definedName>
    <definedName name="OSRRefP22_20x_0" localSheetId="75">'491'!$P$108:$P$118</definedName>
    <definedName name="OSRRefP22_20x_0" localSheetId="39">'Div 2'!$P$98:$P$99</definedName>
    <definedName name="OSRRefP22_20x_0" localSheetId="47">'Div 3'!$P$246:$P$251</definedName>
    <definedName name="OSRRefP22_20x_0" localSheetId="73">'Div 4'!$P$110:$P$111</definedName>
    <definedName name="OSRRefP22_20x_0" localSheetId="2">Summary!$P$282:$P$287</definedName>
    <definedName name="OSRRefP22_21x_0" localSheetId="48">'300'!$P$254:$P$255</definedName>
    <definedName name="OSRRefP22_21x_0" localSheetId="49">'300 &amp; 317'!$P$280:$P$281</definedName>
    <definedName name="OSRRefP22_21x_0" localSheetId="50">'301'!$P$97</definedName>
    <definedName name="OSRRefP22_21x_0" localSheetId="66">'310'!$P$111</definedName>
    <definedName name="OSRRefP22_21x_0" localSheetId="74">'310 &amp; 491'!$P$119:$P$129</definedName>
    <definedName name="OSRRefP22_21x_0" localSheetId="58">'331'!$P$147:$P$148</definedName>
    <definedName name="OSRRefP22_21x_0" localSheetId="75">'491'!$P$120:$P$121</definedName>
    <definedName name="OSRRefP22_21x_0" localSheetId="47">'Div 3'!$P$253:$P$254</definedName>
    <definedName name="OSRRefP22_21x_0" localSheetId="73">'Div 4'!$P$113:$P$123</definedName>
    <definedName name="OSRRefP22_21x_0" localSheetId="2">Summary!$P$289:$P$290</definedName>
    <definedName name="OSRRefP22_22x_0" localSheetId="48">'300'!$P$257</definedName>
    <definedName name="OSRRefP22_22x_0" localSheetId="49">'300 &amp; 317'!$P$283</definedName>
    <definedName name="OSRRefP22_22x_0" localSheetId="50">'301'!$P$99:$P$101</definedName>
    <definedName name="OSRRefP22_22x_0" localSheetId="66">'310'!$P$113:$P$114</definedName>
    <definedName name="OSRRefP22_22x_0" localSheetId="74">'310 &amp; 491'!$P$131:$P$132</definedName>
    <definedName name="OSRRefP22_22x_0" localSheetId="58">'331'!$P$150</definedName>
    <definedName name="OSRRefP22_22x_0" localSheetId="75">'491'!$P$123</definedName>
    <definedName name="OSRRefP22_22x_0" localSheetId="47">'Div 3'!$P$256:$P$265</definedName>
    <definedName name="OSRRefP22_22x_0" localSheetId="73">'Div 4'!$P$125:$P$126</definedName>
    <definedName name="OSRRefP22_22x_0" localSheetId="2">Summary!$P$292:$P$302</definedName>
    <definedName name="OSRRefP22_23x_0" localSheetId="48">'300'!$P$259:$P$261</definedName>
    <definedName name="OSRRefP22_23x_0" localSheetId="49">'300 &amp; 317'!$P$285:$P$287</definedName>
    <definedName name="OSRRefP22_23x_0" localSheetId="50">'301'!$P$103</definedName>
    <definedName name="OSRRefP22_23x_0" localSheetId="66">'310'!$P$116</definedName>
    <definedName name="OSRRefP22_23x_0" localSheetId="74">'310 &amp; 491'!$P$134</definedName>
    <definedName name="OSRRefP22_23x_0" localSheetId="75">'491'!$P$125:$P$127</definedName>
    <definedName name="OSRRefP22_23x_0" localSheetId="47">'Div 3'!$P$267:$P$268</definedName>
    <definedName name="OSRRefP22_23x_0" localSheetId="73">'Div 4'!$P$128</definedName>
    <definedName name="OSRRefP22_23x_0" localSheetId="2">Summary!$P$304:$P$305</definedName>
    <definedName name="OSRRefP22_24x_0" localSheetId="48">'300'!$P$263</definedName>
    <definedName name="OSRRefP22_24x_0" localSheetId="49">'300 &amp; 317'!$P$289</definedName>
    <definedName name="OSRRefP22_24x_0" localSheetId="74">'310 &amp; 491'!$P$136:$P$138</definedName>
    <definedName name="OSRRefP22_24x_0" localSheetId="75">'491'!$P$129</definedName>
    <definedName name="OSRRefP22_24x_0" localSheetId="47">'Div 3'!$P$270</definedName>
    <definedName name="OSRRefP22_24x_0" localSheetId="73">'Div 4'!$P$130:$P$132</definedName>
    <definedName name="OSRRefP22_24x_0" localSheetId="2">Summary!$P$307</definedName>
    <definedName name="OSRRefP22_25x_0" localSheetId="74">'310 &amp; 491'!$P$140</definedName>
    <definedName name="OSRRefP22_25x_0" localSheetId="47">'Div 3'!$P$272:$P$274</definedName>
    <definedName name="OSRRefP22_25x_0" localSheetId="73">'Div 4'!$P$134</definedName>
    <definedName name="OSRRefP22_25x_0" localSheetId="2">Summary!$P$309:$P$311</definedName>
    <definedName name="OSRRefP22_26x_0" localSheetId="47">'Div 3'!$P$276</definedName>
    <definedName name="OSRRefP22_26x_0" localSheetId="2">Summary!$P$313</definedName>
    <definedName name="OSRRefP22_2x_0" localSheetId="40">'200'!$P$24</definedName>
    <definedName name="OSRRefP22_2x_0" localSheetId="41">'201'!$P$41</definedName>
    <definedName name="OSRRefP22_2x_0" localSheetId="42">'202'!$P$41</definedName>
    <definedName name="OSRRefP22_2x_0" localSheetId="43">'203'!$P$42</definedName>
    <definedName name="OSRRefP22_2x_0" localSheetId="44">'204'!$P$43</definedName>
    <definedName name="OSRRefP22_2x_0" localSheetId="45">'205'!$P$41</definedName>
    <definedName name="OSRRefP22_2x_0" localSheetId="46">'206'!$P$41</definedName>
    <definedName name="OSRRefP22_2x_0" localSheetId="48">'300'!$P$192</definedName>
    <definedName name="OSRRefP22_2x_0" localSheetId="49">'300 &amp; 317'!$P$218</definedName>
    <definedName name="OSRRefP22_2x_0" localSheetId="50">'301'!$P$41</definedName>
    <definedName name="OSRRefP22_2x_0" localSheetId="51">'306'!$P$41</definedName>
    <definedName name="OSRRefP22_2x_0" localSheetId="53">'307'!$P$100</definedName>
    <definedName name="OSRRefP22_2x_0" localSheetId="55">'308'!$P$89</definedName>
    <definedName name="OSRRefP22_2x_0" localSheetId="67">'309'!$P$47</definedName>
    <definedName name="OSRRefP22_2x_0" localSheetId="66">'310'!$P$56</definedName>
    <definedName name="OSRRefP22_2x_0" localSheetId="74">'310 &amp; 491'!$P$64</definedName>
    <definedName name="OSRRefP22_2x_0" localSheetId="56">'311'!$P$89</definedName>
    <definedName name="OSRRefP22_2x_0" localSheetId="68">'313'!$P$52</definedName>
    <definedName name="OSRRefP22_2x_0" localSheetId="54">'314'!$P$80</definedName>
    <definedName name="OSRRefP22_2x_0" localSheetId="59">'315'!$P$79</definedName>
    <definedName name="OSRRefP22_2x_0" localSheetId="62">'316'!$P$57</definedName>
    <definedName name="OSRRefP22_2x_0" localSheetId="65">'317'!$P$83</definedName>
    <definedName name="OSRRefP22_2x_0" localSheetId="63">'320'!$P$52</definedName>
    <definedName name="OSRRefP22_2x_0" localSheetId="69">'321'!$P$46</definedName>
    <definedName name="OSRRefP22_2x_0" localSheetId="70">'322'!$P$42</definedName>
    <definedName name="OSRRefP22_2x_0" localSheetId="60">'326'!$P$79</definedName>
    <definedName name="OSRRefP22_2x_0" localSheetId="72">'327'!$P$28</definedName>
    <definedName name="OSRRefP22_2x_0" localSheetId="52">'330'!$P$108</definedName>
    <definedName name="OSRRefP22_2x_0" localSheetId="58">'331'!$P$94</definedName>
    <definedName name="OSRRefP22_2x_0" localSheetId="61">'332'!$P$67</definedName>
    <definedName name="OSRRefP22_2x_0" localSheetId="76">'405'!$P$47</definedName>
    <definedName name="OSRRefP22_2x_0" localSheetId="77">'406'!$P$48</definedName>
    <definedName name="OSRRefP22_2x_0" localSheetId="78">'411'!$P$42</definedName>
    <definedName name="OSRRefP22_2x_0" localSheetId="79">'412'!$P$48</definedName>
    <definedName name="OSRRefP22_2x_0" localSheetId="81">'413'!$P$48</definedName>
    <definedName name="OSRRefP22_2x_0" localSheetId="82">'414'!$P$48</definedName>
    <definedName name="OSRRefP22_2x_0" localSheetId="83">'415'!$P$47</definedName>
    <definedName name="OSRRefP22_2x_0" localSheetId="84">'418'!$P$48</definedName>
    <definedName name="OSRRefP22_2x_0" localSheetId="80">'420'!$P$38</definedName>
    <definedName name="OSRRefP22_2x_0" localSheetId="85">'423'!$P$42</definedName>
    <definedName name="OSRRefP22_2x_0" localSheetId="86">'424'!$P$47</definedName>
    <definedName name="OSRRefP22_2x_0" localSheetId="87">'425'!$P$51</definedName>
    <definedName name="OSRRefP22_2x_0" localSheetId="90">'430'!$P$41</definedName>
    <definedName name="OSRRefP22_2x_0" localSheetId="91">'433'!$P$50</definedName>
    <definedName name="OSRRefP22_2x_0" localSheetId="92">'435'!$P$47</definedName>
    <definedName name="OSRRefP22_2x_0" localSheetId="93">'444'!$P$49</definedName>
    <definedName name="OSRRefP22_2x_0" localSheetId="95">'450'!$P$49</definedName>
    <definedName name="OSRRefP22_2x_0" localSheetId="75">'491'!$P$57</definedName>
    <definedName name="OSRRefP22_2x_0" localSheetId="89">'492'!$P$52</definedName>
    <definedName name="OSRRefP22_2x_0" localSheetId="97">'501'!$P$42</definedName>
    <definedName name="OSRRefP22_2x_0" localSheetId="39">'Div 2'!$P$44</definedName>
    <definedName name="OSRRefP22_2x_0" localSheetId="47">'Div 3'!$P$197</definedName>
    <definedName name="OSRRefP22_2x_0" localSheetId="73">'Div 4'!$P$58</definedName>
    <definedName name="OSRRefP22_2x_0" localSheetId="96">'Div 5'!$P$42</definedName>
    <definedName name="OSRRefP22_2x_0" localSheetId="64">'Div 6'!$P$83</definedName>
    <definedName name="OSRRefP22_2x_0" localSheetId="2">Summary!$P$231</definedName>
    <definedName name="OSRRefP22_3x_0" localSheetId="40">'200'!$P$26</definedName>
    <definedName name="OSRRefP22_3x_0" localSheetId="41">'201'!$P$43</definedName>
    <definedName name="OSRRefP22_3x_0" localSheetId="42">'202'!$P$43</definedName>
    <definedName name="OSRRefP22_3x_0" localSheetId="43">'203'!$P$44</definedName>
    <definedName name="OSRRefP22_3x_0" localSheetId="44">'204'!$P$45:$P$46</definedName>
    <definedName name="OSRRefP22_3x_0" localSheetId="45">'205'!$P$43</definedName>
    <definedName name="OSRRefP22_3x_0" localSheetId="46">'206'!$P$43</definedName>
    <definedName name="OSRRefP22_3x_0" localSheetId="48">'300'!$P$194:$P$195</definedName>
    <definedName name="OSRRefP22_3x_0" localSheetId="49">'300 &amp; 317'!$P$220:$P$221</definedName>
    <definedName name="OSRRefP22_3x_0" localSheetId="50">'301'!$P$43:$P$44</definedName>
    <definedName name="OSRRefP22_3x_0" localSheetId="51">'306'!$P$43</definedName>
    <definedName name="OSRRefP22_3x_0" localSheetId="53">'307'!$P$102</definedName>
    <definedName name="OSRRefP22_3x_0" localSheetId="55">'308'!$P$91:$P$92</definedName>
    <definedName name="OSRRefP22_3x_0" localSheetId="67">'309'!$P$49</definedName>
    <definedName name="OSRRefP22_3x_0" localSheetId="66">'310'!$P$58</definedName>
    <definedName name="OSRRefP22_3x_0" localSheetId="74">'310 &amp; 491'!$P$66</definedName>
    <definedName name="OSRRefP22_3x_0" localSheetId="56">'311'!$P$91:$P$92</definedName>
    <definedName name="OSRRefP22_3x_0" localSheetId="68">'313'!$P$54</definedName>
    <definedName name="OSRRefP22_3x_0" localSheetId="54">'314'!$P$82:$P$83</definedName>
    <definedName name="OSRRefP22_3x_0" localSheetId="59">'315'!$P$81:$P$82</definedName>
    <definedName name="OSRRefP22_3x_0" localSheetId="62">'316'!$P$59</definedName>
    <definedName name="OSRRefP22_3x_0" localSheetId="65">'317'!$P$85</definedName>
    <definedName name="OSRRefP22_3x_0" localSheetId="63">'320'!$P$54</definedName>
    <definedName name="OSRRefP22_3x_0" localSheetId="69">'321'!$P$48</definedName>
    <definedName name="OSRRefP22_3x_0" localSheetId="70">'322'!$P$44</definedName>
    <definedName name="OSRRefP22_3x_0" localSheetId="60">'326'!$P$81:$P$82</definedName>
    <definedName name="OSRRefP22_3x_0" localSheetId="52">'330'!$P$110</definedName>
    <definedName name="OSRRefP22_3x_0" localSheetId="58">'331'!$P$96:$P$97</definedName>
    <definedName name="OSRRefP22_3x_0" localSheetId="61">'332'!$P$69</definedName>
    <definedName name="OSRRefP22_3x_0" localSheetId="76">'405'!$P$49</definedName>
    <definedName name="OSRRefP22_3x_0" localSheetId="77">'406'!$P$50</definedName>
    <definedName name="OSRRefP22_3x_0" localSheetId="78">'411'!$P$44</definedName>
    <definedName name="OSRRefP22_3x_0" localSheetId="79">'412'!$P$50</definedName>
    <definedName name="OSRRefP22_3x_0" localSheetId="81">'413'!$P$50</definedName>
    <definedName name="OSRRefP22_3x_0" localSheetId="82">'414'!$P$50</definedName>
    <definedName name="OSRRefP22_3x_0" localSheetId="83">'415'!$P$49</definedName>
    <definedName name="OSRRefP22_3x_0" localSheetId="84">'418'!$P$50</definedName>
    <definedName name="OSRRefP22_3x_0" localSheetId="80">'420'!$P$40</definedName>
    <definedName name="OSRRefP22_3x_0" localSheetId="85">'423'!$P$44</definedName>
    <definedName name="OSRRefP22_3x_0" localSheetId="86">'424'!$P$49</definedName>
    <definedName name="OSRRefP22_3x_0" localSheetId="87">'425'!$P$53</definedName>
    <definedName name="OSRRefP22_3x_0" localSheetId="90">'430'!$P$43</definedName>
    <definedName name="OSRRefP22_3x_0" localSheetId="91">'433'!$P$52</definedName>
    <definedName name="OSRRefP22_3x_0" localSheetId="92">'435'!$P$49</definedName>
    <definedName name="OSRRefP22_3x_0" localSheetId="93">'444'!$P$51</definedName>
    <definedName name="OSRRefP22_3x_0" localSheetId="95">'450'!$P$51:$P$52</definedName>
    <definedName name="OSRRefP22_3x_0" localSheetId="75">'491'!$P$59</definedName>
    <definedName name="OSRRefP22_3x_0" localSheetId="89">'492'!$P$54:$P$55</definedName>
    <definedName name="OSRRefP22_3x_0" localSheetId="97">'501'!$P$44</definedName>
    <definedName name="OSRRefP22_3x_0" localSheetId="39">'Div 2'!$P$46</definedName>
    <definedName name="OSRRefP22_3x_0" localSheetId="47">'Div 3'!$P$199:$P$200</definedName>
    <definedName name="OSRRefP22_3x_0" localSheetId="73">'Div 4'!$P$60:$P$61</definedName>
    <definedName name="OSRRefP22_3x_0" localSheetId="96">'Div 5'!$P$44</definedName>
    <definedName name="OSRRefP22_3x_0" localSheetId="64">'Div 6'!$P$85</definedName>
    <definedName name="OSRRefP22_3x_0" localSheetId="2">Summary!$P$233:$P$234</definedName>
    <definedName name="OSRRefP22_4x_0" localSheetId="40">'200'!$P$28:$P$29</definedName>
    <definedName name="OSRRefP22_4x_0" localSheetId="41">'201'!$P$45:$P$46</definedName>
    <definedName name="OSRRefP22_4x_0" localSheetId="42">'202'!$P$45</definedName>
    <definedName name="OSRRefP22_4x_0" localSheetId="43">'203'!$P$46</definedName>
    <definedName name="OSRRefP22_4x_0" localSheetId="44">'204'!$P$48</definedName>
    <definedName name="OSRRefP22_4x_0" localSheetId="45">'205'!$P$45</definedName>
    <definedName name="OSRRefP22_4x_0" localSheetId="46">'206'!$P$45</definedName>
    <definedName name="OSRRefP22_4x_0" localSheetId="48">'300'!$P$197</definedName>
    <definedName name="OSRRefP22_4x_0" localSheetId="49">'300 &amp; 317'!$P$223</definedName>
    <definedName name="OSRRefP22_4x_0" localSheetId="50">'301'!$P$46</definedName>
    <definedName name="OSRRefP22_4x_0" localSheetId="51">'306'!$P$45</definedName>
    <definedName name="OSRRefP22_4x_0" localSheetId="53">'307'!$P$104:$P$105</definedName>
    <definedName name="OSRRefP22_4x_0" localSheetId="55">'308'!$P$94</definedName>
    <definedName name="OSRRefP22_4x_0" localSheetId="67">'309'!$P$51</definedName>
    <definedName name="OSRRefP22_4x_0" localSheetId="66">'310'!$P$60</definedName>
    <definedName name="OSRRefP22_4x_0" localSheetId="74">'310 &amp; 491'!$P$68</definedName>
    <definedName name="OSRRefP22_4x_0" localSheetId="56">'311'!$P$94</definedName>
    <definedName name="OSRRefP22_4x_0" localSheetId="68">'313'!$P$56</definedName>
    <definedName name="OSRRefP22_4x_0" localSheetId="54">'314'!$P$85</definedName>
    <definedName name="OSRRefP22_4x_0" localSheetId="59">'315'!$P$84</definedName>
    <definedName name="OSRRefP22_4x_0" localSheetId="62">'316'!$P$61</definedName>
    <definedName name="OSRRefP22_4x_0" localSheetId="65">'317'!$P$87</definedName>
    <definedName name="OSRRefP22_4x_0" localSheetId="63">'320'!$P$56:$P$57</definedName>
    <definedName name="OSRRefP22_4x_0" localSheetId="69">'321'!$P$50</definedName>
    <definedName name="OSRRefP22_4x_0" localSheetId="70">'322'!$P$46</definedName>
    <definedName name="OSRRefP22_4x_0" localSheetId="60">'326'!$P$84</definedName>
    <definedName name="OSRRefP22_4x_0" localSheetId="52">'330'!$P$112:$P$113</definedName>
    <definedName name="OSRRefP22_4x_0" localSheetId="58">'331'!$P$99</definedName>
    <definedName name="OSRRefP22_4x_0" localSheetId="61">'332'!$P$71</definedName>
    <definedName name="OSRRefP22_4x_0" localSheetId="76">'405'!$P$51</definedName>
    <definedName name="OSRRefP22_4x_0" localSheetId="77">'406'!$P$52</definedName>
    <definedName name="OSRRefP22_4x_0" localSheetId="78">'411'!$P$46:$P$49</definedName>
    <definedName name="OSRRefP22_4x_0" localSheetId="79">'412'!$P$52</definedName>
    <definedName name="OSRRefP22_4x_0" localSheetId="81">'413'!$P$52</definedName>
    <definedName name="OSRRefP22_4x_0" localSheetId="82">'414'!$P$52</definedName>
    <definedName name="OSRRefP22_4x_0" localSheetId="83">'415'!$P$51</definedName>
    <definedName name="OSRRefP22_4x_0" localSheetId="84">'418'!$P$52</definedName>
    <definedName name="OSRRefP22_4x_0" localSheetId="80">'420'!$P$42</definedName>
    <definedName name="OSRRefP22_4x_0" localSheetId="85">'423'!$P$46</definedName>
    <definedName name="OSRRefP22_4x_0" localSheetId="86">'424'!$P$51</definedName>
    <definedName name="OSRRefP22_4x_0" localSheetId="87">'425'!$P$55</definedName>
    <definedName name="OSRRefP22_4x_0" localSheetId="90">'430'!$P$45</definedName>
    <definedName name="OSRRefP22_4x_0" localSheetId="91">'433'!$P$54</definedName>
    <definedName name="OSRRefP22_4x_0" localSheetId="92">'435'!$P$51</definedName>
    <definedName name="OSRRefP22_4x_0" localSheetId="93">'444'!$P$53</definedName>
    <definedName name="OSRRefP22_4x_0" localSheetId="95">'450'!$P$54</definedName>
    <definedName name="OSRRefP22_4x_0" localSheetId="75">'491'!$P$61</definedName>
    <definedName name="OSRRefP22_4x_0" localSheetId="89">'492'!$P$57</definedName>
    <definedName name="OSRRefP22_4x_0" localSheetId="97">'501'!$P$46</definedName>
    <definedName name="OSRRefP22_4x_0" localSheetId="39">'Div 2'!$P$48</definedName>
    <definedName name="OSRRefP22_4x_0" localSheetId="47">'Div 3'!$P$202</definedName>
    <definedName name="OSRRefP22_4x_0" localSheetId="73">'Div 4'!$P$63</definedName>
    <definedName name="OSRRefP22_4x_0" localSheetId="96">'Div 5'!$P$46</definedName>
    <definedName name="OSRRefP22_4x_0" localSheetId="64">'Div 6'!$P$87</definedName>
    <definedName name="OSRRefP22_4x_0" localSheetId="2">Summary!$P$236</definedName>
    <definedName name="OSRRefP22_5x_0" localSheetId="41">'201'!$P$48</definedName>
    <definedName name="OSRRefP22_5x_0" localSheetId="42">'202'!$P$47</definedName>
    <definedName name="OSRRefP22_5x_0" localSheetId="43">'203'!$P$48</definedName>
    <definedName name="OSRRefP22_5x_0" localSheetId="44">'204'!$P$50</definedName>
    <definedName name="OSRRefP22_5x_0" localSheetId="45">'205'!$P$47:$P$49</definedName>
    <definedName name="OSRRefP22_5x_0" localSheetId="46">'206'!$P$47</definedName>
    <definedName name="OSRRefP22_5x_0" localSheetId="48">'300'!$P$199:$P$202</definedName>
    <definedName name="OSRRefP22_5x_0" localSheetId="49">'300 &amp; 317'!$P$225:$P$228</definedName>
    <definedName name="OSRRefP22_5x_0" localSheetId="50">'301'!$P$48:$P$51</definedName>
    <definedName name="OSRRefP22_5x_0" localSheetId="51">'306'!$P$47</definedName>
    <definedName name="OSRRefP22_5x_0" localSheetId="53">'307'!$P$107</definedName>
    <definedName name="OSRRefP22_5x_0" localSheetId="55">'308'!$P$96</definedName>
    <definedName name="OSRRefP22_5x_0" localSheetId="67">'309'!$P$53:$P$54</definedName>
    <definedName name="OSRRefP22_5x_0" localSheetId="66">'310'!$P$62:$P$64</definedName>
    <definedName name="OSRRefP22_5x_0" localSheetId="74">'310 &amp; 491'!$P$70:$P$73</definedName>
    <definedName name="OSRRefP22_5x_0" localSheetId="56">'311'!$P$96</definedName>
    <definedName name="OSRRefP22_5x_0" localSheetId="68">'313'!$P$58</definedName>
    <definedName name="OSRRefP22_5x_0" localSheetId="54">'314'!$P$87</definedName>
    <definedName name="OSRRefP22_5x_0" localSheetId="59">'315'!$P$86:$P$87</definedName>
    <definedName name="OSRRefP22_5x_0" localSheetId="62">'316'!$P$63</definedName>
    <definedName name="OSRRefP22_5x_0" localSheetId="65">'317'!$P$89</definedName>
    <definedName name="OSRRefP22_5x_0" localSheetId="63">'320'!$P$59</definedName>
    <definedName name="OSRRefP22_5x_0" localSheetId="69">'321'!$P$52</definedName>
    <definedName name="OSRRefP22_5x_0" localSheetId="70">'322'!$P$48:$P$49</definedName>
    <definedName name="OSRRefP22_5x_0" localSheetId="60">'326'!$P$86</definedName>
    <definedName name="OSRRefP22_5x_0" localSheetId="52">'330'!$P$115</definedName>
    <definedName name="OSRRefP22_5x_0" localSheetId="58">'331'!$P$101:$P$102</definedName>
    <definedName name="OSRRefP22_5x_0" localSheetId="61">'332'!$P$73</definedName>
    <definedName name="OSRRefP22_5x_0" localSheetId="76">'405'!$P$53:$P$55</definedName>
    <definedName name="OSRRefP22_5x_0" localSheetId="77">'406'!$P$54:$P$55</definedName>
    <definedName name="OSRRefP22_5x_0" localSheetId="78">'411'!$P$51</definedName>
    <definedName name="OSRRefP22_5x_0" localSheetId="79">'412'!$P$54:$P$56</definedName>
    <definedName name="OSRRefP22_5x_0" localSheetId="81">'413'!$P$54</definedName>
    <definedName name="OSRRefP22_5x_0" localSheetId="82">'414'!$P$54:$P$55</definedName>
    <definedName name="OSRRefP22_5x_0" localSheetId="83">'415'!$P$53:$P$55</definedName>
    <definedName name="OSRRefP22_5x_0" localSheetId="84">'418'!$P$54:$P$56</definedName>
    <definedName name="OSRRefP22_5x_0" localSheetId="80">'420'!$P$44</definedName>
    <definedName name="OSRRefP22_5x_0" localSheetId="85">'423'!$P$48</definedName>
    <definedName name="OSRRefP22_5x_0" localSheetId="86">'424'!$P$53</definedName>
    <definedName name="OSRRefP22_5x_0" localSheetId="87">'425'!$P$57:$P$58</definedName>
    <definedName name="OSRRefP22_5x_0" localSheetId="90">'430'!$P$47</definedName>
    <definedName name="OSRRefP22_5x_0" localSheetId="91">'433'!$P$56</definedName>
    <definedName name="OSRRefP22_5x_0" localSheetId="92">'435'!$P$53</definedName>
    <definedName name="OSRRefP22_5x_0" localSheetId="93">'444'!$P$55</definedName>
    <definedName name="OSRRefP22_5x_0" localSheetId="95">'450'!$P$56</definedName>
    <definedName name="OSRRefP22_5x_0" localSheetId="75">'491'!$P$63:$P$66</definedName>
    <definedName name="OSRRefP22_5x_0" localSheetId="89">'492'!$P$59</definedName>
    <definedName name="OSRRefP22_5x_0" localSheetId="97">'501'!$P$48</definedName>
    <definedName name="OSRRefP22_5x_0" localSheetId="39">'Div 2'!$P$50:$P$51</definedName>
    <definedName name="OSRRefP22_5x_0" localSheetId="47">'Div 3'!$P$204:$P$207</definedName>
    <definedName name="OSRRefP22_5x_0" localSheetId="73">'Div 4'!$P$65:$P$68</definedName>
    <definedName name="OSRRefP22_5x_0" localSheetId="96">'Div 5'!$P$48</definedName>
    <definedName name="OSRRefP22_5x_0" localSheetId="64">'Div 6'!$P$89</definedName>
    <definedName name="OSRRefP22_5x_0" localSheetId="2">Summary!$P$238:$P$241</definedName>
    <definedName name="OSRRefP22_6x_0" localSheetId="41">'201'!$P$50</definedName>
    <definedName name="OSRRefP22_6x_0" localSheetId="42">'202'!$P$49</definedName>
    <definedName name="OSRRefP22_6x_0" localSheetId="43">'203'!$P$50</definedName>
    <definedName name="OSRRefP22_6x_0" localSheetId="44">'204'!$P$52</definedName>
    <definedName name="OSRRefP22_6x_0" localSheetId="45">'205'!$P$51</definedName>
    <definedName name="OSRRefP22_6x_0" localSheetId="46">'206'!$P$49</definedName>
    <definedName name="OSRRefP22_6x_0" localSheetId="48">'300'!$P$204:$P$205</definedName>
    <definedName name="OSRRefP22_6x_0" localSheetId="49">'300 &amp; 317'!$P$230:$P$231</definedName>
    <definedName name="OSRRefP22_6x_0" localSheetId="50">'301'!$P$53:$P$54</definedName>
    <definedName name="OSRRefP22_6x_0" localSheetId="51">'306'!$P$49</definedName>
    <definedName name="OSRRefP22_6x_0" localSheetId="53">'307'!$P$109</definedName>
    <definedName name="OSRRefP22_6x_0" localSheetId="55">'308'!$P$98:$P$99</definedName>
    <definedName name="OSRRefP22_6x_0" localSheetId="67">'309'!$P$56</definedName>
    <definedName name="OSRRefP22_6x_0" localSheetId="66">'310'!$P$66</definedName>
    <definedName name="OSRRefP22_6x_0" localSheetId="74">'310 &amp; 491'!$P$75</definedName>
    <definedName name="OSRRefP22_6x_0" localSheetId="56">'311'!$P$98:$P$99</definedName>
    <definedName name="OSRRefP22_6x_0" localSheetId="68">'313'!$P$60</definedName>
    <definedName name="OSRRefP22_6x_0" localSheetId="54">'314'!$P$89</definedName>
    <definedName name="OSRRefP22_6x_0" localSheetId="59">'315'!$P$89</definedName>
    <definedName name="OSRRefP22_6x_0" localSheetId="62">'316'!$P$65</definedName>
    <definedName name="OSRRefP22_6x_0" localSheetId="65">'317'!$P$91</definedName>
    <definedName name="OSRRefP22_6x_0" localSheetId="63">'320'!$P$61</definedName>
    <definedName name="OSRRefP22_6x_0" localSheetId="69">'321'!$P$54</definedName>
    <definedName name="OSRRefP22_6x_0" localSheetId="70">'322'!$P$51</definedName>
    <definedName name="OSRRefP22_6x_0" localSheetId="60">'326'!$P$88</definedName>
    <definedName name="OSRRefP22_6x_0" localSheetId="52">'330'!$P$117</definedName>
    <definedName name="OSRRefP22_6x_0" localSheetId="58">'331'!$P$104</definedName>
    <definedName name="OSRRefP22_6x_0" localSheetId="61">'332'!$P$75</definedName>
    <definedName name="OSRRefP22_6x_0" localSheetId="76">'405'!$P$57</definedName>
    <definedName name="OSRRefP22_6x_0" localSheetId="77">'406'!$P$57</definedName>
    <definedName name="OSRRefP22_6x_0" localSheetId="78">'411'!$P$53</definedName>
    <definedName name="OSRRefP22_6x_0" localSheetId="79">'412'!$P$58</definedName>
    <definedName name="OSRRefP22_6x_0" localSheetId="81">'413'!$P$56</definedName>
    <definedName name="OSRRefP22_6x_0" localSheetId="82">'414'!$P$57</definedName>
    <definedName name="OSRRefP22_6x_0" localSheetId="83">'415'!$P$57</definedName>
    <definedName name="OSRRefP22_6x_0" localSheetId="84">'418'!$P$58</definedName>
    <definedName name="OSRRefP22_6x_0" localSheetId="80">'420'!$P$46:$P$47</definedName>
    <definedName name="OSRRefP22_6x_0" localSheetId="85">'423'!$P$50</definedName>
    <definedName name="OSRRefP22_6x_0" localSheetId="86">'424'!$P$55</definedName>
    <definedName name="OSRRefP22_6x_0" localSheetId="87">'425'!$P$60</definedName>
    <definedName name="OSRRefP22_6x_0" localSheetId="90">'430'!$P$49</definedName>
    <definedName name="OSRRefP22_6x_0" localSheetId="91">'433'!$P$58</definedName>
    <definedName name="OSRRefP22_6x_0" localSheetId="92">'435'!$P$55</definedName>
    <definedName name="OSRRefP22_6x_0" localSheetId="93">'444'!$P$57</definedName>
    <definedName name="OSRRefP22_6x_0" localSheetId="95">'450'!$P$58</definedName>
    <definedName name="OSRRefP22_6x_0" localSheetId="75">'491'!$P$68</definedName>
    <definedName name="OSRRefP22_6x_0" localSheetId="89">'492'!$P$61:$P$62</definedName>
    <definedName name="OSRRefP22_6x_0" localSheetId="97">'501'!$P$50</definedName>
    <definedName name="OSRRefP22_6x_0" localSheetId="39">'Div 2'!$P$53:$P$54</definedName>
    <definedName name="OSRRefP22_6x_0" localSheetId="47">'Div 3'!$P$209:$P$210</definedName>
    <definedName name="OSRRefP22_6x_0" localSheetId="73">'Div 4'!$P$70</definedName>
    <definedName name="OSRRefP22_6x_0" localSheetId="96">'Div 5'!$P$50</definedName>
    <definedName name="OSRRefP22_6x_0" localSheetId="64">'Div 6'!$P$91</definedName>
    <definedName name="OSRRefP22_6x_0" localSheetId="2">Summary!$P$243:$P$244</definedName>
    <definedName name="OSRRefP22_7x_0" localSheetId="41">'201'!$P$52</definedName>
    <definedName name="OSRRefP22_7x_0" localSheetId="42">'202'!$P$51</definedName>
    <definedName name="OSRRefP22_7x_0" localSheetId="43">'203'!$P$52</definedName>
    <definedName name="OSRRefP22_7x_0" localSheetId="44">'204'!$P$54:$P$57</definedName>
    <definedName name="OSRRefP22_7x_0" localSheetId="45">'205'!$P$53:$P$54</definedName>
    <definedName name="OSRRefP22_7x_0" localSheetId="46">'206'!$P$51:$P$52</definedName>
    <definedName name="OSRRefP22_7x_0" localSheetId="48">'300'!$P$207:$P$208</definedName>
    <definedName name="OSRRefP22_7x_0" localSheetId="49">'300 &amp; 317'!$P$233:$P$234</definedName>
    <definedName name="OSRRefP22_7x_0" localSheetId="50">'301'!$P$56:$P$57</definedName>
    <definedName name="OSRRefP22_7x_0" localSheetId="51">'306'!$P$51:$P$52</definedName>
    <definedName name="OSRRefP22_7x_0" localSheetId="53">'307'!$P$111</definedName>
    <definedName name="OSRRefP22_7x_0" localSheetId="55">'308'!$P$101</definedName>
    <definedName name="OSRRefP22_7x_0" localSheetId="67">'309'!$P$58</definedName>
    <definedName name="OSRRefP22_7x_0" localSheetId="66">'310'!$P$68</definedName>
    <definedName name="OSRRefP22_7x_0" localSheetId="74">'310 &amp; 491'!$P$77</definedName>
    <definedName name="OSRRefP22_7x_0" localSheetId="56">'311'!$P$101</definedName>
    <definedName name="OSRRefP22_7x_0" localSheetId="68">'313'!$P$62</definedName>
    <definedName name="OSRRefP22_7x_0" localSheetId="54">'314'!$P$91</definedName>
    <definedName name="OSRRefP22_7x_0" localSheetId="59">'315'!$P$91</definedName>
    <definedName name="OSRRefP22_7x_0" localSheetId="62">'316'!$P$67</definedName>
    <definedName name="OSRRefP22_7x_0" localSheetId="65">'317'!$P$93</definedName>
    <definedName name="OSRRefP22_7x_0" localSheetId="63">'320'!$P$63:$P$64</definedName>
    <definedName name="OSRRefP22_7x_0" localSheetId="69">'321'!$P$56</definedName>
    <definedName name="OSRRefP22_7x_0" localSheetId="70">'322'!$P$53</definedName>
    <definedName name="OSRRefP22_7x_0" localSheetId="60">'326'!$P$90</definedName>
    <definedName name="OSRRefP22_7x_0" localSheetId="52">'330'!$P$119</definedName>
    <definedName name="OSRRefP22_7x_0" localSheetId="58">'331'!$P$106</definedName>
    <definedName name="OSRRefP22_7x_0" localSheetId="61">'332'!$P$77:$P$78</definedName>
    <definedName name="OSRRefP22_7x_0" localSheetId="76">'405'!$P$59</definedName>
    <definedName name="OSRRefP22_7x_0" localSheetId="77">'406'!$P$59</definedName>
    <definedName name="OSRRefP22_7x_0" localSheetId="78">'411'!$P$55</definedName>
    <definedName name="OSRRefP22_7x_0" localSheetId="79">'412'!$P$60</definedName>
    <definedName name="OSRRefP22_7x_0" localSheetId="81">'413'!$P$58</definedName>
    <definedName name="OSRRefP22_7x_0" localSheetId="82">'414'!$P$59</definedName>
    <definedName name="OSRRefP22_7x_0" localSheetId="83">'415'!$P$59</definedName>
    <definedName name="OSRRefP22_7x_0" localSheetId="84">'418'!$P$60</definedName>
    <definedName name="OSRRefP22_7x_0" localSheetId="80">'420'!$P$49</definedName>
    <definedName name="OSRRefP22_7x_0" localSheetId="86">'424'!$P$57</definedName>
    <definedName name="OSRRefP22_7x_0" localSheetId="87">'425'!$P$62</definedName>
    <definedName name="OSRRefP22_7x_0" localSheetId="90">'430'!$P$51:$P$54</definedName>
    <definedName name="OSRRefP22_7x_0" localSheetId="91">'433'!$P$60</definedName>
    <definedName name="OSRRefP22_7x_0" localSheetId="92">'435'!$P$57:$P$59</definedName>
    <definedName name="OSRRefP22_7x_0" localSheetId="93">'444'!$P$59</definedName>
    <definedName name="OSRRefP22_7x_0" localSheetId="95">'450'!$P$60</definedName>
    <definedName name="OSRRefP22_7x_0" localSheetId="75">'491'!$P$70</definedName>
    <definedName name="OSRRefP22_7x_0" localSheetId="89">'492'!$P$64</definedName>
    <definedName name="OSRRefP22_7x_0" localSheetId="97">'501'!$P$52</definedName>
    <definedName name="OSRRefP22_7x_0" localSheetId="39">'Div 2'!$P$56</definedName>
    <definedName name="OSRRefP22_7x_0" localSheetId="47">'Div 3'!$P$212:$P$213</definedName>
    <definedName name="OSRRefP22_7x_0" localSheetId="73">'Div 4'!$P$72:$P$73</definedName>
    <definedName name="OSRRefP22_7x_0" localSheetId="96">'Div 5'!$P$52</definedName>
    <definedName name="OSRRefP22_7x_0" localSheetId="64">'Div 6'!$P$93</definedName>
    <definedName name="OSRRefP22_7x_0" localSheetId="2">Summary!$P$246:$P$248</definedName>
    <definedName name="OSRRefP22_8x_0" localSheetId="41">'201'!$P$54</definedName>
    <definedName name="OSRRefP22_8x_0" localSheetId="42">'202'!$P$53</definedName>
    <definedName name="OSRRefP22_8x_0" localSheetId="43">'203'!$P$54</definedName>
    <definedName name="OSRRefP22_8x_0" localSheetId="44">'204'!$P$59</definedName>
    <definedName name="OSRRefP22_8x_0" localSheetId="45">'205'!$P$56</definedName>
    <definedName name="OSRRefP22_8x_0" localSheetId="46">'206'!$P$54</definedName>
    <definedName name="OSRRefP22_8x_0" localSheetId="48">'300'!$P$210</definedName>
    <definedName name="OSRRefP22_8x_0" localSheetId="49">'300 &amp; 317'!$P$236</definedName>
    <definedName name="OSRRefP22_8x_0" localSheetId="50">'301'!$P$59</definedName>
    <definedName name="OSRRefP22_8x_0" localSheetId="51">'306'!$P$54:$P$57</definedName>
    <definedName name="OSRRefP22_8x_0" localSheetId="53">'307'!$P$113:$P$114</definedName>
    <definedName name="OSRRefP22_8x_0" localSheetId="55">'308'!$P$103</definedName>
    <definedName name="OSRRefP22_8x_0" localSheetId="67">'309'!$P$60</definedName>
    <definedName name="OSRRefP22_8x_0" localSheetId="66">'310'!$P$70</definedName>
    <definedName name="OSRRefP22_8x_0" localSheetId="74">'310 &amp; 491'!$P$79</definedName>
    <definedName name="OSRRefP22_8x_0" localSheetId="56">'311'!$P$103</definedName>
    <definedName name="OSRRefP22_8x_0" localSheetId="68">'313'!$P$64</definedName>
    <definedName name="OSRRefP22_8x_0" localSheetId="54">'314'!$P$93:$P$94</definedName>
    <definedName name="OSRRefP22_8x_0" localSheetId="59">'315'!$P$93</definedName>
    <definedName name="OSRRefP22_8x_0" localSheetId="62">'316'!$P$69</definedName>
    <definedName name="OSRRefP22_8x_0" localSheetId="65">'317'!$P$95</definedName>
    <definedName name="OSRRefP22_8x_0" localSheetId="63">'320'!$P$66</definedName>
    <definedName name="OSRRefP22_8x_0" localSheetId="69">'321'!$P$58</definedName>
    <definedName name="OSRRefP22_8x_0" localSheetId="70">'322'!$P$55</definedName>
    <definedName name="OSRRefP22_8x_0" localSheetId="60">'326'!$P$92</definedName>
    <definedName name="OSRRefP22_8x_0" localSheetId="52">'330'!$P$121</definedName>
    <definedName name="OSRRefP22_8x_0" localSheetId="58">'331'!$P$108:$P$109</definedName>
    <definedName name="OSRRefP22_8x_0" localSheetId="61">'332'!$P$80</definedName>
    <definedName name="OSRRefP22_8x_0" localSheetId="76">'405'!$P$61</definedName>
    <definedName name="OSRRefP22_8x_0" localSheetId="77">'406'!$P$61</definedName>
    <definedName name="OSRRefP22_8x_0" localSheetId="78">'411'!$P$57</definedName>
    <definedName name="OSRRefP22_8x_0" localSheetId="79">'412'!$P$62</definedName>
    <definedName name="OSRRefP22_8x_0" localSheetId="81">'413'!$P$60:$P$62</definedName>
    <definedName name="OSRRefP22_8x_0" localSheetId="82">'414'!$P$61</definedName>
    <definedName name="OSRRefP22_8x_0" localSheetId="83">'415'!$P$61</definedName>
    <definedName name="OSRRefP22_8x_0" localSheetId="84">'418'!$P$62</definedName>
    <definedName name="OSRRefP22_8x_0" localSheetId="86">'424'!$P$59:$P$60</definedName>
    <definedName name="OSRRefP22_8x_0" localSheetId="87">'425'!$P$64</definedName>
    <definedName name="OSRRefP22_8x_0" localSheetId="90">'430'!$P$56</definedName>
    <definedName name="OSRRefP22_8x_0" localSheetId="91">'433'!$P$62</definedName>
    <definedName name="OSRRefP22_8x_0" localSheetId="92">'435'!$P$61</definedName>
    <definedName name="OSRRefP22_8x_0" localSheetId="93">'444'!$P$61</definedName>
    <definedName name="OSRRefP22_8x_0" localSheetId="95">'450'!$P$62</definedName>
    <definedName name="OSRRefP22_8x_0" localSheetId="75">'491'!$P$72</definedName>
    <definedName name="OSRRefP22_8x_0" localSheetId="89">'492'!$P$66</definedName>
    <definedName name="OSRRefP22_8x_0" localSheetId="97">'501'!$P$54</definedName>
    <definedName name="OSRRefP22_8x_0" localSheetId="39">'Div 2'!$P$58</definedName>
    <definedName name="OSRRefP22_8x_0" localSheetId="47">'Div 3'!$P$215</definedName>
    <definedName name="OSRRefP22_8x_0" localSheetId="73">'Div 4'!$P$75</definedName>
    <definedName name="OSRRefP22_8x_0" localSheetId="96">'Div 5'!$P$54</definedName>
    <definedName name="OSRRefP22_8x_0" localSheetId="64">'Div 6'!$P$95</definedName>
    <definedName name="OSRRefP22_8x_0" localSheetId="2">Summary!$P$250</definedName>
    <definedName name="OSRRefP22_9x_0" localSheetId="41">'201'!$P$56</definedName>
    <definedName name="OSRRefP22_9x_0" localSheetId="42">'202'!$P$55:$P$57</definedName>
    <definedName name="OSRRefP22_9x_0" localSheetId="43">'203'!$P$56:$P$58</definedName>
    <definedName name="OSRRefP22_9x_0" localSheetId="44">'204'!$P$61:$P$62</definedName>
    <definedName name="OSRRefP22_9x_0" localSheetId="45">'205'!$P$58</definedName>
    <definedName name="OSRRefP22_9x_0" localSheetId="46">'206'!$P$56</definedName>
    <definedName name="OSRRefP22_9x_0" localSheetId="48">'300'!$P$212</definedName>
    <definedName name="OSRRefP22_9x_0" localSheetId="49">'300 &amp; 317'!$P$238</definedName>
    <definedName name="OSRRefP22_9x_0" localSheetId="50">'301'!$P$61</definedName>
    <definedName name="OSRRefP22_9x_0" localSheetId="51">'306'!$P$59</definedName>
    <definedName name="OSRRefP22_9x_0" localSheetId="53">'307'!$P$116:$P$117</definedName>
    <definedName name="OSRRefP22_9x_0" localSheetId="55">'308'!$P$105:$P$108</definedName>
    <definedName name="OSRRefP22_9x_0" localSheetId="67">'309'!$P$62:$P$63</definedName>
    <definedName name="OSRRefP22_9x_0" localSheetId="66">'310'!$P$72</definedName>
    <definedName name="OSRRefP22_9x_0" localSheetId="74">'310 &amp; 491'!$P$81</definedName>
    <definedName name="OSRRefP22_9x_0" localSheetId="56">'311'!$P$105:$P$108</definedName>
    <definedName name="OSRRefP22_9x_0" localSheetId="68">'313'!$P$66</definedName>
    <definedName name="OSRRefP22_9x_0" localSheetId="54">'314'!$P$96</definedName>
    <definedName name="OSRRefP22_9x_0" localSheetId="59">'315'!$P$95:$P$96</definedName>
    <definedName name="OSRRefP22_9x_0" localSheetId="62">'316'!$P$71:$P$72</definedName>
    <definedName name="OSRRefP22_9x_0" localSheetId="65">'317'!$P$97</definedName>
    <definedName name="OSRRefP22_9x_0" localSheetId="69">'321'!$P$60:$P$62</definedName>
    <definedName name="OSRRefP22_9x_0" localSheetId="70">'322'!$P$57:$P$58</definedName>
    <definedName name="OSRRefP22_9x_0" localSheetId="60">'326'!$P$94</definedName>
    <definedName name="OSRRefP22_9x_0" localSheetId="52">'330'!$P$123:$P$124</definedName>
    <definedName name="OSRRefP22_9x_0" localSheetId="58">'331'!$P$111</definedName>
    <definedName name="OSRRefP22_9x_0" localSheetId="61">'332'!$P$82</definedName>
    <definedName name="OSRRefP22_9x_0" localSheetId="76">'405'!$P$63</definedName>
    <definedName name="OSRRefP22_9x_0" localSheetId="77">'406'!$P$63:$P$65</definedName>
    <definedName name="OSRRefP22_9x_0" localSheetId="78">'411'!$P$59</definedName>
    <definedName name="OSRRefP22_9x_0" localSheetId="79">'412'!$P$64:$P$65</definedName>
    <definedName name="OSRRefP22_9x_0" localSheetId="81">'413'!$P$64:$P$65</definedName>
    <definedName name="OSRRefP22_9x_0" localSheetId="82">'414'!$P$63:$P$64</definedName>
    <definedName name="OSRRefP22_9x_0" localSheetId="83">'415'!$P$63</definedName>
    <definedName name="OSRRefP22_9x_0" localSheetId="84">'418'!$P$64</definedName>
    <definedName name="OSRRefP22_9x_0" localSheetId="86">'424'!$P$62:$P$64</definedName>
    <definedName name="OSRRefP22_9x_0" localSheetId="87">'425'!$P$66:$P$68</definedName>
    <definedName name="OSRRefP22_9x_0" localSheetId="90">'430'!$P$58</definedName>
    <definedName name="OSRRefP22_9x_0" localSheetId="91">'433'!$P$64</definedName>
    <definedName name="OSRRefP22_9x_0" localSheetId="93">'444'!$P$63</definedName>
    <definedName name="OSRRefP22_9x_0" localSheetId="95">'450'!$P$64</definedName>
    <definedName name="OSRRefP22_9x_0" localSheetId="75">'491'!$P$74</definedName>
    <definedName name="OSRRefP22_9x_0" localSheetId="89">'492'!$P$68</definedName>
    <definedName name="OSRRefP22_9x_0" localSheetId="97">'501'!$P$56</definedName>
    <definedName name="OSRRefP22_9x_0" localSheetId="39">'Div 2'!$P$60</definedName>
    <definedName name="OSRRefP22_9x_0" localSheetId="47">'Div 3'!$P$217</definedName>
    <definedName name="OSRRefP22_9x_0" localSheetId="73">'Div 4'!$P$77</definedName>
    <definedName name="OSRRefP22_9x_0" localSheetId="96">'Div 5'!$P$56</definedName>
    <definedName name="OSRRefP22_9x_0" localSheetId="64">'Div 6'!$P$97</definedName>
    <definedName name="OSRRefP22_9x_0" localSheetId="2">Summary!$P$252</definedName>
    <definedName name="OSRRefP22x_0" localSheetId="40">'200'!$P$20,'200'!$P$22,'200'!$P$24,'200'!$P$26,'200'!$P$28:$P$29</definedName>
    <definedName name="OSRRefP22x_0" localSheetId="41">'201'!$P$20:$P$28,'201'!$P$30:$P$39,'201'!$P$41,'201'!$P$43,'201'!$P$45:$P$46,'201'!$P$48,'201'!$P$50,'201'!$P$52,'201'!$P$54,'201'!$P$56,'201'!$P$58:$P$60,'201'!$P$62:$P$64,'201'!$P$66,'201'!$P$68:$P$71,'201'!$P$73,'201'!$P$75,'201'!$P$77:$P$78</definedName>
    <definedName name="OSRRefP22x_0" localSheetId="42">'202'!$P$20:$P$28,'202'!$P$30:$P$39,'202'!$P$41,'202'!$P$43,'202'!$P$45,'202'!$P$47,'202'!$P$49,'202'!$P$51,'202'!$P$53,'202'!$P$55:$P$57,'202'!$P$59,'202'!$P$61:$P$63,'202'!$P$65,'202'!$P$67,'202'!$P$69:$P$70,'202'!$P$72,'202'!$P$74</definedName>
    <definedName name="OSRRefP22x_0" localSheetId="43">'203'!$P$20:$P$29,'203'!$P$31:$P$40,'203'!$P$42,'203'!$P$44,'203'!$P$46,'203'!$P$48,'203'!$P$50,'203'!$P$52,'203'!$P$54,'203'!$P$56:$P$58,'203'!$P$60:$P$61,'203'!$P$63,'203'!$P$65:$P$67,'203'!$P$69,'203'!$P$71,'203'!$P$73</definedName>
    <definedName name="OSRRefP22x_0" localSheetId="44">'204'!$P$21:$P$30,'204'!$P$32:$P$41,'204'!$P$43,'204'!$P$45:$P$46,'204'!$P$48,'204'!$P$50,'204'!$P$52,'204'!$P$54:$P$57,'204'!$P$59,'204'!$P$61:$P$62,'204'!$P$64:$P$65,'204'!$P$67,'204'!$P$69:$P$70</definedName>
    <definedName name="OSRRefP22x_0" localSheetId="45">'205'!$P$20:$P$28,'205'!$P$30:$P$39,'205'!$P$41,'205'!$P$43,'205'!$P$45,'205'!$P$47:$P$49,'205'!$P$51,'205'!$P$53:$P$54,'205'!$P$56,'205'!$P$58</definedName>
    <definedName name="OSRRefP22x_0" localSheetId="46">'206'!$P$20:$P$28,'206'!$P$30:$P$39,'206'!$P$41,'206'!$P$43,'206'!$P$45,'206'!$P$47,'206'!$P$49,'206'!$P$51:$P$52,'206'!$P$54,'206'!$P$56,'206'!$P$58</definedName>
    <definedName name="OSRRefP22x_0" localSheetId="48">'300'!$P$170:$P$179,'300'!$P$181:$P$190,'300'!$P$192,'300'!$P$194:$P$195,'300'!$P$197,'300'!$P$199:$P$202,'300'!$P$204:$P$205,'300'!$P$207:$P$208,'300'!$P$210,'300'!$P$212,'300'!$P$214:$P$215,'300'!$P$217,'300'!$P$219,'300'!$P$221,'300'!$P$223,'300'!$P$225,'300'!$P$227:$P$230,'300'!$P$232:$P$235,'300'!$P$237:$P$240,'300'!$P$242:$P$243,'300'!$P$245:$P$252,'300'!$P$254:$P$255,'300'!$P$257,'300'!$P$259:$P$261,'300'!$P$263</definedName>
    <definedName name="OSRRefP22x_0" localSheetId="49">'300 &amp; 317'!$P$196:$P$205,'300 &amp; 317'!$P$207:$P$216,'300 &amp; 317'!$P$218,'300 &amp; 317'!$P$220:$P$221,'300 &amp; 317'!$P$223,'300 &amp; 317'!$P$225:$P$228,'300 &amp; 317'!$P$230:$P$231,'300 &amp; 317'!$P$233:$P$234,'300 &amp; 317'!$P$236,'300 &amp; 317'!$P$238,'300 &amp; 317'!$P$240:$P$241,'300 &amp; 317'!$P$243,'300 &amp; 317'!$P$245,'300 &amp; 317'!$P$247,'300 &amp; 317'!$P$249,'300 &amp; 317'!$P$251,'300 &amp; 317'!$P$253:$P$256,'300 &amp; 317'!$P$258:$P$261,'300 &amp; 317'!$P$263:$P$266,'300 &amp; 317'!$P$268:$P$269,'300 &amp; 317'!$P$271:$P$278,'300 &amp; 317'!$P$280:$P$281,'300 &amp; 317'!$P$283,'300 &amp; 317'!$P$285:$P$287,'300 &amp; 317'!$P$289</definedName>
    <definedName name="OSRRefP22x_0" localSheetId="50">'301'!$P$20:$P$28,'301'!$P$30:$P$39,'301'!$P$41,'301'!$P$43:$P$44,'301'!$P$46,'301'!$P$48:$P$51,'301'!$P$53:$P$54,'301'!$P$56:$P$57,'301'!$P$59,'301'!$P$61,'301'!$P$63,'301'!$P$65,'301'!$P$67,'301'!$P$69,'301'!$P$71,'301'!$P$73,'301'!$P$75:$P$78,'301'!$P$80:$P$82,'301'!$P$84:$P$85,'301'!$P$87:$P$93,'301'!$P$95,'301'!$P$97,'301'!$P$99:$P$101,'301'!$P$103</definedName>
    <definedName name="OSRRefP22x_0" localSheetId="51">'306'!$P$20:$P$28,'306'!$P$30:$P$39,'306'!$P$41,'306'!$P$43,'306'!$P$45,'306'!$P$47,'306'!$P$49,'306'!$P$51:$P$52,'306'!$P$54:$P$57,'306'!$P$59,'306'!$P$61</definedName>
    <definedName name="OSRRefP22x_0" localSheetId="53">'307'!$P$79:$P$87,'307'!$P$89:$P$98,'307'!$P$100,'307'!$P$102,'307'!$P$104:$P$105,'307'!$P$107,'307'!$P$109,'307'!$P$111,'307'!$P$113:$P$114,'307'!$P$116:$P$117,'307'!$P$119:$P$121,'307'!$P$123,'307'!$P$125</definedName>
    <definedName name="OSRRefP22x_0" localSheetId="55">'308'!$P$67:$P$76,'308'!$P$78:$P$87,'308'!$P$89,'308'!$P$91:$P$92,'308'!$P$94,'308'!$P$96,'308'!$P$98:$P$99,'308'!$P$101,'308'!$P$103,'308'!$P$105:$P$108,'308'!$P$110:$P$111,'308'!$P$113:$P$115,'308'!$P$117:$P$118,'308'!$P$120,'308'!$P$122:$P$123</definedName>
    <definedName name="OSRRefP22x_0" localSheetId="67">'309'!$P$26:$P$34,'309'!$P$36:$P$45,'309'!$P$47,'309'!$P$49,'309'!$P$51,'309'!$P$53:$P$54,'309'!$P$56,'309'!$P$58,'309'!$P$60,'309'!$P$62:$P$63,'309'!$P$65:$P$67,'309'!$P$69:$P$71,'309'!$P$73,'309'!$P$75</definedName>
    <definedName name="OSRRefP22x_0" localSheetId="66">'310'!$P$35:$P$43,'310'!$P$45:$P$54,'310'!$P$56,'310'!$P$58,'310'!$P$60,'310'!$P$62:$P$64,'310'!$P$66,'310'!$P$68,'310'!$P$70,'310'!$P$72,'310'!$P$74,'310'!$P$76,'310'!$P$78,'310'!$P$80,'310'!$P$82,'310'!$P$84:$P$86,'310'!$P$88:$P$89,'310'!$P$91:$P$95,'310'!$P$97,'310'!$P$99:$P$107,'310'!$P$109,'310'!$P$111,'310'!$P$113:$P$114,'310'!$P$116</definedName>
    <definedName name="OSRRefP22x_0" localSheetId="74">'310 &amp; 491'!$P$42:$P$51,'310 &amp; 491'!$P$53:$P$62,'310 &amp; 491'!$P$64,'310 &amp; 491'!$P$66,'310 &amp; 491'!$P$68,'310 &amp; 491'!$P$70:$P$73,'310 &amp; 491'!$P$75,'310 &amp; 491'!$P$77,'310 &amp; 491'!$P$79,'310 &amp; 491'!$P$81,'310 &amp; 491'!$P$83:$P$84,'310 &amp; 491'!$P$86:$P$87,'310 &amp; 491'!$P$89,'310 &amp; 491'!$P$91,'310 &amp; 491'!$P$93,'310 &amp; 491'!$P$95,'310 &amp; 491'!$P$97,'310 &amp; 491'!$P$99:$P$102,'310 &amp; 491'!$P$104:$P$107,'310 &amp; 491'!$P$109:$P$114,'310 &amp; 491'!$P$116:$P$117,'310 &amp; 491'!$P$119:$P$129,'310 &amp; 491'!$P$131:$P$132,'310 &amp; 491'!$P$134,'310 &amp; 491'!$P$136:$P$138,'310 &amp; 491'!$P$140</definedName>
    <definedName name="OSRRefP22x_0" localSheetId="56">'311'!$P$67:$P$76,'311'!$P$78:$P$87,'311'!$P$89,'311'!$P$91:$P$92,'311'!$P$94,'311'!$P$96,'311'!$P$98:$P$99,'311'!$P$101,'311'!$P$103,'311'!$P$105:$P$108,'311'!$P$110:$P$111,'311'!$P$113:$P$115,'311'!$P$117:$P$118,'311'!$P$120,'311'!$P$122:$P$123</definedName>
    <definedName name="OSRRefP22x_0" localSheetId="68">'313'!$P$31:$P$39,'313'!$P$41:$P$50,'313'!$P$52,'313'!$P$54,'313'!$P$56,'313'!$P$58,'313'!$P$60,'313'!$P$62,'313'!$P$64,'313'!$P$66,'313'!$P$68:$P$70,'313'!$P$72,'313'!$P$74:$P$79,'313'!$P$81,'313'!$P$83</definedName>
    <definedName name="OSRRefP22x_0" localSheetId="54">'314'!$P$58:$P$67,'314'!$P$69:$P$78,'314'!$P$80,'314'!$P$82:$P$83,'314'!$P$85,'314'!$P$87,'314'!$P$89,'314'!$P$91,'314'!$P$93:$P$94,'314'!$P$96,'314'!$P$98</definedName>
    <definedName name="OSRRefP22x_0" localSheetId="59">'315'!$P$58:$P$66,'315'!$P$68:$P$77,'315'!$P$79,'315'!$P$81:$P$82,'315'!$P$84,'315'!$P$86:$P$87,'315'!$P$89,'315'!$P$91,'315'!$P$93,'315'!$P$95:$P$96,'315'!$P$98:$P$100,'315'!$P$102:$P$103,'315'!$P$105:$P$109,'315'!$P$111,'315'!$P$113,'315'!$P$115:$P$116</definedName>
    <definedName name="OSRRefP22x_0" localSheetId="62">'316'!$P$36:$P$44,'316'!$P$46:$P$55,'316'!$P$57,'316'!$P$59,'316'!$P$61,'316'!$P$63,'316'!$P$65,'316'!$P$67,'316'!$P$69,'316'!$P$71:$P$72,'316'!$P$74:$P$75,'316'!$P$77:$P$81,'316'!$P$83:$P$84,'316'!$P$86</definedName>
    <definedName name="OSRRefP22x_0" localSheetId="65">'317'!$P$61:$P$70,'317'!$P$72:$P$81,'317'!$P$83,'317'!$P$85,'317'!$P$87,'317'!$P$89,'317'!$P$91,'317'!$P$93,'317'!$P$95,'317'!$P$97,'317'!$P$99:$P$100,'317'!$P$102:$P$103,'317'!$P$105,'317'!$P$107</definedName>
    <definedName name="OSRRefP22x_0" localSheetId="63">'320'!$P$32:$P$39,'320'!$P$41:$P$50,'320'!$P$52,'320'!$P$54,'320'!$P$56:$P$57,'320'!$P$59,'320'!$P$61,'320'!$P$63:$P$64,'320'!$P$66</definedName>
    <definedName name="OSRRefP22x_0" localSheetId="69">'321'!$P$26:$P$33,'321'!$P$35:$P$44,'321'!$P$46,'321'!$P$48,'321'!$P$50,'321'!$P$52,'321'!$P$54,'321'!$P$56,'321'!$P$58,'321'!$P$60:$P$62,'321'!$P$64:$P$65,'321'!$P$67:$P$69,'321'!$P$71:$P$74,'321'!$P$76,'321'!$P$78</definedName>
    <definedName name="OSRRefP22x_0" localSheetId="70">'322'!$P$22:$P$29,'322'!$P$31:$P$40,'322'!$P$42,'322'!$P$44,'322'!$P$46,'322'!$P$48:$P$49,'322'!$P$51,'322'!$P$53,'322'!$P$55,'322'!$P$57:$P$58,'322'!$P$60,'322'!$P$62</definedName>
    <definedName name="OSRRefP22x_0" localSheetId="60">'326'!$P$58:$P$66,'326'!$P$68:$P$77,'326'!$P$79,'326'!$P$81:$P$82,'326'!$P$84,'326'!$P$86,'326'!$P$88,'326'!$P$90,'326'!$P$92,'326'!$P$94,'326'!$P$96,'326'!$P$98,'326'!$P$100,'326'!$P$102:$P$103,'326'!$P$105:$P$107,'326'!$P$109:$P$110,'326'!$P$112:$P$117,'326'!$P$119:$P$120,'326'!$P$122,'326'!$P$124,'326'!$P$126</definedName>
    <definedName name="OSRRefP22x_0" localSheetId="72">'327'!$P$24,'327'!$P$26,'327'!$P$28</definedName>
    <definedName name="OSRRefP22x_0" localSheetId="52">'330'!$P$86:$P$95,'330'!$P$97:$P$106,'330'!$P$108,'330'!$P$110,'330'!$P$112:$P$113,'330'!$P$115,'330'!$P$117,'330'!$P$119,'330'!$P$121,'330'!$P$123:$P$124,'330'!$P$126:$P$127,'330'!$P$129,'330'!$P$131:$P$133,'330'!$P$135,'330'!$P$137,'330'!$P$139</definedName>
    <definedName name="OSRRefP22x_0" localSheetId="58">'331'!$P$73:$P$81,'331'!$P$83:$P$92,'331'!$P$94,'331'!$P$96:$P$97,'331'!$P$99,'331'!$P$101:$P$102,'331'!$P$104,'331'!$P$106,'331'!$P$108:$P$109,'331'!$P$111,'331'!$P$113,'331'!$P$115,'331'!$P$117,'331'!$P$119,'331'!$P$121:$P$122,'331'!$P$124:$P$126,'331'!$P$128:$P$130,'331'!$P$132:$P$133,'331'!$P$135:$P$140,'331'!$P$142:$P$143,'331'!$P$145,'331'!$P$147:$P$148,'331'!$P$150</definedName>
    <definedName name="OSRRefP22x_0" localSheetId="61">'332'!$P$46:$P$54,'332'!$P$56:$P$65,'332'!$P$67,'332'!$P$69,'332'!$P$71,'332'!$P$73,'332'!$P$75,'332'!$P$77:$P$78,'332'!$P$80,'332'!$P$82,'332'!$P$84:$P$85,'332'!$P$87:$P$88,'332'!$P$90:$P$94,'332'!$P$96:$P$97,'332'!$P$99</definedName>
    <definedName name="OSRRefP22x_0" localSheetId="76">'405'!$P$26:$P$34,'405'!$P$36:$P$45,'405'!$P$47,'405'!$P$49,'405'!$P$51,'405'!$P$53:$P$55,'405'!$P$57,'405'!$P$59,'405'!$P$61,'405'!$P$63,'405'!$P$65,'405'!$P$67:$P$69,'405'!$P$71,'405'!$P$73:$P$75,'405'!$P$77:$P$78,'405'!$P$80:$P$88,'405'!$P$90,'405'!$P$92,'405'!$P$94,'405'!$P$96</definedName>
    <definedName name="OSRRefP22x_0" localSheetId="77">'406'!$P$27:$P$35,'406'!$P$37:$P$46,'406'!$P$48,'406'!$P$50,'406'!$P$52,'406'!$P$54:$P$55,'406'!$P$57,'406'!$P$59,'406'!$P$61,'406'!$P$63:$P$65,'406'!$P$67:$P$69,'406'!$P$71:$P$76,'406'!$P$78:$P$79,'406'!$P$81,'406'!$P$83:$P$84</definedName>
    <definedName name="OSRRefP22x_0" localSheetId="78">'411'!$P$20:$P$29,'411'!$P$31:$P$40,'411'!$P$42,'411'!$P$44,'411'!$P$46:$P$49,'411'!$P$51,'411'!$P$53,'411'!$P$55,'411'!$P$57,'411'!$P$59,'411'!$P$61,'411'!$P$63,'411'!$P$65:$P$68,'411'!$P$70:$P$74,'411'!$P$76,'411'!$P$78:$P$86,'411'!$P$88,'411'!$P$90,'411'!$P$92:$P$94,'411'!$P$96</definedName>
    <definedName name="OSRRefP22x_0" localSheetId="79">'412'!$P$27:$P$35,'412'!$P$37:$P$46,'412'!$P$48,'412'!$P$50,'412'!$P$52,'412'!$P$54:$P$56,'412'!$P$58,'412'!$P$60,'412'!$P$62,'412'!$P$64:$P$65,'412'!$P$67,'412'!$P$69:$P$71,'412'!$P$73:$P$80,'412'!$P$82,'412'!$P$84,'412'!$P$86</definedName>
    <definedName name="OSRRefP22x_0" localSheetId="81">'413'!$P$27:$P$35,'413'!$P$37:$P$46,'413'!$P$48,'413'!$P$50,'413'!$P$52,'413'!$P$54,'413'!$P$56,'413'!$P$58,'413'!$P$60:$P$62,'413'!$P$64:$P$65,'413'!$P$67:$P$73,'413'!$P$75:$P$76,'413'!$P$78,'413'!$P$80</definedName>
    <definedName name="OSRRefP22x_0" localSheetId="82">'414'!$P$27:$P$35,'414'!$P$37:$P$46,'414'!$P$48,'414'!$P$50,'414'!$P$52,'414'!$P$54:$P$55,'414'!$P$57,'414'!$P$59,'414'!$P$61,'414'!$P$63:$P$64,'414'!$P$66,'414'!$P$68,'414'!$P$70,'414'!$P$72:$P$78,'414'!$P$80,'414'!$P$82</definedName>
    <definedName name="OSRRefP22x_0" localSheetId="83">'415'!$P$26:$P$34,'415'!$P$36:$P$45,'415'!$P$47,'415'!$P$49,'415'!$P$51,'415'!$P$53:$P$55,'415'!$P$57,'415'!$P$59,'415'!$P$61,'415'!$P$63,'415'!$P$65,'415'!$P$67:$P$70,'415'!$P$72:$P$76,'415'!$P$78:$P$79,'415'!$P$81:$P$89,'415'!$P$91,'415'!$P$93,'415'!$P$95:$P$96,'415'!$P$98</definedName>
    <definedName name="OSRRefP22x_0" localSheetId="84">'418'!$P$27:$P$35,'418'!$P$37:$P$46,'418'!$P$48,'418'!$P$50,'418'!$P$52,'418'!$P$54:$P$56,'418'!$P$58,'418'!$P$60,'418'!$P$62,'418'!$P$64,'418'!$P$66:$P$67,'418'!$P$69:$P$71,'418'!$P$73:$P$75,'418'!$P$77:$P$78,'418'!$P$80:$P$87,'418'!$P$89,'418'!$P$91,'418'!$P$93:$P$94</definedName>
    <definedName name="OSRRefP22x_0" localSheetId="80">'420'!$P$24:$P$31,'420'!$P$33:$P$36,'420'!$P$38,'420'!$P$40,'420'!$P$42,'420'!$P$44,'420'!$P$46:$P$47,'420'!$P$49</definedName>
    <definedName name="OSRRefP22x_0" localSheetId="85">'423'!$P$21:$P$29,'423'!$P$31:$P$40,'423'!$P$42,'423'!$P$44,'423'!$P$46,'423'!$P$48,'423'!$P$50</definedName>
    <definedName name="OSRRefP22x_0" localSheetId="86">'424'!$P$27:$P$34,'424'!$P$36:$P$45,'424'!$P$47,'424'!$P$49,'424'!$P$51,'424'!$P$53,'424'!$P$55,'424'!$P$57,'424'!$P$59:$P$60,'424'!$P$62:$P$64,'424'!$P$66,'424'!$P$68:$P$72,'424'!$P$74:$P$75</definedName>
    <definedName name="OSRRefP22x_0" localSheetId="87">'425'!$P$29:$P$38,'425'!$P$40:$P$49,'425'!$P$51,'425'!$P$53,'425'!$P$55,'425'!$P$57:$P$58,'425'!$P$60,'425'!$P$62,'425'!$P$64,'425'!$P$66:$P$68,'425'!$P$70:$P$71,'425'!$P$73:$P$75,'425'!$P$77,'425'!$P$79:$P$85,'425'!$P$87:$P$88,'425'!$P$90,'425'!$P$92</definedName>
    <definedName name="OSRRefP22x_0" localSheetId="90">'430'!$P$20:$P$28,'430'!$P$30:$P$39,'430'!$P$41,'430'!$P$43,'430'!$P$45,'430'!$P$47,'430'!$P$49,'430'!$P$51:$P$54,'430'!$P$56,'430'!$P$58,'430'!$P$60</definedName>
    <definedName name="OSRRefP22x_0" localSheetId="91">'433'!$P$28:$P$37,'433'!$P$39:$P$48,'433'!$P$50,'433'!$P$52,'433'!$P$54,'433'!$P$56,'433'!$P$58,'433'!$P$60,'433'!$P$62,'433'!$P$64,'433'!$P$66:$P$68,'433'!$P$70:$P$73,'433'!$P$75:$P$83,'433'!$P$85,'433'!$P$87,'433'!$P$89:$P$90</definedName>
    <definedName name="OSRRefP22x_0" localSheetId="92">'435'!$P$27:$P$34,'435'!$P$36:$P$45,'435'!$P$47,'435'!$P$49,'435'!$P$51,'435'!$P$53,'435'!$P$55,'435'!$P$57:$P$59,'435'!$P$61</definedName>
    <definedName name="OSRRefP22x_0" localSheetId="93">'444'!$P$27:$P$36,'444'!$P$38:$P$47,'444'!$P$49,'444'!$P$51,'444'!$P$53,'444'!$P$55,'444'!$P$57,'444'!$P$59,'444'!$P$61,'444'!$P$63,'444'!$P$65,'444'!$P$67:$P$69,'444'!$P$71:$P$74,'444'!$P$76:$P$83,'444'!$P$85,'444'!$P$87,'444'!$P$89</definedName>
    <definedName name="OSRRefP22x_0" localSheetId="95">'450'!$P$27:$P$36,'450'!$P$38:$P$47,'450'!$P$49,'450'!$P$51:$P$52,'450'!$P$54,'450'!$P$56,'450'!$P$58,'450'!$P$60,'450'!$P$62,'450'!$P$64,'450'!$P$66,'450'!$P$68,'450'!$P$70:$P$73,'450'!$P$75:$P$77,'450'!$P$79:$P$84,'450'!$P$86,'450'!$P$88,'450'!$P$90:$P$91</definedName>
    <definedName name="OSRRefP22x_0" localSheetId="88">'455'!$P$20:$P$27,'455'!$P$29:$P$38</definedName>
    <definedName name="OSRRefP22x_0" localSheetId="75">'491'!$P$35:$P$44,'491'!$P$46:$P$55,'491'!$P$57,'491'!$P$59,'491'!$P$61,'491'!$P$63:$P$66,'491'!$P$68,'491'!$P$70,'491'!$P$72,'491'!$P$74,'491'!$P$76,'491'!$P$78:$P$79,'491'!$P$81,'491'!$P$83,'491'!$P$85,'491'!$P$87,'491'!$P$89:$P$92,'491'!$P$94:$P$97,'491'!$P$99:$P$103,'491'!$P$105:$P$106,'491'!$P$108:$P$118,'491'!$P$120:$P$121,'491'!$P$123,'491'!$P$125:$P$127,'491'!$P$129</definedName>
    <definedName name="OSRRefP22x_0" localSheetId="89">'492'!$P$30:$P$39,'492'!$P$41:$P$50,'492'!$P$52,'492'!$P$54:$P$55,'492'!$P$57,'492'!$P$59,'492'!$P$61:$P$62,'492'!$P$64,'492'!$P$66,'492'!$P$68,'492'!$P$70,'492'!$P$72,'492'!$P$74,'492'!$P$76:$P$79,'492'!$P$81:$P$84,'492'!$P$86:$P$95,'492'!$P$97,'492'!$P$99,'492'!$P$101:$P$102</definedName>
    <definedName name="OSRRefP22x_0" localSheetId="97">'501'!$P$21:$P$29,'501'!$P$31:$P$40,'501'!$P$42,'501'!$P$44,'501'!$P$46,'501'!$P$48,'501'!$P$50,'501'!$P$52,'501'!$P$54,'501'!$P$56,'501'!$P$58:$P$61,'501'!$P$63,'501'!$P$65:$P$67,'501'!$P$69,'501'!$P$71</definedName>
    <definedName name="OSRRefP22x_0" localSheetId="39">'Div 2'!$P$21:$P$31,'Div 2'!$P$33:$P$42,'Div 2'!$P$44,'Div 2'!$P$46,'Div 2'!$P$48,'Div 2'!$P$50:$P$51,'Div 2'!$P$53:$P$54,'Div 2'!$P$56,'Div 2'!$P$58,'Div 2'!$P$60,'Div 2'!$P$62,'Div 2'!$P$64,'Div 2'!$P$66:$P$68,'Div 2'!$P$70:$P$73,'Div 2'!$P$75:$P$78,'Div 2'!$P$80:$P$81,'Div 2'!$P$83:$P$84,'Div 2'!$P$86:$P$91,'Div 2'!$P$93:$P$94,'Div 2'!$P$96,'Div 2'!$P$98:$P$99</definedName>
    <definedName name="OSRRefP22x_0" localSheetId="47">'Div 3'!$P$175:$P$184,'Div 3'!$P$186:$P$195,'Div 3'!$P$197,'Div 3'!$P$199:$P$200,'Div 3'!$P$202,'Div 3'!$P$204:$P$207,'Div 3'!$P$209:$P$210,'Div 3'!$P$212:$P$213,'Div 3'!$P$215,'Div 3'!$P$217,'Div 3'!$P$219:$P$220,'Div 3'!$P$222,'Div 3'!$P$224,'Div 3'!$P$226,'Div 3'!$P$228,'Div 3'!$P$230,'Div 3'!$P$232,'Div 3'!$P$234,'Div 3'!$P$236:$P$239,'Div 3'!$P$241:$P$244,'Div 3'!$P$246:$P$251,'Div 3'!$P$253:$P$254,'Div 3'!$P$256:$P$265,'Div 3'!$P$267:$P$268,'Div 3'!$P$270,'Div 3'!$P$272:$P$274,'Div 3'!$P$276</definedName>
    <definedName name="OSRRefP22x_0" localSheetId="73">'Div 4'!$P$36:$P$45,'Div 4'!$P$47:$P$56,'Div 4'!$P$58,'Div 4'!$P$60:$P$61,'Div 4'!$P$63,'Div 4'!$P$65:$P$68,'Div 4'!$P$70,'Div 4'!$P$72:$P$73,'Div 4'!$P$75,'Div 4'!$P$77,'Div 4'!$P$79,'Div 4'!$P$81:$P$82,'Div 4'!$P$84,'Div 4'!$P$86,'Div 4'!$P$88,'Div 4'!$P$90,'Div 4'!$P$92,'Div 4'!$P$94:$P$97,'Div 4'!$P$99:$P$102,'Div 4'!$P$104:$P$108,'Div 4'!$P$110:$P$111,'Div 4'!$P$113:$P$123,'Div 4'!$P$125:$P$126,'Div 4'!$P$128,'Div 4'!$P$130:$P$132,'Div 4'!$P$134</definedName>
    <definedName name="OSRRefP22x_0" localSheetId="96">'Div 5'!$P$21:$P$29,'Div 5'!$P$31:$P$40,'Div 5'!$P$42,'Div 5'!$P$44,'Div 5'!$P$46,'Div 5'!$P$48,'Div 5'!$P$50,'Div 5'!$P$52,'Div 5'!$P$54,'Div 5'!$P$56,'Div 5'!$P$58:$P$61,'Div 5'!$P$63,'Div 5'!$P$65:$P$67,'Div 5'!$P$69,'Div 5'!$P$71</definedName>
    <definedName name="OSRRefP22x_0" localSheetId="64">'Div 6'!$P$61:$P$70,'Div 6'!$P$72:$P$81,'Div 6'!$P$83,'Div 6'!$P$85,'Div 6'!$P$87,'Div 6'!$P$89,'Div 6'!$P$91,'Div 6'!$P$93,'Div 6'!$P$95,'Div 6'!$P$97,'Div 6'!$P$99:$P$100,'Div 6'!$P$102:$P$103,'Div 6'!$P$105,'Div 6'!$P$107</definedName>
    <definedName name="OSRRefP22x_0" localSheetId="2">Summary!$P$209:$P$218,Summary!$P$220:$P$229,Summary!$P$231,Summary!$P$233:$P$234,Summary!$P$236,Summary!$P$238:$P$241,Summary!$P$243:$P$244,Summary!$P$246:$P$248,Summary!$P$250,Summary!$P$252,Summary!$P$254:$P$255,Summary!$P$257:$P$258,Summary!$P$260,Summary!$P$262,Summary!$P$264,Summary!$P$266,Summary!$P$268,Summary!$P$270,Summary!$P$272:$P$275,Summary!$P$277:$P$280,Summary!$P$282:$P$287,Summary!$P$289:$P$290,Summary!$P$292:$P$302,Summary!$P$304:$P$305,Summary!$P$307,Summary!$P$309:$P$311,Summary!$P$313</definedName>
    <definedName name="OSRRefP25x_0" localSheetId="48">'300'!$P$266:$P$274</definedName>
    <definedName name="OSRRefP25x_0" localSheetId="49">'300 &amp; 317'!$P$292:$P$303</definedName>
    <definedName name="OSRRefP25x_0" localSheetId="50">'301'!$P$106:$P$109</definedName>
    <definedName name="OSRRefP25x_0" localSheetId="53">'307'!$P$128</definedName>
    <definedName name="OSRRefP25x_0" localSheetId="55">'308'!$P$126:$P$129</definedName>
    <definedName name="OSRRefP25x_0" localSheetId="74">'310 &amp; 491'!$P$143:$P$146</definedName>
    <definedName name="OSRRefP25x_0" localSheetId="56">'311'!$P$126:$P$129</definedName>
    <definedName name="OSRRefP25x_0" localSheetId="59">'315'!$P$119:$P$121</definedName>
    <definedName name="OSRRefP25x_0" localSheetId="62">'316'!$P$89:$P$90</definedName>
    <definedName name="OSRRefP25x_0" localSheetId="65">'317'!$P$110:$P$113</definedName>
    <definedName name="OSRRefP25x_0" localSheetId="63">'320'!$P$69:$P$73</definedName>
    <definedName name="OSRRefP25x_0" localSheetId="52">'330'!$P$142</definedName>
    <definedName name="OSRRefP25x_0" localSheetId="58">'331'!$P$153:$P$155</definedName>
    <definedName name="OSRRefP25x_0" localSheetId="61">'332'!$P$102:$P$108</definedName>
    <definedName name="OSRRefP25x_0" localSheetId="78">'411'!$P$99:$P$100</definedName>
    <definedName name="OSRRefP25x_0" localSheetId="81">'413'!$P$83</definedName>
    <definedName name="OSRRefP25x_0" localSheetId="83">'415'!$P$101</definedName>
    <definedName name="OSRRefP25x_0" localSheetId="85">'423'!$P$53</definedName>
    <definedName name="OSRRefP25x_0" localSheetId="86">'424'!$P$78</definedName>
    <definedName name="OSRRefP25x_0" localSheetId="87">'425'!$P$95</definedName>
    <definedName name="OSRRefP25x_0" localSheetId="88">'455'!$P$41:$P$44</definedName>
    <definedName name="OSRRefP25x_0" localSheetId="75">'491'!$P$132:$P$135</definedName>
    <definedName name="OSRRefP25x_0" localSheetId="97">'501'!$P$74</definedName>
    <definedName name="OSRRefP25x_0" localSheetId="47">'Div 3'!$P$279:$P$287</definedName>
    <definedName name="OSRRefP25x_0" localSheetId="73">'Div 4'!$P$137:$P$140</definedName>
    <definedName name="OSRRefP25x_0" localSheetId="96">'Div 5'!$P$74</definedName>
    <definedName name="OSRRefP25x_0" localSheetId="64">'Div 6'!$P$110:$P$113</definedName>
    <definedName name="OSRRefP25x_0" localSheetId="2">Summary!$P$316:$P$328</definedName>
    <definedName name="OSRRefT13x_0" localSheetId="44">'204'!$T$13</definedName>
    <definedName name="OSRRefT13x_0" localSheetId="48">'300'!$T$13:$T$111</definedName>
    <definedName name="OSRRefT13x_0" localSheetId="49">'300 &amp; 317'!$T$13:$T$129</definedName>
    <definedName name="OSRRefT13x_0" localSheetId="53">'307'!$T$13:$T$50</definedName>
    <definedName name="OSRRefT13x_0" localSheetId="55">'308'!$T$13:$T$42</definedName>
    <definedName name="OSRRefT13x_0" localSheetId="67">'309'!$T$13:$T$15</definedName>
    <definedName name="OSRRefT13x_0" localSheetId="66">'310'!$T$13:$T$24</definedName>
    <definedName name="OSRRefT13x_0" localSheetId="74">'310 &amp; 491'!$T$13:$T$31</definedName>
    <definedName name="OSRRefT13x_0" localSheetId="56">'311'!$T$13:$T$42</definedName>
    <definedName name="OSRRefT13x_0" localSheetId="68">'313'!$T$13:$T$20</definedName>
    <definedName name="OSRRefT13x_0" localSheetId="54">'314'!$T$13:$T$34</definedName>
    <definedName name="OSRRefT13x_0" localSheetId="59">'315'!$T$13:$T$34</definedName>
    <definedName name="OSRRefT13x_0" localSheetId="62">'316'!$T$13:$T$28</definedName>
    <definedName name="OSRRefT13x_0" localSheetId="65">'317'!$T$13:$T$38</definedName>
    <definedName name="OSRRefT13x_0" localSheetId="63">'320'!$T$13:$T$18</definedName>
    <definedName name="OSRRefT13x_0" localSheetId="69">'321'!$T$13:$T$15</definedName>
    <definedName name="OSRRefT13x_0" localSheetId="70">'322'!$T$13</definedName>
    <definedName name="OSRRefT13x_0" localSheetId="57">'324'!$T$13:$T$15</definedName>
    <definedName name="OSRRefT13x_0" localSheetId="60">'326'!$T$13:$T$33</definedName>
    <definedName name="OSRRefT13x_0" localSheetId="72">'327'!$T$13:$T$14</definedName>
    <definedName name="OSRRefT13x_0" localSheetId="52">'330'!$T$13:$T$54</definedName>
    <definedName name="OSRRefT13x_0" localSheetId="58">'331'!$T$13:$T$42</definedName>
    <definedName name="OSRRefT13x_0" localSheetId="61">'332'!$T$13:$T$32</definedName>
    <definedName name="OSRRefT13x_0" localSheetId="76">'405'!$T$13:$T$15</definedName>
    <definedName name="OSRRefT13x_0" localSheetId="77">'406'!$T$13:$T$16</definedName>
    <definedName name="OSRRefT13x_0" localSheetId="79">'412'!$T$13:$T$16</definedName>
    <definedName name="OSRRefT13x_0" localSheetId="81">'413'!$T$13:$T$16</definedName>
    <definedName name="OSRRefT13x_0" localSheetId="82">'414'!$T$13:$T$16</definedName>
    <definedName name="OSRRefT13x_0" localSheetId="83">'415'!$T$13:$T$15</definedName>
    <definedName name="OSRRefT13x_0" localSheetId="84">'418'!$T$13:$T$16</definedName>
    <definedName name="OSRRefT13x_0" localSheetId="80">'420'!$T$13:$T$14</definedName>
    <definedName name="OSRRefT13x_0" localSheetId="86">'424'!$T$13:$T$16</definedName>
    <definedName name="OSRRefT13x_0" localSheetId="87">'425'!$T$13:$T$18</definedName>
    <definedName name="OSRRefT13x_0" localSheetId="91">'433'!$T$13:$T$17</definedName>
    <definedName name="OSRRefT13x_0" localSheetId="92">'435'!$T$13:$T$16</definedName>
    <definedName name="OSRRefT13x_0" localSheetId="93">'444'!$T$13:$T$16</definedName>
    <definedName name="OSRRefT13x_0" localSheetId="95">'450'!$T$13:$T$16</definedName>
    <definedName name="OSRRefT13x_0" localSheetId="75">'491'!$T$13:$T$24</definedName>
    <definedName name="OSRRefT13x_0" localSheetId="89">'492'!$T$13:$T$19</definedName>
    <definedName name="OSRRefT13x_0" localSheetId="97">'501'!$T$13</definedName>
    <definedName name="OSRRefT13x_0" localSheetId="39">'Div 2'!$T$13</definedName>
    <definedName name="OSRRefT13x_0" localSheetId="47">'Div 3'!$T$13:$T$114</definedName>
    <definedName name="OSRRefT13x_0" localSheetId="73">'Div 4'!$T$13:$T$25</definedName>
    <definedName name="OSRRefT13x_0" localSheetId="96">'Div 5'!$T$13</definedName>
    <definedName name="OSRRefT13x_0" localSheetId="64">'Div 6'!$T$13:$T$38</definedName>
    <definedName name="OSRRefT13x_0" localSheetId="2">Summary!$T$13:$T$140</definedName>
    <definedName name="OSRRefT16x_0" localSheetId="48">'300'!$T$114:$T$164</definedName>
    <definedName name="OSRRefT16x_0" localSheetId="49">'300 &amp; 317'!$T$132:$T$190</definedName>
    <definedName name="OSRRefT16x_0" localSheetId="53">'307'!$T$53:$T$73</definedName>
    <definedName name="OSRRefT16x_0" localSheetId="55">'308'!$T$45:$T$61</definedName>
    <definedName name="OSRRefT16x_0" localSheetId="67">'309'!$T$18:$T$20</definedName>
    <definedName name="OSRRefT16x_0" localSheetId="66">'310'!$T$27:$T$29</definedName>
    <definedName name="OSRRefT16x_0" localSheetId="74">'310 &amp; 491'!$T$34:$T$36</definedName>
    <definedName name="OSRRefT16x_0" localSheetId="56">'311'!$T$45:$T$61</definedName>
    <definedName name="OSRRefT16x_0" localSheetId="68">'313'!$T$23:$T$25</definedName>
    <definedName name="OSRRefT16x_0" localSheetId="54">'314'!$T$37:$T$52</definedName>
    <definedName name="OSRRefT16x_0" localSheetId="59">'315'!$T$37:$T$52</definedName>
    <definedName name="OSRRefT16x_0" localSheetId="65">'317'!$T$41:$T$55</definedName>
    <definedName name="OSRRefT16x_0" localSheetId="63">'320'!$T$21:$T$26</definedName>
    <definedName name="OSRRefT16x_0" localSheetId="69">'321'!$T$18:$T$20</definedName>
    <definedName name="OSRRefT16x_0" localSheetId="70">'322'!$T$16</definedName>
    <definedName name="OSRRefT16x_0" localSheetId="57">'324'!$T$18:$T$20</definedName>
    <definedName name="OSRRefT16x_0" localSheetId="60">'326'!$T$36:$T$52</definedName>
    <definedName name="OSRRefT16x_0" localSheetId="72">'327'!$T$17:$T$18</definedName>
    <definedName name="OSRRefT16x_0" localSheetId="52">'330'!$T$57:$T$80</definedName>
    <definedName name="OSRRefT16x_0" localSheetId="58">'331'!$T$45:$T$67</definedName>
    <definedName name="OSRRefT16x_0" localSheetId="61">'332'!$T$35:$T$40</definedName>
    <definedName name="OSRRefT16x_0" localSheetId="76">'405'!$T$18:$T$20</definedName>
    <definedName name="OSRRefT16x_0" localSheetId="77">'406'!$T$19:$T$21</definedName>
    <definedName name="OSRRefT16x_0" localSheetId="79">'412'!$T$19:$T$21</definedName>
    <definedName name="OSRRefT16x_0" localSheetId="81">'413'!$T$19:$T$21</definedName>
    <definedName name="OSRRefT16x_0" localSheetId="82">'414'!$T$19:$T$21</definedName>
    <definedName name="OSRRefT16x_0" localSheetId="83">'415'!$T$18:$T$20</definedName>
    <definedName name="OSRRefT16x_0" localSheetId="84">'418'!$T$19:$T$21</definedName>
    <definedName name="OSRRefT16x_0" localSheetId="80">'420'!$T$17:$T$18</definedName>
    <definedName name="OSRRefT16x_0" localSheetId="85">'423'!$T$15</definedName>
    <definedName name="OSRRefT16x_0" localSheetId="86">'424'!$T$19:$T$21</definedName>
    <definedName name="OSRRefT16x_0" localSheetId="87">'425'!$T$21:$T$23</definedName>
    <definedName name="OSRRefT16x_0" localSheetId="91">'433'!$T$20:$T$22</definedName>
    <definedName name="OSRRefT16x_0" localSheetId="92">'435'!$T$19:$T$21</definedName>
    <definedName name="OSRRefT16x_0" localSheetId="93">'444'!$T$19:$T$21</definedName>
    <definedName name="OSRRefT16x_0" localSheetId="95">'450'!$T$19:$T$21</definedName>
    <definedName name="OSRRefT16x_0" localSheetId="75">'491'!$T$27:$T$29</definedName>
    <definedName name="OSRRefT16x_0" localSheetId="89">'492'!$T$22:$T$24</definedName>
    <definedName name="OSRRefT16x_0" localSheetId="47">'Div 3'!$T$117:$T$169</definedName>
    <definedName name="OSRRefT16x_0" localSheetId="73">'Div 4'!$T$28:$T$30</definedName>
    <definedName name="OSRRefT16x_0" localSheetId="64">'Div 6'!$T$41:$T$55</definedName>
    <definedName name="OSRRefT16x_0" localSheetId="2">Summary!$T$143:$T$203</definedName>
    <definedName name="OSRRefT22_0x_0" localSheetId="40">'200'!$T$20</definedName>
    <definedName name="OSRRefT22_0x_0" localSheetId="41">'201'!$T$20:$T$28</definedName>
    <definedName name="OSRRefT22_0x_0" localSheetId="42">'202'!$T$20:$T$28</definedName>
    <definedName name="OSRRefT22_0x_0" localSheetId="43">'203'!$T$20:$T$29</definedName>
    <definedName name="OSRRefT22_0x_0" localSheetId="44">'204'!$T$21:$T$30</definedName>
    <definedName name="OSRRefT22_0x_0" localSheetId="45">'205'!$T$20:$T$28</definedName>
    <definedName name="OSRRefT22_0x_0" localSheetId="46">'206'!$T$20:$T$28</definedName>
    <definedName name="OSRRefT22_0x_0" localSheetId="48">'300'!$T$170:$T$179</definedName>
    <definedName name="OSRRefT22_0x_0" localSheetId="49">'300 &amp; 317'!$T$196:$T$205</definedName>
    <definedName name="OSRRefT22_0x_0" localSheetId="50">'301'!$T$20:$T$28</definedName>
    <definedName name="OSRRefT22_0x_0" localSheetId="51">'306'!$T$20:$T$28</definedName>
    <definedName name="OSRRefT22_0x_0" localSheetId="53">'307'!$T$79:$T$87</definedName>
    <definedName name="OSRRefT22_0x_0" localSheetId="55">'308'!$T$67:$T$76</definedName>
    <definedName name="OSRRefT22_0x_0" localSheetId="67">'309'!$T$26:$T$34</definedName>
    <definedName name="OSRRefT22_0x_0" localSheetId="66">'310'!$T$35:$T$43</definedName>
    <definedName name="OSRRefT22_0x_0" localSheetId="74">'310 &amp; 491'!$T$42:$T$51</definedName>
    <definedName name="OSRRefT22_0x_0" localSheetId="56">'311'!$T$67:$T$76</definedName>
    <definedName name="OSRRefT22_0x_0" localSheetId="68">'313'!$T$31:$T$39</definedName>
    <definedName name="OSRRefT22_0x_0" localSheetId="54">'314'!$T$58:$T$67</definedName>
    <definedName name="OSRRefT22_0x_0" localSheetId="59">'315'!$T$58:$T$66</definedName>
    <definedName name="OSRRefT22_0x_0" localSheetId="62">'316'!$T$36:$T$44</definedName>
    <definedName name="OSRRefT22_0x_0" localSheetId="65">'317'!$T$61:$T$70</definedName>
    <definedName name="OSRRefT22_0x_0" localSheetId="63">'320'!$T$32:$T$39</definedName>
    <definedName name="OSRRefT22_0x_0" localSheetId="69">'321'!$T$26:$T$33</definedName>
    <definedName name="OSRRefT22_0x_0" localSheetId="70">'322'!$T$22:$T$29</definedName>
    <definedName name="OSRRefT22_0x_0" localSheetId="60">'326'!$T$58:$T$66</definedName>
    <definedName name="OSRRefT22_0x_0" localSheetId="72">'327'!$T$24</definedName>
    <definedName name="OSRRefT22_0x_0" localSheetId="52">'330'!$T$86:$T$95</definedName>
    <definedName name="OSRRefT22_0x_0" localSheetId="58">'331'!$T$73:$T$81</definedName>
    <definedName name="OSRRefT22_0x_0" localSheetId="61">'332'!$T$46:$T$54</definedName>
    <definedName name="OSRRefT22_0x_0" localSheetId="76">'405'!$T$26:$T$34</definedName>
    <definedName name="OSRRefT22_0x_0" localSheetId="77">'406'!$T$27:$T$35</definedName>
    <definedName name="OSRRefT22_0x_0" localSheetId="78">'411'!$T$20:$T$29</definedName>
    <definedName name="OSRRefT22_0x_0" localSheetId="79">'412'!$T$27:$T$35</definedName>
    <definedName name="OSRRefT22_0x_0" localSheetId="81">'413'!$T$27:$T$35</definedName>
    <definedName name="OSRRefT22_0x_0" localSheetId="82">'414'!$T$27:$T$35</definedName>
    <definedName name="OSRRefT22_0x_0" localSheetId="83">'415'!$T$26:$T$34</definedName>
    <definedName name="OSRRefT22_0x_0" localSheetId="84">'418'!$T$27:$T$35</definedName>
    <definedName name="OSRRefT22_0x_0" localSheetId="80">'420'!$T$24:$T$31</definedName>
    <definedName name="OSRRefT22_0x_0" localSheetId="85">'423'!$T$21:$T$29</definedName>
    <definedName name="OSRRefT22_0x_0" localSheetId="86">'424'!$T$27:$T$34</definedName>
    <definedName name="OSRRefT22_0x_0" localSheetId="87">'425'!$T$29:$T$38</definedName>
    <definedName name="OSRRefT22_0x_0" localSheetId="90">'430'!$T$20:$T$28</definedName>
    <definedName name="OSRRefT22_0x_0" localSheetId="91">'433'!$T$28:$T$37</definedName>
    <definedName name="OSRRefT22_0x_0" localSheetId="92">'435'!$T$27:$T$34</definedName>
    <definedName name="OSRRefT22_0x_0" localSheetId="93">'444'!$T$27:$T$36</definedName>
    <definedName name="OSRRefT22_0x_0" localSheetId="95">'450'!$T$27:$T$36</definedName>
    <definedName name="OSRRefT22_0x_0" localSheetId="88">'455'!$T$20:$T$27</definedName>
    <definedName name="OSRRefT22_0x_0" localSheetId="75">'491'!$T$35:$T$44</definedName>
    <definedName name="OSRRefT22_0x_0" localSheetId="89">'492'!$T$30:$T$39</definedName>
    <definedName name="OSRRefT22_0x_0" localSheetId="97">'501'!$T$21:$T$29</definedName>
    <definedName name="OSRRefT22_0x_0" localSheetId="39">'Div 2'!$T$21:$T$31</definedName>
    <definedName name="OSRRefT22_0x_0" localSheetId="47">'Div 3'!$T$175:$T$184</definedName>
    <definedName name="OSRRefT22_0x_0" localSheetId="73">'Div 4'!$T$36:$T$45</definedName>
    <definedName name="OSRRefT22_0x_0" localSheetId="96">'Div 5'!$T$21:$T$29</definedName>
    <definedName name="OSRRefT22_0x_0" localSheetId="64">'Div 6'!$T$61:$T$70</definedName>
    <definedName name="OSRRefT22_0x_0" localSheetId="2">Summary!$T$209:$T$218</definedName>
    <definedName name="OSRRefT22_10x_0" localSheetId="41">'201'!$T$58:$T$60</definedName>
    <definedName name="OSRRefT22_10x_0" localSheetId="42">'202'!$T$59</definedName>
    <definedName name="OSRRefT22_10x_0" localSheetId="43">'203'!$T$60:$T$61</definedName>
    <definedName name="OSRRefT22_10x_0" localSheetId="44">'204'!$T$64:$T$65</definedName>
    <definedName name="OSRRefT22_10x_0" localSheetId="46">'206'!$T$58</definedName>
    <definedName name="OSRRefT22_10x_0" localSheetId="48">'300'!$T$214:$T$215</definedName>
    <definedName name="OSRRefT22_10x_0" localSheetId="49">'300 &amp; 317'!$T$240:$T$241</definedName>
    <definedName name="OSRRefT22_10x_0" localSheetId="50">'301'!$T$63</definedName>
    <definedName name="OSRRefT22_10x_0" localSheetId="51">'306'!$T$61</definedName>
    <definedName name="OSRRefT22_10x_0" localSheetId="53">'307'!$T$119:$T$121</definedName>
    <definedName name="OSRRefT22_10x_0" localSheetId="55">'308'!$T$110:$T$111</definedName>
    <definedName name="OSRRefT22_10x_0" localSheetId="67">'309'!$T$65:$T$67</definedName>
    <definedName name="OSRRefT22_10x_0" localSheetId="66">'310'!$T$74</definedName>
    <definedName name="OSRRefT22_10x_0" localSheetId="74">'310 &amp; 491'!$T$83:$T$84</definedName>
    <definedName name="OSRRefT22_10x_0" localSheetId="56">'311'!$T$110:$T$111</definedName>
    <definedName name="OSRRefT22_10x_0" localSheetId="68">'313'!$T$68:$T$70</definedName>
    <definedName name="OSRRefT22_10x_0" localSheetId="54">'314'!$T$98</definedName>
    <definedName name="OSRRefT22_10x_0" localSheetId="59">'315'!$T$98:$T$100</definedName>
    <definedName name="OSRRefT22_10x_0" localSheetId="62">'316'!$T$74:$T$75</definedName>
    <definedName name="OSRRefT22_10x_0" localSheetId="65">'317'!$T$99:$T$100</definedName>
    <definedName name="OSRRefT22_10x_0" localSheetId="69">'321'!$T$64:$T$65</definedName>
    <definedName name="OSRRefT22_10x_0" localSheetId="70">'322'!$T$60</definedName>
    <definedName name="OSRRefT22_10x_0" localSheetId="60">'326'!$T$96</definedName>
    <definedName name="OSRRefT22_10x_0" localSheetId="52">'330'!$T$126:$T$127</definedName>
    <definedName name="OSRRefT22_10x_0" localSheetId="58">'331'!$T$113</definedName>
    <definedName name="OSRRefT22_10x_0" localSheetId="61">'332'!$T$84:$T$85</definedName>
    <definedName name="OSRRefT22_10x_0" localSheetId="76">'405'!$T$65</definedName>
    <definedName name="OSRRefT22_10x_0" localSheetId="77">'406'!$T$67:$T$69</definedName>
    <definedName name="OSRRefT22_10x_0" localSheetId="78">'411'!$T$61</definedName>
    <definedName name="OSRRefT22_10x_0" localSheetId="79">'412'!$T$67</definedName>
    <definedName name="OSRRefT22_10x_0" localSheetId="81">'413'!$T$67:$T$73</definedName>
    <definedName name="OSRRefT22_10x_0" localSheetId="82">'414'!$T$66</definedName>
    <definedName name="OSRRefT22_10x_0" localSheetId="83">'415'!$T$65</definedName>
    <definedName name="OSRRefT22_10x_0" localSheetId="84">'418'!$T$66:$T$67</definedName>
    <definedName name="OSRRefT22_10x_0" localSheetId="86">'424'!$T$66</definedName>
    <definedName name="OSRRefT22_10x_0" localSheetId="87">'425'!$T$70:$T$71</definedName>
    <definedName name="OSRRefT22_10x_0" localSheetId="90">'430'!$T$60</definedName>
    <definedName name="OSRRefT22_10x_0" localSheetId="91">'433'!$T$66:$T$68</definedName>
    <definedName name="OSRRefT22_10x_0" localSheetId="93">'444'!$T$65</definedName>
    <definedName name="OSRRefT22_10x_0" localSheetId="95">'450'!$T$66</definedName>
    <definedName name="OSRRefT22_10x_0" localSheetId="75">'491'!$T$76</definedName>
    <definedName name="OSRRefT22_10x_0" localSheetId="89">'492'!$T$70</definedName>
    <definedName name="OSRRefT22_10x_0" localSheetId="97">'501'!$T$58:$T$61</definedName>
    <definedName name="OSRRefT22_10x_0" localSheetId="39">'Div 2'!$T$62</definedName>
    <definedName name="OSRRefT22_10x_0" localSheetId="47">'Div 3'!$T$219:$T$220</definedName>
    <definedName name="OSRRefT22_10x_0" localSheetId="73">'Div 4'!$T$79</definedName>
    <definedName name="OSRRefT22_10x_0" localSheetId="96">'Div 5'!$T$58:$T$61</definedName>
    <definedName name="OSRRefT22_10x_0" localSheetId="64">'Div 6'!$T$99:$T$100</definedName>
    <definedName name="OSRRefT22_10x_0" localSheetId="2">Summary!$T$254:$T$255</definedName>
    <definedName name="OSRRefT22_11x_0" localSheetId="41">'201'!$T$62:$T$64</definedName>
    <definedName name="OSRRefT22_11x_0" localSheetId="42">'202'!$T$61:$T$63</definedName>
    <definedName name="OSRRefT22_11x_0" localSheetId="43">'203'!$T$63</definedName>
    <definedName name="OSRRefT22_11x_0" localSheetId="44">'204'!$T$67</definedName>
    <definedName name="OSRRefT22_11x_0" localSheetId="48">'300'!$T$217</definedName>
    <definedName name="OSRRefT22_11x_0" localSheetId="49">'300 &amp; 317'!$T$243</definedName>
    <definedName name="OSRRefT22_11x_0" localSheetId="50">'301'!$T$65</definedName>
    <definedName name="OSRRefT22_11x_0" localSheetId="53">'307'!$T$123</definedName>
    <definedName name="OSRRefT22_11x_0" localSheetId="55">'308'!$T$113:$T$115</definedName>
    <definedName name="OSRRefT22_11x_0" localSheetId="67">'309'!$T$69:$T$71</definedName>
    <definedName name="OSRRefT22_11x_0" localSheetId="66">'310'!$T$76</definedName>
    <definedName name="OSRRefT22_11x_0" localSheetId="74">'310 &amp; 491'!$T$86:$T$87</definedName>
    <definedName name="OSRRefT22_11x_0" localSheetId="56">'311'!$T$113:$T$115</definedName>
    <definedName name="OSRRefT22_11x_0" localSheetId="68">'313'!$T$72</definedName>
    <definedName name="OSRRefT22_11x_0" localSheetId="59">'315'!$T$102:$T$103</definedName>
    <definedName name="OSRRefT22_11x_0" localSheetId="62">'316'!$T$77:$T$81</definedName>
    <definedName name="OSRRefT22_11x_0" localSheetId="65">'317'!$T$102:$T$103</definedName>
    <definedName name="OSRRefT22_11x_0" localSheetId="69">'321'!$T$67:$T$69</definedName>
    <definedName name="OSRRefT22_11x_0" localSheetId="70">'322'!$T$62</definedName>
    <definedName name="OSRRefT22_11x_0" localSheetId="60">'326'!$T$98</definedName>
    <definedName name="OSRRefT22_11x_0" localSheetId="52">'330'!$T$129</definedName>
    <definedName name="OSRRefT22_11x_0" localSheetId="58">'331'!$T$115</definedName>
    <definedName name="OSRRefT22_11x_0" localSheetId="61">'332'!$T$87:$T$88</definedName>
    <definedName name="OSRRefT22_11x_0" localSheetId="76">'405'!$T$67:$T$69</definedName>
    <definedName name="OSRRefT22_11x_0" localSheetId="77">'406'!$T$71:$T$76</definedName>
    <definedName name="OSRRefT22_11x_0" localSheetId="78">'411'!$T$63</definedName>
    <definedName name="OSRRefT22_11x_0" localSheetId="79">'412'!$T$69:$T$71</definedName>
    <definedName name="OSRRefT22_11x_0" localSheetId="81">'413'!$T$75:$T$76</definedName>
    <definedName name="OSRRefT22_11x_0" localSheetId="82">'414'!$T$68</definedName>
    <definedName name="OSRRefT22_11x_0" localSheetId="83">'415'!$T$67:$T$70</definedName>
    <definedName name="OSRRefT22_11x_0" localSheetId="84">'418'!$T$69:$T$71</definedName>
    <definedName name="OSRRefT22_11x_0" localSheetId="86">'424'!$T$68:$T$72</definedName>
    <definedName name="OSRRefT22_11x_0" localSheetId="87">'425'!$T$73:$T$75</definedName>
    <definedName name="OSRRefT22_11x_0" localSheetId="91">'433'!$T$70:$T$73</definedName>
    <definedName name="OSRRefT22_11x_0" localSheetId="93">'444'!$T$67:$T$69</definedName>
    <definedName name="OSRRefT22_11x_0" localSheetId="95">'450'!$T$68</definedName>
    <definedName name="OSRRefT22_11x_0" localSheetId="75">'491'!$T$78:$T$79</definedName>
    <definedName name="OSRRefT22_11x_0" localSheetId="89">'492'!$T$72</definedName>
    <definedName name="OSRRefT22_11x_0" localSheetId="97">'501'!$T$63</definedName>
    <definedName name="OSRRefT22_11x_0" localSheetId="39">'Div 2'!$T$64</definedName>
    <definedName name="OSRRefT22_11x_0" localSheetId="47">'Div 3'!$T$222</definedName>
    <definedName name="OSRRefT22_11x_0" localSheetId="73">'Div 4'!$T$81:$T$82</definedName>
    <definedName name="OSRRefT22_11x_0" localSheetId="96">'Div 5'!$T$63</definedName>
    <definedName name="OSRRefT22_11x_0" localSheetId="64">'Div 6'!$T$102:$T$103</definedName>
    <definedName name="OSRRefT22_11x_0" localSheetId="2">Summary!$T$257:$T$258</definedName>
    <definedName name="OSRRefT22_12x_0" localSheetId="41">'201'!$T$66</definedName>
    <definedName name="OSRRefT22_12x_0" localSheetId="42">'202'!$T$65</definedName>
    <definedName name="OSRRefT22_12x_0" localSheetId="43">'203'!$T$65:$T$67</definedName>
    <definedName name="OSRRefT22_12x_0" localSheetId="44">'204'!$T$69:$T$70</definedName>
    <definedName name="OSRRefT22_12x_0" localSheetId="48">'300'!$T$219</definedName>
    <definedName name="OSRRefT22_12x_0" localSheetId="49">'300 &amp; 317'!$T$245</definedName>
    <definedName name="OSRRefT22_12x_0" localSheetId="50">'301'!$T$67</definedName>
    <definedName name="OSRRefT22_12x_0" localSheetId="53">'307'!$T$125</definedName>
    <definedName name="OSRRefT22_12x_0" localSheetId="55">'308'!$T$117:$T$118</definedName>
    <definedName name="OSRRefT22_12x_0" localSheetId="67">'309'!$T$73</definedName>
    <definedName name="OSRRefT22_12x_0" localSheetId="66">'310'!$T$78</definedName>
    <definedName name="OSRRefT22_12x_0" localSheetId="74">'310 &amp; 491'!$T$89</definedName>
    <definedName name="OSRRefT22_12x_0" localSheetId="56">'311'!$T$117:$T$118</definedName>
    <definedName name="OSRRefT22_12x_0" localSheetId="68">'313'!$T$74:$T$79</definedName>
    <definedName name="OSRRefT22_12x_0" localSheetId="59">'315'!$T$105:$T$109</definedName>
    <definedName name="OSRRefT22_12x_0" localSheetId="62">'316'!$T$83:$T$84</definedName>
    <definedName name="OSRRefT22_12x_0" localSheetId="65">'317'!$T$105</definedName>
    <definedName name="OSRRefT22_12x_0" localSheetId="69">'321'!$T$71:$T$74</definedName>
    <definedName name="OSRRefT22_12x_0" localSheetId="60">'326'!$T$100</definedName>
    <definedName name="OSRRefT22_12x_0" localSheetId="52">'330'!$T$131:$T$133</definedName>
    <definedName name="OSRRefT22_12x_0" localSheetId="58">'331'!$T$117</definedName>
    <definedName name="OSRRefT22_12x_0" localSheetId="61">'332'!$T$90:$T$94</definedName>
    <definedName name="OSRRefT22_12x_0" localSheetId="76">'405'!$T$71</definedName>
    <definedName name="OSRRefT22_12x_0" localSheetId="77">'406'!$T$78:$T$79</definedName>
    <definedName name="OSRRefT22_12x_0" localSheetId="78">'411'!$T$65:$T$68</definedName>
    <definedName name="OSRRefT22_12x_0" localSheetId="79">'412'!$T$73:$T$80</definedName>
    <definedName name="OSRRefT22_12x_0" localSheetId="81">'413'!$T$78</definedName>
    <definedName name="OSRRefT22_12x_0" localSheetId="82">'414'!$T$70</definedName>
    <definedName name="OSRRefT22_12x_0" localSheetId="83">'415'!$T$72:$T$76</definedName>
    <definedName name="OSRRefT22_12x_0" localSheetId="84">'418'!$T$73:$T$75</definedName>
    <definedName name="OSRRefT22_12x_0" localSheetId="86">'424'!$T$74:$T$75</definedName>
    <definedName name="OSRRefT22_12x_0" localSheetId="87">'425'!$T$77</definedName>
    <definedName name="OSRRefT22_12x_0" localSheetId="91">'433'!$T$75:$T$83</definedName>
    <definedName name="OSRRefT22_12x_0" localSheetId="93">'444'!$T$71:$T$74</definedName>
    <definedName name="OSRRefT22_12x_0" localSheetId="95">'450'!$T$70:$T$73</definedName>
    <definedName name="OSRRefT22_12x_0" localSheetId="75">'491'!$T$81</definedName>
    <definedName name="OSRRefT22_12x_0" localSheetId="89">'492'!$T$74</definedName>
    <definedName name="OSRRefT22_12x_0" localSheetId="97">'501'!$T$65:$T$67</definedName>
    <definedName name="OSRRefT22_12x_0" localSheetId="39">'Div 2'!$T$66:$T$68</definedName>
    <definedName name="OSRRefT22_12x_0" localSheetId="47">'Div 3'!$T$224</definedName>
    <definedName name="OSRRefT22_12x_0" localSheetId="73">'Div 4'!$T$84</definedName>
    <definedName name="OSRRefT22_12x_0" localSheetId="96">'Div 5'!$T$65:$T$67</definedName>
    <definedName name="OSRRefT22_12x_0" localSheetId="64">'Div 6'!$T$105</definedName>
    <definedName name="OSRRefT22_12x_0" localSheetId="2">Summary!$T$260</definedName>
    <definedName name="OSRRefT22_13x_0" localSheetId="41">'201'!$T$68:$T$71</definedName>
    <definedName name="OSRRefT22_13x_0" localSheetId="42">'202'!$T$67</definedName>
    <definedName name="OSRRefT22_13x_0" localSheetId="43">'203'!$T$69</definedName>
    <definedName name="OSRRefT22_13x_0" localSheetId="48">'300'!$T$221</definedName>
    <definedName name="OSRRefT22_13x_0" localSheetId="49">'300 &amp; 317'!$T$247</definedName>
    <definedName name="OSRRefT22_13x_0" localSheetId="50">'301'!$T$69</definedName>
    <definedName name="OSRRefT22_13x_0" localSheetId="55">'308'!$T$120</definedName>
    <definedName name="OSRRefT22_13x_0" localSheetId="67">'309'!$T$75</definedName>
    <definedName name="OSRRefT22_13x_0" localSheetId="66">'310'!$T$80</definedName>
    <definedName name="OSRRefT22_13x_0" localSheetId="74">'310 &amp; 491'!$T$91</definedName>
    <definedName name="OSRRefT22_13x_0" localSheetId="56">'311'!$T$120</definedName>
    <definedName name="OSRRefT22_13x_0" localSheetId="68">'313'!$T$81</definedName>
    <definedName name="OSRRefT22_13x_0" localSheetId="59">'315'!$T$111</definedName>
    <definedName name="OSRRefT22_13x_0" localSheetId="62">'316'!$T$86</definedName>
    <definedName name="OSRRefT22_13x_0" localSheetId="65">'317'!$T$107</definedName>
    <definedName name="OSRRefT22_13x_0" localSheetId="69">'321'!$T$76</definedName>
    <definedName name="OSRRefT22_13x_0" localSheetId="60">'326'!$T$102:$T$103</definedName>
    <definedName name="OSRRefT22_13x_0" localSheetId="52">'330'!$T$135</definedName>
    <definedName name="OSRRefT22_13x_0" localSheetId="58">'331'!$T$119</definedName>
    <definedName name="OSRRefT22_13x_0" localSheetId="61">'332'!$T$96:$T$97</definedName>
    <definedName name="OSRRefT22_13x_0" localSheetId="76">'405'!$T$73:$T$75</definedName>
    <definedName name="OSRRefT22_13x_0" localSheetId="77">'406'!$T$81</definedName>
    <definedName name="OSRRefT22_13x_0" localSheetId="78">'411'!$T$70:$T$74</definedName>
    <definedName name="OSRRefT22_13x_0" localSheetId="79">'412'!$T$82</definedName>
    <definedName name="OSRRefT22_13x_0" localSheetId="81">'413'!$T$80</definedName>
    <definedName name="OSRRefT22_13x_0" localSheetId="82">'414'!$T$72:$T$78</definedName>
    <definedName name="OSRRefT22_13x_0" localSheetId="83">'415'!$T$78:$T$79</definedName>
    <definedName name="OSRRefT22_13x_0" localSheetId="84">'418'!$T$77:$T$78</definedName>
    <definedName name="OSRRefT22_13x_0" localSheetId="87">'425'!$T$79:$T$85</definedName>
    <definedName name="OSRRefT22_13x_0" localSheetId="91">'433'!$T$85</definedName>
    <definedName name="OSRRefT22_13x_0" localSheetId="93">'444'!$T$76:$T$83</definedName>
    <definedName name="OSRRefT22_13x_0" localSheetId="95">'450'!$T$75:$T$77</definedName>
    <definedName name="OSRRefT22_13x_0" localSheetId="75">'491'!$T$83</definedName>
    <definedName name="OSRRefT22_13x_0" localSheetId="89">'492'!$T$76:$T$79</definedName>
    <definedName name="OSRRefT22_13x_0" localSheetId="97">'501'!$T$69</definedName>
    <definedName name="OSRRefT22_13x_0" localSheetId="39">'Div 2'!$T$70:$T$73</definedName>
    <definedName name="OSRRefT22_13x_0" localSheetId="47">'Div 3'!$T$226</definedName>
    <definedName name="OSRRefT22_13x_0" localSheetId="73">'Div 4'!$T$86</definedName>
    <definedName name="OSRRefT22_13x_0" localSheetId="96">'Div 5'!$T$69</definedName>
    <definedName name="OSRRefT22_13x_0" localSheetId="64">'Div 6'!$T$107</definedName>
    <definedName name="OSRRefT22_13x_0" localSheetId="2">Summary!$T$262</definedName>
    <definedName name="OSRRefT22_14x_0" localSheetId="41">'201'!$T$73</definedName>
    <definedName name="OSRRefT22_14x_0" localSheetId="42">'202'!$T$69:$T$70</definedName>
    <definedName name="OSRRefT22_14x_0" localSheetId="43">'203'!$T$71</definedName>
    <definedName name="OSRRefT22_14x_0" localSheetId="48">'300'!$T$223</definedName>
    <definedName name="OSRRefT22_14x_0" localSheetId="49">'300 &amp; 317'!$T$249</definedName>
    <definedName name="OSRRefT22_14x_0" localSheetId="50">'301'!$T$71</definedName>
    <definedName name="OSRRefT22_14x_0" localSheetId="55">'308'!$T$122:$T$123</definedName>
    <definedName name="OSRRefT22_14x_0" localSheetId="66">'310'!$T$82</definedName>
    <definedName name="OSRRefT22_14x_0" localSheetId="74">'310 &amp; 491'!$T$93</definedName>
    <definedName name="OSRRefT22_14x_0" localSheetId="56">'311'!$T$122:$T$123</definedName>
    <definedName name="OSRRefT22_14x_0" localSheetId="68">'313'!$T$83</definedName>
    <definedName name="OSRRefT22_14x_0" localSheetId="59">'315'!$T$113</definedName>
    <definedName name="OSRRefT22_14x_0" localSheetId="69">'321'!$T$78</definedName>
    <definedName name="OSRRefT22_14x_0" localSheetId="60">'326'!$T$105:$T$107</definedName>
    <definedName name="OSRRefT22_14x_0" localSheetId="52">'330'!$T$137</definedName>
    <definedName name="OSRRefT22_14x_0" localSheetId="58">'331'!$T$121:$T$122</definedName>
    <definedName name="OSRRefT22_14x_0" localSheetId="61">'332'!$T$99</definedName>
    <definedName name="OSRRefT22_14x_0" localSheetId="76">'405'!$T$77:$T$78</definedName>
    <definedName name="OSRRefT22_14x_0" localSheetId="77">'406'!$T$83:$T$84</definedName>
    <definedName name="OSRRefT22_14x_0" localSheetId="78">'411'!$T$76</definedName>
    <definedName name="OSRRefT22_14x_0" localSheetId="79">'412'!$T$84</definedName>
    <definedName name="OSRRefT22_14x_0" localSheetId="82">'414'!$T$80</definedName>
    <definedName name="OSRRefT22_14x_0" localSheetId="83">'415'!$T$81:$T$89</definedName>
    <definedName name="OSRRefT22_14x_0" localSheetId="84">'418'!$T$80:$T$87</definedName>
    <definedName name="OSRRefT22_14x_0" localSheetId="87">'425'!$T$87:$T$88</definedName>
    <definedName name="OSRRefT22_14x_0" localSheetId="91">'433'!$T$87</definedName>
    <definedName name="OSRRefT22_14x_0" localSheetId="93">'444'!$T$85</definedName>
    <definedName name="OSRRefT22_14x_0" localSheetId="95">'450'!$T$79:$T$84</definedName>
    <definedName name="OSRRefT22_14x_0" localSheetId="75">'491'!$T$85</definedName>
    <definedName name="OSRRefT22_14x_0" localSheetId="89">'492'!$T$81:$T$84</definedName>
    <definedName name="OSRRefT22_14x_0" localSheetId="97">'501'!$T$71</definedName>
    <definedName name="OSRRefT22_14x_0" localSheetId="39">'Div 2'!$T$75:$T$78</definedName>
    <definedName name="OSRRefT22_14x_0" localSheetId="47">'Div 3'!$T$228</definedName>
    <definedName name="OSRRefT22_14x_0" localSheetId="73">'Div 4'!$T$88</definedName>
    <definedName name="OSRRefT22_14x_0" localSheetId="96">'Div 5'!$T$71</definedName>
    <definedName name="OSRRefT22_14x_0" localSheetId="2">Summary!$T$264</definedName>
    <definedName name="OSRRefT22_15x_0" localSheetId="41">'201'!$T$75</definedName>
    <definedName name="OSRRefT22_15x_0" localSheetId="42">'202'!$T$72</definedName>
    <definedName name="OSRRefT22_15x_0" localSheetId="43">'203'!$T$73</definedName>
    <definedName name="OSRRefT22_15x_0" localSheetId="48">'300'!$T$225</definedName>
    <definedName name="OSRRefT22_15x_0" localSheetId="49">'300 &amp; 317'!$T$251</definedName>
    <definedName name="OSRRefT22_15x_0" localSheetId="50">'301'!$T$73</definedName>
    <definedName name="OSRRefT22_15x_0" localSheetId="66">'310'!$T$84:$T$86</definedName>
    <definedName name="OSRRefT22_15x_0" localSheetId="74">'310 &amp; 491'!$T$95</definedName>
    <definedName name="OSRRefT22_15x_0" localSheetId="59">'315'!$T$115:$T$116</definedName>
    <definedName name="OSRRefT22_15x_0" localSheetId="60">'326'!$T$109:$T$110</definedName>
    <definedName name="OSRRefT22_15x_0" localSheetId="52">'330'!$T$139</definedName>
    <definedName name="OSRRefT22_15x_0" localSheetId="58">'331'!$T$124:$T$126</definedName>
    <definedName name="OSRRefT22_15x_0" localSheetId="76">'405'!$T$80:$T$88</definedName>
    <definedName name="OSRRefT22_15x_0" localSheetId="78">'411'!$T$78:$T$86</definedName>
    <definedName name="OSRRefT22_15x_0" localSheetId="79">'412'!$T$86</definedName>
    <definedName name="OSRRefT22_15x_0" localSheetId="82">'414'!$T$82</definedName>
    <definedName name="OSRRefT22_15x_0" localSheetId="83">'415'!$T$91</definedName>
    <definedName name="OSRRefT22_15x_0" localSheetId="84">'418'!$T$89</definedName>
    <definedName name="OSRRefT22_15x_0" localSheetId="87">'425'!$T$90</definedName>
    <definedName name="OSRRefT22_15x_0" localSheetId="91">'433'!$T$89:$T$90</definedName>
    <definedName name="OSRRefT22_15x_0" localSheetId="93">'444'!$T$87</definedName>
    <definedName name="OSRRefT22_15x_0" localSheetId="95">'450'!$T$86</definedName>
    <definedName name="OSRRefT22_15x_0" localSheetId="75">'491'!$T$87</definedName>
    <definedName name="OSRRefT22_15x_0" localSheetId="89">'492'!$T$86:$T$95</definedName>
    <definedName name="OSRRefT22_15x_0" localSheetId="39">'Div 2'!$T$80:$T$81</definedName>
    <definedName name="OSRRefT22_15x_0" localSheetId="47">'Div 3'!$T$230</definedName>
    <definedName name="OSRRefT22_15x_0" localSheetId="73">'Div 4'!$T$90</definedName>
    <definedName name="OSRRefT22_15x_0" localSheetId="2">Summary!$T$266</definedName>
    <definedName name="OSRRefT22_16x_0" localSheetId="41">'201'!$T$77:$T$78</definedName>
    <definedName name="OSRRefT22_16x_0" localSheetId="42">'202'!$T$74</definedName>
    <definedName name="OSRRefT22_16x_0" localSheetId="48">'300'!$T$227:$T$230</definedName>
    <definedName name="OSRRefT22_16x_0" localSheetId="49">'300 &amp; 317'!$T$253:$T$256</definedName>
    <definedName name="OSRRefT22_16x_0" localSheetId="50">'301'!$T$75:$T$78</definedName>
    <definedName name="OSRRefT22_16x_0" localSheetId="66">'310'!$T$88:$T$89</definedName>
    <definedName name="OSRRefT22_16x_0" localSheetId="74">'310 &amp; 491'!$T$97</definedName>
    <definedName name="OSRRefT22_16x_0" localSheetId="60">'326'!$T$112:$T$117</definedName>
    <definedName name="OSRRefT22_16x_0" localSheetId="58">'331'!$T$128:$T$130</definedName>
    <definedName name="OSRRefT22_16x_0" localSheetId="76">'405'!$T$90</definedName>
    <definedName name="OSRRefT22_16x_0" localSheetId="78">'411'!$T$88</definedName>
    <definedName name="OSRRefT22_16x_0" localSheetId="83">'415'!$T$93</definedName>
    <definedName name="OSRRefT22_16x_0" localSheetId="84">'418'!$T$91</definedName>
    <definedName name="OSRRefT22_16x_0" localSheetId="87">'425'!$T$92</definedName>
    <definedName name="OSRRefT22_16x_0" localSheetId="93">'444'!$T$89</definedName>
    <definedName name="OSRRefT22_16x_0" localSheetId="95">'450'!$T$88</definedName>
    <definedName name="OSRRefT22_16x_0" localSheetId="75">'491'!$T$89:$T$92</definedName>
    <definedName name="OSRRefT22_16x_0" localSheetId="89">'492'!$T$97</definedName>
    <definedName name="OSRRefT22_16x_0" localSheetId="39">'Div 2'!$T$83:$T$84</definedName>
    <definedName name="OSRRefT22_16x_0" localSheetId="47">'Div 3'!$T$232</definedName>
    <definedName name="OSRRefT22_16x_0" localSheetId="73">'Div 4'!$T$92</definedName>
    <definedName name="OSRRefT22_16x_0" localSheetId="2">Summary!$T$268</definedName>
    <definedName name="OSRRefT22_17x_0" localSheetId="48">'300'!$T$232:$T$235</definedName>
    <definedName name="OSRRefT22_17x_0" localSheetId="49">'300 &amp; 317'!$T$258:$T$261</definedName>
    <definedName name="OSRRefT22_17x_0" localSheetId="50">'301'!$T$80:$T$82</definedName>
    <definedName name="OSRRefT22_17x_0" localSheetId="66">'310'!$T$91:$T$95</definedName>
    <definedName name="OSRRefT22_17x_0" localSheetId="74">'310 &amp; 491'!$T$99:$T$102</definedName>
    <definedName name="OSRRefT22_17x_0" localSheetId="60">'326'!$T$119:$T$120</definedName>
    <definedName name="OSRRefT22_17x_0" localSheetId="58">'331'!$T$132:$T$133</definedName>
    <definedName name="OSRRefT22_17x_0" localSheetId="76">'405'!$T$92</definedName>
    <definedName name="OSRRefT22_17x_0" localSheetId="78">'411'!$T$90</definedName>
    <definedName name="OSRRefT22_17x_0" localSheetId="83">'415'!$T$95:$T$96</definedName>
    <definedName name="OSRRefT22_17x_0" localSheetId="84">'418'!$T$93:$T$94</definedName>
    <definedName name="OSRRefT22_17x_0" localSheetId="95">'450'!$T$90:$T$91</definedName>
    <definedName name="OSRRefT22_17x_0" localSheetId="75">'491'!$T$94:$T$97</definedName>
    <definedName name="OSRRefT22_17x_0" localSheetId="89">'492'!$T$99</definedName>
    <definedName name="OSRRefT22_17x_0" localSheetId="39">'Div 2'!$T$86:$T$91</definedName>
    <definedName name="OSRRefT22_17x_0" localSheetId="47">'Div 3'!$T$234</definedName>
    <definedName name="OSRRefT22_17x_0" localSheetId="73">'Div 4'!$T$94:$T$97</definedName>
    <definedName name="OSRRefT22_17x_0" localSheetId="2">Summary!$T$270</definedName>
    <definedName name="OSRRefT22_18x_0" localSheetId="48">'300'!$T$237:$T$240</definedName>
    <definedName name="OSRRefT22_18x_0" localSheetId="49">'300 &amp; 317'!$T$263:$T$266</definedName>
    <definedName name="OSRRefT22_18x_0" localSheetId="50">'301'!$T$84:$T$85</definedName>
    <definedName name="OSRRefT22_18x_0" localSheetId="66">'310'!$T$97</definedName>
    <definedName name="OSRRefT22_18x_0" localSheetId="74">'310 &amp; 491'!$T$104:$T$107</definedName>
    <definedName name="OSRRefT22_18x_0" localSheetId="60">'326'!$T$122</definedName>
    <definedName name="OSRRefT22_18x_0" localSheetId="58">'331'!$T$135:$T$140</definedName>
    <definedName name="OSRRefT22_18x_0" localSheetId="76">'405'!$T$94</definedName>
    <definedName name="OSRRefT22_18x_0" localSheetId="78">'411'!$T$92:$T$94</definedName>
    <definedName name="OSRRefT22_18x_0" localSheetId="83">'415'!$T$98</definedName>
    <definedName name="OSRRefT22_18x_0" localSheetId="75">'491'!$T$99:$T$103</definedName>
    <definedName name="OSRRefT22_18x_0" localSheetId="89">'492'!$T$101:$T$102</definedName>
    <definedName name="OSRRefT22_18x_0" localSheetId="39">'Div 2'!$T$93:$T$94</definedName>
    <definedName name="OSRRefT22_18x_0" localSheetId="47">'Div 3'!$T$236:$T$239</definedName>
    <definedName name="OSRRefT22_18x_0" localSheetId="73">'Div 4'!$T$99:$T$102</definedName>
    <definedName name="OSRRefT22_18x_0" localSheetId="2">Summary!$T$272:$T$275</definedName>
    <definedName name="OSRRefT22_19x_0" localSheetId="48">'300'!$T$242:$T$243</definedName>
    <definedName name="OSRRefT22_19x_0" localSheetId="49">'300 &amp; 317'!$T$268:$T$269</definedName>
    <definedName name="OSRRefT22_19x_0" localSheetId="50">'301'!$T$87:$T$93</definedName>
    <definedName name="OSRRefT22_19x_0" localSheetId="66">'310'!$T$99:$T$107</definedName>
    <definedName name="OSRRefT22_19x_0" localSheetId="74">'310 &amp; 491'!$T$109:$T$114</definedName>
    <definedName name="OSRRefT22_19x_0" localSheetId="60">'326'!$T$124</definedName>
    <definedName name="OSRRefT22_19x_0" localSheetId="58">'331'!$T$142:$T$143</definedName>
    <definedName name="OSRRefT22_19x_0" localSheetId="76">'405'!$T$96</definedName>
    <definedName name="OSRRefT22_19x_0" localSheetId="78">'411'!$T$96</definedName>
    <definedName name="OSRRefT22_19x_0" localSheetId="75">'491'!$T$105:$T$106</definedName>
    <definedName name="OSRRefT22_19x_0" localSheetId="39">'Div 2'!$T$96</definedName>
    <definedName name="OSRRefT22_19x_0" localSheetId="47">'Div 3'!$T$241:$T$244</definedName>
    <definedName name="OSRRefT22_19x_0" localSheetId="73">'Div 4'!$T$104:$T$108</definedName>
    <definedName name="OSRRefT22_19x_0" localSheetId="2">Summary!$T$277:$T$280</definedName>
    <definedName name="OSRRefT22_1x_0" localSheetId="40">'200'!$T$22</definedName>
    <definedName name="OSRRefT22_1x_0" localSheetId="41">'201'!$T$30:$T$39</definedName>
    <definedName name="OSRRefT22_1x_0" localSheetId="42">'202'!$T$30:$T$39</definedName>
    <definedName name="OSRRefT22_1x_0" localSheetId="43">'203'!$T$31:$T$40</definedName>
    <definedName name="OSRRefT22_1x_0" localSheetId="44">'204'!$T$32:$T$41</definedName>
    <definedName name="OSRRefT22_1x_0" localSheetId="45">'205'!$T$30:$T$39</definedName>
    <definedName name="OSRRefT22_1x_0" localSheetId="46">'206'!$T$30:$T$39</definedName>
    <definedName name="OSRRefT22_1x_0" localSheetId="48">'300'!$T$181:$T$190</definedName>
    <definedName name="OSRRefT22_1x_0" localSheetId="49">'300 &amp; 317'!$T$207:$T$216</definedName>
    <definedName name="OSRRefT22_1x_0" localSheetId="50">'301'!$T$30:$T$39</definedName>
    <definedName name="OSRRefT22_1x_0" localSheetId="51">'306'!$T$30:$T$39</definedName>
    <definedName name="OSRRefT22_1x_0" localSheetId="53">'307'!$T$89:$T$98</definedName>
    <definedName name="OSRRefT22_1x_0" localSheetId="55">'308'!$T$78:$T$87</definedName>
    <definedName name="OSRRefT22_1x_0" localSheetId="67">'309'!$T$36:$T$45</definedName>
    <definedName name="OSRRefT22_1x_0" localSheetId="66">'310'!$T$45:$T$54</definedName>
    <definedName name="OSRRefT22_1x_0" localSheetId="74">'310 &amp; 491'!$T$53:$T$62</definedName>
    <definedName name="OSRRefT22_1x_0" localSheetId="56">'311'!$T$78:$T$87</definedName>
    <definedName name="OSRRefT22_1x_0" localSheetId="68">'313'!$T$41:$T$50</definedName>
    <definedName name="OSRRefT22_1x_0" localSheetId="54">'314'!$T$69:$T$78</definedName>
    <definedName name="OSRRefT22_1x_0" localSheetId="59">'315'!$T$68:$T$77</definedName>
    <definedName name="OSRRefT22_1x_0" localSheetId="62">'316'!$T$46:$T$55</definedName>
    <definedName name="OSRRefT22_1x_0" localSheetId="65">'317'!$T$72:$T$81</definedName>
    <definedName name="OSRRefT22_1x_0" localSheetId="63">'320'!$T$41:$T$50</definedName>
    <definedName name="OSRRefT22_1x_0" localSheetId="69">'321'!$T$35:$T$44</definedName>
    <definedName name="OSRRefT22_1x_0" localSheetId="70">'322'!$T$31:$T$40</definedName>
    <definedName name="OSRRefT22_1x_0" localSheetId="60">'326'!$T$68:$T$77</definedName>
    <definedName name="OSRRefT22_1x_0" localSheetId="72">'327'!$T$26</definedName>
    <definedName name="OSRRefT22_1x_0" localSheetId="52">'330'!$T$97:$T$106</definedName>
    <definedName name="OSRRefT22_1x_0" localSheetId="58">'331'!$T$83:$T$92</definedName>
    <definedName name="OSRRefT22_1x_0" localSheetId="61">'332'!$T$56:$T$65</definedName>
    <definedName name="OSRRefT22_1x_0" localSheetId="76">'405'!$T$36:$T$45</definedName>
    <definedName name="OSRRefT22_1x_0" localSheetId="77">'406'!$T$37:$T$46</definedName>
    <definedName name="OSRRefT22_1x_0" localSheetId="78">'411'!$T$31:$T$40</definedName>
    <definedName name="OSRRefT22_1x_0" localSheetId="79">'412'!$T$37:$T$46</definedName>
    <definedName name="OSRRefT22_1x_0" localSheetId="81">'413'!$T$37:$T$46</definedName>
    <definedName name="OSRRefT22_1x_0" localSheetId="82">'414'!$T$37:$T$46</definedName>
    <definedName name="OSRRefT22_1x_0" localSheetId="83">'415'!$T$36:$T$45</definedName>
    <definedName name="OSRRefT22_1x_0" localSheetId="84">'418'!$T$37:$T$46</definedName>
    <definedName name="OSRRefT22_1x_0" localSheetId="80">'420'!$T$33:$T$36</definedName>
    <definedName name="OSRRefT22_1x_0" localSheetId="85">'423'!$T$31:$T$40</definedName>
    <definedName name="OSRRefT22_1x_0" localSheetId="86">'424'!$T$36:$T$45</definedName>
    <definedName name="OSRRefT22_1x_0" localSheetId="87">'425'!$T$40:$T$49</definedName>
    <definedName name="OSRRefT22_1x_0" localSheetId="90">'430'!$T$30:$T$39</definedName>
    <definedName name="OSRRefT22_1x_0" localSheetId="91">'433'!$T$39:$T$48</definedName>
    <definedName name="OSRRefT22_1x_0" localSheetId="92">'435'!$T$36:$T$45</definedName>
    <definedName name="OSRRefT22_1x_0" localSheetId="93">'444'!$T$38:$T$47</definedName>
    <definedName name="OSRRefT22_1x_0" localSheetId="95">'450'!$T$38:$T$47</definedName>
    <definedName name="OSRRefT22_1x_0" localSheetId="88">'455'!$T$29:$T$38</definedName>
    <definedName name="OSRRefT22_1x_0" localSheetId="75">'491'!$T$46:$T$55</definedName>
    <definedName name="OSRRefT22_1x_0" localSheetId="89">'492'!$T$41:$T$50</definedName>
    <definedName name="OSRRefT22_1x_0" localSheetId="97">'501'!$T$31:$T$40</definedName>
    <definedName name="OSRRefT22_1x_0" localSheetId="39">'Div 2'!$T$33:$T$42</definedName>
    <definedName name="OSRRefT22_1x_0" localSheetId="47">'Div 3'!$T$186:$T$195</definedName>
    <definedName name="OSRRefT22_1x_0" localSheetId="73">'Div 4'!$T$47:$T$56</definedName>
    <definedName name="OSRRefT22_1x_0" localSheetId="96">'Div 5'!$T$31:$T$40</definedName>
    <definedName name="OSRRefT22_1x_0" localSheetId="64">'Div 6'!$T$72:$T$81</definedName>
    <definedName name="OSRRefT22_1x_0" localSheetId="2">Summary!$T$220:$T$229</definedName>
    <definedName name="OSRRefT22_20x_0" localSheetId="48">'300'!$T$245:$T$252</definedName>
    <definedName name="OSRRefT22_20x_0" localSheetId="49">'300 &amp; 317'!$T$271:$T$278</definedName>
    <definedName name="OSRRefT22_20x_0" localSheetId="50">'301'!$T$95</definedName>
    <definedName name="OSRRefT22_20x_0" localSheetId="66">'310'!$T$109</definedName>
    <definedName name="OSRRefT22_20x_0" localSheetId="74">'310 &amp; 491'!$T$116:$T$117</definedName>
    <definedName name="OSRRefT22_20x_0" localSheetId="60">'326'!$T$126</definedName>
    <definedName name="OSRRefT22_20x_0" localSheetId="58">'331'!$T$145</definedName>
    <definedName name="OSRRefT22_20x_0" localSheetId="75">'491'!$T$108:$T$118</definedName>
    <definedName name="OSRRefT22_20x_0" localSheetId="39">'Div 2'!$T$98:$T$99</definedName>
    <definedName name="OSRRefT22_20x_0" localSheetId="47">'Div 3'!$T$246:$T$251</definedName>
    <definedName name="OSRRefT22_20x_0" localSheetId="73">'Div 4'!$T$110:$T$111</definedName>
    <definedName name="OSRRefT22_20x_0" localSheetId="2">Summary!$T$282:$T$287</definedName>
    <definedName name="OSRRefT22_21x_0" localSheetId="48">'300'!$T$254:$T$255</definedName>
    <definedName name="OSRRefT22_21x_0" localSheetId="49">'300 &amp; 317'!$T$280:$T$281</definedName>
    <definedName name="OSRRefT22_21x_0" localSheetId="50">'301'!$T$97</definedName>
    <definedName name="OSRRefT22_21x_0" localSheetId="66">'310'!$T$111</definedName>
    <definedName name="OSRRefT22_21x_0" localSheetId="74">'310 &amp; 491'!$T$119:$T$129</definedName>
    <definedName name="OSRRefT22_21x_0" localSheetId="58">'331'!$T$147:$T$148</definedName>
    <definedName name="OSRRefT22_21x_0" localSheetId="75">'491'!$T$120:$T$121</definedName>
    <definedName name="OSRRefT22_21x_0" localSheetId="47">'Div 3'!$T$253:$T$254</definedName>
    <definedName name="OSRRefT22_21x_0" localSheetId="73">'Div 4'!$T$113:$T$123</definedName>
    <definedName name="OSRRefT22_21x_0" localSheetId="2">Summary!$T$289:$T$290</definedName>
    <definedName name="OSRRefT22_22x_0" localSheetId="48">'300'!$T$257</definedName>
    <definedName name="OSRRefT22_22x_0" localSheetId="49">'300 &amp; 317'!$T$283</definedName>
    <definedName name="OSRRefT22_22x_0" localSheetId="50">'301'!$T$99:$T$101</definedName>
    <definedName name="OSRRefT22_22x_0" localSheetId="66">'310'!$T$113:$T$114</definedName>
    <definedName name="OSRRefT22_22x_0" localSheetId="74">'310 &amp; 491'!$T$131:$T$132</definedName>
    <definedName name="OSRRefT22_22x_0" localSheetId="58">'331'!$T$150</definedName>
    <definedName name="OSRRefT22_22x_0" localSheetId="75">'491'!$T$123</definedName>
    <definedName name="OSRRefT22_22x_0" localSheetId="47">'Div 3'!$T$256:$T$265</definedName>
    <definedName name="OSRRefT22_22x_0" localSheetId="73">'Div 4'!$T$125:$T$126</definedName>
    <definedName name="OSRRefT22_22x_0" localSheetId="2">Summary!$T$292:$T$302</definedName>
    <definedName name="OSRRefT22_23x_0" localSheetId="48">'300'!$T$259:$T$261</definedName>
    <definedName name="OSRRefT22_23x_0" localSheetId="49">'300 &amp; 317'!$T$285:$T$287</definedName>
    <definedName name="OSRRefT22_23x_0" localSheetId="50">'301'!$T$103</definedName>
    <definedName name="OSRRefT22_23x_0" localSheetId="66">'310'!$T$116</definedName>
    <definedName name="OSRRefT22_23x_0" localSheetId="74">'310 &amp; 491'!$T$134</definedName>
    <definedName name="OSRRefT22_23x_0" localSheetId="75">'491'!$T$125:$T$127</definedName>
    <definedName name="OSRRefT22_23x_0" localSheetId="47">'Div 3'!$T$267:$T$268</definedName>
    <definedName name="OSRRefT22_23x_0" localSheetId="73">'Div 4'!$T$128</definedName>
    <definedName name="OSRRefT22_23x_0" localSheetId="2">Summary!$T$304:$T$305</definedName>
    <definedName name="OSRRefT22_24x_0" localSheetId="48">'300'!$T$263</definedName>
    <definedName name="OSRRefT22_24x_0" localSheetId="49">'300 &amp; 317'!$T$289</definedName>
    <definedName name="OSRRefT22_24x_0" localSheetId="74">'310 &amp; 491'!$T$136:$T$138</definedName>
    <definedName name="OSRRefT22_24x_0" localSheetId="75">'491'!$T$129</definedName>
    <definedName name="OSRRefT22_24x_0" localSheetId="47">'Div 3'!$T$270</definedName>
    <definedName name="OSRRefT22_24x_0" localSheetId="73">'Div 4'!$T$130:$T$132</definedName>
    <definedName name="OSRRefT22_24x_0" localSheetId="2">Summary!$T$307</definedName>
    <definedName name="OSRRefT22_25x_0" localSheetId="74">'310 &amp; 491'!$T$140</definedName>
    <definedName name="OSRRefT22_25x_0" localSheetId="47">'Div 3'!$T$272:$T$274</definedName>
    <definedName name="OSRRefT22_25x_0" localSheetId="73">'Div 4'!$T$134</definedName>
    <definedName name="OSRRefT22_25x_0" localSheetId="2">Summary!$T$309:$T$311</definedName>
    <definedName name="OSRRefT22_26x_0" localSheetId="47">'Div 3'!$T$276</definedName>
    <definedName name="OSRRefT22_26x_0" localSheetId="2">Summary!$T$313</definedName>
    <definedName name="OSRRefT22_2x_0" localSheetId="40">'200'!$T$24</definedName>
    <definedName name="OSRRefT22_2x_0" localSheetId="41">'201'!$T$41</definedName>
    <definedName name="OSRRefT22_2x_0" localSheetId="42">'202'!$T$41</definedName>
    <definedName name="OSRRefT22_2x_0" localSheetId="43">'203'!$T$42</definedName>
    <definedName name="OSRRefT22_2x_0" localSheetId="44">'204'!$T$43</definedName>
    <definedName name="OSRRefT22_2x_0" localSheetId="45">'205'!$T$41</definedName>
    <definedName name="OSRRefT22_2x_0" localSheetId="46">'206'!$T$41</definedName>
    <definedName name="OSRRefT22_2x_0" localSheetId="48">'300'!$T$192</definedName>
    <definedName name="OSRRefT22_2x_0" localSheetId="49">'300 &amp; 317'!$T$218</definedName>
    <definedName name="OSRRefT22_2x_0" localSheetId="50">'301'!$T$41</definedName>
    <definedName name="OSRRefT22_2x_0" localSheetId="51">'306'!$T$41</definedName>
    <definedName name="OSRRefT22_2x_0" localSheetId="53">'307'!$T$100</definedName>
    <definedName name="OSRRefT22_2x_0" localSheetId="55">'308'!$T$89</definedName>
    <definedName name="OSRRefT22_2x_0" localSheetId="67">'309'!$T$47</definedName>
    <definedName name="OSRRefT22_2x_0" localSheetId="66">'310'!$T$56</definedName>
    <definedName name="OSRRefT22_2x_0" localSheetId="74">'310 &amp; 491'!$T$64</definedName>
    <definedName name="OSRRefT22_2x_0" localSheetId="56">'311'!$T$89</definedName>
    <definedName name="OSRRefT22_2x_0" localSheetId="68">'313'!$T$52</definedName>
    <definedName name="OSRRefT22_2x_0" localSheetId="54">'314'!$T$80</definedName>
    <definedName name="OSRRefT22_2x_0" localSheetId="59">'315'!$T$79</definedName>
    <definedName name="OSRRefT22_2x_0" localSheetId="62">'316'!$T$57</definedName>
    <definedName name="OSRRefT22_2x_0" localSheetId="65">'317'!$T$83</definedName>
    <definedName name="OSRRefT22_2x_0" localSheetId="63">'320'!$T$52</definedName>
    <definedName name="OSRRefT22_2x_0" localSheetId="69">'321'!$T$46</definedName>
    <definedName name="OSRRefT22_2x_0" localSheetId="70">'322'!$T$42</definedName>
    <definedName name="OSRRefT22_2x_0" localSheetId="60">'326'!$T$79</definedName>
    <definedName name="OSRRefT22_2x_0" localSheetId="72">'327'!$T$28</definedName>
    <definedName name="OSRRefT22_2x_0" localSheetId="52">'330'!$T$108</definedName>
    <definedName name="OSRRefT22_2x_0" localSheetId="58">'331'!$T$94</definedName>
    <definedName name="OSRRefT22_2x_0" localSheetId="61">'332'!$T$67</definedName>
    <definedName name="OSRRefT22_2x_0" localSheetId="76">'405'!$T$47</definedName>
    <definedName name="OSRRefT22_2x_0" localSheetId="77">'406'!$T$48</definedName>
    <definedName name="OSRRefT22_2x_0" localSheetId="78">'411'!$T$42</definedName>
    <definedName name="OSRRefT22_2x_0" localSheetId="79">'412'!$T$48</definedName>
    <definedName name="OSRRefT22_2x_0" localSheetId="81">'413'!$T$48</definedName>
    <definedName name="OSRRefT22_2x_0" localSheetId="82">'414'!$T$48</definedName>
    <definedName name="OSRRefT22_2x_0" localSheetId="83">'415'!$T$47</definedName>
    <definedName name="OSRRefT22_2x_0" localSheetId="84">'418'!$T$48</definedName>
    <definedName name="OSRRefT22_2x_0" localSheetId="80">'420'!$T$38</definedName>
    <definedName name="OSRRefT22_2x_0" localSheetId="85">'423'!$T$42</definedName>
    <definedName name="OSRRefT22_2x_0" localSheetId="86">'424'!$T$47</definedName>
    <definedName name="OSRRefT22_2x_0" localSheetId="87">'425'!$T$51</definedName>
    <definedName name="OSRRefT22_2x_0" localSheetId="90">'430'!$T$41</definedName>
    <definedName name="OSRRefT22_2x_0" localSheetId="91">'433'!$T$50</definedName>
    <definedName name="OSRRefT22_2x_0" localSheetId="92">'435'!$T$47</definedName>
    <definedName name="OSRRefT22_2x_0" localSheetId="93">'444'!$T$49</definedName>
    <definedName name="OSRRefT22_2x_0" localSheetId="95">'450'!$T$49</definedName>
    <definedName name="OSRRefT22_2x_0" localSheetId="75">'491'!$T$57</definedName>
    <definedName name="OSRRefT22_2x_0" localSheetId="89">'492'!$T$52</definedName>
    <definedName name="OSRRefT22_2x_0" localSheetId="97">'501'!$T$42</definedName>
    <definedName name="OSRRefT22_2x_0" localSheetId="39">'Div 2'!$T$44</definedName>
    <definedName name="OSRRefT22_2x_0" localSheetId="47">'Div 3'!$T$197</definedName>
    <definedName name="OSRRefT22_2x_0" localSheetId="73">'Div 4'!$T$58</definedName>
    <definedName name="OSRRefT22_2x_0" localSheetId="96">'Div 5'!$T$42</definedName>
    <definedName name="OSRRefT22_2x_0" localSheetId="64">'Div 6'!$T$83</definedName>
    <definedName name="OSRRefT22_2x_0" localSheetId="2">Summary!$T$231</definedName>
    <definedName name="OSRRefT22_3x_0" localSheetId="40">'200'!$T$26</definedName>
    <definedName name="OSRRefT22_3x_0" localSheetId="41">'201'!$T$43</definedName>
    <definedName name="OSRRefT22_3x_0" localSheetId="42">'202'!$T$43</definedName>
    <definedName name="OSRRefT22_3x_0" localSheetId="43">'203'!$T$44</definedName>
    <definedName name="OSRRefT22_3x_0" localSheetId="44">'204'!$T$45:$T$46</definedName>
    <definedName name="OSRRefT22_3x_0" localSheetId="45">'205'!$T$43</definedName>
    <definedName name="OSRRefT22_3x_0" localSheetId="46">'206'!$T$43</definedName>
    <definedName name="OSRRefT22_3x_0" localSheetId="48">'300'!$T$194:$T$195</definedName>
    <definedName name="OSRRefT22_3x_0" localSheetId="49">'300 &amp; 317'!$T$220:$T$221</definedName>
    <definedName name="OSRRefT22_3x_0" localSheetId="50">'301'!$T$43:$T$44</definedName>
    <definedName name="OSRRefT22_3x_0" localSheetId="51">'306'!$T$43</definedName>
    <definedName name="OSRRefT22_3x_0" localSheetId="53">'307'!$T$102</definedName>
    <definedName name="OSRRefT22_3x_0" localSheetId="55">'308'!$T$91:$T$92</definedName>
    <definedName name="OSRRefT22_3x_0" localSheetId="67">'309'!$T$49</definedName>
    <definedName name="OSRRefT22_3x_0" localSheetId="66">'310'!$T$58</definedName>
    <definedName name="OSRRefT22_3x_0" localSheetId="74">'310 &amp; 491'!$T$66</definedName>
    <definedName name="OSRRefT22_3x_0" localSheetId="56">'311'!$T$91:$T$92</definedName>
    <definedName name="OSRRefT22_3x_0" localSheetId="68">'313'!$T$54</definedName>
    <definedName name="OSRRefT22_3x_0" localSheetId="54">'314'!$T$82:$T$83</definedName>
    <definedName name="OSRRefT22_3x_0" localSheetId="59">'315'!$T$81:$T$82</definedName>
    <definedName name="OSRRefT22_3x_0" localSheetId="62">'316'!$T$59</definedName>
    <definedName name="OSRRefT22_3x_0" localSheetId="65">'317'!$T$85</definedName>
    <definedName name="OSRRefT22_3x_0" localSheetId="63">'320'!$T$54</definedName>
    <definedName name="OSRRefT22_3x_0" localSheetId="69">'321'!$T$48</definedName>
    <definedName name="OSRRefT22_3x_0" localSheetId="70">'322'!$T$44</definedName>
    <definedName name="OSRRefT22_3x_0" localSheetId="60">'326'!$T$81:$T$82</definedName>
    <definedName name="OSRRefT22_3x_0" localSheetId="52">'330'!$T$110</definedName>
    <definedName name="OSRRefT22_3x_0" localSheetId="58">'331'!$T$96:$T$97</definedName>
    <definedName name="OSRRefT22_3x_0" localSheetId="61">'332'!$T$69</definedName>
    <definedName name="OSRRefT22_3x_0" localSheetId="76">'405'!$T$49</definedName>
    <definedName name="OSRRefT22_3x_0" localSheetId="77">'406'!$T$50</definedName>
    <definedName name="OSRRefT22_3x_0" localSheetId="78">'411'!$T$44</definedName>
    <definedName name="OSRRefT22_3x_0" localSheetId="79">'412'!$T$50</definedName>
    <definedName name="OSRRefT22_3x_0" localSheetId="81">'413'!$T$50</definedName>
    <definedName name="OSRRefT22_3x_0" localSheetId="82">'414'!$T$50</definedName>
    <definedName name="OSRRefT22_3x_0" localSheetId="83">'415'!$T$49</definedName>
    <definedName name="OSRRefT22_3x_0" localSheetId="84">'418'!$T$50</definedName>
    <definedName name="OSRRefT22_3x_0" localSheetId="80">'420'!$T$40</definedName>
    <definedName name="OSRRefT22_3x_0" localSheetId="85">'423'!$T$44</definedName>
    <definedName name="OSRRefT22_3x_0" localSheetId="86">'424'!$T$49</definedName>
    <definedName name="OSRRefT22_3x_0" localSheetId="87">'425'!$T$53</definedName>
    <definedName name="OSRRefT22_3x_0" localSheetId="90">'430'!$T$43</definedName>
    <definedName name="OSRRefT22_3x_0" localSheetId="91">'433'!$T$52</definedName>
    <definedName name="OSRRefT22_3x_0" localSheetId="92">'435'!$T$49</definedName>
    <definedName name="OSRRefT22_3x_0" localSheetId="93">'444'!$T$51</definedName>
    <definedName name="OSRRefT22_3x_0" localSheetId="95">'450'!$T$51:$T$52</definedName>
    <definedName name="OSRRefT22_3x_0" localSheetId="75">'491'!$T$59</definedName>
    <definedName name="OSRRefT22_3x_0" localSheetId="89">'492'!$T$54:$T$55</definedName>
    <definedName name="OSRRefT22_3x_0" localSheetId="97">'501'!$T$44</definedName>
    <definedName name="OSRRefT22_3x_0" localSheetId="39">'Div 2'!$T$46</definedName>
    <definedName name="OSRRefT22_3x_0" localSheetId="47">'Div 3'!$T$199:$T$200</definedName>
    <definedName name="OSRRefT22_3x_0" localSheetId="73">'Div 4'!$T$60:$T$61</definedName>
    <definedName name="OSRRefT22_3x_0" localSheetId="96">'Div 5'!$T$44</definedName>
    <definedName name="OSRRefT22_3x_0" localSheetId="64">'Div 6'!$T$85</definedName>
    <definedName name="OSRRefT22_3x_0" localSheetId="2">Summary!$T$233:$T$234</definedName>
    <definedName name="OSRRefT22_4x_0" localSheetId="40">'200'!$T$28:$T$29</definedName>
    <definedName name="OSRRefT22_4x_0" localSheetId="41">'201'!$T$45:$T$46</definedName>
    <definedName name="OSRRefT22_4x_0" localSheetId="42">'202'!$T$45</definedName>
    <definedName name="OSRRefT22_4x_0" localSheetId="43">'203'!$T$46</definedName>
    <definedName name="OSRRefT22_4x_0" localSheetId="44">'204'!$T$48</definedName>
    <definedName name="OSRRefT22_4x_0" localSheetId="45">'205'!$T$45</definedName>
    <definedName name="OSRRefT22_4x_0" localSheetId="46">'206'!$T$45</definedName>
    <definedName name="OSRRefT22_4x_0" localSheetId="48">'300'!$T$197</definedName>
    <definedName name="OSRRefT22_4x_0" localSheetId="49">'300 &amp; 317'!$T$223</definedName>
    <definedName name="OSRRefT22_4x_0" localSheetId="50">'301'!$T$46</definedName>
    <definedName name="OSRRefT22_4x_0" localSheetId="51">'306'!$T$45</definedName>
    <definedName name="OSRRefT22_4x_0" localSheetId="53">'307'!$T$104:$T$105</definedName>
    <definedName name="OSRRefT22_4x_0" localSheetId="55">'308'!$T$94</definedName>
    <definedName name="OSRRefT22_4x_0" localSheetId="67">'309'!$T$51</definedName>
    <definedName name="OSRRefT22_4x_0" localSheetId="66">'310'!$T$60</definedName>
    <definedName name="OSRRefT22_4x_0" localSheetId="74">'310 &amp; 491'!$T$68</definedName>
    <definedName name="OSRRefT22_4x_0" localSheetId="56">'311'!$T$94</definedName>
    <definedName name="OSRRefT22_4x_0" localSheetId="68">'313'!$T$56</definedName>
    <definedName name="OSRRefT22_4x_0" localSheetId="54">'314'!$T$85</definedName>
    <definedName name="OSRRefT22_4x_0" localSheetId="59">'315'!$T$84</definedName>
    <definedName name="OSRRefT22_4x_0" localSheetId="62">'316'!$T$61</definedName>
    <definedName name="OSRRefT22_4x_0" localSheetId="65">'317'!$T$87</definedName>
    <definedName name="OSRRefT22_4x_0" localSheetId="63">'320'!$T$56:$T$57</definedName>
    <definedName name="OSRRefT22_4x_0" localSheetId="69">'321'!$T$50</definedName>
    <definedName name="OSRRefT22_4x_0" localSheetId="70">'322'!$T$46</definedName>
    <definedName name="OSRRefT22_4x_0" localSheetId="60">'326'!$T$84</definedName>
    <definedName name="OSRRefT22_4x_0" localSheetId="52">'330'!$T$112:$T$113</definedName>
    <definedName name="OSRRefT22_4x_0" localSheetId="58">'331'!$T$99</definedName>
    <definedName name="OSRRefT22_4x_0" localSheetId="61">'332'!$T$71</definedName>
    <definedName name="OSRRefT22_4x_0" localSheetId="76">'405'!$T$51</definedName>
    <definedName name="OSRRefT22_4x_0" localSheetId="77">'406'!$T$52</definedName>
    <definedName name="OSRRefT22_4x_0" localSheetId="78">'411'!$T$46:$T$49</definedName>
    <definedName name="OSRRefT22_4x_0" localSheetId="79">'412'!$T$52</definedName>
    <definedName name="OSRRefT22_4x_0" localSheetId="81">'413'!$T$52</definedName>
    <definedName name="OSRRefT22_4x_0" localSheetId="82">'414'!$T$52</definedName>
    <definedName name="OSRRefT22_4x_0" localSheetId="83">'415'!$T$51</definedName>
    <definedName name="OSRRefT22_4x_0" localSheetId="84">'418'!$T$52</definedName>
    <definedName name="OSRRefT22_4x_0" localSheetId="80">'420'!$T$42</definedName>
    <definedName name="OSRRefT22_4x_0" localSheetId="85">'423'!$T$46</definedName>
    <definedName name="OSRRefT22_4x_0" localSheetId="86">'424'!$T$51</definedName>
    <definedName name="OSRRefT22_4x_0" localSheetId="87">'425'!$T$55</definedName>
    <definedName name="OSRRefT22_4x_0" localSheetId="90">'430'!$T$45</definedName>
    <definedName name="OSRRefT22_4x_0" localSheetId="91">'433'!$T$54</definedName>
    <definedName name="OSRRefT22_4x_0" localSheetId="92">'435'!$T$51</definedName>
    <definedName name="OSRRefT22_4x_0" localSheetId="93">'444'!$T$53</definedName>
    <definedName name="OSRRefT22_4x_0" localSheetId="95">'450'!$T$54</definedName>
    <definedName name="OSRRefT22_4x_0" localSheetId="75">'491'!$T$61</definedName>
    <definedName name="OSRRefT22_4x_0" localSheetId="89">'492'!$T$57</definedName>
    <definedName name="OSRRefT22_4x_0" localSheetId="97">'501'!$T$46</definedName>
    <definedName name="OSRRefT22_4x_0" localSheetId="39">'Div 2'!$T$48</definedName>
    <definedName name="OSRRefT22_4x_0" localSheetId="47">'Div 3'!$T$202</definedName>
    <definedName name="OSRRefT22_4x_0" localSheetId="73">'Div 4'!$T$63</definedName>
    <definedName name="OSRRefT22_4x_0" localSheetId="96">'Div 5'!$T$46</definedName>
    <definedName name="OSRRefT22_4x_0" localSheetId="64">'Div 6'!$T$87</definedName>
    <definedName name="OSRRefT22_4x_0" localSheetId="2">Summary!$T$236</definedName>
    <definedName name="OSRRefT22_5x_0" localSheetId="41">'201'!$T$48</definedName>
    <definedName name="OSRRefT22_5x_0" localSheetId="42">'202'!$T$47</definedName>
    <definedName name="OSRRefT22_5x_0" localSheetId="43">'203'!$T$48</definedName>
    <definedName name="OSRRefT22_5x_0" localSheetId="44">'204'!$T$50</definedName>
    <definedName name="OSRRefT22_5x_0" localSheetId="45">'205'!$T$47:$T$49</definedName>
    <definedName name="OSRRefT22_5x_0" localSheetId="46">'206'!$T$47</definedName>
    <definedName name="OSRRefT22_5x_0" localSheetId="48">'300'!$T$199:$T$202</definedName>
    <definedName name="OSRRefT22_5x_0" localSheetId="49">'300 &amp; 317'!$T$225:$T$228</definedName>
    <definedName name="OSRRefT22_5x_0" localSheetId="50">'301'!$T$48:$T$51</definedName>
    <definedName name="OSRRefT22_5x_0" localSheetId="51">'306'!$T$47</definedName>
    <definedName name="OSRRefT22_5x_0" localSheetId="53">'307'!$T$107</definedName>
    <definedName name="OSRRefT22_5x_0" localSheetId="55">'308'!$T$96</definedName>
    <definedName name="OSRRefT22_5x_0" localSheetId="67">'309'!$T$53:$T$54</definedName>
    <definedName name="OSRRefT22_5x_0" localSheetId="66">'310'!$T$62:$T$64</definedName>
    <definedName name="OSRRefT22_5x_0" localSheetId="74">'310 &amp; 491'!$T$70:$T$73</definedName>
    <definedName name="OSRRefT22_5x_0" localSheetId="56">'311'!$T$96</definedName>
    <definedName name="OSRRefT22_5x_0" localSheetId="68">'313'!$T$58</definedName>
    <definedName name="OSRRefT22_5x_0" localSheetId="54">'314'!$T$87</definedName>
    <definedName name="OSRRefT22_5x_0" localSheetId="59">'315'!$T$86:$T$87</definedName>
    <definedName name="OSRRefT22_5x_0" localSheetId="62">'316'!$T$63</definedName>
    <definedName name="OSRRefT22_5x_0" localSheetId="65">'317'!$T$89</definedName>
    <definedName name="OSRRefT22_5x_0" localSheetId="63">'320'!$T$59</definedName>
    <definedName name="OSRRefT22_5x_0" localSheetId="69">'321'!$T$52</definedName>
    <definedName name="OSRRefT22_5x_0" localSheetId="70">'322'!$T$48:$T$49</definedName>
    <definedName name="OSRRefT22_5x_0" localSheetId="60">'326'!$T$86</definedName>
    <definedName name="OSRRefT22_5x_0" localSheetId="52">'330'!$T$115</definedName>
    <definedName name="OSRRefT22_5x_0" localSheetId="58">'331'!$T$101:$T$102</definedName>
    <definedName name="OSRRefT22_5x_0" localSheetId="61">'332'!$T$73</definedName>
    <definedName name="OSRRefT22_5x_0" localSheetId="76">'405'!$T$53:$T$55</definedName>
    <definedName name="OSRRefT22_5x_0" localSheetId="77">'406'!$T$54:$T$55</definedName>
    <definedName name="OSRRefT22_5x_0" localSheetId="78">'411'!$T$51</definedName>
    <definedName name="OSRRefT22_5x_0" localSheetId="79">'412'!$T$54:$T$56</definedName>
    <definedName name="OSRRefT22_5x_0" localSheetId="81">'413'!$T$54</definedName>
    <definedName name="OSRRefT22_5x_0" localSheetId="82">'414'!$T$54:$T$55</definedName>
    <definedName name="OSRRefT22_5x_0" localSheetId="83">'415'!$T$53:$T$55</definedName>
    <definedName name="OSRRefT22_5x_0" localSheetId="84">'418'!$T$54:$T$56</definedName>
    <definedName name="OSRRefT22_5x_0" localSheetId="80">'420'!$T$44</definedName>
    <definedName name="OSRRefT22_5x_0" localSheetId="85">'423'!$T$48</definedName>
    <definedName name="OSRRefT22_5x_0" localSheetId="86">'424'!$T$53</definedName>
    <definedName name="OSRRefT22_5x_0" localSheetId="87">'425'!$T$57:$T$58</definedName>
    <definedName name="OSRRefT22_5x_0" localSheetId="90">'430'!$T$47</definedName>
    <definedName name="OSRRefT22_5x_0" localSheetId="91">'433'!$T$56</definedName>
    <definedName name="OSRRefT22_5x_0" localSheetId="92">'435'!$T$53</definedName>
    <definedName name="OSRRefT22_5x_0" localSheetId="93">'444'!$T$55</definedName>
    <definedName name="OSRRefT22_5x_0" localSheetId="95">'450'!$T$56</definedName>
    <definedName name="OSRRefT22_5x_0" localSheetId="75">'491'!$T$63:$T$66</definedName>
    <definedName name="OSRRefT22_5x_0" localSheetId="89">'492'!$T$59</definedName>
    <definedName name="OSRRefT22_5x_0" localSheetId="97">'501'!$T$48</definedName>
    <definedName name="OSRRefT22_5x_0" localSheetId="39">'Div 2'!$T$50:$T$51</definedName>
    <definedName name="OSRRefT22_5x_0" localSheetId="47">'Div 3'!$T$204:$T$207</definedName>
    <definedName name="OSRRefT22_5x_0" localSheetId="73">'Div 4'!$T$65:$T$68</definedName>
    <definedName name="OSRRefT22_5x_0" localSheetId="96">'Div 5'!$T$48</definedName>
    <definedName name="OSRRefT22_5x_0" localSheetId="64">'Div 6'!$T$89</definedName>
    <definedName name="OSRRefT22_5x_0" localSheetId="2">Summary!$T$238:$T$241</definedName>
    <definedName name="OSRRefT22_6x_0" localSheetId="41">'201'!$T$50</definedName>
    <definedName name="OSRRefT22_6x_0" localSheetId="42">'202'!$T$49</definedName>
    <definedName name="OSRRefT22_6x_0" localSheetId="43">'203'!$T$50</definedName>
    <definedName name="OSRRefT22_6x_0" localSheetId="44">'204'!$T$52</definedName>
    <definedName name="OSRRefT22_6x_0" localSheetId="45">'205'!$T$51</definedName>
    <definedName name="OSRRefT22_6x_0" localSheetId="46">'206'!$T$49</definedName>
    <definedName name="OSRRefT22_6x_0" localSheetId="48">'300'!$T$204:$T$205</definedName>
    <definedName name="OSRRefT22_6x_0" localSheetId="49">'300 &amp; 317'!$T$230:$T$231</definedName>
    <definedName name="OSRRefT22_6x_0" localSheetId="50">'301'!$T$53:$T$54</definedName>
    <definedName name="OSRRefT22_6x_0" localSheetId="51">'306'!$T$49</definedName>
    <definedName name="OSRRefT22_6x_0" localSheetId="53">'307'!$T$109</definedName>
    <definedName name="OSRRefT22_6x_0" localSheetId="55">'308'!$T$98:$T$99</definedName>
    <definedName name="OSRRefT22_6x_0" localSheetId="67">'309'!$T$56</definedName>
    <definedName name="OSRRefT22_6x_0" localSheetId="66">'310'!$T$66</definedName>
    <definedName name="OSRRefT22_6x_0" localSheetId="74">'310 &amp; 491'!$T$75</definedName>
    <definedName name="OSRRefT22_6x_0" localSheetId="56">'311'!$T$98:$T$99</definedName>
    <definedName name="OSRRefT22_6x_0" localSheetId="68">'313'!$T$60</definedName>
    <definedName name="OSRRefT22_6x_0" localSheetId="54">'314'!$T$89</definedName>
    <definedName name="OSRRefT22_6x_0" localSheetId="59">'315'!$T$89</definedName>
    <definedName name="OSRRefT22_6x_0" localSheetId="62">'316'!$T$65</definedName>
    <definedName name="OSRRefT22_6x_0" localSheetId="65">'317'!$T$91</definedName>
    <definedName name="OSRRefT22_6x_0" localSheetId="63">'320'!$T$61</definedName>
    <definedName name="OSRRefT22_6x_0" localSheetId="69">'321'!$T$54</definedName>
    <definedName name="OSRRefT22_6x_0" localSheetId="70">'322'!$T$51</definedName>
    <definedName name="OSRRefT22_6x_0" localSheetId="60">'326'!$T$88</definedName>
    <definedName name="OSRRefT22_6x_0" localSheetId="52">'330'!$T$117</definedName>
    <definedName name="OSRRefT22_6x_0" localSheetId="58">'331'!$T$104</definedName>
    <definedName name="OSRRefT22_6x_0" localSheetId="61">'332'!$T$75</definedName>
    <definedName name="OSRRefT22_6x_0" localSheetId="76">'405'!$T$57</definedName>
    <definedName name="OSRRefT22_6x_0" localSheetId="77">'406'!$T$57</definedName>
    <definedName name="OSRRefT22_6x_0" localSheetId="78">'411'!$T$53</definedName>
    <definedName name="OSRRefT22_6x_0" localSheetId="79">'412'!$T$58</definedName>
    <definedName name="OSRRefT22_6x_0" localSheetId="81">'413'!$T$56</definedName>
    <definedName name="OSRRefT22_6x_0" localSheetId="82">'414'!$T$57</definedName>
    <definedName name="OSRRefT22_6x_0" localSheetId="83">'415'!$T$57</definedName>
    <definedName name="OSRRefT22_6x_0" localSheetId="84">'418'!$T$58</definedName>
    <definedName name="OSRRefT22_6x_0" localSheetId="80">'420'!$T$46:$T$47</definedName>
    <definedName name="OSRRefT22_6x_0" localSheetId="85">'423'!$T$50</definedName>
    <definedName name="OSRRefT22_6x_0" localSheetId="86">'424'!$T$55</definedName>
    <definedName name="OSRRefT22_6x_0" localSheetId="87">'425'!$T$60</definedName>
    <definedName name="OSRRefT22_6x_0" localSheetId="90">'430'!$T$49</definedName>
    <definedName name="OSRRefT22_6x_0" localSheetId="91">'433'!$T$58</definedName>
    <definedName name="OSRRefT22_6x_0" localSheetId="92">'435'!$T$55</definedName>
    <definedName name="OSRRefT22_6x_0" localSheetId="93">'444'!$T$57</definedName>
    <definedName name="OSRRefT22_6x_0" localSheetId="95">'450'!$T$58</definedName>
    <definedName name="OSRRefT22_6x_0" localSheetId="75">'491'!$T$68</definedName>
    <definedName name="OSRRefT22_6x_0" localSheetId="89">'492'!$T$61:$T$62</definedName>
    <definedName name="OSRRefT22_6x_0" localSheetId="97">'501'!$T$50</definedName>
    <definedName name="OSRRefT22_6x_0" localSheetId="39">'Div 2'!$T$53:$T$54</definedName>
    <definedName name="OSRRefT22_6x_0" localSheetId="47">'Div 3'!$T$209:$T$210</definedName>
    <definedName name="OSRRefT22_6x_0" localSheetId="73">'Div 4'!$T$70</definedName>
    <definedName name="OSRRefT22_6x_0" localSheetId="96">'Div 5'!$T$50</definedName>
    <definedName name="OSRRefT22_6x_0" localSheetId="64">'Div 6'!$T$91</definedName>
    <definedName name="OSRRefT22_6x_0" localSheetId="2">Summary!$T$243:$T$244</definedName>
    <definedName name="OSRRefT22_7x_0" localSheetId="41">'201'!$T$52</definedName>
    <definedName name="OSRRefT22_7x_0" localSheetId="42">'202'!$T$51</definedName>
    <definedName name="OSRRefT22_7x_0" localSheetId="43">'203'!$T$52</definedName>
    <definedName name="OSRRefT22_7x_0" localSheetId="44">'204'!$T$54:$T$57</definedName>
    <definedName name="OSRRefT22_7x_0" localSheetId="45">'205'!$T$53:$T$54</definedName>
    <definedName name="OSRRefT22_7x_0" localSheetId="46">'206'!$T$51:$T$52</definedName>
    <definedName name="OSRRefT22_7x_0" localSheetId="48">'300'!$T$207:$T$208</definedName>
    <definedName name="OSRRefT22_7x_0" localSheetId="49">'300 &amp; 317'!$T$233:$T$234</definedName>
    <definedName name="OSRRefT22_7x_0" localSheetId="50">'301'!$T$56:$T$57</definedName>
    <definedName name="OSRRefT22_7x_0" localSheetId="51">'306'!$T$51:$T$52</definedName>
    <definedName name="OSRRefT22_7x_0" localSheetId="53">'307'!$T$111</definedName>
    <definedName name="OSRRefT22_7x_0" localSheetId="55">'308'!$T$101</definedName>
    <definedName name="OSRRefT22_7x_0" localSheetId="67">'309'!$T$58</definedName>
    <definedName name="OSRRefT22_7x_0" localSheetId="66">'310'!$T$68</definedName>
    <definedName name="OSRRefT22_7x_0" localSheetId="74">'310 &amp; 491'!$T$77</definedName>
    <definedName name="OSRRefT22_7x_0" localSheetId="56">'311'!$T$101</definedName>
    <definedName name="OSRRefT22_7x_0" localSheetId="68">'313'!$T$62</definedName>
    <definedName name="OSRRefT22_7x_0" localSheetId="54">'314'!$T$91</definedName>
    <definedName name="OSRRefT22_7x_0" localSheetId="59">'315'!$T$91</definedName>
    <definedName name="OSRRefT22_7x_0" localSheetId="62">'316'!$T$67</definedName>
    <definedName name="OSRRefT22_7x_0" localSheetId="65">'317'!$T$93</definedName>
    <definedName name="OSRRefT22_7x_0" localSheetId="63">'320'!$T$63:$T$64</definedName>
    <definedName name="OSRRefT22_7x_0" localSheetId="69">'321'!$T$56</definedName>
    <definedName name="OSRRefT22_7x_0" localSheetId="70">'322'!$T$53</definedName>
    <definedName name="OSRRefT22_7x_0" localSheetId="60">'326'!$T$90</definedName>
    <definedName name="OSRRefT22_7x_0" localSheetId="52">'330'!$T$119</definedName>
    <definedName name="OSRRefT22_7x_0" localSheetId="58">'331'!$T$106</definedName>
    <definedName name="OSRRefT22_7x_0" localSheetId="61">'332'!$T$77:$T$78</definedName>
    <definedName name="OSRRefT22_7x_0" localSheetId="76">'405'!$T$59</definedName>
    <definedName name="OSRRefT22_7x_0" localSheetId="77">'406'!$T$59</definedName>
    <definedName name="OSRRefT22_7x_0" localSheetId="78">'411'!$T$55</definedName>
    <definedName name="OSRRefT22_7x_0" localSheetId="79">'412'!$T$60</definedName>
    <definedName name="OSRRefT22_7x_0" localSheetId="81">'413'!$T$58</definedName>
    <definedName name="OSRRefT22_7x_0" localSheetId="82">'414'!$T$59</definedName>
    <definedName name="OSRRefT22_7x_0" localSheetId="83">'415'!$T$59</definedName>
    <definedName name="OSRRefT22_7x_0" localSheetId="84">'418'!$T$60</definedName>
    <definedName name="OSRRefT22_7x_0" localSheetId="80">'420'!$T$49</definedName>
    <definedName name="OSRRefT22_7x_0" localSheetId="86">'424'!$T$57</definedName>
    <definedName name="OSRRefT22_7x_0" localSheetId="87">'425'!$T$62</definedName>
    <definedName name="OSRRefT22_7x_0" localSheetId="90">'430'!$T$51:$T$54</definedName>
    <definedName name="OSRRefT22_7x_0" localSheetId="91">'433'!$T$60</definedName>
    <definedName name="OSRRefT22_7x_0" localSheetId="92">'435'!$T$57:$T$59</definedName>
    <definedName name="OSRRefT22_7x_0" localSheetId="93">'444'!$T$59</definedName>
    <definedName name="OSRRefT22_7x_0" localSheetId="95">'450'!$T$60</definedName>
    <definedName name="OSRRefT22_7x_0" localSheetId="75">'491'!$T$70</definedName>
    <definedName name="OSRRefT22_7x_0" localSheetId="89">'492'!$T$64</definedName>
    <definedName name="OSRRefT22_7x_0" localSheetId="97">'501'!$T$52</definedName>
    <definedName name="OSRRefT22_7x_0" localSheetId="39">'Div 2'!$T$56</definedName>
    <definedName name="OSRRefT22_7x_0" localSheetId="47">'Div 3'!$T$212:$T$213</definedName>
    <definedName name="OSRRefT22_7x_0" localSheetId="73">'Div 4'!$T$72:$T$73</definedName>
    <definedName name="OSRRefT22_7x_0" localSheetId="96">'Div 5'!$T$52</definedName>
    <definedName name="OSRRefT22_7x_0" localSheetId="64">'Div 6'!$T$93</definedName>
    <definedName name="OSRRefT22_7x_0" localSheetId="2">Summary!$T$246:$T$248</definedName>
    <definedName name="OSRRefT22_8x_0" localSheetId="41">'201'!$T$54</definedName>
    <definedName name="OSRRefT22_8x_0" localSheetId="42">'202'!$T$53</definedName>
    <definedName name="OSRRefT22_8x_0" localSheetId="43">'203'!$T$54</definedName>
    <definedName name="OSRRefT22_8x_0" localSheetId="44">'204'!$T$59</definedName>
    <definedName name="OSRRefT22_8x_0" localSheetId="45">'205'!$T$56</definedName>
    <definedName name="OSRRefT22_8x_0" localSheetId="46">'206'!$T$54</definedName>
    <definedName name="OSRRefT22_8x_0" localSheetId="48">'300'!$T$210</definedName>
    <definedName name="OSRRefT22_8x_0" localSheetId="49">'300 &amp; 317'!$T$236</definedName>
    <definedName name="OSRRefT22_8x_0" localSheetId="50">'301'!$T$59</definedName>
    <definedName name="OSRRefT22_8x_0" localSheetId="51">'306'!$T$54:$T$57</definedName>
    <definedName name="OSRRefT22_8x_0" localSheetId="53">'307'!$T$113:$T$114</definedName>
    <definedName name="OSRRefT22_8x_0" localSheetId="55">'308'!$T$103</definedName>
    <definedName name="OSRRefT22_8x_0" localSheetId="67">'309'!$T$60</definedName>
    <definedName name="OSRRefT22_8x_0" localSheetId="66">'310'!$T$70</definedName>
    <definedName name="OSRRefT22_8x_0" localSheetId="74">'310 &amp; 491'!$T$79</definedName>
    <definedName name="OSRRefT22_8x_0" localSheetId="56">'311'!$T$103</definedName>
    <definedName name="OSRRefT22_8x_0" localSheetId="68">'313'!$T$64</definedName>
    <definedName name="OSRRefT22_8x_0" localSheetId="54">'314'!$T$93:$T$94</definedName>
    <definedName name="OSRRefT22_8x_0" localSheetId="59">'315'!$T$93</definedName>
    <definedName name="OSRRefT22_8x_0" localSheetId="62">'316'!$T$69</definedName>
    <definedName name="OSRRefT22_8x_0" localSheetId="65">'317'!$T$95</definedName>
    <definedName name="OSRRefT22_8x_0" localSheetId="63">'320'!$T$66</definedName>
    <definedName name="OSRRefT22_8x_0" localSheetId="69">'321'!$T$58</definedName>
    <definedName name="OSRRefT22_8x_0" localSheetId="70">'322'!$T$55</definedName>
    <definedName name="OSRRefT22_8x_0" localSheetId="60">'326'!$T$92</definedName>
    <definedName name="OSRRefT22_8x_0" localSheetId="52">'330'!$T$121</definedName>
    <definedName name="OSRRefT22_8x_0" localSheetId="58">'331'!$T$108:$T$109</definedName>
    <definedName name="OSRRefT22_8x_0" localSheetId="61">'332'!$T$80</definedName>
    <definedName name="OSRRefT22_8x_0" localSheetId="76">'405'!$T$61</definedName>
    <definedName name="OSRRefT22_8x_0" localSheetId="77">'406'!$T$61</definedName>
    <definedName name="OSRRefT22_8x_0" localSheetId="78">'411'!$T$57</definedName>
    <definedName name="OSRRefT22_8x_0" localSheetId="79">'412'!$T$62</definedName>
    <definedName name="OSRRefT22_8x_0" localSheetId="81">'413'!$T$60:$T$62</definedName>
    <definedName name="OSRRefT22_8x_0" localSheetId="82">'414'!$T$61</definedName>
    <definedName name="OSRRefT22_8x_0" localSheetId="83">'415'!$T$61</definedName>
    <definedName name="OSRRefT22_8x_0" localSheetId="84">'418'!$T$62</definedName>
    <definedName name="OSRRefT22_8x_0" localSheetId="86">'424'!$T$59:$T$60</definedName>
    <definedName name="OSRRefT22_8x_0" localSheetId="87">'425'!$T$64</definedName>
    <definedName name="OSRRefT22_8x_0" localSheetId="90">'430'!$T$56</definedName>
    <definedName name="OSRRefT22_8x_0" localSheetId="91">'433'!$T$62</definedName>
    <definedName name="OSRRefT22_8x_0" localSheetId="92">'435'!$T$61</definedName>
    <definedName name="OSRRefT22_8x_0" localSheetId="93">'444'!$T$61</definedName>
    <definedName name="OSRRefT22_8x_0" localSheetId="95">'450'!$T$62</definedName>
    <definedName name="OSRRefT22_8x_0" localSheetId="75">'491'!$T$72</definedName>
    <definedName name="OSRRefT22_8x_0" localSheetId="89">'492'!$T$66</definedName>
    <definedName name="OSRRefT22_8x_0" localSheetId="97">'501'!$T$54</definedName>
    <definedName name="OSRRefT22_8x_0" localSheetId="39">'Div 2'!$T$58</definedName>
    <definedName name="OSRRefT22_8x_0" localSheetId="47">'Div 3'!$T$215</definedName>
    <definedName name="OSRRefT22_8x_0" localSheetId="73">'Div 4'!$T$75</definedName>
    <definedName name="OSRRefT22_8x_0" localSheetId="96">'Div 5'!$T$54</definedName>
    <definedName name="OSRRefT22_8x_0" localSheetId="64">'Div 6'!$T$95</definedName>
    <definedName name="OSRRefT22_8x_0" localSheetId="2">Summary!$T$250</definedName>
    <definedName name="OSRRefT22_9x_0" localSheetId="41">'201'!$T$56</definedName>
    <definedName name="OSRRefT22_9x_0" localSheetId="42">'202'!$T$55:$T$57</definedName>
    <definedName name="OSRRefT22_9x_0" localSheetId="43">'203'!$T$56:$T$58</definedName>
    <definedName name="OSRRefT22_9x_0" localSheetId="44">'204'!$T$61:$T$62</definedName>
    <definedName name="OSRRefT22_9x_0" localSheetId="45">'205'!$T$58</definedName>
    <definedName name="OSRRefT22_9x_0" localSheetId="46">'206'!$T$56</definedName>
    <definedName name="OSRRefT22_9x_0" localSheetId="48">'300'!$T$212</definedName>
    <definedName name="OSRRefT22_9x_0" localSheetId="49">'300 &amp; 317'!$T$238</definedName>
    <definedName name="OSRRefT22_9x_0" localSheetId="50">'301'!$T$61</definedName>
    <definedName name="OSRRefT22_9x_0" localSheetId="51">'306'!$T$59</definedName>
    <definedName name="OSRRefT22_9x_0" localSheetId="53">'307'!$T$116:$T$117</definedName>
    <definedName name="OSRRefT22_9x_0" localSheetId="55">'308'!$T$105:$T$108</definedName>
    <definedName name="OSRRefT22_9x_0" localSheetId="67">'309'!$T$62:$T$63</definedName>
    <definedName name="OSRRefT22_9x_0" localSheetId="66">'310'!$T$72</definedName>
    <definedName name="OSRRefT22_9x_0" localSheetId="74">'310 &amp; 491'!$T$81</definedName>
    <definedName name="OSRRefT22_9x_0" localSheetId="56">'311'!$T$105:$T$108</definedName>
    <definedName name="OSRRefT22_9x_0" localSheetId="68">'313'!$T$66</definedName>
    <definedName name="OSRRefT22_9x_0" localSheetId="54">'314'!$T$96</definedName>
    <definedName name="OSRRefT22_9x_0" localSheetId="59">'315'!$T$95:$T$96</definedName>
    <definedName name="OSRRefT22_9x_0" localSheetId="62">'316'!$T$71:$T$72</definedName>
    <definedName name="OSRRefT22_9x_0" localSheetId="65">'317'!$T$97</definedName>
    <definedName name="OSRRefT22_9x_0" localSheetId="69">'321'!$T$60:$T$62</definedName>
    <definedName name="OSRRefT22_9x_0" localSheetId="70">'322'!$T$57:$T$58</definedName>
    <definedName name="OSRRefT22_9x_0" localSheetId="60">'326'!$T$94</definedName>
    <definedName name="OSRRefT22_9x_0" localSheetId="52">'330'!$T$123:$T$124</definedName>
    <definedName name="OSRRefT22_9x_0" localSheetId="58">'331'!$T$111</definedName>
    <definedName name="OSRRefT22_9x_0" localSheetId="61">'332'!$T$82</definedName>
    <definedName name="OSRRefT22_9x_0" localSheetId="76">'405'!$T$63</definedName>
    <definedName name="OSRRefT22_9x_0" localSheetId="77">'406'!$T$63:$T$65</definedName>
    <definedName name="OSRRefT22_9x_0" localSheetId="78">'411'!$T$59</definedName>
    <definedName name="OSRRefT22_9x_0" localSheetId="79">'412'!$T$64:$T$65</definedName>
    <definedName name="OSRRefT22_9x_0" localSheetId="81">'413'!$T$64:$T$65</definedName>
    <definedName name="OSRRefT22_9x_0" localSheetId="82">'414'!$T$63:$T$64</definedName>
    <definedName name="OSRRefT22_9x_0" localSheetId="83">'415'!$T$63</definedName>
    <definedName name="OSRRefT22_9x_0" localSheetId="84">'418'!$T$64</definedName>
    <definedName name="OSRRefT22_9x_0" localSheetId="86">'424'!$T$62:$T$64</definedName>
    <definedName name="OSRRefT22_9x_0" localSheetId="87">'425'!$T$66:$T$68</definedName>
    <definedName name="OSRRefT22_9x_0" localSheetId="90">'430'!$T$58</definedName>
    <definedName name="OSRRefT22_9x_0" localSheetId="91">'433'!$T$64</definedName>
    <definedName name="OSRRefT22_9x_0" localSheetId="93">'444'!$T$63</definedName>
    <definedName name="OSRRefT22_9x_0" localSheetId="95">'450'!$T$64</definedName>
    <definedName name="OSRRefT22_9x_0" localSheetId="75">'491'!$T$74</definedName>
    <definedName name="OSRRefT22_9x_0" localSheetId="89">'492'!$T$68</definedName>
    <definedName name="OSRRefT22_9x_0" localSheetId="97">'501'!$T$56</definedName>
    <definedName name="OSRRefT22_9x_0" localSheetId="39">'Div 2'!$T$60</definedName>
    <definedName name="OSRRefT22_9x_0" localSheetId="47">'Div 3'!$T$217</definedName>
    <definedName name="OSRRefT22_9x_0" localSheetId="73">'Div 4'!$T$77</definedName>
    <definedName name="OSRRefT22_9x_0" localSheetId="96">'Div 5'!$T$56</definedName>
    <definedName name="OSRRefT22_9x_0" localSheetId="64">'Div 6'!$T$97</definedName>
    <definedName name="OSRRefT22_9x_0" localSheetId="2">Summary!$T$252</definedName>
    <definedName name="OSRRefT22x_0" localSheetId="40">'200'!$T$20,'200'!$T$22,'200'!$T$24,'200'!$T$26,'200'!$T$28:$T$29</definedName>
    <definedName name="OSRRefT22x_0" localSheetId="41">'201'!$T$20:$T$28,'201'!$T$30:$T$39,'201'!$T$41,'201'!$T$43,'201'!$T$45:$T$46,'201'!$T$48,'201'!$T$50,'201'!$T$52,'201'!$T$54,'201'!$T$56,'201'!$T$58:$T$60,'201'!$T$62:$T$64,'201'!$T$66,'201'!$T$68:$T$71,'201'!$T$73,'201'!$T$75,'201'!$T$77:$T$78</definedName>
    <definedName name="OSRRefT22x_0" localSheetId="42">'202'!$T$20:$T$28,'202'!$T$30:$T$39,'202'!$T$41,'202'!$T$43,'202'!$T$45,'202'!$T$47,'202'!$T$49,'202'!$T$51,'202'!$T$53,'202'!$T$55:$T$57,'202'!$T$59,'202'!$T$61:$T$63,'202'!$T$65,'202'!$T$67,'202'!$T$69:$T$70,'202'!$T$72,'202'!$T$74</definedName>
    <definedName name="OSRRefT22x_0" localSheetId="43">'203'!$T$20:$T$29,'203'!$T$31:$T$40,'203'!$T$42,'203'!$T$44,'203'!$T$46,'203'!$T$48,'203'!$T$50,'203'!$T$52,'203'!$T$54,'203'!$T$56:$T$58,'203'!$T$60:$T$61,'203'!$T$63,'203'!$T$65:$T$67,'203'!$T$69,'203'!$T$71,'203'!$T$73</definedName>
    <definedName name="OSRRefT22x_0" localSheetId="44">'204'!$T$21:$T$30,'204'!$T$32:$T$41,'204'!$T$43,'204'!$T$45:$T$46,'204'!$T$48,'204'!$T$50,'204'!$T$52,'204'!$T$54:$T$57,'204'!$T$59,'204'!$T$61:$T$62,'204'!$T$64:$T$65,'204'!$T$67,'204'!$T$69:$T$70</definedName>
    <definedName name="OSRRefT22x_0" localSheetId="45">'205'!$T$20:$T$28,'205'!$T$30:$T$39,'205'!$T$41,'205'!$T$43,'205'!$T$45,'205'!$T$47:$T$49,'205'!$T$51,'205'!$T$53:$T$54,'205'!$T$56,'205'!$T$58</definedName>
    <definedName name="OSRRefT22x_0" localSheetId="46">'206'!$T$20:$T$28,'206'!$T$30:$T$39,'206'!$T$41,'206'!$T$43,'206'!$T$45,'206'!$T$47,'206'!$T$49,'206'!$T$51:$T$52,'206'!$T$54,'206'!$T$56,'206'!$T$58</definedName>
    <definedName name="OSRRefT22x_0" localSheetId="48">'300'!$T$170:$T$179,'300'!$T$181:$T$190,'300'!$T$192,'300'!$T$194:$T$195,'300'!$T$197,'300'!$T$199:$T$202,'300'!$T$204:$T$205,'300'!$T$207:$T$208,'300'!$T$210,'300'!$T$212,'300'!$T$214:$T$215,'300'!$T$217,'300'!$T$219,'300'!$T$221,'300'!$T$223,'300'!$T$225,'300'!$T$227:$T$230,'300'!$T$232:$T$235,'300'!$T$237:$T$240,'300'!$T$242:$T$243,'300'!$T$245:$T$252,'300'!$T$254:$T$255,'300'!$T$257,'300'!$T$259:$T$261,'300'!$T$263</definedName>
    <definedName name="OSRRefT22x_0" localSheetId="49">'300 &amp; 317'!$T$196:$T$205,'300 &amp; 317'!$T$207:$T$216,'300 &amp; 317'!$T$218,'300 &amp; 317'!$T$220:$T$221,'300 &amp; 317'!$T$223,'300 &amp; 317'!$T$225:$T$228,'300 &amp; 317'!$T$230:$T$231,'300 &amp; 317'!$T$233:$T$234,'300 &amp; 317'!$T$236,'300 &amp; 317'!$T$238,'300 &amp; 317'!$T$240:$T$241,'300 &amp; 317'!$T$243,'300 &amp; 317'!$T$245,'300 &amp; 317'!$T$247,'300 &amp; 317'!$T$249,'300 &amp; 317'!$T$251,'300 &amp; 317'!$T$253:$T$256,'300 &amp; 317'!$T$258:$T$261,'300 &amp; 317'!$T$263:$T$266,'300 &amp; 317'!$T$268:$T$269,'300 &amp; 317'!$T$271:$T$278,'300 &amp; 317'!$T$280:$T$281,'300 &amp; 317'!$T$283,'300 &amp; 317'!$T$285:$T$287,'300 &amp; 317'!$T$289</definedName>
    <definedName name="OSRRefT22x_0" localSheetId="50">'301'!$T$20:$T$28,'301'!$T$30:$T$39,'301'!$T$41,'301'!$T$43:$T$44,'301'!$T$46,'301'!$T$48:$T$51,'301'!$T$53:$T$54,'301'!$T$56:$T$57,'301'!$T$59,'301'!$T$61,'301'!$T$63,'301'!$T$65,'301'!$T$67,'301'!$T$69,'301'!$T$71,'301'!$T$73,'301'!$T$75:$T$78,'301'!$T$80:$T$82,'301'!$T$84:$T$85,'301'!$T$87:$T$93,'301'!$T$95,'301'!$T$97,'301'!$T$99:$T$101,'301'!$T$103</definedName>
    <definedName name="OSRRefT22x_0" localSheetId="51">'306'!$T$20:$T$28,'306'!$T$30:$T$39,'306'!$T$41,'306'!$T$43,'306'!$T$45,'306'!$T$47,'306'!$T$49,'306'!$T$51:$T$52,'306'!$T$54:$T$57,'306'!$T$59,'306'!$T$61</definedName>
    <definedName name="OSRRefT22x_0" localSheetId="53">'307'!$T$79:$T$87,'307'!$T$89:$T$98,'307'!$T$100,'307'!$T$102,'307'!$T$104:$T$105,'307'!$T$107,'307'!$T$109,'307'!$T$111,'307'!$T$113:$T$114,'307'!$T$116:$T$117,'307'!$T$119:$T$121,'307'!$T$123,'307'!$T$125</definedName>
    <definedName name="OSRRefT22x_0" localSheetId="55">'308'!$T$67:$T$76,'308'!$T$78:$T$87,'308'!$T$89,'308'!$T$91:$T$92,'308'!$T$94,'308'!$T$96,'308'!$T$98:$T$99,'308'!$T$101,'308'!$T$103,'308'!$T$105:$T$108,'308'!$T$110:$T$111,'308'!$T$113:$T$115,'308'!$T$117:$T$118,'308'!$T$120,'308'!$T$122:$T$123</definedName>
    <definedName name="OSRRefT22x_0" localSheetId="67">'309'!$T$26:$T$34,'309'!$T$36:$T$45,'309'!$T$47,'309'!$T$49,'309'!$T$51,'309'!$T$53:$T$54,'309'!$T$56,'309'!$T$58,'309'!$T$60,'309'!$T$62:$T$63,'309'!$T$65:$T$67,'309'!$T$69:$T$71,'309'!$T$73,'309'!$T$75</definedName>
    <definedName name="OSRRefT22x_0" localSheetId="66">'310'!$T$35:$T$43,'310'!$T$45:$T$54,'310'!$T$56,'310'!$T$58,'310'!$T$60,'310'!$T$62:$T$64,'310'!$T$66,'310'!$T$68,'310'!$T$70,'310'!$T$72,'310'!$T$74,'310'!$T$76,'310'!$T$78,'310'!$T$80,'310'!$T$82,'310'!$T$84:$T$86,'310'!$T$88:$T$89,'310'!$T$91:$T$95,'310'!$T$97,'310'!$T$99:$T$107,'310'!$T$109,'310'!$T$111,'310'!$T$113:$T$114,'310'!$T$116</definedName>
    <definedName name="OSRRefT22x_0" localSheetId="74">'310 &amp; 491'!$T$42:$T$51,'310 &amp; 491'!$T$53:$T$62,'310 &amp; 491'!$T$64,'310 &amp; 491'!$T$66,'310 &amp; 491'!$T$68,'310 &amp; 491'!$T$70:$T$73,'310 &amp; 491'!$T$75,'310 &amp; 491'!$T$77,'310 &amp; 491'!$T$79,'310 &amp; 491'!$T$81,'310 &amp; 491'!$T$83:$T$84,'310 &amp; 491'!$T$86:$T$87,'310 &amp; 491'!$T$89,'310 &amp; 491'!$T$91,'310 &amp; 491'!$T$93,'310 &amp; 491'!$T$95,'310 &amp; 491'!$T$97,'310 &amp; 491'!$T$99:$T$102,'310 &amp; 491'!$T$104:$T$107,'310 &amp; 491'!$T$109:$T$114,'310 &amp; 491'!$T$116:$T$117,'310 &amp; 491'!$T$119:$T$129,'310 &amp; 491'!$T$131:$T$132,'310 &amp; 491'!$T$134,'310 &amp; 491'!$T$136:$T$138,'310 &amp; 491'!$T$140</definedName>
    <definedName name="OSRRefT22x_0" localSheetId="56">'311'!$T$67:$T$76,'311'!$T$78:$T$87,'311'!$T$89,'311'!$T$91:$T$92,'311'!$T$94,'311'!$T$96,'311'!$T$98:$T$99,'311'!$T$101,'311'!$T$103,'311'!$T$105:$T$108,'311'!$T$110:$T$111,'311'!$T$113:$T$115,'311'!$T$117:$T$118,'311'!$T$120,'311'!$T$122:$T$123</definedName>
    <definedName name="OSRRefT22x_0" localSheetId="68">'313'!$T$31:$T$39,'313'!$T$41:$T$50,'313'!$T$52,'313'!$T$54,'313'!$T$56,'313'!$T$58,'313'!$T$60,'313'!$T$62,'313'!$T$64,'313'!$T$66,'313'!$T$68:$T$70,'313'!$T$72,'313'!$T$74:$T$79,'313'!$T$81,'313'!$T$83</definedName>
    <definedName name="OSRRefT22x_0" localSheetId="54">'314'!$T$58:$T$67,'314'!$T$69:$T$78,'314'!$T$80,'314'!$T$82:$T$83,'314'!$T$85,'314'!$T$87,'314'!$T$89,'314'!$T$91,'314'!$T$93:$T$94,'314'!$T$96,'314'!$T$98</definedName>
    <definedName name="OSRRefT22x_0" localSheetId="59">'315'!$T$58:$T$66,'315'!$T$68:$T$77,'315'!$T$79,'315'!$T$81:$T$82,'315'!$T$84,'315'!$T$86:$T$87,'315'!$T$89,'315'!$T$91,'315'!$T$93,'315'!$T$95:$T$96,'315'!$T$98:$T$100,'315'!$T$102:$T$103,'315'!$T$105:$T$109,'315'!$T$111,'315'!$T$113,'315'!$T$115:$T$116</definedName>
    <definedName name="OSRRefT22x_0" localSheetId="62">'316'!$T$36:$T$44,'316'!$T$46:$T$55,'316'!$T$57,'316'!$T$59,'316'!$T$61,'316'!$T$63,'316'!$T$65,'316'!$T$67,'316'!$T$69,'316'!$T$71:$T$72,'316'!$T$74:$T$75,'316'!$T$77:$T$81,'316'!$T$83:$T$84,'316'!$T$86</definedName>
    <definedName name="OSRRefT22x_0" localSheetId="65">'317'!$T$61:$T$70,'317'!$T$72:$T$81,'317'!$T$83,'317'!$T$85,'317'!$T$87,'317'!$T$89,'317'!$T$91,'317'!$T$93,'317'!$T$95,'317'!$T$97,'317'!$T$99:$T$100,'317'!$T$102:$T$103,'317'!$T$105,'317'!$T$107</definedName>
    <definedName name="OSRRefT22x_0" localSheetId="63">'320'!$T$32:$T$39,'320'!$T$41:$T$50,'320'!$T$52,'320'!$T$54,'320'!$T$56:$T$57,'320'!$T$59,'320'!$T$61,'320'!$T$63:$T$64,'320'!$T$66</definedName>
    <definedName name="OSRRefT22x_0" localSheetId="69">'321'!$T$26:$T$33,'321'!$T$35:$T$44,'321'!$T$46,'321'!$T$48,'321'!$T$50,'321'!$T$52,'321'!$T$54,'321'!$T$56,'321'!$T$58,'321'!$T$60:$T$62,'321'!$T$64:$T$65,'321'!$T$67:$T$69,'321'!$T$71:$T$74,'321'!$T$76,'321'!$T$78</definedName>
    <definedName name="OSRRefT22x_0" localSheetId="70">'322'!$T$22:$T$29,'322'!$T$31:$T$40,'322'!$T$42,'322'!$T$44,'322'!$T$46,'322'!$T$48:$T$49,'322'!$T$51,'322'!$T$53,'322'!$T$55,'322'!$T$57:$T$58,'322'!$T$60,'322'!$T$62</definedName>
    <definedName name="OSRRefT22x_0" localSheetId="60">'326'!$T$58:$T$66,'326'!$T$68:$T$77,'326'!$T$79,'326'!$T$81:$T$82,'326'!$T$84,'326'!$T$86,'326'!$T$88,'326'!$T$90,'326'!$T$92,'326'!$T$94,'326'!$T$96,'326'!$T$98,'326'!$T$100,'326'!$T$102:$T$103,'326'!$T$105:$T$107,'326'!$T$109:$T$110,'326'!$T$112:$T$117,'326'!$T$119:$T$120,'326'!$T$122,'326'!$T$124,'326'!$T$126</definedName>
    <definedName name="OSRRefT22x_0" localSheetId="72">'327'!$T$24,'327'!$T$26,'327'!$T$28</definedName>
    <definedName name="OSRRefT22x_0" localSheetId="52">'330'!$T$86:$T$95,'330'!$T$97:$T$106,'330'!$T$108,'330'!$T$110,'330'!$T$112:$T$113,'330'!$T$115,'330'!$T$117,'330'!$T$119,'330'!$T$121,'330'!$T$123:$T$124,'330'!$T$126:$T$127,'330'!$T$129,'330'!$T$131:$T$133,'330'!$T$135,'330'!$T$137,'330'!$T$139</definedName>
    <definedName name="OSRRefT22x_0" localSheetId="58">'331'!$T$73:$T$81,'331'!$T$83:$T$92,'331'!$T$94,'331'!$T$96:$T$97,'331'!$T$99,'331'!$T$101:$T$102,'331'!$T$104,'331'!$T$106,'331'!$T$108:$T$109,'331'!$T$111,'331'!$T$113,'331'!$T$115,'331'!$T$117,'331'!$T$119,'331'!$T$121:$T$122,'331'!$T$124:$T$126,'331'!$T$128:$T$130,'331'!$T$132:$T$133,'331'!$T$135:$T$140,'331'!$T$142:$T$143,'331'!$T$145,'331'!$T$147:$T$148,'331'!$T$150</definedName>
    <definedName name="OSRRefT22x_0" localSheetId="61">'332'!$T$46:$T$54,'332'!$T$56:$T$65,'332'!$T$67,'332'!$T$69,'332'!$T$71,'332'!$T$73,'332'!$T$75,'332'!$T$77:$T$78,'332'!$T$80,'332'!$T$82,'332'!$T$84:$T$85,'332'!$T$87:$T$88,'332'!$T$90:$T$94,'332'!$T$96:$T$97,'332'!$T$99</definedName>
    <definedName name="OSRRefT22x_0" localSheetId="76">'405'!$T$26:$T$34,'405'!$T$36:$T$45,'405'!$T$47,'405'!$T$49,'405'!$T$51,'405'!$T$53:$T$55,'405'!$T$57,'405'!$T$59,'405'!$T$61,'405'!$T$63,'405'!$T$65,'405'!$T$67:$T$69,'405'!$T$71,'405'!$T$73:$T$75,'405'!$T$77:$T$78,'405'!$T$80:$T$88,'405'!$T$90,'405'!$T$92,'405'!$T$94,'405'!$T$96</definedName>
    <definedName name="OSRRefT22x_0" localSheetId="77">'406'!$T$27:$T$35,'406'!$T$37:$T$46,'406'!$T$48,'406'!$T$50,'406'!$T$52,'406'!$T$54:$T$55,'406'!$T$57,'406'!$T$59,'406'!$T$61,'406'!$T$63:$T$65,'406'!$T$67:$T$69,'406'!$T$71:$T$76,'406'!$T$78:$T$79,'406'!$T$81,'406'!$T$83:$T$84</definedName>
    <definedName name="OSRRefT22x_0" localSheetId="78">'411'!$T$20:$T$29,'411'!$T$31:$T$40,'411'!$T$42,'411'!$T$44,'411'!$T$46:$T$49,'411'!$T$51,'411'!$T$53,'411'!$T$55,'411'!$T$57,'411'!$T$59,'411'!$T$61,'411'!$T$63,'411'!$T$65:$T$68,'411'!$T$70:$T$74,'411'!$T$76,'411'!$T$78:$T$86,'411'!$T$88,'411'!$T$90,'411'!$T$92:$T$94,'411'!$T$96</definedName>
    <definedName name="OSRRefT22x_0" localSheetId="79">'412'!$T$27:$T$35,'412'!$T$37:$T$46,'412'!$T$48,'412'!$T$50,'412'!$T$52,'412'!$T$54:$T$56,'412'!$T$58,'412'!$T$60,'412'!$T$62,'412'!$T$64:$T$65,'412'!$T$67,'412'!$T$69:$T$71,'412'!$T$73:$T$80,'412'!$T$82,'412'!$T$84,'412'!$T$86</definedName>
    <definedName name="OSRRefT22x_0" localSheetId="81">'413'!$T$27:$T$35,'413'!$T$37:$T$46,'413'!$T$48,'413'!$T$50,'413'!$T$52,'413'!$T$54,'413'!$T$56,'413'!$T$58,'413'!$T$60:$T$62,'413'!$T$64:$T$65,'413'!$T$67:$T$73,'413'!$T$75:$T$76,'413'!$T$78,'413'!$T$80</definedName>
    <definedName name="OSRRefT22x_0" localSheetId="82">'414'!$T$27:$T$35,'414'!$T$37:$T$46,'414'!$T$48,'414'!$T$50,'414'!$T$52,'414'!$T$54:$T$55,'414'!$T$57,'414'!$T$59,'414'!$T$61,'414'!$T$63:$T$64,'414'!$T$66,'414'!$T$68,'414'!$T$70,'414'!$T$72:$T$78,'414'!$T$80,'414'!$T$82</definedName>
    <definedName name="OSRRefT22x_0" localSheetId="83">'415'!$T$26:$T$34,'415'!$T$36:$T$45,'415'!$T$47,'415'!$T$49,'415'!$T$51,'415'!$T$53:$T$55,'415'!$T$57,'415'!$T$59,'415'!$T$61,'415'!$T$63,'415'!$T$65,'415'!$T$67:$T$70,'415'!$T$72:$T$76,'415'!$T$78:$T$79,'415'!$T$81:$T$89,'415'!$T$91,'415'!$T$93,'415'!$T$95:$T$96,'415'!$T$98</definedName>
    <definedName name="OSRRefT22x_0" localSheetId="84">'418'!$T$27:$T$35,'418'!$T$37:$T$46,'418'!$T$48,'418'!$T$50,'418'!$T$52,'418'!$T$54:$T$56,'418'!$T$58,'418'!$T$60,'418'!$T$62,'418'!$T$64,'418'!$T$66:$T$67,'418'!$T$69:$T$71,'418'!$T$73:$T$75,'418'!$T$77:$T$78,'418'!$T$80:$T$87,'418'!$T$89,'418'!$T$91,'418'!$T$93:$T$94</definedName>
    <definedName name="OSRRefT22x_0" localSheetId="80">'420'!$T$24:$T$31,'420'!$T$33:$T$36,'420'!$T$38,'420'!$T$40,'420'!$T$42,'420'!$T$44,'420'!$T$46:$T$47,'420'!$T$49</definedName>
    <definedName name="OSRRefT22x_0" localSheetId="85">'423'!$T$21:$T$29,'423'!$T$31:$T$40,'423'!$T$42,'423'!$T$44,'423'!$T$46,'423'!$T$48,'423'!$T$50</definedName>
    <definedName name="OSRRefT22x_0" localSheetId="86">'424'!$T$27:$T$34,'424'!$T$36:$T$45,'424'!$T$47,'424'!$T$49,'424'!$T$51,'424'!$T$53,'424'!$T$55,'424'!$T$57,'424'!$T$59:$T$60,'424'!$T$62:$T$64,'424'!$T$66,'424'!$T$68:$T$72,'424'!$T$74:$T$75</definedName>
    <definedName name="OSRRefT22x_0" localSheetId="87">'425'!$T$29:$T$38,'425'!$T$40:$T$49,'425'!$T$51,'425'!$T$53,'425'!$T$55,'425'!$T$57:$T$58,'425'!$T$60,'425'!$T$62,'425'!$T$64,'425'!$T$66:$T$68,'425'!$T$70:$T$71,'425'!$T$73:$T$75,'425'!$T$77,'425'!$T$79:$T$85,'425'!$T$87:$T$88,'425'!$T$90,'425'!$T$92</definedName>
    <definedName name="OSRRefT22x_0" localSheetId="90">'430'!$T$20:$T$28,'430'!$T$30:$T$39,'430'!$T$41,'430'!$T$43,'430'!$T$45,'430'!$T$47,'430'!$T$49,'430'!$T$51:$T$54,'430'!$T$56,'430'!$T$58,'430'!$T$60</definedName>
    <definedName name="OSRRefT22x_0" localSheetId="91">'433'!$T$28:$T$37,'433'!$T$39:$T$48,'433'!$T$50,'433'!$T$52,'433'!$T$54,'433'!$T$56,'433'!$T$58,'433'!$T$60,'433'!$T$62,'433'!$T$64,'433'!$T$66:$T$68,'433'!$T$70:$T$73,'433'!$T$75:$T$83,'433'!$T$85,'433'!$T$87,'433'!$T$89:$T$90</definedName>
    <definedName name="OSRRefT22x_0" localSheetId="92">'435'!$T$27:$T$34,'435'!$T$36:$T$45,'435'!$T$47,'435'!$T$49,'435'!$T$51,'435'!$T$53,'435'!$T$55,'435'!$T$57:$T$59,'435'!$T$61</definedName>
    <definedName name="OSRRefT22x_0" localSheetId="93">'444'!$T$27:$T$36,'444'!$T$38:$T$47,'444'!$T$49,'444'!$T$51,'444'!$T$53,'444'!$T$55,'444'!$T$57,'444'!$T$59,'444'!$T$61,'444'!$T$63,'444'!$T$65,'444'!$T$67:$T$69,'444'!$T$71:$T$74,'444'!$T$76:$T$83,'444'!$T$85,'444'!$T$87,'444'!$T$89</definedName>
    <definedName name="OSRRefT22x_0" localSheetId="95">'450'!$T$27:$T$36,'450'!$T$38:$T$47,'450'!$T$49,'450'!$T$51:$T$52,'450'!$T$54,'450'!$T$56,'450'!$T$58,'450'!$T$60,'450'!$T$62,'450'!$T$64,'450'!$T$66,'450'!$T$68,'450'!$T$70:$T$73,'450'!$T$75:$T$77,'450'!$T$79:$T$84,'450'!$T$86,'450'!$T$88,'450'!$T$90:$T$91</definedName>
    <definedName name="OSRRefT22x_0" localSheetId="88">'455'!$T$20:$T$27,'455'!$T$29:$T$38</definedName>
    <definedName name="OSRRefT22x_0" localSheetId="75">'491'!$T$35:$T$44,'491'!$T$46:$T$55,'491'!$T$57,'491'!$T$59,'491'!$T$61,'491'!$T$63:$T$66,'491'!$T$68,'491'!$T$70,'491'!$T$72,'491'!$T$74,'491'!$T$76,'491'!$T$78:$T$79,'491'!$T$81,'491'!$T$83,'491'!$T$85,'491'!$T$87,'491'!$T$89:$T$92,'491'!$T$94:$T$97,'491'!$T$99:$T$103,'491'!$T$105:$T$106,'491'!$T$108:$T$118,'491'!$T$120:$T$121,'491'!$T$123,'491'!$T$125:$T$127,'491'!$T$129</definedName>
    <definedName name="OSRRefT22x_0" localSheetId="89">'492'!$T$30:$T$39,'492'!$T$41:$T$50,'492'!$T$52,'492'!$T$54:$T$55,'492'!$T$57,'492'!$T$59,'492'!$T$61:$T$62,'492'!$T$64,'492'!$T$66,'492'!$T$68,'492'!$T$70,'492'!$T$72,'492'!$T$74,'492'!$T$76:$T$79,'492'!$T$81:$T$84,'492'!$T$86:$T$95,'492'!$T$97,'492'!$T$99,'492'!$T$101:$T$102</definedName>
    <definedName name="OSRRefT22x_0" localSheetId="97">'501'!$T$21:$T$29,'501'!$T$31:$T$40,'501'!$T$42,'501'!$T$44,'501'!$T$46,'501'!$T$48,'501'!$T$50,'501'!$T$52,'501'!$T$54,'501'!$T$56,'501'!$T$58:$T$61,'501'!$T$63,'501'!$T$65:$T$67,'501'!$T$69,'501'!$T$71</definedName>
    <definedName name="OSRRefT22x_0" localSheetId="39">'Div 2'!$T$21:$T$31,'Div 2'!$T$33:$T$42,'Div 2'!$T$44,'Div 2'!$T$46,'Div 2'!$T$48,'Div 2'!$T$50:$T$51,'Div 2'!$T$53:$T$54,'Div 2'!$T$56,'Div 2'!$T$58,'Div 2'!$T$60,'Div 2'!$T$62,'Div 2'!$T$64,'Div 2'!$T$66:$T$68,'Div 2'!$T$70:$T$73,'Div 2'!$T$75:$T$78,'Div 2'!$T$80:$T$81,'Div 2'!$T$83:$T$84,'Div 2'!$T$86:$T$91,'Div 2'!$T$93:$T$94,'Div 2'!$T$96,'Div 2'!$T$98:$T$99</definedName>
    <definedName name="OSRRefT22x_0" localSheetId="47">'Div 3'!$T$175:$T$184,'Div 3'!$T$186:$T$195,'Div 3'!$T$197,'Div 3'!$T$199:$T$200,'Div 3'!$T$202,'Div 3'!$T$204:$T$207,'Div 3'!$T$209:$T$210,'Div 3'!$T$212:$T$213,'Div 3'!$T$215,'Div 3'!$T$217,'Div 3'!$T$219:$T$220,'Div 3'!$T$222,'Div 3'!$T$224,'Div 3'!$T$226,'Div 3'!$T$228,'Div 3'!$T$230,'Div 3'!$T$232,'Div 3'!$T$234,'Div 3'!$T$236:$T$239,'Div 3'!$T$241:$T$244,'Div 3'!$T$246:$T$251,'Div 3'!$T$253:$T$254,'Div 3'!$T$256:$T$265,'Div 3'!$T$267:$T$268,'Div 3'!$T$270,'Div 3'!$T$272:$T$274,'Div 3'!$T$276</definedName>
    <definedName name="OSRRefT22x_0" localSheetId="73">'Div 4'!$T$36:$T$45,'Div 4'!$T$47:$T$56,'Div 4'!$T$58,'Div 4'!$T$60:$T$61,'Div 4'!$T$63,'Div 4'!$T$65:$T$68,'Div 4'!$T$70,'Div 4'!$T$72:$T$73,'Div 4'!$T$75,'Div 4'!$T$77,'Div 4'!$T$79,'Div 4'!$T$81:$T$82,'Div 4'!$T$84,'Div 4'!$T$86,'Div 4'!$T$88,'Div 4'!$T$90,'Div 4'!$T$92,'Div 4'!$T$94:$T$97,'Div 4'!$T$99:$T$102,'Div 4'!$T$104:$T$108,'Div 4'!$T$110:$T$111,'Div 4'!$T$113:$T$123,'Div 4'!$T$125:$T$126,'Div 4'!$T$128,'Div 4'!$T$130:$T$132,'Div 4'!$T$134</definedName>
    <definedName name="OSRRefT22x_0" localSheetId="96">'Div 5'!$T$21:$T$29,'Div 5'!$T$31:$T$40,'Div 5'!$T$42,'Div 5'!$T$44,'Div 5'!$T$46,'Div 5'!$T$48,'Div 5'!$T$50,'Div 5'!$T$52,'Div 5'!$T$54,'Div 5'!$T$56,'Div 5'!$T$58:$T$61,'Div 5'!$T$63,'Div 5'!$T$65:$T$67,'Div 5'!$T$69,'Div 5'!$T$71</definedName>
    <definedName name="OSRRefT22x_0" localSheetId="64">'Div 6'!$T$61:$T$70,'Div 6'!$T$72:$T$81,'Div 6'!$T$83,'Div 6'!$T$85,'Div 6'!$T$87,'Div 6'!$T$89,'Div 6'!$T$91,'Div 6'!$T$93,'Div 6'!$T$95,'Div 6'!$T$97,'Div 6'!$T$99:$T$100,'Div 6'!$T$102:$T$103,'Div 6'!$T$105,'Div 6'!$T$107</definedName>
    <definedName name="OSRRefT22x_0" localSheetId="2">Summary!$T$209:$T$218,Summary!$T$220:$T$229,Summary!$T$231,Summary!$T$233:$T$234,Summary!$T$236,Summary!$T$238:$T$241,Summary!$T$243:$T$244,Summary!$T$246:$T$248,Summary!$T$250,Summary!$T$252,Summary!$T$254:$T$255,Summary!$T$257:$T$258,Summary!$T$260,Summary!$T$262,Summary!$T$264,Summary!$T$266,Summary!$T$268,Summary!$T$270,Summary!$T$272:$T$275,Summary!$T$277:$T$280,Summary!$T$282:$T$287,Summary!$T$289:$T$290,Summary!$T$292:$T$302,Summary!$T$304:$T$305,Summary!$T$307,Summary!$T$309:$T$311,Summary!$T$313</definedName>
    <definedName name="OSRRefT25x_0" localSheetId="48">'300'!$T$266:$T$274</definedName>
    <definedName name="OSRRefT25x_0" localSheetId="49">'300 &amp; 317'!$T$292:$T$303</definedName>
    <definedName name="OSRRefT25x_0" localSheetId="50">'301'!$T$106:$T$109</definedName>
    <definedName name="OSRRefT25x_0" localSheetId="53">'307'!$T$128</definedName>
    <definedName name="OSRRefT25x_0" localSheetId="55">'308'!$T$126:$T$129</definedName>
    <definedName name="OSRRefT25x_0" localSheetId="74">'310 &amp; 491'!$T$143:$T$146</definedName>
    <definedName name="OSRRefT25x_0" localSheetId="56">'311'!$T$126:$T$129</definedName>
    <definedName name="OSRRefT25x_0" localSheetId="59">'315'!$T$119:$T$121</definedName>
    <definedName name="OSRRefT25x_0" localSheetId="62">'316'!$T$89:$T$90</definedName>
    <definedName name="OSRRefT25x_0" localSheetId="65">'317'!$T$110:$T$113</definedName>
    <definedName name="OSRRefT25x_0" localSheetId="63">'320'!$T$69:$T$73</definedName>
    <definedName name="OSRRefT25x_0" localSheetId="52">'330'!$T$142</definedName>
    <definedName name="OSRRefT25x_0" localSheetId="58">'331'!$T$153:$T$155</definedName>
    <definedName name="OSRRefT25x_0" localSheetId="61">'332'!$T$102:$T$108</definedName>
    <definedName name="OSRRefT25x_0" localSheetId="78">'411'!$T$99:$T$100</definedName>
    <definedName name="OSRRefT25x_0" localSheetId="81">'413'!$T$83</definedName>
    <definedName name="OSRRefT25x_0" localSheetId="83">'415'!$T$101</definedName>
    <definedName name="OSRRefT25x_0" localSheetId="85">'423'!$T$53</definedName>
    <definedName name="OSRRefT25x_0" localSheetId="86">'424'!$T$78</definedName>
    <definedName name="OSRRefT25x_0" localSheetId="87">'425'!$T$95</definedName>
    <definedName name="OSRRefT25x_0" localSheetId="88">'455'!$T$41:$T$44</definedName>
    <definedName name="OSRRefT25x_0" localSheetId="75">'491'!$T$132:$T$135</definedName>
    <definedName name="OSRRefT25x_0" localSheetId="97">'501'!$T$74</definedName>
    <definedName name="OSRRefT25x_0" localSheetId="47">'Div 3'!$T$279:$T$287</definedName>
    <definedName name="OSRRefT25x_0" localSheetId="73">'Div 4'!$T$137:$T$140</definedName>
    <definedName name="OSRRefT25x_0" localSheetId="96">'Div 5'!$T$74</definedName>
    <definedName name="OSRRefT25x_0" localSheetId="64">'Div 6'!$T$110:$T$113</definedName>
    <definedName name="OSRRefT25x_0" localSheetId="2">Summary!$T$316:$T$328</definedName>
    <definedName name="_xlnm.Print_Area" localSheetId="38">'100'!$A$1:$Z$34</definedName>
    <definedName name="_xlnm.Print_Area" localSheetId="40">'200'!$A$1:$Z$43</definedName>
    <definedName name="_xlnm.Print_Area" localSheetId="41">'201'!$A$1:$Z$92</definedName>
    <definedName name="_xlnm.Print_Area" localSheetId="42">'202'!$A$1:$Z$88</definedName>
    <definedName name="_xlnm.Print_Area" localSheetId="43">'203'!$A$1:$Z$87</definedName>
    <definedName name="_xlnm.Print_Area" localSheetId="44">'204'!$A$1:$Z$84</definedName>
    <definedName name="_xlnm.Print_Area" localSheetId="45">'205'!$A$1:$Z$72</definedName>
    <definedName name="_xlnm.Print_Area" localSheetId="46">'206'!$A$1:$Z$72</definedName>
    <definedName name="_xlnm.Print_Area" localSheetId="48">'300'!$A$1:$Z$286</definedName>
    <definedName name="_xlnm.Print_Area" localSheetId="49">'300 &amp; 317'!$A$1:$Z$315</definedName>
    <definedName name="_xlnm.Print_Area" localSheetId="50">'301'!$A$1:$Z$121</definedName>
    <definedName name="_xlnm.Print_Area" localSheetId="51">'306'!$A$1:$Z$75</definedName>
    <definedName name="_xlnm.Print_Area" localSheetId="53">'307'!$A$1:$Z$140</definedName>
    <definedName name="_xlnm.Print_Area" localSheetId="55">'308'!$A$1:$Z$141</definedName>
    <definedName name="_xlnm.Print_Area" localSheetId="67">'309'!$A$1:$Z$89</definedName>
    <definedName name="_xlnm.Print_Area" localSheetId="66">'310'!$A$1:$Z$130</definedName>
    <definedName name="_xlnm.Print_Area" localSheetId="74">'310 &amp; 491'!$A$1:$Z$158</definedName>
    <definedName name="_xlnm.Print_Area" localSheetId="56">'311'!$A$1:$Z$141</definedName>
    <definedName name="_xlnm.Print_Area" localSheetId="68">'313'!$A$1:$Z$97</definedName>
    <definedName name="_xlnm.Print_Area" localSheetId="54">'314'!$A$1:$Z$112</definedName>
    <definedName name="_xlnm.Print_Area" localSheetId="59">'315'!$A$1:$Z$133</definedName>
    <definedName name="_xlnm.Print_Area" localSheetId="62">'316'!$A$1:$Z$102</definedName>
    <definedName name="_xlnm.Print_Area" localSheetId="65">'317'!$A$1:$Z$125</definedName>
    <definedName name="_xlnm.Print_Area" localSheetId="63">'320'!$A$1:$Z$85</definedName>
    <definedName name="_xlnm.Print_Area" localSheetId="69">'321'!$A$1:$Z$92</definedName>
    <definedName name="_xlnm.Print_Area" localSheetId="70">'322'!$A$1:$Z$76</definedName>
    <definedName name="_xlnm.Print_Area" localSheetId="71">'323'!$A$1:$Z$32</definedName>
    <definedName name="_xlnm.Print_Area" localSheetId="57">'324'!$A$1:$Z$38</definedName>
    <definedName name="_xlnm.Print_Area" localSheetId="60">'326'!$A$1:$Z$140</definedName>
    <definedName name="_xlnm.Print_Area" localSheetId="72">'327'!$A$1:$Z$42</definedName>
    <definedName name="_xlnm.Print_Area" localSheetId="52">'330'!$A$1:$Z$154</definedName>
    <definedName name="_xlnm.Print_Area" localSheetId="58">'331'!$A$1:$Z$167</definedName>
    <definedName name="_xlnm.Print_Area" localSheetId="61">'332'!$A$1:$Z$120</definedName>
    <definedName name="_xlnm.Print_Area" localSheetId="76">'405'!$A$1:$Z$110</definedName>
    <definedName name="_xlnm.Print_Area" localSheetId="77">'406'!$A$1:$Z$98</definedName>
    <definedName name="_xlnm.Print_Area" localSheetId="78">'411'!$A$1:$Z$112</definedName>
    <definedName name="_xlnm.Print_Area" localSheetId="79">'412'!$A$1:$Z$100</definedName>
    <definedName name="_xlnm.Print_Area" localSheetId="81">'413'!$A$1:$Z$95</definedName>
    <definedName name="_xlnm.Print_Area" localSheetId="82">'414'!$A$1:$Z$96</definedName>
    <definedName name="_xlnm.Print_Area" localSheetId="83">'415'!$A$1:$Z$113</definedName>
    <definedName name="_xlnm.Print_Area" localSheetId="84">'418'!$A$1:$Z$108</definedName>
    <definedName name="_xlnm.Print_Area" localSheetId="80">'420'!$A$1:$Z$63</definedName>
    <definedName name="_xlnm.Print_Area" localSheetId="85">'423'!$A$1:$Z$65</definedName>
    <definedName name="_xlnm.Print_Area" localSheetId="86">'424'!$A$1:$Z$90</definedName>
    <definedName name="_xlnm.Print_Area" localSheetId="87">'425'!$A$1:$Z$107</definedName>
    <definedName name="_xlnm.Print_Area" localSheetId="90">'430'!$A$1:$Z$74</definedName>
    <definedName name="_xlnm.Print_Area" localSheetId="91">'433'!$A$1:$Z$104</definedName>
    <definedName name="_xlnm.Print_Area" localSheetId="92">'435'!$A$1:$Z$75</definedName>
    <definedName name="_xlnm.Print_Area" localSheetId="93">'444'!$A$1:$Z$103</definedName>
    <definedName name="_xlnm.Print_Area" localSheetId="94">'445'!$A$1:$Z$32</definedName>
    <definedName name="_xlnm.Print_Area" localSheetId="95">'450'!$A$1:$Z$105</definedName>
    <definedName name="_xlnm.Print_Area" localSheetId="88">'455'!$A$1:$Z$56</definedName>
    <definedName name="_xlnm.Print_Area" localSheetId="75">'491'!$A$1:$Z$147</definedName>
    <definedName name="_xlnm.Print_Area" localSheetId="89">'492'!$A$1:$Z$116</definedName>
    <definedName name="_xlnm.Print_Area" localSheetId="97">'501'!$A$1:$Z$86</definedName>
    <definedName name="_xlnm.Print_Area" localSheetId="98">Dept!$A$1:$Z$39</definedName>
    <definedName name="_xlnm.Print_Area" localSheetId="37">'Div 1'!$A$1:$Z$34</definedName>
    <definedName name="_xlnm.Print_Area" localSheetId="39">'Div 2'!$A$1:$Z$113</definedName>
    <definedName name="_xlnm.Print_Area" localSheetId="47">'Div 3'!$A$1:$Z$299</definedName>
    <definedName name="_xlnm.Print_Area" localSheetId="73">'Div 4'!$A$1:$Z$152</definedName>
    <definedName name="_xlnm.Print_Area" localSheetId="96">'Div 5'!$A$1:$Z$86</definedName>
    <definedName name="_xlnm.Print_Area" localSheetId="64">'Div 6'!$A$1:$Z$125</definedName>
    <definedName name="_xlnm.Print_Area" localSheetId="13">'OSR_300 &amp; 317_1C00ID4'!$A$1:$Z$39</definedName>
    <definedName name="_xlnm.Print_Area" localSheetId="14">'OSR_300 (2)_...6aa5a22d_14M6XO4'!$A$1:$Z$39</definedName>
    <definedName name="_xlnm.Print_Area" localSheetId="10">'OSR_300 (2)_7...54cb56fc_UFX0O2'!$A$1:$Z$39</definedName>
    <definedName name="_xlnm.Print_Area" localSheetId="16">'OSR_300 (2)_e...5d0da5bf_6BPGAO'!$A$1:$Z$39</definedName>
    <definedName name="_xlnm.Print_Area" localSheetId="11">OSR_300_IYZXI6!$A$1:$Z$39</definedName>
    <definedName name="_xlnm.Print_Area" localSheetId="22">'OSR_308 (2)_...47685838_1YQW4QY'!$A$1:$Z$39</definedName>
    <definedName name="_xlnm.Print_Area" localSheetId="19">OSR_308_UAWDAG!$A$1:$Z$39</definedName>
    <definedName name="_xlnm.Print_Area" localSheetId="27">'OSR_310 &amp; 491_1NGRCS9'!$A$1:$Z$39</definedName>
    <definedName name="_xlnm.Print_Area" localSheetId="18">'OSR_310 (2)_...6e684f08_1FLCNJG'!$A$1:$Z$39</definedName>
    <definedName name="_xlnm.Print_Area" localSheetId="26">'OSR_310 (2)_...8cac1423_1JTU33X'!$A$1:$Z$39</definedName>
    <definedName name="_xlnm.Print_Area" localSheetId="12">'OSR_310 (2)_5...3d931dee_QNK8R2'!$A$1:$Z$39</definedName>
    <definedName name="_xlnm.Print_Area" localSheetId="15">OSR_310_1CMTOSB!$A$1:$Z$39</definedName>
    <definedName name="_xlnm.Print_Area" localSheetId="20">'OSR_330 (2)_...8a14c83e_1NSH7XI'!$A$1:$Z$39</definedName>
    <definedName name="_xlnm.Print_Area" localSheetId="17">OSR_330_10VFP5Y!$A$1:$Z$39</definedName>
    <definedName name="_xlnm.Print_Area" localSheetId="24">'OSR_331 (2)_...7280af70_1P5SPLT'!$A$1:$Z$39</definedName>
    <definedName name="_xlnm.Print_Area" localSheetId="21">OSR_331_10VKQAJ!$A$1:$Z$39</definedName>
    <definedName name="_xlnm.Print_Area" localSheetId="23">OSR_332_6NDVBW!$A$1:$Z$39</definedName>
    <definedName name="_xlnm.Print_Area" localSheetId="28">'OSR_491 (2)_...853a34aa_1UNC34K'!$A$1:$Z$39</definedName>
    <definedName name="_xlnm.Print_Area" localSheetId="29">OSR_491_9Z9JH5!$A$1:$Z$39</definedName>
    <definedName name="_xlnm.Print_Area" localSheetId="34">'OSR_492 (2)_...cd97c6a6_13HYXEV'!$A$1:$Z$39</definedName>
    <definedName name="_xlnm.Print_Area" localSheetId="31">OSR_492_943FP1!$A$1:$Z$39</definedName>
    <definedName name="_xlnm.Print_Area" localSheetId="4">'OSR_Current ...69b7dd8c_1IEQKFK'!$A$1:$Z$39</definedName>
    <definedName name="_xlnm.Print_Area" localSheetId="99">OSR_Dept_Y0WUKY!$A$1:$Z$39</definedName>
    <definedName name="_xlnm.Print_Area" localSheetId="8">'OSR_Div 1 (2)...789fe994_2NV3KA'!$A$1:$Z$39</definedName>
    <definedName name="_xlnm.Print_Area" localSheetId="5">'OSR_Div 1_7H47HR'!$A$1:$Z$39</definedName>
    <definedName name="_xlnm.Print_Area" localSheetId="7">'OSR_Div 2_1PQ800A'!$A$1:$Z$39</definedName>
    <definedName name="_xlnm.Print_Area" localSheetId="6">'OSR_Div 3 (2)...4cb81c06_PBSMLS'!$A$1:$Z$39</definedName>
    <definedName name="_xlnm.Print_Area" localSheetId="9">'OSR_Div 3_18723PH'!$A$1:$Z$39</definedName>
    <definedName name="_xlnm.Print_Area" localSheetId="32">'OSR_Div 4 (2)...1a9a4454_CQFRNE'!$A$1:$Z$39</definedName>
    <definedName name="_xlnm.Print_Area" localSheetId="30">'OSR_Div 4 (2...2533da42_174R6QX'!$A$1:$Z$39</definedName>
    <definedName name="_xlnm.Print_Area" localSheetId="25">'OSR_Div 4_1740TMT'!$A$1:$Z$39</definedName>
    <definedName name="_xlnm.Print_Area" localSheetId="36">'OSR_Div 5 (2)...32d16c57_IVJ1QO'!$A$1:$Z$39</definedName>
    <definedName name="_xlnm.Print_Area" localSheetId="33">'OSR_Div 5_16NAZO2'!$A$1:$Z$39</definedName>
    <definedName name="_xlnm.Print_Area" localSheetId="35">'OSR_Div 6_P37YY7'!$A$1:$Z$39</definedName>
    <definedName name="_xlnm.Print_Area" localSheetId="100">'OSR_Summary (...56e5d78f_5JEYZH'!$A$1:$Z$39</definedName>
    <definedName name="_xlnm.Print_Area" localSheetId="3">OSR_Summary_18VAVWG!$A$1:$Z$39</definedName>
    <definedName name="_xlnm.Print_Area" localSheetId="2">Summary!$A$1:$Z$342</definedName>
    <definedName name="_xlnm.Print_Titles" localSheetId="38">'100'!$A:$C,'100'!$1:$10</definedName>
    <definedName name="_xlnm.Print_Titles" localSheetId="40">'200'!$A:$C,'200'!$1:$10</definedName>
    <definedName name="_xlnm.Print_Titles" localSheetId="41">'201'!$A:$C,'201'!$1:$10</definedName>
    <definedName name="_xlnm.Print_Titles" localSheetId="42">'202'!$A:$C,'202'!$1:$10</definedName>
    <definedName name="_xlnm.Print_Titles" localSheetId="43">'203'!$A:$C,'203'!$1:$10</definedName>
    <definedName name="_xlnm.Print_Titles" localSheetId="44">'204'!$A:$C,'204'!$1:$10</definedName>
    <definedName name="_xlnm.Print_Titles" localSheetId="45">'205'!$A:$C,'205'!$1:$10</definedName>
    <definedName name="_xlnm.Print_Titles" localSheetId="46">'206'!$A:$C,'206'!$1:$10</definedName>
    <definedName name="_xlnm.Print_Titles" localSheetId="48">'300'!$A:$C,'300'!$1:$10</definedName>
    <definedName name="_xlnm.Print_Titles" localSheetId="49">'300 &amp; 317'!$A:$C,'300 &amp; 317'!$1:$10</definedName>
    <definedName name="_xlnm.Print_Titles" localSheetId="50">'301'!$A:$C,'301'!$1:$10</definedName>
    <definedName name="_xlnm.Print_Titles" localSheetId="51">'306'!$A:$C,'306'!$1:$10</definedName>
    <definedName name="_xlnm.Print_Titles" localSheetId="53">'307'!$A:$C,'307'!$1:$10</definedName>
    <definedName name="_xlnm.Print_Titles" localSheetId="55">'308'!$A:$C,'308'!$1:$10</definedName>
    <definedName name="_xlnm.Print_Titles" localSheetId="67">'309'!$A:$C,'309'!$1:$10</definedName>
    <definedName name="_xlnm.Print_Titles" localSheetId="66">'310'!$A:$C,'310'!$1:$10</definedName>
    <definedName name="_xlnm.Print_Titles" localSheetId="74">'310 &amp; 491'!$A:$C,'310 &amp; 491'!$1:$10</definedName>
    <definedName name="_xlnm.Print_Titles" localSheetId="56">'311'!$A:$C,'311'!$1:$10</definedName>
    <definedName name="_xlnm.Print_Titles" localSheetId="68">'313'!$A:$C,'313'!$1:$10</definedName>
    <definedName name="_xlnm.Print_Titles" localSheetId="54">'314'!$A:$C,'314'!$1:$10</definedName>
    <definedName name="_xlnm.Print_Titles" localSheetId="59">'315'!$A:$C,'315'!$1:$10</definedName>
    <definedName name="_xlnm.Print_Titles" localSheetId="62">'316'!$A:$C,'316'!$1:$10</definedName>
    <definedName name="_xlnm.Print_Titles" localSheetId="65">'317'!$A:$C,'317'!$1:$10</definedName>
    <definedName name="_xlnm.Print_Titles" localSheetId="63">'320'!$A:$C,'320'!$1:$10</definedName>
    <definedName name="_xlnm.Print_Titles" localSheetId="69">'321'!$A:$C,'321'!$1:$10</definedName>
    <definedName name="_xlnm.Print_Titles" localSheetId="70">'322'!$A:$C,'322'!$1:$10</definedName>
    <definedName name="_xlnm.Print_Titles" localSheetId="71">'323'!$A:$C,'323'!$1:$10</definedName>
    <definedName name="_xlnm.Print_Titles" localSheetId="57">'324'!$A:$C,'324'!$1:$10</definedName>
    <definedName name="_xlnm.Print_Titles" localSheetId="60">'326'!$A:$C,'326'!$1:$10</definedName>
    <definedName name="_xlnm.Print_Titles" localSheetId="72">'327'!$A:$C,'327'!$1:$10</definedName>
    <definedName name="_xlnm.Print_Titles" localSheetId="52">'330'!$A:$C,'330'!$1:$10</definedName>
    <definedName name="_xlnm.Print_Titles" localSheetId="58">'331'!$A:$C,'331'!$1:$10</definedName>
    <definedName name="_xlnm.Print_Titles" localSheetId="61">'332'!$A:$C,'332'!$1:$10</definedName>
    <definedName name="_xlnm.Print_Titles" localSheetId="76">'405'!$A:$C,'405'!$1:$10</definedName>
    <definedName name="_xlnm.Print_Titles" localSheetId="77">'406'!$A:$C,'406'!$1:$10</definedName>
    <definedName name="_xlnm.Print_Titles" localSheetId="78">'411'!$A:$C,'411'!$1:$10</definedName>
    <definedName name="_xlnm.Print_Titles" localSheetId="79">'412'!$A:$C,'412'!$1:$10</definedName>
    <definedName name="_xlnm.Print_Titles" localSheetId="81">'413'!$A:$C,'413'!$1:$10</definedName>
    <definedName name="_xlnm.Print_Titles" localSheetId="82">'414'!$A:$C,'414'!$1:$10</definedName>
    <definedName name="_xlnm.Print_Titles" localSheetId="83">'415'!$A:$C,'415'!$1:$10</definedName>
    <definedName name="_xlnm.Print_Titles" localSheetId="84">'418'!$A:$C,'418'!$1:$10</definedName>
    <definedName name="_xlnm.Print_Titles" localSheetId="80">'420'!$A:$C,'420'!$1:$10</definedName>
    <definedName name="_xlnm.Print_Titles" localSheetId="85">'423'!$A:$C,'423'!$1:$10</definedName>
    <definedName name="_xlnm.Print_Titles" localSheetId="86">'424'!$A:$C,'424'!$1:$10</definedName>
    <definedName name="_xlnm.Print_Titles" localSheetId="87">'425'!$A:$C,'425'!$1:$10</definedName>
    <definedName name="_xlnm.Print_Titles" localSheetId="90">'430'!$A:$C,'430'!$1:$10</definedName>
    <definedName name="_xlnm.Print_Titles" localSheetId="91">'433'!$A:$C,'433'!$1:$10</definedName>
    <definedName name="_xlnm.Print_Titles" localSheetId="92">'435'!$A:$C,'435'!$1:$10</definedName>
    <definedName name="_xlnm.Print_Titles" localSheetId="93">'444'!$A:$C,'444'!$1:$10</definedName>
    <definedName name="_xlnm.Print_Titles" localSheetId="94">'445'!$A:$C,'445'!$1:$10</definedName>
    <definedName name="_xlnm.Print_Titles" localSheetId="95">'450'!$A:$C,'450'!$1:$10</definedName>
    <definedName name="_xlnm.Print_Titles" localSheetId="88">'455'!$A:$C,'455'!$1:$10</definedName>
    <definedName name="_xlnm.Print_Titles" localSheetId="75">'491'!$A:$C,'491'!$1:$10</definedName>
    <definedName name="_xlnm.Print_Titles" localSheetId="89">'492'!$A:$C,'492'!$1:$10</definedName>
    <definedName name="_xlnm.Print_Titles" localSheetId="97">'501'!$A:$C,'501'!$1:$10</definedName>
    <definedName name="_xlnm.Print_Titles" localSheetId="98">Dept!$A:$C,Dept!$1:$10</definedName>
    <definedName name="_xlnm.Print_Titles" localSheetId="37">'Div 1'!$A:$C,'Div 1'!$1:$10</definedName>
    <definedName name="_xlnm.Print_Titles" localSheetId="39">'Div 2'!$A:$C,'Div 2'!$1:$10</definedName>
    <definedName name="_xlnm.Print_Titles" localSheetId="47">'Div 3'!$A:$C,'Div 3'!$1:$10</definedName>
    <definedName name="_xlnm.Print_Titles" localSheetId="73">'Div 4'!$A:$C,'Div 4'!$1:$10</definedName>
    <definedName name="_xlnm.Print_Titles" localSheetId="96">'Div 5'!$A:$C,'Div 5'!$1:$10</definedName>
    <definedName name="_xlnm.Print_Titles" localSheetId="64">'Div 6'!$A:$C,'Div 6'!$1:$10</definedName>
    <definedName name="_xlnm.Print_Titles" localSheetId="13">'OSR_300 &amp; 317_1C00ID4'!$A:$C,'OSR_300 &amp; 317_1C00ID4'!$1:$10</definedName>
    <definedName name="_xlnm.Print_Titles" localSheetId="14">'OSR_300 (2)_...6aa5a22d_14M6XO4'!$A:$C,'OSR_300 (2)_...6aa5a22d_14M6XO4'!$1:$10</definedName>
    <definedName name="_xlnm.Print_Titles" localSheetId="10">'OSR_300 (2)_7...54cb56fc_UFX0O2'!$A:$C,'OSR_300 (2)_7...54cb56fc_UFX0O2'!$1:$10</definedName>
    <definedName name="_xlnm.Print_Titles" localSheetId="16">'OSR_300 (2)_e...5d0da5bf_6BPGAO'!$A:$C,'OSR_300 (2)_e...5d0da5bf_6BPGAO'!$1:$10</definedName>
    <definedName name="_xlnm.Print_Titles" localSheetId="11">OSR_300_IYZXI6!$A:$C,OSR_300_IYZXI6!$1:$10</definedName>
    <definedName name="_xlnm.Print_Titles" localSheetId="22">'OSR_308 (2)_...47685838_1YQW4QY'!$A:$C,'OSR_308 (2)_...47685838_1YQW4QY'!$1:$10</definedName>
    <definedName name="_xlnm.Print_Titles" localSheetId="19">OSR_308_UAWDAG!$A:$C,OSR_308_UAWDAG!$1:$10</definedName>
    <definedName name="_xlnm.Print_Titles" localSheetId="27">'OSR_310 &amp; 491_1NGRCS9'!$A:$C,'OSR_310 &amp; 491_1NGRCS9'!$1:$10</definedName>
    <definedName name="_xlnm.Print_Titles" localSheetId="18">'OSR_310 (2)_...6e684f08_1FLCNJG'!$A:$C,'OSR_310 (2)_...6e684f08_1FLCNJG'!$1:$10</definedName>
    <definedName name="_xlnm.Print_Titles" localSheetId="26">'OSR_310 (2)_...8cac1423_1JTU33X'!$A:$C,'OSR_310 (2)_...8cac1423_1JTU33X'!$1:$10</definedName>
    <definedName name="_xlnm.Print_Titles" localSheetId="12">'OSR_310 (2)_5...3d931dee_QNK8R2'!$A:$C,'OSR_310 (2)_5...3d931dee_QNK8R2'!$1:$10</definedName>
    <definedName name="_xlnm.Print_Titles" localSheetId="15">OSR_310_1CMTOSB!$A:$C,OSR_310_1CMTOSB!$1:$10</definedName>
    <definedName name="_xlnm.Print_Titles" localSheetId="20">'OSR_330 (2)_...8a14c83e_1NSH7XI'!$A:$C,'OSR_330 (2)_...8a14c83e_1NSH7XI'!$1:$10</definedName>
    <definedName name="_xlnm.Print_Titles" localSheetId="17">OSR_330_10VFP5Y!$A:$C,OSR_330_10VFP5Y!$1:$10</definedName>
    <definedName name="_xlnm.Print_Titles" localSheetId="24">'OSR_331 (2)_...7280af70_1P5SPLT'!$A:$C,'OSR_331 (2)_...7280af70_1P5SPLT'!$1:$10</definedName>
    <definedName name="_xlnm.Print_Titles" localSheetId="21">OSR_331_10VKQAJ!$A:$C,OSR_331_10VKQAJ!$1:$10</definedName>
    <definedName name="_xlnm.Print_Titles" localSheetId="23">OSR_332_6NDVBW!$A:$C,OSR_332_6NDVBW!$1:$10</definedName>
    <definedName name="_xlnm.Print_Titles" localSheetId="28">'OSR_491 (2)_...853a34aa_1UNC34K'!$A:$C,'OSR_491 (2)_...853a34aa_1UNC34K'!$1:$10</definedName>
    <definedName name="_xlnm.Print_Titles" localSheetId="29">OSR_491_9Z9JH5!$A:$C,OSR_491_9Z9JH5!$1:$10</definedName>
    <definedName name="_xlnm.Print_Titles" localSheetId="34">'OSR_492 (2)_...cd97c6a6_13HYXEV'!$A:$C,'OSR_492 (2)_...cd97c6a6_13HYXEV'!$1:$10</definedName>
    <definedName name="_xlnm.Print_Titles" localSheetId="31">OSR_492_943FP1!$A:$C,OSR_492_943FP1!$1:$10</definedName>
    <definedName name="_xlnm.Print_Titles" localSheetId="4">'OSR_Current ...69b7dd8c_1IEQKFK'!$A:$C,'OSR_Current ...69b7dd8c_1IEQKFK'!$1:$10</definedName>
    <definedName name="_xlnm.Print_Titles" localSheetId="99">OSR_Dept_Y0WUKY!$A:$C,OSR_Dept_Y0WUKY!$1:$10</definedName>
    <definedName name="_xlnm.Print_Titles" localSheetId="8">'OSR_Div 1 (2)...789fe994_2NV3KA'!$A:$C,'OSR_Div 1 (2)...789fe994_2NV3KA'!$1:$10</definedName>
    <definedName name="_xlnm.Print_Titles" localSheetId="5">'OSR_Div 1_7H47HR'!$A:$C,'OSR_Div 1_7H47HR'!$1:$10</definedName>
    <definedName name="_xlnm.Print_Titles" localSheetId="7">'OSR_Div 2_1PQ800A'!$A:$C,'OSR_Div 2_1PQ800A'!$1:$10</definedName>
    <definedName name="_xlnm.Print_Titles" localSheetId="6">'OSR_Div 3 (2)...4cb81c06_PBSMLS'!$A:$C,'OSR_Div 3 (2)...4cb81c06_PBSMLS'!$1:$10</definedName>
    <definedName name="_xlnm.Print_Titles" localSheetId="9">'OSR_Div 3_18723PH'!$A:$C,'OSR_Div 3_18723PH'!$1:$10</definedName>
    <definedName name="_xlnm.Print_Titles" localSheetId="32">'OSR_Div 4 (2)...1a9a4454_CQFRNE'!$A:$C,'OSR_Div 4 (2)...1a9a4454_CQFRNE'!$1:$10</definedName>
    <definedName name="_xlnm.Print_Titles" localSheetId="30">'OSR_Div 4 (2...2533da42_174R6QX'!$A:$C,'OSR_Div 4 (2...2533da42_174R6QX'!$1:$10</definedName>
    <definedName name="_xlnm.Print_Titles" localSheetId="25">'OSR_Div 4_1740TMT'!$A:$C,'OSR_Div 4_1740TMT'!$1:$10</definedName>
    <definedName name="_xlnm.Print_Titles" localSheetId="36">'OSR_Div 5 (2)...32d16c57_IVJ1QO'!$A:$C,'OSR_Div 5 (2)...32d16c57_IVJ1QO'!$1:$10</definedName>
    <definedName name="_xlnm.Print_Titles" localSheetId="33">'OSR_Div 5_16NAZO2'!$A:$C,'OSR_Div 5_16NAZO2'!$1:$10</definedName>
    <definedName name="_xlnm.Print_Titles" localSheetId="35">'OSR_Div 6_P37YY7'!$A:$C,'OSR_Div 6_P37YY7'!$1:$10</definedName>
    <definedName name="_xlnm.Print_Titles" localSheetId="100">'OSR_Summary (...56e5d78f_5JEYZH'!$A:$C,'OSR_Summary (...56e5d78f_5JEYZH'!$1:$10</definedName>
    <definedName name="_xlnm.Print_Titles" localSheetId="3">OSR_Summary_18VAVWG!$A:$C,OSR_Summary_18VAVWG!$1:$10</definedName>
    <definedName name="_xlnm.Print_Titles" localSheetId="2">Summary!$A:$C,Summary!$1:$10</definedName>
  </definedNames>
  <calcPr calcId="162913"/>
</workbook>
</file>

<file path=xl/calcChain.xml><?xml version="1.0" encoding="utf-8"?>
<calcChain xmlns="http://schemas.openxmlformats.org/spreadsheetml/2006/main">
  <c r="X78" i="109" l="1"/>
  <c r="Z78" i="109" s="1"/>
  <c r="L78" i="109"/>
  <c r="N78" i="109" s="1"/>
  <c r="P74" i="109"/>
  <c r="X74" i="109" s="1"/>
  <c r="Z74" i="109" s="1"/>
  <c r="D74" i="109"/>
  <c r="B74" i="109"/>
  <c r="X73" i="109"/>
  <c r="T73" i="109"/>
  <c r="Z73" i="109" s="1"/>
  <c r="P73" i="109"/>
  <c r="H73" i="109"/>
  <c r="Z71" i="109"/>
  <c r="X71" i="109"/>
  <c r="N71" i="109"/>
  <c r="L71" i="109"/>
  <c r="B71" i="109"/>
  <c r="T70" i="109"/>
  <c r="P70" i="109"/>
  <c r="H70" i="109"/>
  <c r="N70" i="109" s="1"/>
  <c r="D70" i="109"/>
  <c r="L70" i="109" s="1"/>
  <c r="B70" i="109"/>
  <c r="Z69" i="109"/>
  <c r="X69" i="109"/>
  <c r="V69" i="109"/>
  <c r="N69" i="109"/>
  <c r="L69" i="109"/>
  <c r="B69" i="109"/>
  <c r="T68" i="109"/>
  <c r="P68" i="109"/>
  <c r="H68" i="109"/>
  <c r="D68" i="109"/>
  <c r="L68" i="109" s="1"/>
  <c r="N68" i="109" s="1"/>
  <c r="B68" i="109"/>
  <c r="Z67" i="109"/>
  <c r="X67" i="109"/>
  <c r="V67" i="109"/>
  <c r="N67" i="109"/>
  <c r="L67" i="109"/>
  <c r="B67" i="109"/>
  <c r="Z66" i="109"/>
  <c r="X66" i="109"/>
  <c r="N66" i="109"/>
  <c r="L66" i="109"/>
  <c r="B66" i="109"/>
  <c r="Z65" i="109"/>
  <c r="X65" i="109"/>
  <c r="L65" i="109"/>
  <c r="N65" i="109" s="1"/>
  <c r="B65" i="109"/>
  <c r="X64" i="109"/>
  <c r="Z64" i="109" s="1"/>
  <c r="V64" i="109"/>
  <c r="T64" i="109"/>
  <c r="P64" i="109"/>
  <c r="L64" i="109"/>
  <c r="H64" i="109"/>
  <c r="D64" i="109"/>
  <c r="B64" i="109"/>
  <c r="Z63" i="109"/>
  <c r="X63" i="109"/>
  <c r="N63" i="109"/>
  <c r="L63" i="109"/>
  <c r="B63" i="109"/>
  <c r="Z62" i="109"/>
  <c r="X62" i="109"/>
  <c r="T62" i="109"/>
  <c r="P62" i="109"/>
  <c r="H62" i="109"/>
  <c r="N62" i="109" s="1"/>
  <c r="D62" i="109"/>
  <c r="L62" i="109" s="1"/>
  <c r="B62" i="109"/>
  <c r="Z61" i="109"/>
  <c r="X61" i="109"/>
  <c r="R61" i="109"/>
  <c r="N61" i="109"/>
  <c r="L61" i="109"/>
  <c r="B61" i="109"/>
  <c r="Z60" i="109"/>
  <c r="X60" i="109"/>
  <c r="N60" i="109"/>
  <c r="L60" i="109"/>
  <c r="B60" i="109"/>
  <c r="Z59" i="109"/>
  <c r="X59" i="109"/>
  <c r="L59" i="109"/>
  <c r="N59" i="109" s="1"/>
  <c r="B59" i="109"/>
  <c r="Z58" i="109"/>
  <c r="X58" i="109"/>
  <c r="N58" i="109"/>
  <c r="L58" i="109"/>
  <c r="J58" i="109"/>
  <c r="B58" i="109"/>
  <c r="T57" i="109"/>
  <c r="X57" i="109" s="1"/>
  <c r="P57" i="109"/>
  <c r="H57" i="109"/>
  <c r="D57" i="109"/>
  <c r="B57" i="109"/>
  <c r="X56" i="109"/>
  <c r="Z56" i="109" s="1"/>
  <c r="L56" i="109"/>
  <c r="N56" i="109" s="1"/>
  <c r="B56" i="109"/>
  <c r="T55" i="109"/>
  <c r="P55" i="109"/>
  <c r="X55" i="109" s="1"/>
  <c r="Z55" i="109" s="1"/>
  <c r="H55" i="109"/>
  <c r="D55" i="109"/>
  <c r="L55" i="109" s="1"/>
  <c r="N55" i="109" s="1"/>
  <c r="B55" i="109"/>
  <c r="X54" i="109"/>
  <c r="Z54" i="109" s="1"/>
  <c r="N54" i="109"/>
  <c r="L54" i="109"/>
  <c r="B54" i="109"/>
  <c r="T53" i="109"/>
  <c r="P53" i="109"/>
  <c r="L53" i="109"/>
  <c r="N53" i="109" s="1"/>
  <c r="H53" i="109"/>
  <c r="D53" i="109"/>
  <c r="B53" i="109"/>
  <c r="Z52" i="109"/>
  <c r="X52" i="109"/>
  <c r="L52" i="109"/>
  <c r="N52" i="109" s="1"/>
  <c r="B52" i="109"/>
  <c r="T51" i="109"/>
  <c r="P51" i="109"/>
  <c r="X51" i="109" s="1"/>
  <c r="N51" i="109"/>
  <c r="H51" i="109"/>
  <c r="L51" i="109" s="1"/>
  <c r="D51" i="109"/>
  <c r="B51" i="109"/>
  <c r="X50" i="109"/>
  <c r="Z50" i="109" s="1"/>
  <c r="N50" i="109"/>
  <c r="L50" i="109"/>
  <c r="B50" i="109"/>
  <c r="T49" i="109"/>
  <c r="P49" i="109"/>
  <c r="X49" i="109" s="1"/>
  <c r="H49" i="109"/>
  <c r="D49" i="109"/>
  <c r="L49" i="109" s="1"/>
  <c r="N49" i="109" s="1"/>
  <c r="B49" i="109"/>
  <c r="X48" i="109"/>
  <c r="Z48" i="109" s="1"/>
  <c r="V48" i="109"/>
  <c r="L48" i="109"/>
  <c r="N48" i="109" s="1"/>
  <c r="B48" i="109"/>
  <c r="X47" i="109"/>
  <c r="Z47" i="109" s="1"/>
  <c r="T47" i="109"/>
  <c r="P47" i="109"/>
  <c r="L47" i="109"/>
  <c r="N47" i="109" s="1"/>
  <c r="H47" i="109"/>
  <c r="D47" i="109"/>
  <c r="B47" i="109"/>
  <c r="Z46" i="109"/>
  <c r="X46" i="109"/>
  <c r="L46" i="109"/>
  <c r="N46" i="109" s="1"/>
  <c r="B46" i="109"/>
  <c r="T45" i="109"/>
  <c r="X45" i="109" s="1"/>
  <c r="P45" i="109"/>
  <c r="H45" i="109"/>
  <c r="D45" i="109"/>
  <c r="L45" i="109" s="1"/>
  <c r="B45" i="109"/>
  <c r="X44" i="109"/>
  <c r="Z44" i="109" s="1"/>
  <c r="V44" i="109"/>
  <c r="L44" i="109"/>
  <c r="N44" i="109" s="1"/>
  <c r="B44" i="109"/>
  <c r="X43" i="109"/>
  <c r="Z43" i="109" s="1"/>
  <c r="T43" i="109"/>
  <c r="P43" i="109"/>
  <c r="H43" i="109"/>
  <c r="D43" i="109"/>
  <c r="B43" i="109"/>
  <c r="X42" i="109"/>
  <c r="Z42" i="109" s="1"/>
  <c r="N42" i="109"/>
  <c r="L42" i="109"/>
  <c r="B42" i="109"/>
  <c r="T41" i="109"/>
  <c r="P41" i="109"/>
  <c r="L41" i="109"/>
  <c r="N41" i="109" s="1"/>
  <c r="H41" i="109"/>
  <c r="D41" i="109"/>
  <c r="B41" i="109"/>
  <c r="Z40" i="109"/>
  <c r="X40" i="109"/>
  <c r="N40" i="109"/>
  <c r="L40" i="109"/>
  <c r="B40" i="109"/>
  <c r="Z39" i="109"/>
  <c r="X39" i="109"/>
  <c r="N39" i="109"/>
  <c r="L39" i="109"/>
  <c r="B39" i="109"/>
  <c r="Z38" i="109"/>
  <c r="X38" i="109"/>
  <c r="L38" i="109"/>
  <c r="N38" i="109" s="1"/>
  <c r="B38" i="109"/>
  <c r="X37" i="109"/>
  <c r="Z37" i="109" s="1"/>
  <c r="N37" i="109"/>
  <c r="L37" i="109"/>
  <c r="B37" i="109"/>
  <c r="Z36" i="109"/>
  <c r="X36" i="109"/>
  <c r="N36" i="109"/>
  <c r="L36" i="109"/>
  <c r="B36" i="109"/>
  <c r="Z35" i="109"/>
  <c r="X35" i="109"/>
  <c r="N35" i="109"/>
  <c r="L35" i="109"/>
  <c r="B35" i="109"/>
  <c r="Z34" i="109"/>
  <c r="X34" i="109"/>
  <c r="L34" i="109"/>
  <c r="N34" i="109" s="1"/>
  <c r="B34" i="109"/>
  <c r="Z33" i="109"/>
  <c r="X33" i="109"/>
  <c r="N33" i="109"/>
  <c r="L33" i="109"/>
  <c r="B33" i="109"/>
  <c r="Z32" i="109"/>
  <c r="X32" i="109"/>
  <c r="N32" i="109"/>
  <c r="L32" i="109"/>
  <c r="B32" i="109"/>
  <c r="Z31" i="109"/>
  <c r="X31" i="109"/>
  <c r="R31" i="109"/>
  <c r="N31" i="109"/>
  <c r="L31" i="109"/>
  <c r="B31" i="109"/>
  <c r="T30" i="109"/>
  <c r="P30" i="109"/>
  <c r="X30" i="109" s="1"/>
  <c r="Z30" i="109" s="1"/>
  <c r="H30" i="109"/>
  <c r="D30" i="109"/>
  <c r="L30" i="109" s="1"/>
  <c r="B30" i="109"/>
  <c r="X29" i="109"/>
  <c r="Z29" i="109" s="1"/>
  <c r="N29" i="109"/>
  <c r="L29" i="109"/>
  <c r="B29" i="109"/>
  <c r="X28" i="109"/>
  <c r="Z28" i="109" s="1"/>
  <c r="L28" i="109"/>
  <c r="N28" i="109" s="1"/>
  <c r="B28" i="109"/>
  <c r="Z27" i="109"/>
  <c r="X27" i="109"/>
  <c r="L27" i="109"/>
  <c r="N27" i="109" s="1"/>
  <c r="B27" i="109"/>
  <c r="Z26" i="109"/>
  <c r="X26" i="109"/>
  <c r="R26" i="109"/>
  <c r="N26" i="109"/>
  <c r="L26" i="109"/>
  <c r="B26" i="109"/>
  <c r="X25" i="109"/>
  <c r="Z25" i="109" s="1"/>
  <c r="V25" i="109"/>
  <c r="R25" i="109"/>
  <c r="N25" i="109"/>
  <c r="L25" i="109"/>
  <c r="B25" i="109"/>
  <c r="Z24" i="109"/>
  <c r="X24" i="109"/>
  <c r="L24" i="109"/>
  <c r="N24" i="109" s="1"/>
  <c r="B24" i="109"/>
  <c r="Z23" i="109"/>
  <c r="X23" i="109"/>
  <c r="R23" i="109"/>
  <c r="L23" i="109"/>
  <c r="N23" i="109" s="1"/>
  <c r="B23" i="109"/>
  <c r="X22" i="109"/>
  <c r="Z22" i="109" s="1"/>
  <c r="R22" i="109"/>
  <c r="N22" i="109"/>
  <c r="L22" i="109"/>
  <c r="B22" i="109"/>
  <c r="X21" i="109"/>
  <c r="Z21" i="109" s="1"/>
  <c r="L21" i="109"/>
  <c r="N21" i="109" s="1"/>
  <c r="B21" i="109"/>
  <c r="T20" i="109"/>
  <c r="P20" i="109"/>
  <c r="X20" i="109" s="1"/>
  <c r="Z20" i="109" s="1"/>
  <c r="H20" i="109"/>
  <c r="D20" i="109"/>
  <c r="L20" i="109" s="1"/>
  <c r="N20" i="109" s="1"/>
  <c r="B20" i="109"/>
  <c r="T19" i="109"/>
  <c r="P19" i="109"/>
  <c r="H19" i="109"/>
  <c r="N19" i="109" s="1"/>
  <c r="D19" i="109"/>
  <c r="L19" i="109" s="1"/>
  <c r="Z15" i="109"/>
  <c r="T15" i="109"/>
  <c r="P15" i="109"/>
  <c r="L15" i="109"/>
  <c r="H15" i="109"/>
  <c r="N15" i="109" s="1"/>
  <c r="D15" i="109"/>
  <c r="X13" i="109"/>
  <c r="Z13" i="109" s="1"/>
  <c r="P13" i="109"/>
  <c r="D13" i="109"/>
  <c r="B13" i="109"/>
  <c r="T12" i="109"/>
  <c r="V66" i="109" s="1"/>
  <c r="P12" i="109"/>
  <c r="R51" i="109" s="1"/>
  <c r="H12" i="109"/>
  <c r="D6" i="109"/>
  <c r="D4" i="109"/>
  <c r="F53" i="108"/>
  <c r="R50" i="108"/>
  <c r="Z48" i="108"/>
  <c r="X48" i="108"/>
  <c r="R48" i="108"/>
  <c r="N48" i="108"/>
  <c r="L48" i="108"/>
  <c r="R46" i="108"/>
  <c r="F46" i="108"/>
  <c r="Z44" i="108"/>
  <c r="R44" i="108"/>
  <c r="P44" i="108"/>
  <c r="X44" i="108" s="1"/>
  <c r="N44" i="108"/>
  <c r="D44" i="108"/>
  <c r="L44" i="108" s="1"/>
  <c r="B44" i="108"/>
  <c r="Z43" i="108"/>
  <c r="P43" i="108"/>
  <c r="X43" i="108" s="1"/>
  <c r="N43" i="108"/>
  <c r="D43" i="108"/>
  <c r="L43" i="108" s="1"/>
  <c r="B43" i="108"/>
  <c r="Z42" i="108"/>
  <c r="V42" i="108"/>
  <c r="P42" i="108"/>
  <c r="X42" i="108" s="1"/>
  <c r="L42" i="108"/>
  <c r="N42" i="108" s="1"/>
  <c r="F42" i="108"/>
  <c r="D42" i="108"/>
  <c r="B42" i="108"/>
  <c r="X41" i="108"/>
  <c r="Z41" i="108" s="1"/>
  <c r="R41" i="108"/>
  <c r="P41" i="108"/>
  <c r="D41" i="108"/>
  <c r="B41" i="108"/>
  <c r="V40" i="108"/>
  <c r="T40" i="108"/>
  <c r="R40" i="108"/>
  <c r="H40" i="108"/>
  <c r="F40" i="108"/>
  <c r="Z38" i="108"/>
  <c r="X38" i="108"/>
  <c r="N38" i="108"/>
  <c r="L38" i="108"/>
  <c r="B38" i="108"/>
  <c r="Z37" i="108"/>
  <c r="X37" i="108"/>
  <c r="N37" i="108"/>
  <c r="L37" i="108"/>
  <c r="F37" i="108"/>
  <c r="B37" i="108"/>
  <c r="Z36" i="108"/>
  <c r="X36" i="108"/>
  <c r="N36" i="108"/>
  <c r="L36" i="108"/>
  <c r="B36" i="108"/>
  <c r="Z35" i="108"/>
  <c r="X35" i="108"/>
  <c r="N35" i="108"/>
  <c r="L35" i="108"/>
  <c r="F35" i="108"/>
  <c r="B35" i="108"/>
  <c r="Z34" i="108"/>
  <c r="X34" i="108"/>
  <c r="N34" i="108"/>
  <c r="L34" i="108"/>
  <c r="B34" i="108"/>
  <c r="Z33" i="108"/>
  <c r="X33" i="108"/>
  <c r="N33" i="108"/>
  <c r="L33" i="108"/>
  <c r="F33" i="108"/>
  <c r="B33" i="108"/>
  <c r="Z32" i="108"/>
  <c r="X32" i="108"/>
  <c r="N32" i="108"/>
  <c r="L32" i="108"/>
  <c r="B32" i="108"/>
  <c r="Z31" i="108"/>
  <c r="X31" i="108"/>
  <c r="N31" i="108"/>
  <c r="L31" i="108"/>
  <c r="F31" i="108"/>
  <c r="B31" i="108"/>
  <c r="Z30" i="108"/>
  <c r="X30" i="108"/>
  <c r="N30" i="108"/>
  <c r="L30" i="108"/>
  <c r="B30" i="108"/>
  <c r="X29" i="108"/>
  <c r="Z29" i="108" s="1"/>
  <c r="L29" i="108"/>
  <c r="N29" i="108" s="1"/>
  <c r="F29" i="108"/>
  <c r="B29" i="108"/>
  <c r="T28" i="108"/>
  <c r="Z28" i="108" s="1"/>
  <c r="R28" i="108"/>
  <c r="P28" i="108"/>
  <c r="X28" i="108" s="1"/>
  <c r="H28" i="108"/>
  <c r="F28" i="108"/>
  <c r="D28" i="108"/>
  <c r="L28" i="108" s="1"/>
  <c r="N28" i="108" s="1"/>
  <c r="B28" i="108"/>
  <c r="Z27" i="108"/>
  <c r="X27" i="108"/>
  <c r="R27" i="108"/>
  <c r="N27" i="108"/>
  <c r="L27" i="108"/>
  <c r="F27" i="108"/>
  <c r="B27" i="108"/>
  <c r="Z26" i="108"/>
  <c r="X26" i="108"/>
  <c r="N26" i="108"/>
  <c r="L26" i="108"/>
  <c r="F26" i="108"/>
  <c r="B26" i="108"/>
  <c r="Z25" i="108"/>
  <c r="X25" i="108"/>
  <c r="R25" i="108"/>
  <c r="N25" i="108"/>
  <c r="L25" i="108"/>
  <c r="F25" i="108"/>
  <c r="B25" i="108"/>
  <c r="Z24" i="108"/>
  <c r="X24" i="108"/>
  <c r="N24" i="108"/>
  <c r="L24" i="108"/>
  <c r="J24" i="108"/>
  <c r="F24" i="108"/>
  <c r="B24" i="108"/>
  <c r="X23" i="108"/>
  <c r="Z23" i="108" s="1"/>
  <c r="R23" i="108"/>
  <c r="L23" i="108"/>
  <c r="N23" i="108" s="1"/>
  <c r="F23" i="108"/>
  <c r="B23" i="108"/>
  <c r="Z22" i="108"/>
  <c r="X22" i="108"/>
  <c r="N22" i="108"/>
  <c r="L22" i="108"/>
  <c r="J22" i="108"/>
  <c r="F22" i="108"/>
  <c r="B22" i="108"/>
  <c r="Z21" i="108"/>
  <c r="X21" i="108"/>
  <c r="R21" i="108"/>
  <c r="N21" i="108"/>
  <c r="L21" i="108"/>
  <c r="F21" i="108"/>
  <c r="B21" i="108"/>
  <c r="Z20" i="108"/>
  <c r="X20" i="108"/>
  <c r="N20" i="108"/>
  <c r="L20" i="108"/>
  <c r="J20" i="108"/>
  <c r="F20" i="108"/>
  <c r="B20" i="108"/>
  <c r="X19" i="108"/>
  <c r="T19" i="108"/>
  <c r="P19" i="108"/>
  <c r="H19" i="108"/>
  <c r="F19" i="108"/>
  <c r="D19" i="108"/>
  <c r="B19" i="108"/>
  <c r="Z18" i="108"/>
  <c r="V18" i="108"/>
  <c r="T18" i="108"/>
  <c r="P18" i="108"/>
  <c r="X18" i="108" s="1"/>
  <c r="N18" i="108"/>
  <c r="H18" i="108"/>
  <c r="F18" i="108"/>
  <c r="D18" i="108"/>
  <c r="L18" i="108" s="1"/>
  <c r="F16" i="108"/>
  <c r="Z14" i="108"/>
  <c r="T14" i="108"/>
  <c r="P14" i="108"/>
  <c r="X14" i="108" s="1"/>
  <c r="N14" i="108"/>
  <c r="H14" i="108"/>
  <c r="F14" i="108"/>
  <c r="D14" i="108"/>
  <c r="L14" i="108" s="1"/>
  <c r="Z12" i="108"/>
  <c r="T12" i="108"/>
  <c r="V50" i="108" s="1"/>
  <c r="P12" i="108"/>
  <c r="R38" i="108" s="1"/>
  <c r="H12" i="108"/>
  <c r="D12" i="108"/>
  <c r="F48" i="108" s="1"/>
  <c r="D6" i="108"/>
  <c r="D4" i="108"/>
  <c r="X97" i="107"/>
  <c r="Z97" i="107" s="1"/>
  <c r="N97" i="107"/>
  <c r="L97" i="107"/>
  <c r="Z93" i="107"/>
  <c r="V93" i="107"/>
  <c r="T93" i="107"/>
  <c r="P93" i="107"/>
  <c r="X93" i="107" s="1"/>
  <c r="N93" i="107"/>
  <c r="H93" i="107"/>
  <c r="D93" i="107"/>
  <c r="L93" i="107" s="1"/>
  <c r="Z91" i="107"/>
  <c r="X91" i="107"/>
  <c r="L91" i="107"/>
  <c r="N91" i="107" s="1"/>
  <c r="B91" i="107"/>
  <c r="Z90" i="107"/>
  <c r="X90" i="107"/>
  <c r="N90" i="107"/>
  <c r="L90" i="107"/>
  <c r="B90" i="107"/>
  <c r="T89" i="107"/>
  <c r="P89" i="107"/>
  <c r="X89" i="107" s="1"/>
  <c r="Z89" i="107" s="1"/>
  <c r="H89" i="107"/>
  <c r="D89" i="107"/>
  <c r="L89" i="107" s="1"/>
  <c r="N89" i="107" s="1"/>
  <c r="B89" i="107"/>
  <c r="X88" i="107"/>
  <c r="Z88" i="107" s="1"/>
  <c r="N88" i="107"/>
  <c r="L88" i="107"/>
  <c r="B88" i="107"/>
  <c r="X87" i="107"/>
  <c r="T87" i="107"/>
  <c r="Z87" i="107" s="1"/>
  <c r="P87" i="107"/>
  <c r="L87" i="107"/>
  <c r="N87" i="107" s="1"/>
  <c r="H87" i="107"/>
  <c r="D87" i="107"/>
  <c r="B87" i="107"/>
  <c r="X86" i="107"/>
  <c r="Z86" i="107" s="1"/>
  <c r="N86" i="107"/>
  <c r="L86" i="107"/>
  <c r="B86" i="107"/>
  <c r="Z85" i="107"/>
  <c r="X85" i="107"/>
  <c r="T85" i="107"/>
  <c r="P85" i="107"/>
  <c r="H85" i="107"/>
  <c r="D85" i="107"/>
  <c r="B85" i="107"/>
  <c r="Z84" i="107"/>
  <c r="X84" i="107"/>
  <c r="N84" i="107"/>
  <c r="L84" i="107"/>
  <c r="B84" i="107"/>
  <c r="Z83" i="107"/>
  <c r="X83" i="107"/>
  <c r="V83" i="107"/>
  <c r="N83" i="107"/>
  <c r="L83" i="107"/>
  <c r="B83" i="107"/>
  <c r="Z82" i="107"/>
  <c r="X82" i="107"/>
  <c r="L82" i="107"/>
  <c r="N82" i="107" s="1"/>
  <c r="B82" i="107"/>
  <c r="Z81" i="107"/>
  <c r="X81" i="107"/>
  <c r="L81" i="107"/>
  <c r="N81" i="107" s="1"/>
  <c r="B81" i="107"/>
  <c r="Z80" i="107"/>
  <c r="X80" i="107"/>
  <c r="V80" i="107"/>
  <c r="L80" i="107"/>
  <c r="N80" i="107" s="1"/>
  <c r="B80" i="107"/>
  <c r="Z79" i="107"/>
  <c r="X79" i="107"/>
  <c r="L79" i="107"/>
  <c r="N79" i="107" s="1"/>
  <c r="B79" i="107"/>
  <c r="T78" i="107"/>
  <c r="P78" i="107"/>
  <c r="H78" i="107"/>
  <c r="D78" i="107"/>
  <c r="B78" i="107"/>
  <c r="X77" i="107"/>
  <c r="Z77" i="107" s="1"/>
  <c r="L77" i="107"/>
  <c r="N77" i="107" s="1"/>
  <c r="B77" i="107"/>
  <c r="X76" i="107"/>
  <c r="Z76" i="107" s="1"/>
  <c r="V76" i="107"/>
  <c r="N76" i="107"/>
  <c r="L76" i="107"/>
  <c r="B76" i="107"/>
  <c r="X75" i="107"/>
  <c r="Z75" i="107" s="1"/>
  <c r="L75" i="107"/>
  <c r="N75" i="107" s="1"/>
  <c r="B75" i="107"/>
  <c r="X74" i="107"/>
  <c r="V74" i="107"/>
  <c r="T74" i="107"/>
  <c r="P74" i="107"/>
  <c r="H74" i="107"/>
  <c r="D74" i="107"/>
  <c r="L74" i="107" s="1"/>
  <c r="B74" i="107"/>
  <c r="Z73" i="107"/>
  <c r="X73" i="107"/>
  <c r="N73" i="107"/>
  <c r="L73" i="107"/>
  <c r="B73" i="107"/>
  <c r="Z72" i="107"/>
  <c r="X72" i="107"/>
  <c r="N72" i="107"/>
  <c r="L72" i="107"/>
  <c r="B72" i="107"/>
  <c r="Z71" i="107"/>
  <c r="X71" i="107"/>
  <c r="N71" i="107"/>
  <c r="L71" i="107"/>
  <c r="B71" i="107"/>
  <c r="Z70" i="107"/>
  <c r="X70" i="107"/>
  <c r="N70" i="107"/>
  <c r="L70" i="107"/>
  <c r="B70" i="107"/>
  <c r="T69" i="107"/>
  <c r="P69" i="107"/>
  <c r="N69" i="107"/>
  <c r="L69" i="107"/>
  <c r="H69" i="107"/>
  <c r="D69" i="107"/>
  <c r="B69" i="107"/>
  <c r="Z68" i="107"/>
  <c r="X68" i="107"/>
  <c r="L68" i="107"/>
  <c r="N68" i="107" s="1"/>
  <c r="B68" i="107"/>
  <c r="T67" i="107"/>
  <c r="P67" i="107"/>
  <c r="H67" i="107"/>
  <c r="D67" i="107"/>
  <c r="B67" i="107"/>
  <c r="X66" i="107"/>
  <c r="Z66" i="107" s="1"/>
  <c r="V66" i="107"/>
  <c r="L66" i="107"/>
  <c r="N66" i="107" s="1"/>
  <c r="B66" i="107"/>
  <c r="T65" i="107"/>
  <c r="P65" i="107"/>
  <c r="X65" i="107" s="1"/>
  <c r="Z65" i="107" s="1"/>
  <c r="L65" i="107"/>
  <c r="H65" i="107"/>
  <c r="D65" i="107"/>
  <c r="B65" i="107"/>
  <c r="Z64" i="107"/>
  <c r="X64" i="107"/>
  <c r="N64" i="107"/>
  <c r="L64" i="107"/>
  <c r="B64" i="107"/>
  <c r="T63" i="107"/>
  <c r="X63" i="107" s="1"/>
  <c r="Z63" i="107" s="1"/>
  <c r="P63" i="107"/>
  <c r="H63" i="107"/>
  <c r="D63" i="107"/>
  <c r="B63" i="107"/>
  <c r="Z62" i="107"/>
  <c r="X62" i="107"/>
  <c r="V62" i="107"/>
  <c r="N62" i="107"/>
  <c r="L62" i="107"/>
  <c r="B62" i="107"/>
  <c r="T61" i="107"/>
  <c r="Z61" i="107" s="1"/>
  <c r="P61" i="107"/>
  <c r="X61" i="107" s="1"/>
  <c r="J61" i="107"/>
  <c r="H61" i="107"/>
  <c r="N61" i="107" s="1"/>
  <c r="D61" i="107"/>
  <c r="B61" i="107"/>
  <c r="X60" i="107"/>
  <c r="Z60" i="107" s="1"/>
  <c r="N60" i="107"/>
  <c r="L60" i="107"/>
  <c r="B60" i="107"/>
  <c r="V59" i="107"/>
  <c r="T59" i="107"/>
  <c r="P59" i="107"/>
  <c r="X59" i="107" s="1"/>
  <c r="L59" i="107"/>
  <c r="H59" i="107"/>
  <c r="N59" i="107" s="1"/>
  <c r="D59" i="107"/>
  <c r="B59" i="107"/>
  <c r="X58" i="107"/>
  <c r="Z58" i="107" s="1"/>
  <c r="N58" i="107"/>
  <c r="L58" i="107"/>
  <c r="B58" i="107"/>
  <c r="T57" i="107"/>
  <c r="P57" i="107"/>
  <c r="H57" i="107"/>
  <c r="D57" i="107"/>
  <c r="B57" i="107"/>
  <c r="Z56" i="107"/>
  <c r="X56" i="107"/>
  <c r="N56" i="107"/>
  <c r="L56" i="107"/>
  <c r="B56" i="107"/>
  <c r="T55" i="107"/>
  <c r="Z55" i="107" s="1"/>
  <c r="P55" i="107"/>
  <c r="N55" i="107"/>
  <c r="H55" i="107"/>
  <c r="D55" i="107"/>
  <c r="L55" i="107" s="1"/>
  <c r="B55" i="107"/>
  <c r="X54" i="107"/>
  <c r="Z54" i="107" s="1"/>
  <c r="V54" i="107"/>
  <c r="L54" i="107"/>
  <c r="N54" i="107" s="1"/>
  <c r="B54" i="107"/>
  <c r="X53" i="107"/>
  <c r="T53" i="107"/>
  <c r="P53" i="107"/>
  <c r="H53" i="107"/>
  <c r="D53" i="107"/>
  <c r="L53" i="107" s="1"/>
  <c r="B53" i="107"/>
  <c r="Z52" i="107"/>
  <c r="X52" i="107"/>
  <c r="N52" i="107"/>
  <c r="L52" i="107"/>
  <c r="B52" i="107"/>
  <c r="X51" i="107"/>
  <c r="Z51" i="107" s="1"/>
  <c r="N51" i="107"/>
  <c r="L51" i="107"/>
  <c r="B51" i="107"/>
  <c r="T50" i="107"/>
  <c r="P50" i="107"/>
  <c r="N50" i="107"/>
  <c r="H50" i="107"/>
  <c r="L50" i="107" s="1"/>
  <c r="D50" i="107"/>
  <c r="B50" i="107"/>
  <c r="X49" i="107"/>
  <c r="Z49" i="107" s="1"/>
  <c r="L49" i="107"/>
  <c r="N49" i="107" s="1"/>
  <c r="B49" i="107"/>
  <c r="X48" i="107"/>
  <c r="Z48" i="107" s="1"/>
  <c r="T48" i="107"/>
  <c r="P48" i="107"/>
  <c r="H48" i="107"/>
  <c r="D48" i="107"/>
  <c r="L48" i="107" s="1"/>
  <c r="B48" i="107"/>
  <c r="Z47" i="107"/>
  <c r="X47" i="107"/>
  <c r="V47" i="107"/>
  <c r="N47" i="107"/>
  <c r="L47" i="107"/>
  <c r="B47" i="107"/>
  <c r="Z46" i="107"/>
  <c r="X46" i="107"/>
  <c r="V46" i="107"/>
  <c r="N46" i="107"/>
  <c r="L46" i="107"/>
  <c r="J46" i="107"/>
  <c r="B46" i="107"/>
  <c r="X45" i="107"/>
  <c r="Z45" i="107" s="1"/>
  <c r="N45" i="107"/>
  <c r="L45" i="107"/>
  <c r="B45" i="107"/>
  <c r="X44" i="107"/>
  <c r="Z44" i="107" s="1"/>
  <c r="V44" i="107"/>
  <c r="N44" i="107"/>
  <c r="L44" i="107"/>
  <c r="B44" i="107"/>
  <c r="Z43" i="107"/>
  <c r="X43" i="107"/>
  <c r="N43" i="107"/>
  <c r="L43" i="107"/>
  <c r="B43" i="107"/>
  <c r="X42" i="107"/>
  <c r="Z42" i="107" s="1"/>
  <c r="L42" i="107"/>
  <c r="N42" i="107" s="1"/>
  <c r="B42" i="107"/>
  <c r="X41" i="107"/>
  <c r="Z41" i="107" s="1"/>
  <c r="V41" i="107"/>
  <c r="N41" i="107"/>
  <c r="L41" i="107"/>
  <c r="B41" i="107"/>
  <c r="Z40" i="107"/>
  <c r="X40" i="107"/>
  <c r="N40" i="107"/>
  <c r="L40" i="107"/>
  <c r="F40" i="107"/>
  <c r="B40" i="107"/>
  <c r="X39" i="107"/>
  <c r="Z39" i="107" s="1"/>
  <c r="N39" i="107"/>
  <c r="L39" i="107"/>
  <c r="B39" i="107"/>
  <c r="Z38" i="107"/>
  <c r="X38" i="107"/>
  <c r="V38" i="107"/>
  <c r="N38" i="107"/>
  <c r="L38" i="107"/>
  <c r="B38" i="107"/>
  <c r="T37" i="107"/>
  <c r="P37" i="107"/>
  <c r="X37" i="107" s="1"/>
  <c r="H37" i="107"/>
  <c r="L37" i="107" s="1"/>
  <c r="N37" i="107" s="1"/>
  <c r="D37" i="107"/>
  <c r="B37" i="107"/>
  <c r="Z36" i="107"/>
  <c r="X36" i="107"/>
  <c r="N36" i="107"/>
  <c r="L36" i="107"/>
  <c r="B36" i="107"/>
  <c r="Z35" i="107"/>
  <c r="X35" i="107"/>
  <c r="N35" i="107"/>
  <c r="L35" i="107"/>
  <c r="B35" i="107"/>
  <c r="Z34" i="107"/>
  <c r="X34" i="107"/>
  <c r="V34" i="107"/>
  <c r="N34" i="107"/>
  <c r="L34" i="107"/>
  <c r="B34" i="107"/>
  <c r="Z33" i="107"/>
  <c r="X33" i="107"/>
  <c r="N33" i="107"/>
  <c r="L33" i="107"/>
  <c r="J33" i="107"/>
  <c r="B33" i="107"/>
  <c r="Z32" i="107"/>
  <c r="X32" i="107"/>
  <c r="N32" i="107"/>
  <c r="L32" i="107"/>
  <c r="B32" i="107"/>
  <c r="Z31" i="107"/>
  <c r="X31" i="107"/>
  <c r="N31" i="107"/>
  <c r="L31" i="107"/>
  <c r="B31" i="107"/>
  <c r="Z30" i="107"/>
  <c r="X30" i="107"/>
  <c r="V30" i="107"/>
  <c r="N30" i="107"/>
  <c r="L30" i="107"/>
  <c r="B30" i="107"/>
  <c r="X29" i="107"/>
  <c r="Z29" i="107" s="1"/>
  <c r="N29" i="107"/>
  <c r="L29" i="107"/>
  <c r="J29" i="107"/>
  <c r="B29" i="107"/>
  <c r="Z28" i="107"/>
  <c r="X28" i="107"/>
  <c r="L28" i="107"/>
  <c r="N28" i="107" s="1"/>
  <c r="B28" i="107"/>
  <c r="X27" i="107"/>
  <c r="Z27" i="107" s="1"/>
  <c r="N27" i="107"/>
  <c r="L27" i="107"/>
  <c r="B27" i="107"/>
  <c r="X26" i="107"/>
  <c r="Z26" i="107" s="1"/>
  <c r="V26" i="107"/>
  <c r="T26" i="107"/>
  <c r="P26" i="107"/>
  <c r="H26" i="107"/>
  <c r="D26" i="107"/>
  <c r="L26" i="107" s="1"/>
  <c r="N26" i="107" s="1"/>
  <c r="B26" i="107"/>
  <c r="X25" i="107"/>
  <c r="T25" i="107"/>
  <c r="Z25" i="107" s="1"/>
  <c r="P25" i="107"/>
  <c r="H25" i="107"/>
  <c r="N25" i="107" s="1"/>
  <c r="D25" i="107"/>
  <c r="L25" i="107" s="1"/>
  <c r="V23" i="107"/>
  <c r="T23" i="107"/>
  <c r="Z21" i="107"/>
  <c r="X21" i="107"/>
  <c r="V21" i="107"/>
  <c r="N21" i="107"/>
  <c r="L21" i="107"/>
  <c r="B21" i="107"/>
  <c r="Z20" i="107"/>
  <c r="X20" i="107"/>
  <c r="V20" i="107"/>
  <c r="N20" i="107"/>
  <c r="L20" i="107"/>
  <c r="J20" i="107"/>
  <c r="B20" i="107"/>
  <c r="Z19" i="107"/>
  <c r="X19" i="107"/>
  <c r="L19" i="107"/>
  <c r="N19" i="107" s="1"/>
  <c r="J19" i="107"/>
  <c r="B19" i="107"/>
  <c r="Z18" i="107"/>
  <c r="X18" i="107"/>
  <c r="T18" i="107"/>
  <c r="P18" i="107"/>
  <c r="J18" i="107"/>
  <c r="H18" i="107"/>
  <c r="D18" i="107"/>
  <c r="L18" i="107" s="1"/>
  <c r="Z16" i="107"/>
  <c r="X16" i="107"/>
  <c r="P16" i="107"/>
  <c r="N16" i="107"/>
  <c r="D16" i="107"/>
  <c r="L16" i="107" s="1"/>
  <c r="B16" i="107"/>
  <c r="Z15" i="107"/>
  <c r="P15" i="107"/>
  <c r="X15" i="107" s="1"/>
  <c r="N15" i="107"/>
  <c r="L15" i="107"/>
  <c r="D15" i="107"/>
  <c r="B15" i="107"/>
  <c r="Z14" i="107"/>
  <c r="X14" i="107"/>
  <c r="P14" i="107"/>
  <c r="L14" i="107"/>
  <c r="N14" i="107" s="1"/>
  <c r="D14" i="107"/>
  <c r="B14" i="107"/>
  <c r="Z13" i="107"/>
  <c r="X13" i="107"/>
  <c r="P13" i="107"/>
  <c r="N13" i="107"/>
  <c r="L13" i="107"/>
  <c r="D13" i="107"/>
  <c r="B13" i="107"/>
  <c r="T12" i="107"/>
  <c r="V87" i="107" s="1"/>
  <c r="H12" i="107"/>
  <c r="J56" i="107" s="1"/>
  <c r="D12" i="107"/>
  <c r="F85" i="107" s="1"/>
  <c r="D6" i="107"/>
  <c r="D4" i="107"/>
  <c r="J29" i="106"/>
  <c r="F29" i="106"/>
  <c r="J26" i="106"/>
  <c r="F26" i="106"/>
  <c r="Z24" i="106"/>
  <c r="X24" i="106"/>
  <c r="N24" i="106"/>
  <c r="L24" i="106"/>
  <c r="J24" i="106"/>
  <c r="F24" i="106"/>
  <c r="J22" i="106"/>
  <c r="F22" i="106"/>
  <c r="Z20" i="106"/>
  <c r="X20" i="106"/>
  <c r="T20" i="106"/>
  <c r="P20" i="106"/>
  <c r="J20" i="106"/>
  <c r="H20" i="106"/>
  <c r="N20" i="106" s="1"/>
  <c r="F20" i="106"/>
  <c r="D20" i="106"/>
  <c r="L20" i="106" s="1"/>
  <c r="Z18" i="106"/>
  <c r="X18" i="106"/>
  <c r="T18" i="106"/>
  <c r="P18" i="106"/>
  <c r="J18" i="106"/>
  <c r="H18" i="106"/>
  <c r="N18" i="106" s="1"/>
  <c r="F18" i="106"/>
  <c r="D18" i="106"/>
  <c r="L18" i="106" s="1"/>
  <c r="J16" i="106"/>
  <c r="F16" i="106"/>
  <c r="D16" i="106"/>
  <c r="Z14" i="106"/>
  <c r="X14" i="106"/>
  <c r="T14" i="106"/>
  <c r="P14" i="106"/>
  <c r="J14" i="106"/>
  <c r="H14" i="106"/>
  <c r="N14" i="106" s="1"/>
  <c r="F14" i="106"/>
  <c r="D14" i="106"/>
  <c r="L14" i="106" s="1"/>
  <c r="T12" i="106"/>
  <c r="V20" i="106" s="1"/>
  <c r="P12" i="106"/>
  <c r="R22" i="106" s="1"/>
  <c r="N12" i="106"/>
  <c r="L12" i="106"/>
  <c r="H12" i="106"/>
  <c r="D12" i="106"/>
  <c r="D6" i="106"/>
  <c r="D4" i="106"/>
  <c r="Z95" i="105"/>
  <c r="X95" i="105"/>
  <c r="N95" i="105"/>
  <c r="L95" i="105"/>
  <c r="T91" i="105"/>
  <c r="Z91" i="105" s="1"/>
  <c r="P91" i="105"/>
  <c r="X91" i="105" s="1"/>
  <c r="N91" i="105"/>
  <c r="L91" i="105"/>
  <c r="H91" i="105"/>
  <c r="D91" i="105"/>
  <c r="Z89" i="105"/>
  <c r="X89" i="105"/>
  <c r="N89" i="105"/>
  <c r="L89" i="105"/>
  <c r="B89" i="105"/>
  <c r="Z88" i="105"/>
  <c r="T88" i="105"/>
  <c r="P88" i="105"/>
  <c r="X88" i="105" s="1"/>
  <c r="H88" i="105"/>
  <c r="N88" i="105" s="1"/>
  <c r="F88" i="105"/>
  <c r="D88" i="105"/>
  <c r="L88" i="105" s="1"/>
  <c r="B88" i="105"/>
  <c r="Z87" i="105"/>
  <c r="X87" i="105"/>
  <c r="N87" i="105"/>
  <c r="L87" i="105"/>
  <c r="B87" i="105"/>
  <c r="Z86" i="105"/>
  <c r="X86" i="105"/>
  <c r="T86" i="105"/>
  <c r="P86" i="105"/>
  <c r="H86" i="105"/>
  <c r="D86" i="105"/>
  <c r="B86" i="105"/>
  <c r="Z85" i="105"/>
  <c r="X85" i="105"/>
  <c r="L85" i="105"/>
  <c r="N85" i="105" s="1"/>
  <c r="B85" i="105"/>
  <c r="V84" i="105"/>
  <c r="T84" i="105"/>
  <c r="X84" i="105" s="1"/>
  <c r="Z84" i="105" s="1"/>
  <c r="P84" i="105"/>
  <c r="H84" i="105"/>
  <c r="D84" i="105"/>
  <c r="L84" i="105" s="1"/>
  <c r="B84" i="105"/>
  <c r="X83" i="105"/>
  <c r="Z83" i="105" s="1"/>
  <c r="N83" i="105"/>
  <c r="L83" i="105"/>
  <c r="B83" i="105"/>
  <c r="Z82" i="105"/>
  <c r="X82" i="105"/>
  <c r="N82" i="105"/>
  <c r="L82" i="105"/>
  <c r="B82" i="105"/>
  <c r="Z81" i="105"/>
  <c r="X81" i="105"/>
  <c r="N81" i="105"/>
  <c r="L81" i="105"/>
  <c r="F81" i="105"/>
  <c r="B81" i="105"/>
  <c r="Z80" i="105"/>
  <c r="X80" i="105"/>
  <c r="L80" i="105"/>
  <c r="N80" i="105" s="1"/>
  <c r="B80" i="105"/>
  <c r="Z79" i="105"/>
  <c r="X79" i="105"/>
  <c r="N79" i="105"/>
  <c r="L79" i="105"/>
  <c r="B79" i="105"/>
  <c r="X78" i="105"/>
  <c r="Z78" i="105" s="1"/>
  <c r="N78" i="105"/>
  <c r="L78" i="105"/>
  <c r="B78" i="105"/>
  <c r="X77" i="105"/>
  <c r="Z77" i="105" s="1"/>
  <c r="L77" i="105"/>
  <c r="N77" i="105" s="1"/>
  <c r="B77" i="105"/>
  <c r="Z76" i="105"/>
  <c r="X76" i="105"/>
  <c r="N76" i="105"/>
  <c r="L76" i="105"/>
  <c r="B76" i="105"/>
  <c r="Z75" i="105"/>
  <c r="X75" i="105"/>
  <c r="T75" i="105"/>
  <c r="P75" i="105"/>
  <c r="H75" i="105"/>
  <c r="N75" i="105" s="1"/>
  <c r="D75" i="105"/>
  <c r="L75" i="105" s="1"/>
  <c r="B75" i="105"/>
  <c r="Z74" i="105"/>
  <c r="X74" i="105"/>
  <c r="N74" i="105"/>
  <c r="L74" i="105"/>
  <c r="B74" i="105"/>
  <c r="X73" i="105"/>
  <c r="Z73" i="105" s="1"/>
  <c r="N73" i="105"/>
  <c r="L73" i="105"/>
  <c r="B73" i="105"/>
  <c r="Z72" i="105"/>
  <c r="X72" i="105"/>
  <c r="N72" i="105"/>
  <c r="L72" i="105"/>
  <c r="B72" i="105"/>
  <c r="Z71" i="105"/>
  <c r="X71" i="105"/>
  <c r="N71" i="105"/>
  <c r="L71" i="105"/>
  <c r="B71" i="105"/>
  <c r="Z70" i="105"/>
  <c r="X70" i="105"/>
  <c r="T70" i="105"/>
  <c r="P70" i="105"/>
  <c r="H70" i="105"/>
  <c r="F70" i="105"/>
  <c r="D70" i="105"/>
  <c r="L70" i="105" s="1"/>
  <c r="B70" i="105"/>
  <c r="Z69" i="105"/>
  <c r="X69" i="105"/>
  <c r="N69" i="105"/>
  <c r="L69" i="105"/>
  <c r="B69" i="105"/>
  <c r="X68" i="105"/>
  <c r="Z68" i="105" s="1"/>
  <c r="N68" i="105"/>
  <c r="L68" i="105"/>
  <c r="B68" i="105"/>
  <c r="Z67" i="105"/>
  <c r="X67" i="105"/>
  <c r="N67" i="105"/>
  <c r="L67" i="105"/>
  <c r="B67" i="105"/>
  <c r="T66" i="105"/>
  <c r="P66" i="105"/>
  <c r="X66" i="105" s="1"/>
  <c r="L66" i="105"/>
  <c r="H66" i="105"/>
  <c r="N66" i="105" s="1"/>
  <c r="D66" i="105"/>
  <c r="B66" i="105"/>
  <c r="X65" i="105"/>
  <c r="Z65" i="105" s="1"/>
  <c r="L65" i="105"/>
  <c r="N65" i="105" s="1"/>
  <c r="B65" i="105"/>
  <c r="T64" i="105"/>
  <c r="P64" i="105"/>
  <c r="X64" i="105" s="1"/>
  <c r="Z64" i="105" s="1"/>
  <c r="L64" i="105"/>
  <c r="H64" i="105"/>
  <c r="D64" i="105"/>
  <c r="B64" i="105"/>
  <c r="Z63" i="105"/>
  <c r="X63" i="105"/>
  <c r="N63" i="105"/>
  <c r="L63" i="105"/>
  <c r="B63" i="105"/>
  <c r="Z62" i="105"/>
  <c r="X62" i="105"/>
  <c r="T62" i="105"/>
  <c r="P62" i="105"/>
  <c r="H62" i="105"/>
  <c r="D62" i="105"/>
  <c r="L62" i="105" s="1"/>
  <c r="B62" i="105"/>
  <c r="Z61" i="105"/>
  <c r="X61" i="105"/>
  <c r="N61" i="105"/>
  <c r="L61" i="105"/>
  <c r="B61" i="105"/>
  <c r="T60" i="105"/>
  <c r="X60" i="105" s="1"/>
  <c r="Z60" i="105" s="1"/>
  <c r="P60" i="105"/>
  <c r="H60" i="105"/>
  <c r="N60" i="105" s="1"/>
  <c r="D60" i="105"/>
  <c r="L60" i="105" s="1"/>
  <c r="B60" i="105"/>
  <c r="X59" i="105"/>
  <c r="Z59" i="105" s="1"/>
  <c r="N59" i="105"/>
  <c r="L59" i="105"/>
  <c r="B59" i="105"/>
  <c r="X58" i="105"/>
  <c r="T58" i="105"/>
  <c r="P58" i="105"/>
  <c r="H58" i="105"/>
  <c r="D58" i="105"/>
  <c r="L58" i="105" s="1"/>
  <c r="N58" i="105" s="1"/>
  <c r="B58" i="105"/>
  <c r="Z57" i="105"/>
  <c r="X57" i="105"/>
  <c r="N57" i="105"/>
  <c r="L57" i="105"/>
  <c r="B57" i="105"/>
  <c r="T56" i="105"/>
  <c r="P56" i="105"/>
  <c r="X56" i="105" s="1"/>
  <c r="L56" i="105"/>
  <c r="N56" i="105" s="1"/>
  <c r="H56" i="105"/>
  <c r="D56" i="105"/>
  <c r="B56" i="105"/>
  <c r="Z55" i="105"/>
  <c r="X55" i="105"/>
  <c r="N55" i="105"/>
  <c r="L55" i="105"/>
  <c r="J55" i="105"/>
  <c r="B55" i="105"/>
  <c r="T54" i="105"/>
  <c r="P54" i="105"/>
  <c r="X54" i="105" s="1"/>
  <c r="H54" i="105"/>
  <c r="L54" i="105" s="1"/>
  <c r="N54" i="105" s="1"/>
  <c r="D54" i="105"/>
  <c r="B54" i="105"/>
  <c r="Z53" i="105"/>
  <c r="X53" i="105"/>
  <c r="N53" i="105"/>
  <c r="L53" i="105"/>
  <c r="B53" i="105"/>
  <c r="T52" i="105"/>
  <c r="P52" i="105"/>
  <c r="X52" i="105" s="1"/>
  <c r="Z52" i="105" s="1"/>
  <c r="L52" i="105"/>
  <c r="H52" i="105"/>
  <c r="D52" i="105"/>
  <c r="B52" i="105"/>
  <c r="Z51" i="105"/>
  <c r="X51" i="105"/>
  <c r="N51" i="105"/>
  <c r="L51" i="105"/>
  <c r="B51" i="105"/>
  <c r="X50" i="105"/>
  <c r="Z50" i="105" s="1"/>
  <c r="T50" i="105"/>
  <c r="P50" i="105"/>
  <c r="L50" i="105"/>
  <c r="H50" i="105"/>
  <c r="D50" i="105"/>
  <c r="B50" i="105"/>
  <c r="Z49" i="105"/>
  <c r="X49" i="105"/>
  <c r="N49" i="105"/>
  <c r="L49" i="105"/>
  <c r="B49" i="105"/>
  <c r="X48" i="105"/>
  <c r="T48" i="105"/>
  <c r="P48" i="105"/>
  <c r="H48" i="105"/>
  <c r="D48" i="105"/>
  <c r="L48" i="105" s="1"/>
  <c r="B48" i="105"/>
  <c r="Z47" i="105"/>
  <c r="X47" i="105"/>
  <c r="N47" i="105"/>
  <c r="L47" i="105"/>
  <c r="B47" i="105"/>
  <c r="Z46" i="105"/>
  <c r="X46" i="105"/>
  <c r="V46" i="105"/>
  <c r="N46" i="105"/>
  <c r="L46" i="105"/>
  <c r="B46" i="105"/>
  <c r="Z45" i="105"/>
  <c r="X45" i="105"/>
  <c r="V45" i="105"/>
  <c r="L45" i="105"/>
  <c r="N45" i="105" s="1"/>
  <c r="B45" i="105"/>
  <c r="Z44" i="105"/>
  <c r="X44" i="105"/>
  <c r="N44" i="105"/>
  <c r="L44" i="105"/>
  <c r="B44" i="105"/>
  <c r="Z43" i="105"/>
  <c r="X43" i="105"/>
  <c r="V43" i="105"/>
  <c r="N43" i="105"/>
  <c r="L43" i="105"/>
  <c r="B43" i="105"/>
  <c r="X42" i="105"/>
  <c r="Z42" i="105" s="1"/>
  <c r="V42" i="105"/>
  <c r="N42" i="105"/>
  <c r="L42" i="105"/>
  <c r="B42" i="105"/>
  <c r="Z41" i="105"/>
  <c r="X41" i="105"/>
  <c r="V41" i="105"/>
  <c r="L41" i="105"/>
  <c r="N41" i="105" s="1"/>
  <c r="J41" i="105"/>
  <c r="B41" i="105"/>
  <c r="Z40" i="105"/>
  <c r="X40" i="105"/>
  <c r="N40" i="105"/>
  <c r="L40" i="105"/>
  <c r="B40" i="105"/>
  <c r="Z39" i="105"/>
  <c r="X39" i="105"/>
  <c r="V39" i="105"/>
  <c r="N39" i="105"/>
  <c r="L39" i="105"/>
  <c r="B39" i="105"/>
  <c r="Z38" i="105"/>
  <c r="X38" i="105"/>
  <c r="N38" i="105"/>
  <c r="L38" i="105"/>
  <c r="B38" i="105"/>
  <c r="T37" i="105"/>
  <c r="Z37" i="105" s="1"/>
  <c r="P37" i="105"/>
  <c r="X37" i="105" s="1"/>
  <c r="N37" i="105"/>
  <c r="L37" i="105"/>
  <c r="H37" i="105"/>
  <c r="D37" i="105"/>
  <c r="B37" i="105"/>
  <c r="X36" i="105"/>
  <c r="Z36" i="105" s="1"/>
  <c r="R36" i="105"/>
  <c r="L36" i="105"/>
  <c r="N36" i="105" s="1"/>
  <c r="J36" i="105"/>
  <c r="B36" i="105"/>
  <c r="Z35" i="105"/>
  <c r="X35" i="105"/>
  <c r="N35" i="105"/>
  <c r="L35" i="105"/>
  <c r="J35" i="105"/>
  <c r="B35" i="105"/>
  <c r="X34" i="105"/>
  <c r="Z34" i="105" s="1"/>
  <c r="N34" i="105"/>
  <c r="L34" i="105"/>
  <c r="B34" i="105"/>
  <c r="Z33" i="105"/>
  <c r="X33" i="105"/>
  <c r="N33" i="105"/>
  <c r="L33" i="105"/>
  <c r="B33" i="105"/>
  <c r="Z32" i="105"/>
  <c r="X32" i="105"/>
  <c r="N32" i="105"/>
  <c r="L32" i="105"/>
  <c r="B32" i="105"/>
  <c r="Z31" i="105"/>
  <c r="X31" i="105"/>
  <c r="N31" i="105"/>
  <c r="L31" i="105"/>
  <c r="J31" i="105"/>
  <c r="B31" i="105"/>
  <c r="Z30" i="105"/>
  <c r="X30" i="105"/>
  <c r="N30" i="105"/>
  <c r="L30" i="105"/>
  <c r="B30" i="105"/>
  <c r="X29" i="105"/>
  <c r="Z29" i="105" s="1"/>
  <c r="N29" i="105"/>
  <c r="L29" i="105"/>
  <c r="B29" i="105"/>
  <c r="X28" i="105"/>
  <c r="Z28" i="105" s="1"/>
  <c r="L28" i="105"/>
  <c r="N28" i="105" s="1"/>
  <c r="J28" i="105"/>
  <c r="B28" i="105"/>
  <c r="Z27" i="105"/>
  <c r="X27" i="105"/>
  <c r="N27" i="105"/>
  <c r="L27" i="105"/>
  <c r="J27" i="105"/>
  <c r="B27" i="105"/>
  <c r="X26" i="105"/>
  <c r="Z26" i="105" s="1"/>
  <c r="V26" i="105"/>
  <c r="T26" i="105"/>
  <c r="P26" i="105"/>
  <c r="H26" i="105"/>
  <c r="D26" i="105"/>
  <c r="L26" i="105" s="1"/>
  <c r="B26" i="105"/>
  <c r="X25" i="105"/>
  <c r="Z25" i="105" s="1"/>
  <c r="T25" i="105"/>
  <c r="P25" i="105"/>
  <c r="H25" i="105"/>
  <c r="D25" i="105"/>
  <c r="Z21" i="105"/>
  <c r="X21" i="105"/>
  <c r="N21" i="105"/>
  <c r="L21" i="105"/>
  <c r="J21" i="105"/>
  <c r="B21" i="105"/>
  <c r="Z20" i="105"/>
  <c r="X20" i="105"/>
  <c r="V20" i="105"/>
  <c r="N20" i="105"/>
  <c r="L20" i="105"/>
  <c r="B20" i="105"/>
  <c r="Z19" i="105"/>
  <c r="X19" i="105"/>
  <c r="V19" i="105"/>
  <c r="L19" i="105"/>
  <c r="N19" i="105" s="1"/>
  <c r="B19" i="105"/>
  <c r="T18" i="105"/>
  <c r="P18" i="105"/>
  <c r="J18" i="105"/>
  <c r="H18" i="105"/>
  <c r="H23" i="105" s="1"/>
  <c r="D18" i="105"/>
  <c r="Z16" i="105"/>
  <c r="P16" i="105"/>
  <c r="X16" i="105" s="1"/>
  <c r="N16" i="105"/>
  <c r="D16" i="105"/>
  <c r="L16" i="105" s="1"/>
  <c r="B16" i="105"/>
  <c r="Z15" i="105"/>
  <c r="P15" i="105"/>
  <c r="X15" i="105" s="1"/>
  <c r="N15" i="105"/>
  <c r="L15" i="105"/>
  <c r="D15" i="105"/>
  <c r="B15" i="105"/>
  <c r="X14" i="105"/>
  <c r="Z14" i="105" s="1"/>
  <c r="P14" i="105"/>
  <c r="L14" i="105"/>
  <c r="N14" i="105" s="1"/>
  <c r="D14" i="105"/>
  <c r="B14" i="105"/>
  <c r="Z13" i="105"/>
  <c r="X13" i="105"/>
  <c r="P13" i="105"/>
  <c r="P12" i="105" s="1"/>
  <c r="N13" i="105"/>
  <c r="D13" i="105"/>
  <c r="L13" i="105" s="1"/>
  <c r="B13" i="105"/>
  <c r="T12" i="105"/>
  <c r="V68" i="105" s="1"/>
  <c r="L12" i="105"/>
  <c r="N12" i="105" s="1"/>
  <c r="H12" i="105"/>
  <c r="D12" i="105"/>
  <c r="D6" i="105"/>
  <c r="D4" i="105"/>
  <c r="X67" i="104"/>
  <c r="Z67" i="104" s="1"/>
  <c r="L67" i="104"/>
  <c r="N67" i="104" s="1"/>
  <c r="Z63" i="104"/>
  <c r="X63" i="104"/>
  <c r="T63" i="104"/>
  <c r="P63" i="104"/>
  <c r="N63" i="104"/>
  <c r="J63" i="104"/>
  <c r="H63" i="104"/>
  <c r="D63" i="104"/>
  <c r="L63" i="104" s="1"/>
  <c r="Z61" i="104"/>
  <c r="X61" i="104"/>
  <c r="N61" i="104"/>
  <c r="L61" i="104"/>
  <c r="B61" i="104"/>
  <c r="Z60" i="104"/>
  <c r="T60" i="104"/>
  <c r="X60" i="104" s="1"/>
  <c r="P60" i="104"/>
  <c r="H60" i="104"/>
  <c r="N60" i="104" s="1"/>
  <c r="D60" i="104"/>
  <c r="L60" i="104" s="1"/>
  <c r="B60" i="104"/>
  <c r="Z59" i="104"/>
  <c r="X59" i="104"/>
  <c r="N59" i="104"/>
  <c r="L59" i="104"/>
  <c r="B59" i="104"/>
  <c r="Z58" i="104"/>
  <c r="X58" i="104"/>
  <c r="N58" i="104"/>
  <c r="L58" i="104"/>
  <c r="B58" i="104"/>
  <c r="Z57" i="104"/>
  <c r="X57" i="104"/>
  <c r="N57" i="104"/>
  <c r="L57" i="104"/>
  <c r="J57" i="104"/>
  <c r="B57" i="104"/>
  <c r="X56" i="104"/>
  <c r="T56" i="104"/>
  <c r="Z56" i="104" s="1"/>
  <c r="P56" i="104"/>
  <c r="N56" i="104"/>
  <c r="J56" i="104"/>
  <c r="H56" i="104"/>
  <c r="D56" i="104"/>
  <c r="L56" i="104" s="1"/>
  <c r="B56" i="104"/>
  <c r="Z55" i="104"/>
  <c r="X55" i="104"/>
  <c r="L55" i="104"/>
  <c r="N55" i="104" s="1"/>
  <c r="B55" i="104"/>
  <c r="Z54" i="104"/>
  <c r="X54" i="104"/>
  <c r="T54" i="104"/>
  <c r="P54" i="104"/>
  <c r="J54" i="104"/>
  <c r="H54" i="104"/>
  <c r="D54" i="104"/>
  <c r="L54" i="104" s="1"/>
  <c r="N54" i="104" s="1"/>
  <c r="B54" i="104"/>
  <c r="Z53" i="104"/>
  <c r="X53" i="104"/>
  <c r="L53" i="104"/>
  <c r="N53" i="104" s="1"/>
  <c r="B53" i="104"/>
  <c r="T52" i="104"/>
  <c r="X52" i="104" s="1"/>
  <c r="Z52" i="104" s="1"/>
  <c r="P52" i="104"/>
  <c r="H52" i="104"/>
  <c r="D52" i="104"/>
  <c r="L52" i="104" s="1"/>
  <c r="B52" i="104"/>
  <c r="Z51" i="104"/>
  <c r="X51" i="104"/>
  <c r="N51" i="104"/>
  <c r="L51" i="104"/>
  <c r="B51" i="104"/>
  <c r="Z50" i="104"/>
  <c r="T50" i="104"/>
  <c r="P50" i="104"/>
  <c r="X50" i="104" s="1"/>
  <c r="L50" i="104"/>
  <c r="H50" i="104"/>
  <c r="N50" i="104" s="1"/>
  <c r="D50" i="104"/>
  <c r="B50" i="104"/>
  <c r="X49" i="104"/>
  <c r="Z49" i="104" s="1"/>
  <c r="N49" i="104"/>
  <c r="L49" i="104"/>
  <c r="B49" i="104"/>
  <c r="T48" i="104"/>
  <c r="P48" i="104"/>
  <c r="X48" i="104" s="1"/>
  <c r="Z48" i="104" s="1"/>
  <c r="N48" i="104"/>
  <c r="L48" i="104"/>
  <c r="H48" i="104"/>
  <c r="D48" i="104"/>
  <c r="B48" i="104"/>
  <c r="X47" i="104"/>
  <c r="Z47" i="104" s="1"/>
  <c r="L47" i="104"/>
  <c r="N47" i="104" s="1"/>
  <c r="J47" i="104"/>
  <c r="B47" i="104"/>
  <c r="T46" i="104"/>
  <c r="P46" i="104"/>
  <c r="X46" i="104" s="1"/>
  <c r="J46" i="104"/>
  <c r="H46" i="104"/>
  <c r="L46" i="104" s="1"/>
  <c r="N46" i="104" s="1"/>
  <c r="D46" i="104"/>
  <c r="B46" i="104"/>
  <c r="Z45" i="104"/>
  <c r="X45" i="104"/>
  <c r="N45" i="104"/>
  <c r="L45" i="104"/>
  <c r="J45" i="104"/>
  <c r="B45" i="104"/>
  <c r="Z44" i="104"/>
  <c r="X44" i="104"/>
  <c r="N44" i="104"/>
  <c r="L44" i="104"/>
  <c r="J44" i="104"/>
  <c r="B44" i="104"/>
  <c r="X43" i="104"/>
  <c r="Z43" i="104" s="1"/>
  <c r="N43" i="104"/>
  <c r="L43" i="104"/>
  <c r="B43" i="104"/>
  <c r="Z42" i="104"/>
  <c r="X42" i="104"/>
  <c r="N42" i="104"/>
  <c r="L42" i="104"/>
  <c r="B42" i="104"/>
  <c r="Z41" i="104"/>
  <c r="X41" i="104"/>
  <c r="N41" i="104"/>
  <c r="L41" i="104"/>
  <c r="J41" i="104"/>
  <c r="B41" i="104"/>
  <c r="Z40" i="104"/>
  <c r="X40" i="104"/>
  <c r="N40" i="104"/>
  <c r="L40" i="104"/>
  <c r="J40" i="104"/>
  <c r="B40" i="104"/>
  <c r="Z39" i="104"/>
  <c r="X39" i="104"/>
  <c r="N39" i="104"/>
  <c r="L39" i="104"/>
  <c r="B39" i="104"/>
  <c r="Z38" i="104"/>
  <c r="X38" i="104"/>
  <c r="N38" i="104"/>
  <c r="L38" i="104"/>
  <c r="B38" i="104"/>
  <c r="Z37" i="104"/>
  <c r="X37" i="104"/>
  <c r="N37" i="104"/>
  <c r="L37" i="104"/>
  <c r="J37" i="104"/>
  <c r="B37" i="104"/>
  <c r="Z36" i="104"/>
  <c r="X36" i="104"/>
  <c r="N36" i="104"/>
  <c r="L36" i="104"/>
  <c r="J36" i="104"/>
  <c r="B36" i="104"/>
  <c r="X35" i="104"/>
  <c r="Z35" i="104" s="1"/>
  <c r="T35" i="104"/>
  <c r="P35" i="104"/>
  <c r="H35" i="104"/>
  <c r="D35" i="104"/>
  <c r="L35" i="104" s="1"/>
  <c r="B35" i="104"/>
  <c r="Z34" i="104"/>
  <c r="X34" i="104"/>
  <c r="L34" i="104"/>
  <c r="N34" i="104" s="1"/>
  <c r="J34" i="104"/>
  <c r="B34" i="104"/>
  <c r="Z33" i="104"/>
  <c r="X33" i="104"/>
  <c r="N33" i="104"/>
  <c r="L33" i="104"/>
  <c r="J33" i="104"/>
  <c r="B33" i="104"/>
  <c r="Z32" i="104"/>
  <c r="X32" i="104"/>
  <c r="V32" i="104"/>
  <c r="N32" i="104"/>
  <c r="L32" i="104"/>
  <c r="J32" i="104"/>
  <c r="B32" i="104"/>
  <c r="Z31" i="104"/>
  <c r="X31" i="104"/>
  <c r="N31" i="104"/>
  <c r="L31" i="104"/>
  <c r="J31" i="104"/>
  <c r="B31" i="104"/>
  <c r="Z30" i="104"/>
  <c r="X30" i="104"/>
  <c r="L30" i="104"/>
  <c r="N30" i="104" s="1"/>
  <c r="J30" i="104"/>
  <c r="B30" i="104"/>
  <c r="Z29" i="104"/>
  <c r="X29" i="104"/>
  <c r="N29" i="104"/>
  <c r="L29" i="104"/>
  <c r="J29" i="104"/>
  <c r="B29" i="104"/>
  <c r="X28" i="104"/>
  <c r="Z28" i="104" s="1"/>
  <c r="N28" i="104"/>
  <c r="L28" i="104"/>
  <c r="J28" i="104"/>
  <c r="B28" i="104"/>
  <c r="Z27" i="104"/>
  <c r="X27" i="104"/>
  <c r="N27" i="104"/>
  <c r="L27" i="104"/>
  <c r="J27" i="104"/>
  <c r="B27" i="104"/>
  <c r="Z26" i="104"/>
  <c r="X26" i="104"/>
  <c r="T26" i="104"/>
  <c r="P26" i="104"/>
  <c r="J26" i="104"/>
  <c r="H26" i="104"/>
  <c r="D26" i="104"/>
  <c r="L26" i="104" s="1"/>
  <c r="N26" i="104" s="1"/>
  <c r="B26" i="104"/>
  <c r="T25" i="104"/>
  <c r="P25" i="104"/>
  <c r="X25" i="104" s="1"/>
  <c r="Z25" i="104" s="1"/>
  <c r="L25" i="104"/>
  <c r="H25" i="104"/>
  <c r="N25" i="104" s="1"/>
  <c r="D25" i="104"/>
  <c r="H23" i="104"/>
  <c r="H65" i="104" s="1"/>
  <c r="Z21" i="104"/>
  <c r="X21" i="104"/>
  <c r="N21" i="104"/>
  <c r="L21" i="104"/>
  <c r="J21" i="104"/>
  <c r="B21" i="104"/>
  <c r="Z20" i="104"/>
  <c r="X20" i="104"/>
  <c r="N20" i="104"/>
  <c r="L20" i="104"/>
  <c r="J20" i="104"/>
  <c r="B20" i="104"/>
  <c r="X19" i="104"/>
  <c r="Z19" i="104" s="1"/>
  <c r="L19" i="104"/>
  <c r="N19" i="104" s="1"/>
  <c r="J19" i="104"/>
  <c r="B19" i="104"/>
  <c r="T18" i="104"/>
  <c r="Z18" i="104" s="1"/>
  <c r="P18" i="104"/>
  <c r="X18" i="104" s="1"/>
  <c r="N18" i="104"/>
  <c r="L18" i="104"/>
  <c r="J18" i="104"/>
  <c r="H18" i="104"/>
  <c r="D18" i="104"/>
  <c r="Z16" i="104"/>
  <c r="P16" i="104"/>
  <c r="X16" i="104" s="1"/>
  <c r="N16" i="104"/>
  <c r="L16" i="104"/>
  <c r="D16" i="104"/>
  <c r="B16" i="104"/>
  <c r="Z15" i="104"/>
  <c r="X15" i="104"/>
  <c r="P15" i="104"/>
  <c r="N15" i="104"/>
  <c r="L15" i="104"/>
  <c r="D15" i="104"/>
  <c r="B15" i="104"/>
  <c r="P14" i="104"/>
  <c r="L14" i="104"/>
  <c r="N14" i="104" s="1"/>
  <c r="D14" i="104"/>
  <c r="B14" i="104"/>
  <c r="Z13" i="104"/>
  <c r="P13" i="104"/>
  <c r="X13" i="104" s="1"/>
  <c r="N13" i="104"/>
  <c r="D13" i="104"/>
  <c r="D12" i="104" s="1"/>
  <c r="F60" i="104" s="1"/>
  <c r="B13" i="104"/>
  <c r="T12" i="104"/>
  <c r="H12" i="104"/>
  <c r="J67" i="104" s="1"/>
  <c r="D6" i="104"/>
  <c r="D4" i="104"/>
  <c r="Z96" i="103"/>
  <c r="X96" i="103"/>
  <c r="N96" i="103"/>
  <c r="L96" i="103"/>
  <c r="T92" i="103"/>
  <c r="Z92" i="103" s="1"/>
  <c r="P92" i="103"/>
  <c r="X92" i="103" s="1"/>
  <c r="N92" i="103"/>
  <c r="H92" i="103"/>
  <c r="D92" i="103"/>
  <c r="L92" i="103" s="1"/>
  <c r="X90" i="103"/>
  <c r="Z90" i="103" s="1"/>
  <c r="N90" i="103"/>
  <c r="L90" i="103"/>
  <c r="B90" i="103"/>
  <c r="Z89" i="103"/>
  <c r="X89" i="103"/>
  <c r="N89" i="103"/>
  <c r="L89" i="103"/>
  <c r="B89" i="103"/>
  <c r="T88" i="103"/>
  <c r="Z88" i="103" s="1"/>
  <c r="P88" i="103"/>
  <c r="X88" i="103" s="1"/>
  <c r="H88" i="103"/>
  <c r="N88" i="103" s="1"/>
  <c r="D88" i="103"/>
  <c r="L88" i="103" s="1"/>
  <c r="B88" i="103"/>
  <c r="X87" i="103"/>
  <c r="Z87" i="103" s="1"/>
  <c r="N87" i="103"/>
  <c r="L87" i="103"/>
  <c r="B87" i="103"/>
  <c r="T86" i="103"/>
  <c r="P86" i="103"/>
  <c r="X86" i="103" s="1"/>
  <c r="Z86" i="103" s="1"/>
  <c r="N86" i="103"/>
  <c r="L86" i="103"/>
  <c r="H86" i="103"/>
  <c r="D86" i="103"/>
  <c r="B86" i="103"/>
  <c r="X85" i="103"/>
  <c r="Z85" i="103" s="1"/>
  <c r="N85" i="103"/>
  <c r="L85" i="103"/>
  <c r="B85" i="103"/>
  <c r="T84" i="103"/>
  <c r="P84" i="103"/>
  <c r="N84" i="103"/>
  <c r="L84" i="103"/>
  <c r="H84" i="103"/>
  <c r="D84" i="103"/>
  <c r="B84" i="103"/>
  <c r="X83" i="103"/>
  <c r="Z83" i="103" s="1"/>
  <c r="N83" i="103"/>
  <c r="L83" i="103"/>
  <c r="B83" i="103"/>
  <c r="Z82" i="103"/>
  <c r="X82" i="103"/>
  <c r="N82" i="103"/>
  <c r="L82" i="103"/>
  <c r="B82" i="103"/>
  <c r="X81" i="103"/>
  <c r="Z81" i="103" s="1"/>
  <c r="N81" i="103"/>
  <c r="L81" i="103"/>
  <c r="B81" i="103"/>
  <c r="Z80" i="103"/>
  <c r="X80" i="103"/>
  <c r="N80" i="103"/>
  <c r="L80" i="103"/>
  <c r="B80" i="103"/>
  <c r="X79" i="103"/>
  <c r="Z79" i="103" s="1"/>
  <c r="L79" i="103"/>
  <c r="N79" i="103" s="1"/>
  <c r="B79" i="103"/>
  <c r="X78" i="103"/>
  <c r="Z78" i="103" s="1"/>
  <c r="N78" i="103"/>
  <c r="L78" i="103"/>
  <c r="B78" i="103"/>
  <c r="Z77" i="103"/>
  <c r="X77" i="103"/>
  <c r="N77" i="103"/>
  <c r="L77" i="103"/>
  <c r="B77" i="103"/>
  <c r="Z76" i="103"/>
  <c r="X76" i="103"/>
  <c r="L76" i="103"/>
  <c r="N76" i="103" s="1"/>
  <c r="B76" i="103"/>
  <c r="Z75" i="103"/>
  <c r="X75" i="103"/>
  <c r="N75" i="103"/>
  <c r="L75" i="103"/>
  <c r="B75" i="103"/>
  <c r="T74" i="103"/>
  <c r="P74" i="103"/>
  <c r="X74" i="103" s="1"/>
  <c r="N74" i="103"/>
  <c r="H74" i="103"/>
  <c r="D74" i="103"/>
  <c r="L74" i="103" s="1"/>
  <c r="B74" i="103"/>
  <c r="Z73" i="103"/>
  <c r="X73" i="103"/>
  <c r="L73" i="103"/>
  <c r="N73" i="103" s="1"/>
  <c r="B73" i="103"/>
  <c r="X72" i="103"/>
  <c r="Z72" i="103" s="1"/>
  <c r="L72" i="103"/>
  <c r="N72" i="103" s="1"/>
  <c r="B72" i="103"/>
  <c r="X71" i="103"/>
  <c r="Z71" i="103" s="1"/>
  <c r="N71" i="103"/>
  <c r="L71" i="103"/>
  <c r="B71" i="103"/>
  <c r="X70" i="103"/>
  <c r="Z70" i="103" s="1"/>
  <c r="L70" i="103"/>
  <c r="N70" i="103" s="1"/>
  <c r="B70" i="103"/>
  <c r="T69" i="103"/>
  <c r="P69" i="103"/>
  <c r="H69" i="103"/>
  <c r="D69" i="103"/>
  <c r="B69" i="103"/>
  <c r="X68" i="103"/>
  <c r="Z68" i="103" s="1"/>
  <c r="N68" i="103"/>
  <c r="L68" i="103"/>
  <c r="B68" i="103"/>
  <c r="Z67" i="103"/>
  <c r="X67" i="103"/>
  <c r="L67" i="103"/>
  <c r="N67" i="103" s="1"/>
  <c r="B67" i="103"/>
  <c r="Z66" i="103"/>
  <c r="X66" i="103"/>
  <c r="N66" i="103"/>
  <c r="L66" i="103"/>
  <c r="B66" i="103"/>
  <c r="T65" i="103"/>
  <c r="P65" i="103"/>
  <c r="X65" i="103" s="1"/>
  <c r="Z65" i="103" s="1"/>
  <c r="N65" i="103"/>
  <c r="H65" i="103"/>
  <c r="D65" i="103"/>
  <c r="L65" i="103" s="1"/>
  <c r="B65" i="103"/>
  <c r="Z64" i="103"/>
  <c r="X64" i="103"/>
  <c r="L64" i="103"/>
  <c r="N64" i="103" s="1"/>
  <c r="B64" i="103"/>
  <c r="T63" i="103"/>
  <c r="P63" i="103"/>
  <c r="X63" i="103" s="1"/>
  <c r="N63" i="103"/>
  <c r="L63" i="103"/>
  <c r="H63" i="103"/>
  <c r="D63" i="103"/>
  <c r="B63" i="103"/>
  <c r="Z62" i="103"/>
  <c r="X62" i="103"/>
  <c r="L62" i="103"/>
  <c r="N62" i="103" s="1"/>
  <c r="B62" i="103"/>
  <c r="T61" i="103"/>
  <c r="P61" i="103"/>
  <c r="X61" i="103" s="1"/>
  <c r="Z61" i="103" s="1"/>
  <c r="L61" i="103"/>
  <c r="H61" i="103"/>
  <c r="D61" i="103"/>
  <c r="B61" i="103"/>
  <c r="X60" i="103"/>
  <c r="Z60" i="103" s="1"/>
  <c r="N60" i="103"/>
  <c r="L60" i="103"/>
  <c r="B60" i="103"/>
  <c r="Z59" i="103"/>
  <c r="T59" i="103"/>
  <c r="P59" i="103"/>
  <c r="X59" i="103" s="1"/>
  <c r="H59" i="103"/>
  <c r="D59" i="103"/>
  <c r="L59" i="103" s="1"/>
  <c r="N59" i="103" s="1"/>
  <c r="B59" i="103"/>
  <c r="X58" i="103"/>
  <c r="Z58" i="103" s="1"/>
  <c r="L58" i="103"/>
  <c r="N58" i="103" s="1"/>
  <c r="B58" i="103"/>
  <c r="X57" i="103"/>
  <c r="Z57" i="103" s="1"/>
  <c r="T57" i="103"/>
  <c r="P57" i="103"/>
  <c r="H57" i="103"/>
  <c r="D57" i="103"/>
  <c r="B57" i="103"/>
  <c r="X56" i="103"/>
  <c r="Z56" i="103" s="1"/>
  <c r="L56" i="103"/>
  <c r="N56" i="103" s="1"/>
  <c r="B56" i="103"/>
  <c r="T55" i="103"/>
  <c r="P55" i="103"/>
  <c r="H55" i="103"/>
  <c r="D55" i="103"/>
  <c r="L55" i="103" s="1"/>
  <c r="N55" i="103" s="1"/>
  <c r="B55" i="103"/>
  <c r="Z54" i="103"/>
  <c r="X54" i="103"/>
  <c r="L54" i="103"/>
  <c r="N54" i="103" s="1"/>
  <c r="B54" i="103"/>
  <c r="X53" i="103"/>
  <c r="T53" i="103"/>
  <c r="Z53" i="103" s="1"/>
  <c r="P53" i="103"/>
  <c r="H53" i="103"/>
  <c r="N53" i="103" s="1"/>
  <c r="D53" i="103"/>
  <c r="L53" i="103" s="1"/>
  <c r="B53" i="103"/>
  <c r="Z52" i="103"/>
  <c r="X52" i="103"/>
  <c r="L52" i="103"/>
  <c r="N52" i="103" s="1"/>
  <c r="B52" i="103"/>
  <c r="T51" i="103"/>
  <c r="P51" i="103"/>
  <c r="L51" i="103"/>
  <c r="N51" i="103" s="1"/>
  <c r="H51" i="103"/>
  <c r="D51" i="103"/>
  <c r="B51" i="103"/>
  <c r="X50" i="103"/>
  <c r="Z50" i="103" s="1"/>
  <c r="N50" i="103"/>
  <c r="L50" i="103"/>
  <c r="B50" i="103"/>
  <c r="T49" i="103"/>
  <c r="P49" i="103"/>
  <c r="L49" i="103"/>
  <c r="H49" i="103"/>
  <c r="D49" i="103"/>
  <c r="B49" i="103"/>
  <c r="Z48" i="103"/>
  <c r="X48" i="103"/>
  <c r="N48" i="103"/>
  <c r="L48" i="103"/>
  <c r="B48" i="103"/>
  <c r="Z47" i="103"/>
  <c r="X47" i="103"/>
  <c r="N47" i="103"/>
  <c r="L47" i="103"/>
  <c r="B47" i="103"/>
  <c r="X46" i="103"/>
  <c r="Z46" i="103" s="1"/>
  <c r="N46" i="103"/>
  <c r="L46" i="103"/>
  <c r="B46" i="103"/>
  <c r="Z45" i="103"/>
  <c r="X45" i="103"/>
  <c r="N45" i="103"/>
  <c r="L45" i="103"/>
  <c r="B45" i="103"/>
  <c r="Z44" i="103"/>
  <c r="X44" i="103"/>
  <c r="N44" i="103"/>
  <c r="L44" i="103"/>
  <c r="B44" i="103"/>
  <c r="Z43" i="103"/>
  <c r="X43" i="103"/>
  <c r="N43" i="103"/>
  <c r="L43" i="103"/>
  <c r="B43" i="103"/>
  <c r="X42" i="103"/>
  <c r="Z42" i="103" s="1"/>
  <c r="L42" i="103"/>
  <c r="N42" i="103" s="1"/>
  <c r="B42" i="103"/>
  <c r="Z41" i="103"/>
  <c r="X41" i="103"/>
  <c r="N41" i="103"/>
  <c r="L41" i="103"/>
  <c r="B41" i="103"/>
  <c r="X40" i="103"/>
  <c r="Z40" i="103" s="1"/>
  <c r="L40" i="103"/>
  <c r="N40" i="103" s="1"/>
  <c r="B40" i="103"/>
  <c r="Z39" i="103"/>
  <c r="X39" i="103"/>
  <c r="N39" i="103"/>
  <c r="L39" i="103"/>
  <c r="B39" i="103"/>
  <c r="T38" i="103"/>
  <c r="P38" i="103"/>
  <c r="X38" i="103" s="1"/>
  <c r="Z38" i="103" s="1"/>
  <c r="H38" i="103"/>
  <c r="D38" i="103"/>
  <c r="L38" i="103" s="1"/>
  <c r="B38" i="103"/>
  <c r="Z37" i="103"/>
  <c r="X37" i="103"/>
  <c r="N37" i="103"/>
  <c r="L37" i="103"/>
  <c r="B37" i="103"/>
  <c r="X36" i="103"/>
  <c r="Z36" i="103" s="1"/>
  <c r="L36" i="103"/>
  <c r="N36" i="103" s="1"/>
  <c r="B36" i="103"/>
  <c r="Z35" i="103"/>
  <c r="X35" i="103"/>
  <c r="L35" i="103"/>
  <c r="N35" i="103" s="1"/>
  <c r="B35" i="103"/>
  <c r="Z34" i="103"/>
  <c r="X34" i="103"/>
  <c r="N34" i="103"/>
  <c r="L34" i="103"/>
  <c r="B34" i="103"/>
  <c r="Z33" i="103"/>
  <c r="X33" i="103"/>
  <c r="N33" i="103"/>
  <c r="L33" i="103"/>
  <c r="B33" i="103"/>
  <c r="X32" i="103"/>
  <c r="Z32" i="103" s="1"/>
  <c r="L32" i="103"/>
  <c r="N32" i="103" s="1"/>
  <c r="B32" i="103"/>
  <c r="Z31" i="103"/>
  <c r="X31" i="103"/>
  <c r="L31" i="103"/>
  <c r="N31" i="103" s="1"/>
  <c r="B31" i="103"/>
  <c r="X30" i="103"/>
  <c r="Z30" i="103" s="1"/>
  <c r="L30" i="103"/>
  <c r="N30" i="103" s="1"/>
  <c r="B30" i="103"/>
  <c r="Z29" i="103"/>
  <c r="X29" i="103"/>
  <c r="N29" i="103"/>
  <c r="L29" i="103"/>
  <c r="B29" i="103"/>
  <c r="X28" i="103"/>
  <c r="Z28" i="103" s="1"/>
  <c r="L28" i="103"/>
  <c r="N28" i="103" s="1"/>
  <c r="B28" i="103"/>
  <c r="T27" i="103"/>
  <c r="P27" i="103"/>
  <c r="X27" i="103" s="1"/>
  <c r="Z27" i="103" s="1"/>
  <c r="H27" i="103"/>
  <c r="D27" i="103"/>
  <c r="B27" i="103"/>
  <c r="T26" i="103"/>
  <c r="P26" i="103"/>
  <c r="X26" i="103" s="1"/>
  <c r="H26" i="103"/>
  <c r="D26" i="103"/>
  <c r="L26" i="103" s="1"/>
  <c r="H24" i="103"/>
  <c r="H94" i="103" s="1"/>
  <c r="H98" i="103" s="1"/>
  <c r="H101" i="103" s="1"/>
  <c r="Z22" i="103"/>
  <c r="X22" i="103"/>
  <c r="N22" i="103"/>
  <c r="L22" i="103"/>
  <c r="B22" i="103"/>
  <c r="Z21" i="103"/>
  <c r="X21" i="103"/>
  <c r="N21" i="103"/>
  <c r="L21" i="103"/>
  <c r="B21" i="103"/>
  <c r="X20" i="103"/>
  <c r="Z20" i="103" s="1"/>
  <c r="L20" i="103"/>
  <c r="N20" i="103" s="1"/>
  <c r="B20" i="103"/>
  <c r="V19" i="103"/>
  <c r="T19" i="103"/>
  <c r="P19" i="103"/>
  <c r="X19" i="103" s="1"/>
  <c r="Z19" i="103" s="1"/>
  <c r="H19" i="103"/>
  <c r="D19" i="103"/>
  <c r="L19" i="103" s="1"/>
  <c r="N19" i="103" s="1"/>
  <c r="Z17" i="103"/>
  <c r="P17" i="103"/>
  <c r="X17" i="103" s="1"/>
  <c r="N17" i="103"/>
  <c r="D17" i="103"/>
  <c r="L17" i="103" s="1"/>
  <c r="B17" i="103"/>
  <c r="Z16" i="103"/>
  <c r="X16" i="103"/>
  <c r="P16" i="103"/>
  <c r="N16" i="103"/>
  <c r="D16" i="103"/>
  <c r="L16" i="103" s="1"/>
  <c r="B16" i="103"/>
  <c r="Z15" i="103"/>
  <c r="P15" i="103"/>
  <c r="X15" i="103" s="1"/>
  <c r="N15" i="103"/>
  <c r="L15" i="103"/>
  <c r="D15" i="103"/>
  <c r="B15" i="103"/>
  <c r="X14" i="103"/>
  <c r="Z14" i="103" s="1"/>
  <c r="P14" i="103"/>
  <c r="D14" i="103"/>
  <c r="L14" i="103" s="1"/>
  <c r="N14" i="103" s="1"/>
  <c r="B14" i="103"/>
  <c r="Z13" i="103"/>
  <c r="P13" i="103"/>
  <c r="P12" i="103" s="1"/>
  <c r="N13" i="103"/>
  <c r="L13" i="103"/>
  <c r="D13" i="103"/>
  <c r="B13" i="103"/>
  <c r="T12" i="103"/>
  <c r="V81" i="103" s="1"/>
  <c r="H12" i="103"/>
  <c r="J79" i="103" s="1"/>
  <c r="D12" i="103"/>
  <c r="F79" i="103" s="1"/>
  <c r="D6" i="103"/>
  <c r="D4" i="103"/>
  <c r="Z66" i="102"/>
  <c r="X66" i="102"/>
  <c r="N66" i="102"/>
  <c r="L66" i="102"/>
  <c r="X62" i="102"/>
  <c r="T62" i="102"/>
  <c r="Z62" i="102" s="1"/>
  <c r="P62" i="102"/>
  <c r="H62" i="102"/>
  <c r="N62" i="102" s="1"/>
  <c r="D62" i="102"/>
  <c r="X60" i="102"/>
  <c r="Z60" i="102" s="1"/>
  <c r="L60" i="102"/>
  <c r="N60" i="102" s="1"/>
  <c r="B60" i="102"/>
  <c r="T59" i="102"/>
  <c r="X59" i="102" s="1"/>
  <c r="Z59" i="102" s="1"/>
  <c r="P59" i="102"/>
  <c r="H59" i="102"/>
  <c r="D59" i="102"/>
  <c r="L59" i="102" s="1"/>
  <c r="N59" i="102" s="1"/>
  <c r="B59" i="102"/>
  <c r="X58" i="102"/>
  <c r="Z58" i="102" s="1"/>
  <c r="L58" i="102"/>
  <c r="N58" i="102" s="1"/>
  <c r="B58" i="102"/>
  <c r="V57" i="102"/>
  <c r="T57" i="102"/>
  <c r="P57" i="102"/>
  <c r="X57" i="102" s="1"/>
  <c r="Z57" i="102" s="1"/>
  <c r="H57" i="102"/>
  <c r="D57" i="102"/>
  <c r="L57" i="102" s="1"/>
  <c r="N57" i="102" s="1"/>
  <c r="B57" i="102"/>
  <c r="X56" i="102"/>
  <c r="Z56" i="102" s="1"/>
  <c r="N56" i="102"/>
  <c r="L56" i="102"/>
  <c r="B56" i="102"/>
  <c r="T55" i="102"/>
  <c r="P55" i="102"/>
  <c r="N55" i="102"/>
  <c r="L55" i="102"/>
  <c r="H55" i="102"/>
  <c r="D55" i="102"/>
  <c r="B55" i="102"/>
  <c r="X54" i="102"/>
  <c r="Z54" i="102" s="1"/>
  <c r="L54" i="102"/>
  <c r="N54" i="102" s="1"/>
  <c r="B54" i="102"/>
  <c r="Z53" i="102"/>
  <c r="X53" i="102"/>
  <c r="L53" i="102"/>
  <c r="N53" i="102" s="1"/>
  <c r="B53" i="102"/>
  <c r="Z52" i="102"/>
  <c r="X52" i="102"/>
  <c r="N52" i="102"/>
  <c r="L52" i="102"/>
  <c r="B52" i="102"/>
  <c r="Z51" i="102"/>
  <c r="X51" i="102"/>
  <c r="N51" i="102"/>
  <c r="L51" i="102"/>
  <c r="B51" i="102"/>
  <c r="V50" i="102"/>
  <c r="T50" i="102"/>
  <c r="P50" i="102"/>
  <c r="L50" i="102"/>
  <c r="H50" i="102"/>
  <c r="D50" i="102"/>
  <c r="B50" i="102"/>
  <c r="Z49" i="102"/>
  <c r="X49" i="102"/>
  <c r="V49" i="102"/>
  <c r="N49" i="102"/>
  <c r="L49" i="102"/>
  <c r="B49" i="102"/>
  <c r="T48" i="102"/>
  <c r="Z48" i="102" s="1"/>
  <c r="P48" i="102"/>
  <c r="X48" i="102" s="1"/>
  <c r="H48" i="102"/>
  <c r="N48" i="102" s="1"/>
  <c r="D48" i="102"/>
  <c r="B48" i="102"/>
  <c r="Z47" i="102"/>
  <c r="X47" i="102"/>
  <c r="N47" i="102"/>
  <c r="L47" i="102"/>
  <c r="B47" i="102"/>
  <c r="X46" i="102"/>
  <c r="T46" i="102"/>
  <c r="Z46" i="102" s="1"/>
  <c r="P46" i="102"/>
  <c r="L46" i="102"/>
  <c r="N46" i="102" s="1"/>
  <c r="H46" i="102"/>
  <c r="D46" i="102"/>
  <c r="B46" i="102"/>
  <c r="Z45" i="102"/>
  <c r="X45" i="102"/>
  <c r="V45" i="102"/>
  <c r="L45" i="102"/>
  <c r="N45" i="102" s="1"/>
  <c r="B45" i="102"/>
  <c r="X44" i="102"/>
  <c r="T44" i="102"/>
  <c r="P44" i="102"/>
  <c r="H44" i="102"/>
  <c r="D44" i="102"/>
  <c r="B44" i="102"/>
  <c r="Z43" i="102"/>
  <c r="X43" i="102"/>
  <c r="V43" i="102"/>
  <c r="N43" i="102"/>
  <c r="L43" i="102"/>
  <c r="B43" i="102"/>
  <c r="V42" i="102"/>
  <c r="T42" i="102"/>
  <c r="P42" i="102"/>
  <c r="X42" i="102" s="1"/>
  <c r="H42" i="102"/>
  <c r="N42" i="102" s="1"/>
  <c r="D42" i="102"/>
  <c r="L42" i="102" s="1"/>
  <c r="B42" i="102"/>
  <c r="X41" i="102"/>
  <c r="Z41" i="102" s="1"/>
  <c r="V41" i="102"/>
  <c r="N41" i="102"/>
  <c r="L41" i="102"/>
  <c r="B41" i="102"/>
  <c r="X40" i="102"/>
  <c r="Z40" i="102" s="1"/>
  <c r="T40" i="102"/>
  <c r="P40" i="102"/>
  <c r="L40" i="102"/>
  <c r="H40" i="102"/>
  <c r="D40" i="102"/>
  <c r="B40" i="102"/>
  <c r="Z39" i="102"/>
  <c r="X39" i="102"/>
  <c r="V39" i="102"/>
  <c r="N39" i="102"/>
  <c r="L39" i="102"/>
  <c r="B39" i="102"/>
  <c r="Z38" i="102"/>
  <c r="X38" i="102"/>
  <c r="V38" i="102"/>
  <c r="N38" i="102"/>
  <c r="L38" i="102"/>
  <c r="B38" i="102"/>
  <c r="Z37" i="102"/>
  <c r="X37" i="102"/>
  <c r="V37" i="102"/>
  <c r="N37" i="102"/>
  <c r="L37" i="102"/>
  <c r="J37" i="102"/>
  <c r="B37" i="102"/>
  <c r="Z36" i="102"/>
  <c r="X36" i="102"/>
  <c r="N36" i="102"/>
  <c r="L36" i="102"/>
  <c r="B36" i="102"/>
  <c r="Z35" i="102"/>
  <c r="X35" i="102"/>
  <c r="V35" i="102"/>
  <c r="N35" i="102"/>
  <c r="L35" i="102"/>
  <c r="B35" i="102"/>
  <c r="Z34" i="102"/>
  <c r="X34" i="102"/>
  <c r="V34" i="102"/>
  <c r="N34" i="102"/>
  <c r="L34" i="102"/>
  <c r="F34" i="102"/>
  <c r="B34" i="102"/>
  <c r="Z33" i="102"/>
  <c r="X33" i="102"/>
  <c r="V33" i="102"/>
  <c r="N33" i="102"/>
  <c r="L33" i="102"/>
  <c r="B33" i="102"/>
  <c r="Z32" i="102"/>
  <c r="X32" i="102"/>
  <c r="N32" i="102"/>
  <c r="L32" i="102"/>
  <c r="B32" i="102"/>
  <c r="Z31" i="102"/>
  <c r="X31" i="102"/>
  <c r="V31" i="102"/>
  <c r="N31" i="102"/>
  <c r="L31" i="102"/>
  <c r="B31" i="102"/>
  <c r="Z30" i="102"/>
  <c r="X30" i="102"/>
  <c r="V30" i="102"/>
  <c r="R30" i="102"/>
  <c r="N30" i="102"/>
  <c r="L30" i="102"/>
  <c r="B30" i="102"/>
  <c r="Z29" i="102"/>
  <c r="V29" i="102"/>
  <c r="T29" i="102"/>
  <c r="P29" i="102"/>
  <c r="X29" i="102" s="1"/>
  <c r="H29" i="102"/>
  <c r="D29" i="102"/>
  <c r="B29" i="102"/>
  <c r="Z28" i="102"/>
  <c r="X28" i="102"/>
  <c r="N28" i="102"/>
  <c r="L28" i="102"/>
  <c r="B28" i="102"/>
  <c r="Z27" i="102"/>
  <c r="X27" i="102"/>
  <c r="V27" i="102"/>
  <c r="N27" i="102"/>
  <c r="L27" i="102"/>
  <c r="B27" i="102"/>
  <c r="X26" i="102"/>
  <c r="Z26" i="102" s="1"/>
  <c r="V26" i="102"/>
  <c r="L26" i="102"/>
  <c r="N26" i="102" s="1"/>
  <c r="B26" i="102"/>
  <c r="Z25" i="102"/>
  <c r="X25" i="102"/>
  <c r="V25" i="102"/>
  <c r="N25" i="102"/>
  <c r="L25" i="102"/>
  <c r="B25" i="102"/>
  <c r="X24" i="102"/>
  <c r="Z24" i="102" s="1"/>
  <c r="V24" i="102"/>
  <c r="N24" i="102"/>
  <c r="L24" i="102"/>
  <c r="F24" i="102"/>
  <c r="B24" i="102"/>
  <c r="Z23" i="102"/>
  <c r="X23" i="102"/>
  <c r="V23" i="102"/>
  <c r="N23" i="102"/>
  <c r="L23" i="102"/>
  <c r="B23" i="102"/>
  <c r="X22" i="102"/>
  <c r="Z22" i="102" s="1"/>
  <c r="V22" i="102"/>
  <c r="L22" i="102"/>
  <c r="N22" i="102" s="1"/>
  <c r="B22" i="102"/>
  <c r="X21" i="102"/>
  <c r="Z21" i="102" s="1"/>
  <c r="V21" i="102"/>
  <c r="L21" i="102"/>
  <c r="N21" i="102" s="1"/>
  <c r="B21" i="102"/>
  <c r="X20" i="102"/>
  <c r="Z20" i="102" s="1"/>
  <c r="V20" i="102"/>
  <c r="L20" i="102"/>
  <c r="N20" i="102" s="1"/>
  <c r="B20" i="102"/>
  <c r="V19" i="102"/>
  <c r="T19" i="102"/>
  <c r="R19" i="102"/>
  <c r="P19" i="102"/>
  <c r="X19" i="102" s="1"/>
  <c r="Z19" i="102" s="1"/>
  <c r="H19" i="102"/>
  <c r="D19" i="102"/>
  <c r="L19" i="102" s="1"/>
  <c r="N19" i="102" s="1"/>
  <c r="B19" i="102"/>
  <c r="X18" i="102"/>
  <c r="T18" i="102"/>
  <c r="P18" i="102"/>
  <c r="L18" i="102"/>
  <c r="H18" i="102"/>
  <c r="N18" i="102" s="1"/>
  <c r="D18" i="102"/>
  <c r="P16" i="102"/>
  <c r="X14" i="102"/>
  <c r="T14" i="102"/>
  <c r="Z14" i="102" s="1"/>
  <c r="P14" i="102"/>
  <c r="N14" i="102"/>
  <c r="L14" i="102"/>
  <c r="H14" i="102"/>
  <c r="F14" i="102"/>
  <c r="D14" i="102"/>
  <c r="X12" i="102"/>
  <c r="T12" i="102"/>
  <c r="V54" i="102" s="1"/>
  <c r="P12" i="102"/>
  <c r="R36" i="102" s="1"/>
  <c r="H12" i="102"/>
  <c r="J33" i="102" s="1"/>
  <c r="D12" i="102"/>
  <c r="F18" i="102" s="1"/>
  <c r="D6" i="102"/>
  <c r="D4" i="102"/>
  <c r="Z99" i="101"/>
  <c r="X99" i="101"/>
  <c r="L99" i="101"/>
  <c r="N99" i="101" s="1"/>
  <c r="Z95" i="101"/>
  <c r="X95" i="101"/>
  <c r="P95" i="101"/>
  <c r="D95" i="101"/>
  <c r="L95" i="101" s="1"/>
  <c r="N95" i="101" s="1"/>
  <c r="B95" i="101"/>
  <c r="Z94" i="101"/>
  <c r="T94" i="101"/>
  <c r="P94" i="101"/>
  <c r="X94" i="101" s="1"/>
  <c r="H94" i="101"/>
  <c r="D94" i="101"/>
  <c r="L94" i="101" s="1"/>
  <c r="N94" i="101" s="1"/>
  <c r="X92" i="101"/>
  <c r="Z92" i="101" s="1"/>
  <c r="N92" i="101"/>
  <c r="L92" i="101"/>
  <c r="B92" i="101"/>
  <c r="T91" i="101"/>
  <c r="P91" i="101"/>
  <c r="X91" i="101" s="1"/>
  <c r="J91" i="101"/>
  <c r="H91" i="101"/>
  <c r="N91" i="101" s="1"/>
  <c r="D91" i="101"/>
  <c r="L91" i="101" s="1"/>
  <c r="B91" i="101"/>
  <c r="Z90" i="101"/>
  <c r="X90" i="101"/>
  <c r="N90" i="101"/>
  <c r="L90" i="101"/>
  <c r="J90" i="101"/>
  <c r="B90" i="101"/>
  <c r="T89" i="101"/>
  <c r="P89" i="101"/>
  <c r="X89" i="101" s="1"/>
  <c r="N89" i="101"/>
  <c r="L89" i="101"/>
  <c r="H89" i="101"/>
  <c r="D89" i="101"/>
  <c r="B89" i="101"/>
  <c r="Z88" i="101"/>
  <c r="X88" i="101"/>
  <c r="L88" i="101"/>
  <c r="N88" i="101" s="1"/>
  <c r="B88" i="101"/>
  <c r="Z87" i="101"/>
  <c r="X87" i="101"/>
  <c r="L87" i="101"/>
  <c r="N87" i="101" s="1"/>
  <c r="B87" i="101"/>
  <c r="T86" i="101"/>
  <c r="P86" i="101"/>
  <c r="N86" i="101"/>
  <c r="H86" i="101"/>
  <c r="D86" i="101"/>
  <c r="L86" i="101" s="1"/>
  <c r="B86" i="101"/>
  <c r="X85" i="101"/>
  <c r="Z85" i="101" s="1"/>
  <c r="N85" i="101"/>
  <c r="L85" i="101"/>
  <c r="B85" i="101"/>
  <c r="Z84" i="101"/>
  <c r="X84" i="101"/>
  <c r="N84" i="101"/>
  <c r="L84" i="101"/>
  <c r="B84" i="101"/>
  <c r="Z83" i="101"/>
  <c r="X83" i="101"/>
  <c r="N83" i="101"/>
  <c r="L83" i="101"/>
  <c r="B83" i="101"/>
  <c r="Z82" i="101"/>
  <c r="X82" i="101"/>
  <c r="N82" i="101"/>
  <c r="L82" i="101"/>
  <c r="B82" i="101"/>
  <c r="X81" i="101"/>
  <c r="Z81" i="101" s="1"/>
  <c r="V81" i="101"/>
  <c r="N81" i="101"/>
  <c r="L81" i="101"/>
  <c r="B81" i="101"/>
  <c r="Z80" i="101"/>
  <c r="X80" i="101"/>
  <c r="N80" i="101"/>
  <c r="L80" i="101"/>
  <c r="J80" i="101"/>
  <c r="B80" i="101"/>
  <c r="Z79" i="101"/>
  <c r="X79" i="101"/>
  <c r="N79" i="101"/>
  <c r="L79" i="101"/>
  <c r="B79" i="101"/>
  <c r="X78" i="101"/>
  <c r="T78" i="101"/>
  <c r="P78" i="101"/>
  <c r="L78" i="101"/>
  <c r="H78" i="101"/>
  <c r="N78" i="101" s="1"/>
  <c r="D78" i="101"/>
  <c r="B78" i="101"/>
  <c r="Z77" i="101"/>
  <c r="X77" i="101"/>
  <c r="V77" i="101"/>
  <c r="N77" i="101"/>
  <c r="L77" i="101"/>
  <c r="J77" i="101"/>
  <c r="B77" i="101"/>
  <c r="T76" i="101"/>
  <c r="P76" i="101"/>
  <c r="H76" i="101"/>
  <c r="N76" i="101" s="1"/>
  <c r="D76" i="101"/>
  <c r="L76" i="101" s="1"/>
  <c r="B76" i="101"/>
  <c r="Z75" i="101"/>
  <c r="X75" i="101"/>
  <c r="V75" i="101"/>
  <c r="N75" i="101"/>
  <c r="L75" i="101"/>
  <c r="B75" i="101"/>
  <c r="Z74" i="101"/>
  <c r="X74" i="101"/>
  <c r="N74" i="101"/>
  <c r="L74" i="101"/>
  <c r="B74" i="101"/>
  <c r="Z73" i="101"/>
  <c r="X73" i="101"/>
  <c r="V73" i="101"/>
  <c r="N73" i="101"/>
  <c r="L73" i="101"/>
  <c r="B73" i="101"/>
  <c r="X72" i="101"/>
  <c r="T72" i="101"/>
  <c r="Z72" i="101" s="1"/>
  <c r="P72" i="101"/>
  <c r="H72" i="101"/>
  <c r="D72" i="101"/>
  <c r="L72" i="101" s="1"/>
  <c r="N72" i="101" s="1"/>
  <c r="B72" i="101"/>
  <c r="Z71" i="101"/>
  <c r="X71" i="101"/>
  <c r="N71" i="101"/>
  <c r="L71" i="101"/>
  <c r="B71" i="101"/>
  <c r="X70" i="101"/>
  <c r="Z70" i="101" s="1"/>
  <c r="N70" i="101"/>
  <c r="L70" i="101"/>
  <c r="B70" i="101"/>
  <c r="Z69" i="101"/>
  <c r="X69" i="101"/>
  <c r="T69" i="101"/>
  <c r="P69" i="101"/>
  <c r="N69" i="101"/>
  <c r="L69" i="101"/>
  <c r="H69" i="101"/>
  <c r="D69" i="101"/>
  <c r="B69" i="101"/>
  <c r="X68" i="101"/>
  <c r="Z68" i="101" s="1"/>
  <c r="L68" i="101"/>
  <c r="N68" i="101" s="1"/>
  <c r="J68" i="101"/>
  <c r="B68" i="101"/>
  <c r="Z67" i="101"/>
  <c r="X67" i="101"/>
  <c r="V67" i="101"/>
  <c r="N67" i="101"/>
  <c r="L67" i="101"/>
  <c r="J67" i="101"/>
  <c r="B67" i="101"/>
  <c r="Z66" i="101"/>
  <c r="X66" i="101"/>
  <c r="N66" i="101"/>
  <c r="L66" i="101"/>
  <c r="B66" i="101"/>
  <c r="Z65" i="101"/>
  <c r="V65" i="101"/>
  <c r="T65" i="101"/>
  <c r="X65" i="101" s="1"/>
  <c r="P65" i="101"/>
  <c r="N65" i="101"/>
  <c r="L65" i="101"/>
  <c r="J65" i="101"/>
  <c r="H65" i="101"/>
  <c r="D65" i="101"/>
  <c r="B65" i="101"/>
  <c r="X64" i="101"/>
  <c r="Z64" i="101" s="1"/>
  <c r="V64" i="101"/>
  <c r="N64" i="101"/>
  <c r="L64" i="101"/>
  <c r="J64" i="101"/>
  <c r="B64" i="101"/>
  <c r="V63" i="101"/>
  <c r="T63" i="101"/>
  <c r="P63" i="101"/>
  <c r="X63" i="101" s="1"/>
  <c r="Z63" i="101" s="1"/>
  <c r="J63" i="101"/>
  <c r="H63" i="101"/>
  <c r="N63" i="101" s="1"/>
  <c r="D63" i="101"/>
  <c r="L63" i="101" s="1"/>
  <c r="B63" i="101"/>
  <c r="X62" i="101"/>
  <c r="Z62" i="101" s="1"/>
  <c r="N62" i="101"/>
  <c r="L62" i="101"/>
  <c r="B62" i="101"/>
  <c r="Z61" i="101"/>
  <c r="X61" i="101"/>
  <c r="T61" i="101"/>
  <c r="P61" i="101"/>
  <c r="H61" i="101"/>
  <c r="D61" i="101"/>
  <c r="L61" i="101" s="1"/>
  <c r="N61" i="101" s="1"/>
  <c r="B61" i="101"/>
  <c r="X60" i="101"/>
  <c r="Z60" i="101" s="1"/>
  <c r="L60" i="101"/>
  <c r="N60" i="101" s="1"/>
  <c r="J60" i="101"/>
  <c r="B60" i="101"/>
  <c r="Z59" i="101"/>
  <c r="X59" i="101"/>
  <c r="V59" i="101"/>
  <c r="T59" i="101"/>
  <c r="P59" i="101"/>
  <c r="N59" i="101"/>
  <c r="J59" i="101"/>
  <c r="H59" i="101"/>
  <c r="L59" i="101" s="1"/>
  <c r="D59" i="101"/>
  <c r="B59" i="101"/>
  <c r="X58" i="101"/>
  <c r="Z58" i="101" s="1"/>
  <c r="L58" i="101"/>
  <c r="N58" i="101" s="1"/>
  <c r="B58" i="101"/>
  <c r="Z57" i="101"/>
  <c r="X57" i="101"/>
  <c r="V57" i="101"/>
  <c r="N57" i="101"/>
  <c r="L57" i="101"/>
  <c r="B57" i="101"/>
  <c r="V56" i="101"/>
  <c r="T56" i="101"/>
  <c r="P56" i="101"/>
  <c r="X56" i="101" s="1"/>
  <c r="H56" i="101"/>
  <c r="D56" i="101"/>
  <c r="L56" i="101" s="1"/>
  <c r="N56" i="101" s="1"/>
  <c r="B56" i="101"/>
  <c r="Z55" i="101"/>
  <c r="X55" i="101"/>
  <c r="N55" i="101"/>
  <c r="L55" i="101"/>
  <c r="J55" i="101"/>
  <c r="B55" i="101"/>
  <c r="X54" i="101"/>
  <c r="T54" i="101"/>
  <c r="P54" i="101"/>
  <c r="L54" i="101"/>
  <c r="H54" i="101"/>
  <c r="N54" i="101" s="1"/>
  <c r="D54" i="101"/>
  <c r="B54" i="101"/>
  <c r="Z53" i="101"/>
  <c r="X53" i="101"/>
  <c r="V53" i="101"/>
  <c r="N53" i="101"/>
  <c r="L53" i="101"/>
  <c r="J53" i="101"/>
  <c r="B53" i="101"/>
  <c r="T52" i="101"/>
  <c r="P52" i="101"/>
  <c r="H52" i="101"/>
  <c r="D52" i="101"/>
  <c r="B52" i="101"/>
  <c r="Z51" i="101"/>
  <c r="X51" i="101"/>
  <c r="V51" i="101"/>
  <c r="N51" i="101"/>
  <c r="L51" i="101"/>
  <c r="J51" i="101"/>
  <c r="B51" i="101"/>
  <c r="T50" i="101"/>
  <c r="P50" i="101"/>
  <c r="X50" i="101" s="1"/>
  <c r="Z50" i="101" s="1"/>
  <c r="L50" i="101"/>
  <c r="J50" i="101"/>
  <c r="H50" i="101"/>
  <c r="D50" i="101"/>
  <c r="B50" i="101"/>
  <c r="Z49" i="101"/>
  <c r="X49" i="101"/>
  <c r="N49" i="101"/>
  <c r="L49" i="101"/>
  <c r="J49" i="101"/>
  <c r="B49" i="101"/>
  <c r="Z48" i="101"/>
  <c r="X48" i="101"/>
  <c r="V48" i="101"/>
  <c r="N48" i="101"/>
  <c r="L48" i="101"/>
  <c r="F48" i="101"/>
  <c r="B48" i="101"/>
  <c r="Z47" i="101"/>
  <c r="X47" i="101"/>
  <c r="V47" i="101"/>
  <c r="N47" i="101"/>
  <c r="L47" i="101"/>
  <c r="J47" i="101"/>
  <c r="B47" i="101"/>
  <c r="X46" i="101"/>
  <c r="Z46" i="101" s="1"/>
  <c r="N46" i="101"/>
  <c r="L46" i="101"/>
  <c r="B46" i="101"/>
  <c r="Z45" i="101"/>
  <c r="X45" i="101"/>
  <c r="N45" i="101"/>
  <c r="L45" i="101"/>
  <c r="J45" i="101"/>
  <c r="B45" i="101"/>
  <c r="Z44" i="101"/>
  <c r="X44" i="101"/>
  <c r="V44" i="101"/>
  <c r="N44" i="101"/>
  <c r="L44" i="101"/>
  <c r="B44" i="101"/>
  <c r="Z43" i="101"/>
  <c r="X43" i="101"/>
  <c r="V43" i="101"/>
  <c r="N43" i="101"/>
  <c r="L43" i="101"/>
  <c r="J43" i="101"/>
  <c r="B43" i="101"/>
  <c r="Z42" i="101"/>
  <c r="X42" i="101"/>
  <c r="N42" i="101"/>
  <c r="L42" i="101"/>
  <c r="B42" i="101"/>
  <c r="Z41" i="101"/>
  <c r="X41" i="101"/>
  <c r="N41" i="101"/>
  <c r="L41" i="101"/>
  <c r="J41" i="101"/>
  <c r="B41" i="101"/>
  <c r="Z40" i="101"/>
  <c r="X40" i="101"/>
  <c r="V40" i="101"/>
  <c r="N40" i="101"/>
  <c r="L40" i="101"/>
  <c r="B40" i="101"/>
  <c r="V39" i="101"/>
  <c r="T39" i="101"/>
  <c r="P39" i="101"/>
  <c r="X39" i="101" s="1"/>
  <c r="Z39" i="101" s="1"/>
  <c r="H39" i="101"/>
  <c r="D39" i="101"/>
  <c r="L39" i="101" s="1"/>
  <c r="N39" i="101" s="1"/>
  <c r="B39" i="101"/>
  <c r="Z38" i="101"/>
  <c r="X38" i="101"/>
  <c r="N38" i="101"/>
  <c r="L38" i="101"/>
  <c r="B38" i="101"/>
  <c r="Z37" i="101"/>
  <c r="X37" i="101"/>
  <c r="V37" i="101"/>
  <c r="N37" i="101"/>
  <c r="L37" i="101"/>
  <c r="J37" i="101"/>
  <c r="B37" i="101"/>
  <c r="X36" i="101"/>
  <c r="Z36" i="101" s="1"/>
  <c r="L36" i="101"/>
  <c r="N36" i="101" s="1"/>
  <c r="J36" i="101"/>
  <c r="B36" i="101"/>
  <c r="Z35" i="101"/>
  <c r="X35" i="101"/>
  <c r="V35" i="101"/>
  <c r="N35" i="101"/>
  <c r="L35" i="101"/>
  <c r="J35" i="101"/>
  <c r="B35" i="101"/>
  <c r="Z34" i="101"/>
  <c r="X34" i="101"/>
  <c r="N34" i="101"/>
  <c r="L34" i="101"/>
  <c r="B34" i="101"/>
  <c r="Z33" i="101"/>
  <c r="X33" i="101"/>
  <c r="V33" i="101"/>
  <c r="N33" i="101"/>
  <c r="L33" i="101"/>
  <c r="J33" i="101"/>
  <c r="B33" i="101"/>
  <c r="X32" i="101"/>
  <c r="Z32" i="101" s="1"/>
  <c r="L32" i="101"/>
  <c r="N32" i="101" s="1"/>
  <c r="J32" i="101"/>
  <c r="B32" i="101"/>
  <c r="X31" i="101"/>
  <c r="Z31" i="101" s="1"/>
  <c r="V31" i="101"/>
  <c r="N31" i="101"/>
  <c r="L31" i="101"/>
  <c r="J31" i="101"/>
  <c r="B31" i="101"/>
  <c r="Z30" i="101"/>
  <c r="X30" i="101"/>
  <c r="L30" i="101"/>
  <c r="N30" i="101" s="1"/>
  <c r="B30" i="101"/>
  <c r="Z29" i="101"/>
  <c r="X29" i="101"/>
  <c r="V29" i="101"/>
  <c r="N29" i="101"/>
  <c r="L29" i="101"/>
  <c r="J29" i="101"/>
  <c r="B29" i="101"/>
  <c r="T28" i="101"/>
  <c r="P28" i="101"/>
  <c r="H28" i="101"/>
  <c r="D28" i="101"/>
  <c r="B28" i="101"/>
  <c r="V27" i="101"/>
  <c r="T27" i="101"/>
  <c r="P27" i="101"/>
  <c r="X27" i="101" s="1"/>
  <c r="H27" i="101"/>
  <c r="D27" i="101"/>
  <c r="J25" i="101"/>
  <c r="H25" i="101"/>
  <c r="Z23" i="101"/>
  <c r="X23" i="101"/>
  <c r="V23" i="101"/>
  <c r="N23" i="101"/>
  <c r="L23" i="101"/>
  <c r="J23" i="101"/>
  <c r="B23" i="101"/>
  <c r="Z22" i="101"/>
  <c r="X22" i="101"/>
  <c r="N22" i="101"/>
  <c r="L22" i="101"/>
  <c r="B22" i="101"/>
  <c r="Z21" i="101"/>
  <c r="X21" i="101"/>
  <c r="V21" i="101"/>
  <c r="N21" i="101"/>
  <c r="L21" i="101"/>
  <c r="B21" i="101"/>
  <c r="V20" i="101"/>
  <c r="T20" i="101"/>
  <c r="P20" i="101"/>
  <c r="X20" i="101" s="1"/>
  <c r="H20" i="101"/>
  <c r="D20" i="101"/>
  <c r="L20" i="101" s="1"/>
  <c r="N20" i="101" s="1"/>
  <c r="Z18" i="101"/>
  <c r="P18" i="101"/>
  <c r="X18" i="101" s="1"/>
  <c r="N18" i="101"/>
  <c r="D18" i="101"/>
  <c r="L18" i="101" s="1"/>
  <c r="B18" i="101"/>
  <c r="Z17" i="101"/>
  <c r="X17" i="101"/>
  <c r="P17" i="101"/>
  <c r="N17" i="101"/>
  <c r="L17" i="101"/>
  <c r="D17" i="101"/>
  <c r="B17" i="101"/>
  <c r="X16" i="101"/>
  <c r="Z16" i="101" s="1"/>
  <c r="P16" i="101"/>
  <c r="L16" i="101"/>
  <c r="N16" i="101" s="1"/>
  <c r="D16" i="101"/>
  <c r="B16" i="101"/>
  <c r="Z15" i="101"/>
  <c r="P15" i="101"/>
  <c r="X15" i="101" s="1"/>
  <c r="N15" i="101"/>
  <c r="L15" i="101"/>
  <c r="D15" i="101"/>
  <c r="B15" i="101"/>
  <c r="Z14" i="101"/>
  <c r="X14" i="101"/>
  <c r="P14" i="101"/>
  <c r="N14" i="101"/>
  <c r="L14" i="101"/>
  <c r="D14" i="101"/>
  <c r="B14" i="101"/>
  <c r="P13" i="101"/>
  <c r="N13" i="101"/>
  <c r="L13" i="101"/>
  <c r="D13" i="101"/>
  <c r="B13" i="101"/>
  <c r="T12" i="101"/>
  <c r="V69" i="101" s="1"/>
  <c r="H12" i="101"/>
  <c r="D12" i="101"/>
  <c r="F29" i="101" s="1"/>
  <c r="D6" i="101"/>
  <c r="D4" i="101"/>
  <c r="X82" i="100"/>
  <c r="Z82" i="100" s="1"/>
  <c r="N82" i="100"/>
  <c r="L82" i="100"/>
  <c r="X78" i="100"/>
  <c r="Z78" i="100" s="1"/>
  <c r="P78" i="100"/>
  <c r="L78" i="100"/>
  <c r="N78" i="100" s="1"/>
  <c r="D78" i="100"/>
  <c r="D77" i="100" s="1"/>
  <c r="B78" i="100"/>
  <c r="Z77" i="100"/>
  <c r="T77" i="100"/>
  <c r="X77" i="100" s="1"/>
  <c r="P77" i="100"/>
  <c r="L77" i="100"/>
  <c r="N77" i="100" s="1"/>
  <c r="H77" i="100"/>
  <c r="Z75" i="100"/>
  <c r="X75" i="100"/>
  <c r="N75" i="100"/>
  <c r="L75" i="100"/>
  <c r="B75" i="100"/>
  <c r="Z74" i="100"/>
  <c r="X74" i="100"/>
  <c r="L74" i="100"/>
  <c r="N74" i="100" s="1"/>
  <c r="B74" i="100"/>
  <c r="X73" i="100"/>
  <c r="Z73" i="100" s="1"/>
  <c r="T73" i="100"/>
  <c r="P73" i="100"/>
  <c r="N73" i="100"/>
  <c r="H73" i="100"/>
  <c r="L73" i="100" s="1"/>
  <c r="D73" i="100"/>
  <c r="B73" i="100"/>
  <c r="Z72" i="100"/>
  <c r="X72" i="100"/>
  <c r="N72" i="100"/>
  <c r="L72" i="100"/>
  <c r="B72" i="100"/>
  <c r="Z71" i="100"/>
  <c r="X71" i="100"/>
  <c r="N71" i="100"/>
  <c r="L71" i="100"/>
  <c r="B71" i="100"/>
  <c r="X70" i="100"/>
  <c r="Z70" i="100" s="1"/>
  <c r="L70" i="100"/>
  <c r="N70" i="100" s="1"/>
  <c r="B70" i="100"/>
  <c r="Z69" i="100"/>
  <c r="X69" i="100"/>
  <c r="L69" i="100"/>
  <c r="N69" i="100" s="1"/>
  <c r="B69" i="100"/>
  <c r="Z68" i="100"/>
  <c r="X68" i="100"/>
  <c r="N68" i="100"/>
  <c r="L68" i="100"/>
  <c r="B68" i="100"/>
  <c r="T67" i="100"/>
  <c r="P67" i="100"/>
  <c r="H67" i="100"/>
  <c r="N67" i="100" s="1"/>
  <c r="D67" i="100"/>
  <c r="L67" i="100" s="1"/>
  <c r="B67" i="100"/>
  <c r="X66" i="100"/>
  <c r="Z66" i="100" s="1"/>
  <c r="N66" i="100"/>
  <c r="L66" i="100"/>
  <c r="B66" i="100"/>
  <c r="X65" i="100"/>
  <c r="Z65" i="100" s="1"/>
  <c r="T65" i="100"/>
  <c r="P65" i="100"/>
  <c r="N65" i="100"/>
  <c r="L65" i="100"/>
  <c r="H65" i="100"/>
  <c r="D65" i="100"/>
  <c r="B65" i="100"/>
  <c r="Z64" i="100"/>
  <c r="X64" i="100"/>
  <c r="N64" i="100"/>
  <c r="L64" i="100"/>
  <c r="B64" i="100"/>
  <c r="Z63" i="100"/>
  <c r="X63" i="100"/>
  <c r="N63" i="100"/>
  <c r="L63" i="100"/>
  <c r="B63" i="100"/>
  <c r="Z62" i="100"/>
  <c r="X62" i="100"/>
  <c r="L62" i="100"/>
  <c r="N62" i="100" s="1"/>
  <c r="B62" i="100"/>
  <c r="Z61" i="100"/>
  <c r="X61" i="100"/>
  <c r="T61" i="100"/>
  <c r="P61" i="100"/>
  <c r="N61" i="100"/>
  <c r="H61" i="100"/>
  <c r="L61" i="100" s="1"/>
  <c r="D61" i="100"/>
  <c r="B61" i="100"/>
  <c r="X60" i="100"/>
  <c r="Z60" i="100" s="1"/>
  <c r="N60" i="100"/>
  <c r="L60" i="100"/>
  <c r="B60" i="100"/>
  <c r="Z59" i="100"/>
  <c r="X59" i="100"/>
  <c r="N59" i="100"/>
  <c r="L59" i="100"/>
  <c r="B59" i="100"/>
  <c r="X58" i="100"/>
  <c r="T58" i="100"/>
  <c r="P58" i="100"/>
  <c r="N58" i="100"/>
  <c r="L58" i="100"/>
  <c r="H58" i="100"/>
  <c r="D58" i="100"/>
  <c r="B58" i="100"/>
  <c r="Z57" i="100"/>
  <c r="X57" i="100"/>
  <c r="N57" i="100"/>
  <c r="L57" i="100"/>
  <c r="B57" i="100"/>
  <c r="X56" i="100"/>
  <c r="T56" i="100"/>
  <c r="Z56" i="100" s="1"/>
  <c r="P56" i="100"/>
  <c r="H56" i="100"/>
  <c r="N56" i="100" s="1"/>
  <c r="D56" i="100"/>
  <c r="B56" i="100"/>
  <c r="Z55" i="100"/>
  <c r="X55" i="100"/>
  <c r="N55" i="100"/>
  <c r="L55" i="100"/>
  <c r="B55" i="100"/>
  <c r="T54" i="100"/>
  <c r="P54" i="100"/>
  <c r="H54" i="100"/>
  <c r="D54" i="100"/>
  <c r="L54" i="100" s="1"/>
  <c r="N54" i="100" s="1"/>
  <c r="B54" i="100"/>
  <c r="Z53" i="100"/>
  <c r="X53" i="100"/>
  <c r="N53" i="100"/>
  <c r="L53" i="100"/>
  <c r="B53" i="100"/>
  <c r="Z52" i="100"/>
  <c r="T52" i="100"/>
  <c r="P52" i="100"/>
  <c r="X52" i="100" s="1"/>
  <c r="H52" i="100"/>
  <c r="N52" i="100" s="1"/>
  <c r="D52" i="100"/>
  <c r="L52" i="100" s="1"/>
  <c r="B52" i="100"/>
  <c r="Z51" i="100"/>
  <c r="X51" i="100"/>
  <c r="N51" i="100"/>
  <c r="L51" i="100"/>
  <c r="B51" i="100"/>
  <c r="X50" i="100"/>
  <c r="T50" i="100"/>
  <c r="P50" i="100"/>
  <c r="H50" i="100"/>
  <c r="D50" i="100"/>
  <c r="L50" i="100" s="1"/>
  <c r="B50" i="100"/>
  <c r="X49" i="100"/>
  <c r="Z49" i="100" s="1"/>
  <c r="N49" i="100"/>
  <c r="L49" i="100"/>
  <c r="B49" i="100"/>
  <c r="Z48" i="100"/>
  <c r="X48" i="100"/>
  <c r="T48" i="100"/>
  <c r="P48" i="100"/>
  <c r="H48" i="100"/>
  <c r="D48" i="100"/>
  <c r="L48" i="100" s="1"/>
  <c r="B48" i="100"/>
  <c r="Z47" i="100"/>
  <c r="X47" i="100"/>
  <c r="N47" i="100"/>
  <c r="L47" i="100"/>
  <c r="B47" i="100"/>
  <c r="X46" i="100"/>
  <c r="T46" i="100"/>
  <c r="P46" i="100"/>
  <c r="N46" i="100"/>
  <c r="L46" i="100"/>
  <c r="H46" i="100"/>
  <c r="D46" i="100"/>
  <c r="B46" i="100"/>
  <c r="Z45" i="100"/>
  <c r="X45" i="100"/>
  <c r="N45" i="100"/>
  <c r="L45" i="100"/>
  <c r="B45" i="100"/>
  <c r="Z44" i="100"/>
  <c r="X44" i="100"/>
  <c r="N44" i="100"/>
  <c r="L44" i="100"/>
  <c r="B44" i="100"/>
  <c r="Z43" i="100"/>
  <c r="X43" i="100"/>
  <c r="N43" i="100"/>
  <c r="L43" i="100"/>
  <c r="B43" i="100"/>
  <c r="Z42" i="100"/>
  <c r="X42" i="100"/>
  <c r="N42" i="100"/>
  <c r="L42" i="100"/>
  <c r="B42" i="100"/>
  <c r="Z41" i="100"/>
  <c r="X41" i="100"/>
  <c r="N41" i="100"/>
  <c r="L41" i="100"/>
  <c r="B41" i="100"/>
  <c r="X40" i="100"/>
  <c r="Z40" i="100" s="1"/>
  <c r="N40" i="100"/>
  <c r="L40" i="100"/>
  <c r="B40" i="100"/>
  <c r="Z39" i="100"/>
  <c r="X39" i="100"/>
  <c r="N39" i="100"/>
  <c r="L39" i="100"/>
  <c r="B39" i="100"/>
  <c r="Z38" i="100"/>
  <c r="X38" i="100"/>
  <c r="N38" i="100"/>
  <c r="L38" i="100"/>
  <c r="B38" i="100"/>
  <c r="Z37" i="100"/>
  <c r="X37" i="100"/>
  <c r="N37" i="100"/>
  <c r="L37" i="100"/>
  <c r="B37" i="100"/>
  <c r="Z36" i="100"/>
  <c r="X36" i="100"/>
  <c r="N36" i="100"/>
  <c r="L36" i="100"/>
  <c r="B36" i="100"/>
  <c r="T35" i="100"/>
  <c r="P35" i="100"/>
  <c r="X35" i="100" s="1"/>
  <c r="Z35" i="100" s="1"/>
  <c r="H35" i="100"/>
  <c r="D35" i="100"/>
  <c r="L35" i="100" s="1"/>
  <c r="N35" i="100" s="1"/>
  <c r="B35" i="100"/>
  <c r="X34" i="100"/>
  <c r="Z34" i="100" s="1"/>
  <c r="N34" i="100"/>
  <c r="L34" i="100"/>
  <c r="B34" i="100"/>
  <c r="Z33" i="100"/>
  <c r="X33" i="100"/>
  <c r="N33" i="100"/>
  <c r="L33" i="100"/>
  <c r="B33" i="100"/>
  <c r="Z32" i="100"/>
  <c r="X32" i="100"/>
  <c r="N32" i="100"/>
  <c r="L32" i="100"/>
  <c r="B32" i="100"/>
  <c r="Z31" i="100"/>
  <c r="X31" i="100"/>
  <c r="N31" i="100"/>
  <c r="L31" i="100"/>
  <c r="B31" i="100"/>
  <c r="X30" i="100"/>
  <c r="Z30" i="100" s="1"/>
  <c r="L30" i="100"/>
  <c r="N30" i="100" s="1"/>
  <c r="B30" i="100"/>
  <c r="Z29" i="100"/>
  <c r="X29" i="100"/>
  <c r="N29" i="100"/>
  <c r="L29" i="100"/>
  <c r="B29" i="100"/>
  <c r="Z28" i="100"/>
  <c r="X28" i="100"/>
  <c r="N28" i="100"/>
  <c r="L28" i="100"/>
  <c r="B28" i="100"/>
  <c r="Z27" i="100"/>
  <c r="X27" i="100"/>
  <c r="N27" i="100"/>
  <c r="L27" i="100"/>
  <c r="B27" i="100"/>
  <c r="X26" i="100"/>
  <c r="Z26" i="100" s="1"/>
  <c r="T26" i="100"/>
  <c r="P26" i="100"/>
  <c r="L26" i="100"/>
  <c r="H26" i="100"/>
  <c r="N26" i="100" s="1"/>
  <c r="D26" i="100"/>
  <c r="B26" i="100"/>
  <c r="T25" i="100"/>
  <c r="P25" i="100"/>
  <c r="X25" i="100" s="1"/>
  <c r="H25" i="100"/>
  <c r="D25" i="100"/>
  <c r="Z21" i="100"/>
  <c r="X21" i="100"/>
  <c r="N21" i="100"/>
  <c r="L21" i="100"/>
  <c r="B21" i="100"/>
  <c r="Z20" i="100"/>
  <c r="X20" i="100"/>
  <c r="N20" i="100"/>
  <c r="L20" i="100"/>
  <c r="B20" i="100"/>
  <c r="Z19" i="100"/>
  <c r="X19" i="100"/>
  <c r="L19" i="100"/>
  <c r="N19" i="100" s="1"/>
  <c r="J19" i="100"/>
  <c r="B19" i="100"/>
  <c r="Z18" i="100"/>
  <c r="X18" i="100"/>
  <c r="T18" i="100"/>
  <c r="P18" i="100"/>
  <c r="N18" i="100"/>
  <c r="L18" i="100"/>
  <c r="J18" i="100"/>
  <c r="H18" i="100"/>
  <c r="D18" i="100"/>
  <c r="Z16" i="100"/>
  <c r="P16" i="100"/>
  <c r="X16" i="100" s="1"/>
  <c r="N16" i="100"/>
  <c r="D16" i="100"/>
  <c r="L16" i="100" s="1"/>
  <c r="B16" i="100"/>
  <c r="X15" i="100"/>
  <c r="Z15" i="100" s="1"/>
  <c r="P15" i="100"/>
  <c r="L15" i="100"/>
  <c r="N15" i="100" s="1"/>
  <c r="D15" i="100"/>
  <c r="B15" i="100"/>
  <c r="Z14" i="100"/>
  <c r="X14" i="100"/>
  <c r="P14" i="100"/>
  <c r="N14" i="100"/>
  <c r="D14" i="100"/>
  <c r="L14" i="100" s="1"/>
  <c r="B14" i="100"/>
  <c r="Z13" i="100"/>
  <c r="P13" i="100"/>
  <c r="X13" i="100" s="1"/>
  <c r="D13" i="100"/>
  <c r="L13" i="100" s="1"/>
  <c r="N13" i="100" s="1"/>
  <c r="B13" i="100"/>
  <c r="T12" i="100"/>
  <c r="V59" i="100" s="1"/>
  <c r="H12" i="100"/>
  <c r="J53" i="100" s="1"/>
  <c r="D6" i="100"/>
  <c r="D4" i="100"/>
  <c r="F62" i="99"/>
  <c r="F59" i="99"/>
  <c r="Z57" i="99"/>
  <c r="X57" i="99"/>
  <c r="N57" i="99"/>
  <c r="L57" i="99"/>
  <c r="V55" i="99"/>
  <c r="Z53" i="99"/>
  <c r="X53" i="99"/>
  <c r="V53" i="99"/>
  <c r="P53" i="99"/>
  <c r="N53" i="99"/>
  <c r="L53" i="99"/>
  <c r="D53" i="99"/>
  <c r="B53" i="99"/>
  <c r="T52" i="99"/>
  <c r="P52" i="99"/>
  <c r="H52" i="99"/>
  <c r="D52" i="99"/>
  <c r="L52" i="99" s="1"/>
  <c r="N52" i="99" s="1"/>
  <c r="Z50" i="99"/>
  <c r="X50" i="99"/>
  <c r="R50" i="99"/>
  <c r="N50" i="99"/>
  <c r="L50" i="99"/>
  <c r="B50" i="99"/>
  <c r="Z49" i="99"/>
  <c r="T49" i="99"/>
  <c r="P49" i="99"/>
  <c r="X49" i="99" s="1"/>
  <c r="N49" i="99"/>
  <c r="H49" i="99"/>
  <c r="D49" i="99"/>
  <c r="L49" i="99" s="1"/>
  <c r="B49" i="99"/>
  <c r="X48" i="99"/>
  <c r="Z48" i="99" s="1"/>
  <c r="L48" i="99"/>
  <c r="N48" i="99" s="1"/>
  <c r="B48" i="99"/>
  <c r="X47" i="99"/>
  <c r="Z47" i="99" s="1"/>
  <c r="T47" i="99"/>
  <c r="P47" i="99"/>
  <c r="J47" i="99"/>
  <c r="H47" i="99"/>
  <c r="D47" i="99"/>
  <c r="L47" i="99" s="1"/>
  <c r="N47" i="99" s="1"/>
  <c r="B47" i="99"/>
  <c r="Z46" i="99"/>
  <c r="X46" i="99"/>
  <c r="N46" i="99"/>
  <c r="L46" i="99"/>
  <c r="F46" i="99"/>
  <c r="B46" i="99"/>
  <c r="X45" i="99"/>
  <c r="T45" i="99"/>
  <c r="Z45" i="99" s="1"/>
  <c r="P45" i="99"/>
  <c r="N45" i="99"/>
  <c r="L45" i="99"/>
  <c r="H45" i="99"/>
  <c r="F45" i="99"/>
  <c r="D45" i="99"/>
  <c r="B45" i="99"/>
  <c r="Z44" i="99"/>
  <c r="X44" i="99"/>
  <c r="N44" i="99"/>
  <c r="L44" i="99"/>
  <c r="B44" i="99"/>
  <c r="Z43" i="99"/>
  <c r="T43" i="99"/>
  <c r="P43" i="99"/>
  <c r="X43" i="99" s="1"/>
  <c r="N43" i="99"/>
  <c r="H43" i="99"/>
  <c r="D43" i="99"/>
  <c r="L43" i="99" s="1"/>
  <c r="B43" i="99"/>
  <c r="X42" i="99"/>
  <c r="Z42" i="99" s="1"/>
  <c r="N42" i="99"/>
  <c r="L42" i="99"/>
  <c r="B42" i="99"/>
  <c r="V41" i="99"/>
  <c r="T41" i="99"/>
  <c r="P41" i="99"/>
  <c r="X41" i="99" s="1"/>
  <c r="Z41" i="99" s="1"/>
  <c r="N41" i="99"/>
  <c r="L41" i="99"/>
  <c r="H41" i="99"/>
  <c r="D41" i="99"/>
  <c r="B41" i="99"/>
  <c r="Z40" i="99"/>
  <c r="X40" i="99"/>
  <c r="N40" i="99"/>
  <c r="L40" i="99"/>
  <c r="B40" i="99"/>
  <c r="Z39" i="99"/>
  <c r="X39" i="99"/>
  <c r="N39" i="99"/>
  <c r="L39" i="99"/>
  <c r="F39" i="99"/>
  <c r="B39" i="99"/>
  <c r="Z38" i="99"/>
  <c r="X38" i="99"/>
  <c r="N38" i="99"/>
  <c r="L38" i="99"/>
  <c r="F38" i="99"/>
  <c r="B38" i="99"/>
  <c r="Z37" i="99"/>
  <c r="X37" i="99"/>
  <c r="N37" i="99"/>
  <c r="L37" i="99"/>
  <c r="B37" i="99"/>
  <c r="Z36" i="99"/>
  <c r="X36" i="99"/>
  <c r="N36" i="99"/>
  <c r="L36" i="99"/>
  <c r="B36" i="99"/>
  <c r="Z35" i="99"/>
  <c r="X35" i="99"/>
  <c r="N35" i="99"/>
  <c r="L35" i="99"/>
  <c r="F35" i="99"/>
  <c r="B35" i="99"/>
  <c r="Z34" i="99"/>
  <c r="X34" i="99"/>
  <c r="N34" i="99"/>
  <c r="L34" i="99"/>
  <c r="F34" i="99"/>
  <c r="B34" i="99"/>
  <c r="Z33" i="99"/>
  <c r="X33" i="99"/>
  <c r="N33" i="99"/>
  <c r="L33" i="99"/>
  <c r="B33" i="99"/>
  <c r="Z32" i="99"/>
  <c r="X32" i="99"/>
  <c r="N32" i="99"/>
  <c r="L32" i="99"/>
  <c r="B32" i="99"/>
  <c r="X31" i="99"/>
  <c r="Z31" i="99" s="1"/>
  <c r="N31" i="99"/>
  <c r="L31" i="99"/>
  <c r="F31" i="99"/>
  <c r="B31" i="99"/>
  <c r="T30" i="99"/>
  <c r="P30" i="99"/>
  <c r="X30" i="99" s="1"/>
  <c r="Z30" i="99" s="1"/>
  <c r="L30" i="99"/>
  <c r="N30" i="99" s="1"/>
  <c r="H30" i="99"/>
  <c r="F30" i="99"/>
  <c r="D30" i="99"/>
  <c r="B30" i="99"/>
  <c r="Z29" i="99"/>
  <c r="X29" i="99"/>
  <c r="N29" i="99"/>
  <c r="L29" i="99"/>
  <c r="J29" i="99"/>
  <c r="B29" i="99"/>
  <c r="Z28" i="99"/>
  <c r="X28" i="99"/>
  <c r="N28" i="99"/>
  <c r="L28" i="99"/>
  <c r="B28" i="99"/>
  <c r="Z27" i="99"/>
  <c r="X27" i="99"/>
  <c r="R27" i="99"/>
  <c r="N27" i="99"/>
  <c r="L27" i="99"/>
  <c r="B27" i="99"/>
  <c r="Z26" i="99"/>
  <c r="X26" i="99"/>
  <c r="R26" i="99"/>
  <c r="N26" i="99"/>
  <c r="L26" i="99"/>
  <c r="J26" i="99"/>
  <c r="B26" i="99"/>
  <c r="Z25" i="99"/>
  <c r="X25" i="99"/>
  <c r="N25" i="99"/>
  <c r="L25" i="99"/>
  <c r="J25" i="99"/>
  <c r="B25" i="99"/>
  <c r="Z24" i="99"/>
  <c r="X24" i="99"/>
  <c r="L24" i="99"/>
  <c r="N24" i="99" s="1"/>
  <c r="B24" i="99"/>
  <c r="Z23" i="99"/>
  <c r="X23" i="99"/>
  <c r="R23" i="99"/>
  <c r="L23" i="99"/>
  <c r="N23" i="99" s="1"/>
  <c r="B23" i="99"/>
  <c r="X22" i="99"/>
  <c r="Z22" i="99" s="1"/>
  <c r="R22" i="99"/>
  <c r="L22" i="99"/>
  <c r="N22" i="99" s="1"/>
  <c r="J22" i="99"/>
  <c r="B22" i="99"/>
  <c r="Z21" i="99"/>
  <c r="X21" i="99"/>
  <c r="N21" i="99"/>
  <c r="L21" i="99"/>
  <c r="J21" i="99"/>
  <c r="B21" i="99"/>
  <c r="Z20" i="99"/>
  <c r="X20" i="99"/>
  <c r="T20" i="99"/>
  <c r="P20" i="99"/>
  <c r="H20" i="99"/>
  <c r="D20" i="99"/>
  <c r="B20" i="99"/>
  <c r="T19" i="99"/>
  <c r="P19" i="99"/>
  <c r="X19" i="99" s="1"/>
  <c r="Z19" i="99" s="1"/>
  <c r="J19" i="99"/>
  <c r="H19" i="99"/>
  <c r="D19" i="99"/>
  <c r="L19" i="99" s="1"/>
  <c r="N19" i="99" s="1"/>
  <c r="J17" i="99"/>
  <c r="Z15" i="99"/>
  <c r="X15" i="99"/>
  <c r="N15" i="99"/>
  <c r="L15" i="99"/>
  <c r="J15" i="99"/>
  <c r="B15" i="99"/>
  <c r="T14" i="99"/>
  <c r="Z14" i="99" s="1"/>
  <c r="R14" i="99"/>
  <c r="P14" i="99"/>
  <c r="X14" i="99" s="1"/>
  <c r="J14" i="99"/>
  <c r="H14" i="99"/>
  <c r="N14" i="99" s="1"/>
  <c r="D14" i="99"/>
  <c r="T12" i="99"/>
  <c r="V42" i="99" s="1"/>
  <c r="P12" i="99"/>
  <c r="R43" i="99" s="1"/>
  <c r="N12" i="99"/>
  <c r="H12" i="99"/>
  <c r="J50" i="99" s="1"/>
  <c r="D12" i="99"/>
  <c r="F50" i="99" s="1"/>
  <c r="D6" i="99"/>
  <c r="D4" i="99"/>
  <c r="Z55" i="98"/>
  <c r="X55" i="98"/>
  <c r="N55" i="98"/>
  <c r="L55" i="98"/>
  <c r="T51" i="98"/>
  <c r="Z51" i="98" s="1"/>
  <c r="P51" i="98"/>
  <c r="X51" i="98" s="1"/>
  <c r="H51" i="98"/>
  <c r="N51" i="98" s="1"/>
  <c r="D51" i="98"/>
  <c r="L51" i="98" s="1"/>
  <c r="Z49" i="98"/>
  <c r="X49" i="98"/>
  <c r="N49" i="98"/>
  <c r="L49" i="98"/>
  <c r="B49" i="98"/>
  <c r="Z48" i="98"/>
  <c r="T48" i="98"/>
  <c r="P48" i="98"/>
  <c r="X48" i="98" s="1"/>
  <c r="N48" i="98"/>
  <c r="J48" i="98"/>
  <c r="H48" i="98"/>
  <c r="D48" i="98"/>
  <c r="L48" i="98" s="1"/>
  <c r="B48" i="98"/>
  <c r="Z47" i="98"/>
  <c r="X47" i="98"/>
  <c r="N47" i="98"/>
  <c r="L47" i="98"/>
  <c r="B47" i="98"/>
  <c r="Z46" i="98"/>
  <c r="X46" i="98"/>
  <c r="N46" i="98"/>
  <c r="L46" i="98"/>
  <c r="B46" i="98"/>
  <c r="Z45" i="98"/>
  <c r="X45" i="98"/>
  <c r="T45" i="98"/>
  <c r="P45" i="98"/>
  <c r="N45" i="98"/>
  <c r="H45" i="98"/>
  <c r="D45" i="98"/>
  <c r="L45" i="98" s="1"/>
  <c r="B45" i="98"/>
  <c r="Z44" i="98"/>
  <c r="X44" i="98"/>
  <c r="N44" i="98"/>
  <c r="L44" i="98"/>
  <c r="B44" i="98"/>
  <c r="T43" i="98"/>
  <c r="P43" i="98"/>
  <c r="N43" i="98"/>
  <c r="L43" i="98"/>
  <c r="H43" i="98"/>
  <c r="D43" i="98"/>
  <c r="B43" i="98"/>
  <c r="Z42" i="98"/>
  <c r="X42" i="98"/>
  <c r="V42" i="98"/>
  <c r="N42" i="98"/>
  <c r="L42" i="98"/>
  <c r="B42" i="98"/>
  <c r="T41" i="98"/>
  <c r="Z41" i="98" s="1"/>
  <c r="P41" i="98"/>
  <c r="X41" i="98" s="1"/>
  <c r="H41" i="98"/>
  <c r="N41" i="98" s="1"/>
  <c r="D41" i="98"/>
  <c r="L41" i="98" s="1"/>
  <c r="B41" i="98"/>
  <c r="Z40" i="98"/>
  <c r="X40" i="98"/>
  <c r="N40" i="98"/>
  <c r="L40" i="98"/>
  <c r="B40" i="98"/>
  <c r="T39" i="98"/>
  <c r="Z39" i="98" s="1"/>
  <c r="P39" i="98"/>
  <c r="X39" i="98" s="1"/>
  <c r="N39" i="98"/>
  <c r="L39" i="98"/>
  <c r="H39" i="98"/>
  <c r="D39" i="98"/>
  <c r="B39" i="98"/>
  <c r="Z38" i="98"/>
  <c r="X38" i="98"/>
  <c r="N38" i="98"/>
  <c r="L38" i="98"/>
  <c r="J38" i="98"/>
  <c r="B38" i="98"/>
  <c r="Z37" i="98"/>
  <c r="X37" i="98"/>
  <c r="T37" i="98"/>
  <c r="P37" i="98"/>
  <c r="H37" i="98"/>
  <c r="D37" i="98"/>
  <c r="B37" i="98"/>
  <c r="Z36" i="98"/>
  <c r="X36" i="98"/>
  <c r="N36" i="98"/>
  <c r="L36" i="98"/>
  <c r="B36" i="98"/>
  <c r="Z35" i="98"/>
  <c r="X35" i="98"/>
  <c r="N35" i="98"/>
  <c r="L35" i="98"/>
  <c r="B35" i="98"/>
  <c r="Z34" i="98"/>
  <c r="X34" i="98"/>
  <c r="V34" i="98"/>
  <c r="N34" i="98"/>
  <c r="L34" i="98"/>
  <c r="B34" i="98"/>
  <c r="Z33" i="98"/>
  <c r="X33" i="98"/>
  <c r="N33" i="98"/>
  <c r="L33" i="98"/>
  <c r="B33" i="98"/>
  <c r="Z32" i="98"/>
  <c r="T32" i="98"/>
  <c r="P32" i="98"/>
  <c r="X32" i="98" s="1"/>
  <c r="N32" i="98"/>
  <c r="J32" i="98"/>
  <c r="H32" i="98"/>
  <c r="D32" i="98"/>
  <c r="L32" i="98" s="1"/>
  <c r="B32" i="98"/>
  <c r="Z31" i="98"/>
  <c r="X31" i="98"/>
  <c r="N31" i="98"/>
  <c r="L31" i="98"/>
  <c r="B31" i="98"/>
  <c r="Z30" i="98"/>
  <c r="X30" i="98"/>
  <c r="N30" i="98"/>
  <c r="L30" i="98"/>
  <c r="B30" i="98"/>
  <c r="Z29" i="98"/>
  <c r="X29" i="98"/>
  <c r="N29" i="98"/>
  <c r="L29" i="98"/>
  <c r="B29" i="98"/>
  <c r="Z28" i="98"/>
  <c r="X28" i="98"/>
  <c r="N28" i="98"/>
  <c r="L28" i="98"/>
  <c r="B28" i="98"/>
  <c r="Z27" i="98"/>
  <c r="X27" i="98"/>
  <c r="N27" i="98"/>
  <c r="L27" i="98"/>
  <c r="B27" i="98"/>
  <c r="Z26" i="98"/>
  <c r="X26" i="98"/>
  <c r="N26" i="98"/>
  <c r="L26" i="98"/>
  <c r="B26" i="98"/>
  <c r="Z25" i="98"/>
  <c r="X25" i="98"/>
  <c r="N25" i="98"/>
  <c r="L25" i="98"/>
  <c r="B25" i="98"/>
  <c r="Z24" i="98"/>
  <c r="X24" i="98"/>
  <c r="N24" i="98"/>
  <c r="L24" i="98"/>
  <c r="B24" i="98"/>
  <c r="T23" i="98"/>
  <c r="Z23" i="98" s="1"/>
  <c r="P23" i="98"/>
  <c r="X23" i="98" s="1"/>
  <c r="L23" i="98"/>
  <c r="H23" i="98"/>
  <c r="N23" i="98" s="1"/>
  <c r="D23" i="98"/>
  <c r="B23" i="98"/>
  <c r="T22" i="98"/>
  <c r="Z22" i="98" s="1"/>
  <c r="P22" i="98"/>
  <c r="X22" i="98" s="1"/>
  <c r="N22" i="98"/>
  <c r="H22" i="98"/>
  <c r="D22" i="98"/>
  <c r="L22" i="98" s="1"/>
  <c r="N20" i="98"/>
  <c r="H20" i="98"/>
  <c r="H53" i="98" s="1"/>
  <c r="Z18" i="98"/>
  <c r="X18" i="98"/>
  <c r="N18" i="98"/>
  <c r="L18" i="98"/>
  <c r="J18" i="98"/>
  <c r="B18" i="98"/>
  <c r="Z17" i="98"/>
  <c r="X17" i="98"/>
  <c r="N17" i="98"/>
  <c r="L17" i="98"/>
  <c r="J17" i="98"/>
  <c r="B17" i="98"/>
  <c r="Z16" i="98"/>
  <c r="T16" i="98"/>
  <c r="P16" i="98"/>
  <c r="X16" i="98" s="1"/>
  <c r="H16" i="98"/>
  <c r="N16" i="98" s="1"/>
  <c r="D16" i="98"/>
  <c r="L16" i="98" s="1"/>
  <c r="Z14" i="98"/>
  <c r="X14" i="98"/>
  <c r="P14" i="98"/>
  <c r="N14" i="98"/>
  <c r="L14" i="98"/>
  <c r="D14" i="98"/>
  <c r="B14" i="98"/>
  <c r="Z13" i="98"/>
  <c r="P13" i="98"/>
  <c r="P12" i="98" s="1"/>
  <c r="N13" i="98"/>
  <c r="D13" i="98"/>
  <c r="B13" i="98"/>
  <c r="T12" i="98"/>
  <c r="V35" i="98" s="1"/>
  <c r="N12" i="98"/>
  <c r="H12" i="98"/>
  <c r="J53" i="98" s="1"/>
  <c r="D6" i="98"/>
  <c r="D4" i="98"/>
  <c r="Z100" i="97"/>
  <c r="X100" i="97"/>
  <c r="N100" i="97"/>
  <c r="L100" i="97"/>
  <c r="T96" i="97"/>
  <c r="Z96" i="97" s="1"/>
  <c r="P96" i="97"/>
  <c r="L96" i="97"/>
  <c r="H96" i="97"/>
  <c r="N96" i="97" s="1"/>
  <c r="D96" i="97"/>
  <c r="X94" i="97"/>
  <c r="Z94" i="97" s="1"/>
  <c r="N94" i="97"/>
  <c r="L94" i="97"/>
  <c r="B94" i="97"/>
  <c r="Z93" i="97"/>
  <c r="X93" i="97"/>
  <c r="N93" i="97"/>
  <c r="L93" i="97"/>
  <c r="B93" i="97"/>
  <c r="X92" i="97"/>
  <c r="T92" i="97"/>
  <c r="Z92" i="97" s="1"/>
  <c r="P92" i="97"/>
  <c r="H92" i="97"/>
  <c r="N92" i="97" s="1"/>
  <c r="D92" i="97"/>
  <c r="B92" i="97"/>
  <c r="Z91" i="97"/>
  <c r="X91" i="97"/>
  <c r="N91" i="97"/>
  <c r="L91" i="97"/>
  <c r="B91" i="97"/>
  <c r="T90" i="97"/>
  <c r="X90" i="97" s="1"/>
  <c r="Z90" i="97" s="1"/>
  <c r="P90" i="97"/>
  <c r="H90" i="97"/>
  <c r="N90" i="97" s="1"/>
  <c r="D90" i="97"/>
  <c r="L90" i="97" s="1"/>
  <c r="B90" i="97"/>
  <c r="Z89" i="97"/>
  <c r="X89" i="97"/>
  <c r="V89" i="97"/>
  <c r="N89" i="97"/>
  <c r="L89" i="97"/>
  <c r="B89" i="97"/>
  <c r="T88" i="97"/>
  <c r="P88" i="97"/>
  <c r="X88" i="97" s="1"/>
  <c r="H88" i="97"/>
  <c r="D88" i="97"/>
  <c r="L88" i="97" s="1"/>
  <c r="N88" i="97" s="1"/>
  <c r="B88" i="97"/>
  <c r="X87" i="97"/>
  <c r="Z87" i="97" s="1"/>
  <c r="N87" i="97"/>
  <c r="L87" i="97"/>
  <c r="B87" i="97"/>
  <c r="X86" i="97"/>
  <c r="Z86" i="97" s="1"/>
  <c r="N86" i="97"/>
  <c r="L86" i="97"/>
  <c r="B86" i="97"/>
  <c r="Z85" i="97"/>
  <c r="X85" i="97"/>
  <c r="N85" i="97"/>
  <c r="L85" i="97"/>
  <c r="B85" i="97"/>
  <c r="X84" i="97"/>
  <c r="Z84" i="97" s="1"/>
  <c r="V84" i="97"/>
  <c r="L84" i="97"/>
  <c r="N84" i="97" s="1"/>
  <c r="B84" i="97"/>
  <c r="X83" i="97"/>
  <c r="Z83" i="97" s="1"/>
  <c r="N83" i="97"/>
  <c r="L83" i="97"/>
  <c r="B83" i="97"/>
  <c r="X82" i="97"/>
  <c r="Z82" i="97" s="1"/>
  <c r="N82" i="97"/>
  <c r="L82" i="97"/>
  <c r="B82" i="97"/>
  <c r="X81" i="97"/>
  <c r="Z81" i="97" s="1"/>
  <c r="V81" i="97"/>
  <c r="N81" i="97"/>
  <c r="L81" i="97"/>
  <c r="B81" i="97"/>
  <c r="Z80" i="97"/>
  <c r="X80" i="97"/>
  <c r="N80" i="97"/>
  <c r="L80" i="97"/>
  <c r="B80" i="97"/>
  <c r="T79" i="97"/>
  <c r="Z79" i="97" s="1"/>
  <c r="P79" i="97"/>
  <c r="X79" i="97" s="1"/>
  <c r="L79" i="97"/>
  <c r="J79" i="97"/>
  <c r="H79" i="97"/>
  <c r="N79" i="97" s="1"/>
  <c r="D79" i="97"/>
  <c r="B79" i="97"/>
  <c r="X78" i="97"/>
  <c r="Z78" i="97" s="1"/>
  <c r="N78" i="97"/>
  <c r="L78" i="97"/>
  <c r="B78" i="97"/>
  <c r="Z77" i="97"/>
  <c r="X77" i="97"/>
  <c r="N77" i="97"/>
  <c r="L77" i="97"/>
  <c r="B77" i="97"/>
  <c r="X76" i="97"/>
  <c r="T76" i="97"/>
  <c r="P76" i="97"/>
  <c r="L76" i="97"/>
  <c r="N76" i="97" s="1"/>
  <c r="H76" i="97"/>
  <c r="D76" i="97"/>
  <c r="B76" i="97"/>
  <c r="Z75" i="97"/>
  <c r="X75" i="97"/>
  <c r="V75" i="97"/>
  <c r="L75" i="97"/>
  <c r="N75" i="97" s="1"/>
  <c r="B75" i="97"/>
  <c r="Z74" i="97"/>
  <c r="X74" i="97"/>
  <c r="L74" i="97"/>
  <c r="N74" i="97" s="1"/>
  <c r="B74" i="97"/>
  <c r="Z73" i="97"/>
  <c r="X73" i="97"/>
  <c r="L73" i="97"/>
  <c r="N73" i="97" s="1"/>
  <c r="J73" i="97"/>
  <c r="B73" i="97"/>
  <c r="T72" i="97"/>
  <c r="P72" i="97"/>
  <c r="X72" i="97" s="1"/>
  <c r="H72" i="97"/>
  <c r="D72" i="97"/>
  <c r="B72" i="97"/>
  <c r="X71" i="97"/>
  <c r="Z71" i="97" s="1"/>
  <c r="L71" i="97"/>
  <c r="N71" i="97" s="1"/>
  <c r="B71" i="97"/>
  <c r="X70" i="97"/>
  <c r="Z70" i="97" s="1"/>
  <c r="N70" i="97"/>
  <c r="L70" i="97"/>
  <c r="B70" i="97"/>
  <c r="Z69" i="97"/>
  <c r="X69" i="97"/>
  <c r="V69" i="97"/>
  <c r="N69" i="97"/>
  <c r="L69" i="97"/>
  <c r="B69" i="97"/>
  <c r="T68" i="97"/>
  <c r="P68" i="97"/>
  <c r="X68" i="97" s="1"/>
  <c r="Z68" i="97" s="1"/>
  <c r="L68" i="97"/>
  <c r="N68" i="97" s="1"/>
  <c r="H68" i="97"/>
  <c r="D68" i="97"/>
  <c r="B68" i="97"/>
  <c r="Z67" i="97"/>
  <c r="X67" i="97"/>
  <c r="N67" i="97"/>
  <c r="L67" i="97"/>
  <c r="J67" i="97"/>
  <c r="B67" i="97"/>
  <c r="X66" i="97"/>
  <c r="Z66" i="97" s="1"/>
  <c r="N66" i="97"/>
  <c r="L66" i="97"/>
  <c r="B66" i="97"/>
  <c r="T65" i="97"/>
  <c r="P65" i="97"/>
  <c r="X65" i="97" s="1"/>
  <c r="Z65" i="97" s="1"/>
  <c r="L65" i="97"/>
  <c r="H65" i="97"/>
  <c r="N65" i="97" s="1"/>
  <c r="D65" i="97"/>
  <c r="B65" i="97"/>
  <c r="Z64" i="97"/>
  <c r="X64" i="97"/>
  <c r="N64" i="97"/>
  <c r="L64" i="97"/>
  <c r="B64" i="97"/>
  <c r="V63" i="97"/>
  <c r="T63" i="97"/>
  <c r="P63" i="97"/>
  <c r="X63" i="97" s="1"/>
  <c r="Z63" i="97" s="1"/>
  <c r="H63" i="97"/>
  <c r="D63" i="97"/>
  <c r="B63" i="97"/>
  <c r="X62" i="97"/>
  <c r="Z62" i="97" s="1"/>
  <c r="L62" i="97"/>
  <c r="N62" i="97" s="1"/>
  <c r="B62" i="97"/>
  <c r="X61" i="97"/>
  <c r="V61" i="97"/>
  <c r="T61" i="97"/>
  <c r="Z61" i="97" s="1"/>
  <c r="P61" i="97"/>
  <c r="H61" i="97"/>
  <c r="D61" i="97"/>
  <c r="L61" i="97" s="1"/>
  <c r="B61" i="97"/>
  <c r="X60" i="97"/>
  <c r="Z60" i="97" s="1"/>
  <c r="N60" i="97"/>
  <c r="L60" i="97"/>
  <c r="B60" i="97"/>
  <c r="X59" i="97"/>
  <c r="T59" i="97"/>
  <c r="Z59" i="97" s="1"/>
  <c r="P59" i="97"/>
  <c r="N59" i="97"/>
  <c r="H59" i="97"/>
  <c r="D59" i="97"/>
  <c r="L59" i="97" s="1"/>
  <c r="B59" i="97"/>
  <c r="Z58" i="97"/>
  <c r="X58" i="97"/>
  <c r="N58" i="97"/>
  <c r="L58" i="97"/>
  <c r="B58" i="97"/>
  <c r="T57" i="97"/>
  <c r="Z57" i="97" s="1"/>
  <c r="P57" i="97"/>
  <c r="N57" i="97"/>
  <c r="J57" i="97"/>
  <c r="H57" i="97"/>
  <c r="D57" i="97"/>
  <c r="L57" i="97" s="1"/>
  <c r="B57" i="97"/>
  <c r="Z56" i="97"/>
  <c r="X56" i="97"/>
  <c r="L56" i="97"/>
  <c r="N56" i="97" s="1"/>
  <c r="B56" i="97"/>
  <c r="X55" i="97"/>
  <c r="Z55" i="97" s="1"/>
  <c r="L55" i="97"/>
  <c r="N55" i="97" s="1"/>
  <c r="B55" i="97"/>
  <c r="X54" i="97"/>
  <c r="Z54" i="97" s="1"/>
  <c r="L54" i="97"/>
  <c r="N54" i="97" s="1"/>
  <c r="B54" i="97"/>
  <c r="V53" i="97"/>
  <c r="T53" i="97"/>
  <c r="Z53" i="97" s="1"/>
  <c r="P53" i="97"/>
  <c r="X53" i="97" s="1"/>
  <c r="H53" i="97"/>
  <c r="N53" i="97" s="1"/>
  <c r="D53" i="97"/>
  <c r="L53" i="97" s="1"/>
  <c r="B53" i="97"/>
  <c r="X52" i="97"/>
  <c r="Z52" i="97" s="1"/>
  <c r="N52" i="97"/>
  <c r="L52" i="97"/>
  <c r="B52" i="97"/>
  <c r="X51" i="97"/>
  <c r="T51" i="97"/>
  <c r="Z51" i="97" s="1"/>
  <c r="P51" i="97"/>
  <c r="H51" i="97"/>
  <c r="D51" i="97"/>
  <c r="L51" i="97" s="1"/>
  <c r="N51" i="97" s="1"/>
  <c r="B51" i="97"/>
  <c r="Z50" i="97"/>
  <c r="X50" i="97"/>
  <c r="L50" i="97"/>
  <c r="N50" i="97" s="1"/>
  <c r="B50" i="97"/>
  <c r="T49" i="97"/>
  <c r="P49" i="97"/>
  <c r="J49" i="97"/>
  <c r="H49" i="97"/>
  <c r="D49" i="97"/>
  <c r="L49" i="97" s="1"/>
  <c r="N49" i="97" s="1"/>
  <c r="B49" i="97"/>
  <c r="Z48" i="97"/>
  <c r="X48" i="97"/>
  <c r="L48" i="97"/>
  <c r="N48" i="97" s="1"/>
  <c r="B48" i="97"/>
  <c r="T47" i="97"/>
  <c r="Z47" i="97" s="1"/>
  <c r="P47" i="97"/>
  <c r="X47" i="97" s="1"/>
  <c r="J47" i="97"/>
  <c r="H47" i="97"/>
  <c r="D47" i="97"/>
  <c r="L47" i="97" s="1"/>
  <c r="B47" i="97"/>
  <c r="Z46" i="97"/>
  <c r="X46" i="97"/>
  <c r="N46" i="97"/>
  <c r="L46" i="97"/>
  <c r="B46" i="97"/>
  <c r="Z45" i="97"/>
  <c r="X45" i="97"/>
  <c r="N45" i="97"/>
  <c r="L45" i="97"/>
  <c r="B45" i="97"/>
  <c r="X44" i="97"/>
  <c r="Z44" i="97" s="1"/>
  <c r="N44" i="97"/>
  <c r="L44" i="97"/>
  <c r="B44" i="97"/>
  <c r="X43" i="97"/>
  <c r="Z43" i="97" s="1"/>
  <c r="N43" i="97"/>
  <c r="L43" i="97"/>
  <c r="J43" i="97"/>
  <c r="B43" i="97"/>
  <c r="Z42" i="97"/>
  <c r="X42" i="97"/>
  <c r="N42" i="97"/>
  <c r="L42" i="97"/>
  <c r="F42" i="97"/>
  <c r="B42" i="97"/>
  <c r="Z41" i="97"/>
  <c r="X41" i="97"/>
  <c r="N41" i="97"/>
  <c r="L41" i="97"/>
  <c r="B41" i="97"/>
  <c r="X40" i="97"/>
  <c r="Z40" i="97" s="1"/>
  <c r="N40" i="97"/>
  <c r="L40" i="97"/>
  <c r="B40" i="97"/>
  <c r="Z39" i="97"/>
  <c r="X39" i="97"/>
  <c r="N39" i="97"/>
  <c r="L39" i="97"/>
  <c r="J39" i="97"/>
  <c r="B39" i="97"/>
  <c r="X38" i="97"/>
  <c r="Z38" i="97" s="1"/>
  <c r="N38" i="97"/>
  <c r="L38" i="97"/>
  <c r="B38" i="97"/>
  <c r="Z37" i="97"/>
  <c r="X37" i="97"/>
  <c r="N37" i="97"/>
  <c r="L37" i="97"/>
  <c r="B37" i="97"/>
  <c r="X36" i="97"/>
  <c r="T36" i="97"/>
  <c r="P36" i="97"/>
  <c r="L36" i="97"/>
  <c r="N36" i="97" s="1"/>
  <c r="H36" i="97"/>
  <c r="D36" i="97"/>
  <c r="B36" i="97"/>
  <c r="Z35" i="97"/>
  <c r="X35" i="97"/>
  <c r="V35" i="97"/>
  <c r="L35" i="97"/>
  <c r="N35" i="97" s="1"/>
  <c r="J35" i="97"/>
  <c r="B35" i="97"/>
  <c r="Z34" i="97"/>
  <c r="X34" i="97"/>
  <c r="L34" i="97"/>
  <c r="N34" i="97" s="1"/>
  <c r="B34" i="97"/>
  <c r="Z33" i="97"/>
  <c r="X33" i="97"/>
  <c r="L33" i="97"/>
  <c r="N33" i="97" s="1"/>
  <c r="J33" i="97"/>
  <c r="B33" i="97"/>
  <c r="Z32" i="97"/>
  <c r="X32" i="97"/>
  <c r="N32" i="97"/>
  <c r="L32" i="97"/>
  <c r="J32" i="97"/>
  <c r="B32" i="97"/>
  <c r="Z31" i="97"/>
  <c r="X31" i="97"/>
  <c r="V31" i="97"/>
  <c r="L31" i="97"/>
  <c r="N31" i="97" s="1"/>
  <c r="J31" i="97"/>
  <c r="B31" i="97"/>
  <c r="Z30" i="97"/>
  <c r="X30" i="97"/>
  <c r="L30" i="97"/>
  <c r="N30" i="97" s="1"/>
  <c r="B30" i="97"/>
  <c r="Z29" i="97"/>
  <c r="X29" i="97"/>
  <c r="L29" i="97"/>
  <c r="N29" i="97" s="1"/>
  <c r="J29" i="97"/>
  <c r="B29" i="97"/>
  <c r="Z28" i="97"/>
  <c r="X28" i="97"/>
  <c r="N28" i="97"/>
  <c r="L28" i="97"/>
  <c r="J28" i="97"/>
  <c r="B28" i="97"/>
  <c r="Z27" i="97"/>
  <c r="X27" i="97"/>
  <c r="V27" i="97"/>
  <c r="L27" i="97"/>
  <c r="N27" i="97" s="1"/>
  <c r="J27" i="97"/>
  <c r="B27" i="97"/>
  <c r="T26" i="97"/>
  <c r="P26" i="97"/>
  <c r="X26" i="97" s="1"/>
  <c r="H26" i="97"/>
  <c r="N26" i="97" s="1"/>
  <c r="D26" i="97"/>
  <c r="L26" i="97" s="1"/>
  <c r="B26" i="97"/>
  <c r="V25" i="97"/>
  <c r="T25" i="97"/>
  <c r="P25" i="97"/>
  <c r="X25" i="97" s="1"/>
  <c r="H25" i="97"/>
  <c r="N25" i="97" s="1"/>
  <c r="D25" i="97"/>
  <c r="L25" i="97" s="1"/>
  <c r="H23" i="97"/>
  <c r="H98" i="97" s="1"/>
  <c r="Z21" i="97"/>
  <c r="X21" i="97"/>
  <c r="V21" i="97"/>
  <c r="N21" i="97"/>
  <c r="L21" i="97"/>
  <c r="B21" i="97"/>
  <c r="Z20" i="97"/>
  <c r="X20" i="97"/>
  <c r="N20" i="97"/>
  <c r="L20" i="97"/>
  <c r="J20" i="97"/>
  <c r="B20" i="97"/>
  <c r="X19" i="97"/>
  <c r="Z19" i="97" s="1"/>
  <c r="L19" i="97"/>
  <c r="N19" i="97" s="1"/>
  <c r="B19" i="97"/>
  <c r="X18" i="97"/>
  <c r="Z18" i="97" s="1"/>
  <c r="T18" i="97"/>
  <c r="P18" i="97"/>
  <c r="J18" i="97"/>
  <c r="H18" i="97"/>
  <c r="D18" i="97"/>
  <c r="L18" i="97" s="1"/>
  <c r="N18" i="97" s="1"/>
  <c r="Z16" i="97"/>
  <c r="X16" i="97"/>
  <c r="P16" i="97"/>
  <c r="N16" i="97"/>
  <c r="D16" i="97"/>
  <c r="L16" i="97" s="1"/>
  <c r="B16" i="97"/>
  <c r="X15" i="97"/>
  <c r="Z15" i="97" s="1"/>
  <c r="P15" i="97"/>
  <c r="L15" i="97"/>
  <c r="N15" i="97" s="1"/>
  <c r="D15" i="97"/>
  <c r="B15" i="97"/>
  <c r="Z14" i="97"/>
  <c r="P14" i="97"/>
  <c r="X14" i="97" s="1"/>
  <c r="N14" i="97"/>
  <c r="L14" i="97"/>
  <c r="D14" i="97"/>
  <c r="B14" i="97"/>
  <c r="P13" i="97"/>
  <c r="L13" i="97"/>
  <c r="N13" i="97" s="1"/>
  <c r="D13" i="97"/>
  <c r="B13" i="97"/>
  <c r="T12" i="97"/>
  <c r="V86" i="97" s="1"/>
  <c r="H12" i="97"/>
  <c r="J80" i="97" s="1"/>
  <c r="D12" i="97"/>
  <c r="F20" i="97" s="1"/>
  <c r="D6" i="97"/>
  <c r="D4" i="97"/>
  <c r="Z105" i="95"/>
  <c r="X105" i="95"/>
  <c r="L105" i="95"/>
  <c r="N105" i="95" s="1"/>
  <c r="Z101" i="95"/>
  <c r="P101" i="95"/>
  <c r="X101" i="95" s="1"/>
  <c r="N101" i="95"/>
  <c r="D101" i="95"/>
  <c r="B101" i="95"/>
  <c r="T100" i="95"/>
  <c r="Z100" i="95" s="1"/>
  <c r="P100" i="95"/>
  <c r="X100" i="95" s="1"/>
  <c r="H100" i="95"/>
  <c r="N100" i="95" s="1"/>
  <c r="Z98" i="95"/>
  <c r="X98" i="95"/>
  <c r="L98" i="95"/>
  <c r="N98" i="95" s="1"/>
  <c r="B98" i="95"/>
  <c r="X97" i="95"/>
  <c r="Z97" i="95" s="1"/>
  <c r="T97" i="95"/>
  <c r="P97" i="95"/>
  <c r="H97" i="95"/>
  <c r="D97" i="95"/>
  <c r="L97" i="95" s="1"/>
  <c r="N97" i="95" s="1"/>
  <c r="B97" i="95"/>
  <c r="Z96" i="95"/>
  <c r="X96" i="95"/>
  <c r="N96" i="95"/>
  <c r="L96" i="95"/>
  <c r="B96" i="95"/>
  <c r="X95" i="95"/>
  <c r="Z95" i="95" s="1"/>
  <c r="N95" i="95"/>
  <c r="L95" i="95"/>
  <c r="B95" i="95"/>
  <c r="X94" i="95"/>
  <c r="T94" i="95"/>
  <c r="Z94" i="95" s="1"/>
  <c r="P94" i="95"/>
  <c r="N94" i="95"/>
  <c r="H94" i="95"/>
  <c r="D94" i="95"/>
  <c r="L94" i="95" s="1"/>
  <c r="B94" i="95"/>
  <c r="Z93" i="95"/>
  <c r="X93" i="95"/>
  <c r="N93" i="95"/>
  <c r="L93" i="95"/>
  <c r="B93" i="95"/>
  <c r="X92" i="95"/>
  <c r="T92" i="95"/>
  <c r="Z92" i="95" s="1"/>
  <c r="P92" i="95"/>
  <c r="N92" i="95"/>
  <c r="L92" i="95"/>
  <c r="H92" i="95"/>
  <c r="D92" i="95"/>
  <c r="B92" i="95"/>
  <c r="Z91" i="95"/>
  <c r="X91" i="95"/>
  <c r="L91" i="95"/>
  <c r="N91" i="95" s="1"/>
  <c r="B91" i="95"/>
  <c r="T90" i="95"/>
  <c r="P90" i="95"/>
  <c r="X90" i="95" s="1"/>
  <c r="H90" i="95"/>
  <c r="D90" i="95"/>
  <c r="L90" i="95" s="1"/>
  <c r="B90" i="95"/>
  <c r="X89" i="95"/>
  <c r="Z89" i="95" s="1"/>
  <c r="N89" i="95"/>
  <c r="L89" i="95"/>
  <c r="B89" i="95"/>
  <c r="Z88" i="95"/>
  <c r="X88" i="95"/>
  <c r="L88" i="95"/>
  <c r="N88" i="95" s="1"/>
  <c r="B88" i="95"/>
  <c r="Z87" i="95"/>
  <c r="X87" i="95"/>
  <c r="N87" i="95"/>
  <c r="L87" i="95"/>
  <c r="B87" i="95"/>
  <c r="X86" i="95"/>
  <c r="Z86" i="95" s="1"/>
  <c r="N86" i="95"/>
  <c r="L86" i="95"/>
  <c r="J86" i="95"/>
  <c r="B86" i="95"/>
  <c r="X85" i="95"/>
  <c r="Z85" i="95" s="1"/>
  <c r="N85" i="95"/>
  <c r="L85" i="95"/>
  <c r="B85" i="95"/>
  <c r="Z84" i="95"/>
  <c r="X84" i="95"/>
  <c r="L84" i="95"/>
  <c r="N84" i="95" s="1"/>
  <c r="B84" i="95"/>
  <c r="X83" i="95"/>
  <c r="Z83" i="95" s="1"/>
  <c r="R83" i="95"/>
  <c r="N83" i="95"/>
  <c r="L83" i="95"/>
  <c r="B83" i="95"/>
  <c r="X82" i="95"/>
  <c r="Z82" i="95" s="1"/>
  <c r="N82" i="95"/>
  <c r="L82" i="95"/>
  <c r="B82" i="95"/>
  <c r="X81" i="95"/>
  <c r="Z81" i="95" s="1"/>
  <c r="V81" i="95"/>
  <c r="N81" i="95"/>
  <c r="L81" i="95"/>
  <c r="B81" i="95"/>
  <c r="T80" i="95"/>
  <c r="P80" i="95"/>
  <c r="X80" i="95" s="1"/>
  <c r="Z80" i="95" s="1"/>
  <c r="L80" i="95"/>
  <c r="H80" i="95"/>
  <c r="N80" i="95" s="1"/>
  <c r="D80" i="95"/>
  <c r="B80" i="95"/>
  <c r="Z79" i="95"/>
  <c r="X79" i="95"/>
  <c r="N79" i="95"/>
  <c r="L79" i="95"/>
  <c r="B79" i="95"/>
  <c r="Z78" i="95"/>
  <c r="X78" i="95"/>
  <c r="N78" i="95"/>
  <c r="L78" i="95"/>
  <c r="B78" i="95"/>
  <c r="T77" i="95"/>
  <c r="P77" i="95"/>
  <c r="X77" i="95" s="1"/>
  <c r="H77" i="95"/>
  <c r="N77" i="95" s="1"/>
  <c r="D77" i="95"/>
  <c r="L77" i="95" s="1"/>
  <c r="B77" i="95"/>
  <c r="X76" i="95"/>
  <c r="Z76" i="95" s="1"/>
  <c r="N76" i="95"/>
  <c r="L76" i="95"/>
  <c r="B76" i="95"/>
  <c r="Z75" i="95"/>
  <c r="X75" i="95"/>
  <c r="L75" i="95"/>
  <c r="N75" i="95" s="1"/>
  <c r="B75" i="95"/>
  <c r="X74" i="95"/>
  <c r="Z74" i="95" s="1"/>
  <c r="L74" i="95"/>
  <c r="N74" i="95" s="1"/>
  <c r="B74" i="95"/>
  <c r="X73" i="95"/>
  <c r="Z73" i="95" s="1"/>
  <c r="L73" i="95"/>
  <c r="N73" i="95" s="1"/>
  <c r="B73" i="95"/>
  <c r="Z72" i="95"/>
  <c r="X72" i="95"/>
  <c r="N72" i="95"/>
  <c r="L72" i="95"/>
  <c r="B72" i="95"/>
  <c r="T71" i="95"/>
  <c r="P71" i="95"/>
  <c r="X71" i="95" s="1"/>
  <c r="Z71" i="95" s="1"/>
  <c r="L71" i="95"/>
  <c r="N71" i="95" s="1"/>
  <c r="H71" i="95"/>
  <c r="D71" i="95"/>
  <c r="B71" i="95"/>
  <c r="X70" i="95"/>
  <c r="Z70" i="95" s="1"/>
  <c r="N70" i="95"/>
  <c r="L70" i="95"/>
  <c r="B70" i="95"/>
  <c r="Z69" i="95"/>
  <c r="X69" i="95"/>
  <c r="N69" i="95"/>
  <c r="L69" i="95"/>
  <c r="B69" i="95"/>
  <c r="Z68" i="95"/>
  <c r="X68" i="95"/>
  <c r="N68" i="95"/>
  <c r="L68" i="95"/>
  <c r="B68" i="95"/>
  <c r="Z67" i="95"/>
  <c r="X67" i="95"/>
  <c r="N67" i="95"/>
  <c r="L67" i="95"/>
  <c r="B67" i="95"/>
  <c r="X66" i="95"/>
  <c r="T66" i="95"/>
  <c r="P66" i="95"/>
  <c r="N66" i="95"/>
  <c r="H66" i="95"/>
  <c r="D66" i="95"/>
  <c r="L66" i="95" s="1"/>
  <c r="B66" i="95"/>
  <c r="Z65" i="95"/>
  <c r="X65" i="95"/>
  <c r="R65" i="95"/>
  <c r="L65" i="95"/>
  <c r="N65" i="95" s="1"/>
  <c r="B65" i="95"/>
  <c r="X64" i="95"/>
  <c r="T64" i="95"/>
  <c r="P64" i="95"/>
  <c r="N64" i="95"/>
  <c r="L64" i="95"/>
  <c r="H64" i="95"/>
  <c r="D64" i="95"/>
  <c r="B64" i="95"/>
  <c r="Z63" i="95"/>
  <c r="X63" i="95"/>
  <c r="V63" i="95"/>
  <c r="L63" i="95"/>
  <c r="N63" i="95" s="1"/>
  <c r="B63" i="95"/>
  <c r="T62" i="95"/>
  <c r="P62" i="95"/>
  <c r="H62" i="95"/>
  <c r="N62" i="95" s="1"/>
  <c r="D62" i="95"/>
  <c r="L62" i="95" s="1"/>
  <c r="B62" i="95"/>
  <c r="X61" i="95"/>
  <c r="Z61" i="95" s="1"/>
  <c r="V61" i="95"/>
  <c r="N61" i="95"/>
  <c r="L61" i="95"/>
  <c r="B61" i="95"/>
  <c r="T60" i="95"/>
  <c r="P60" i="95"/>
  <c r="X60" i="95" s="1"/>
  <c r="Z60" i="95" s="1"/>
  <c r="L60" i="95"/>
  <c r="H60" i="95"/>
  <c r="N60" i="95" s="1"/>
  <c r="D60" i="95"/>
  <c r="B60" i="95"/>
  <c r="Z59" i="95"/>
  <c r="X59" i="95"/>
  <c r="N59" i="95"/>
  <c r="L59" i="95"/>
  <c r="B59" i="95"/>
  <c r="Z58" i="95"/>
  <c r="X58" i="95"/>
  <c r="T58" i="95"/>
  <c r="P58" i="95"/>
  <c r="L58" i="95"/>
  <c r="H58" i="95"/>
  <c r="D58" i="95"/>
  <c r="B58" i="95"/>
  <c r="X57" i="95"/>
  <c r="Z57" i="95" s="1"/>
  <c r="L57" i="95"/>
  <c r="N57" i="95" s="1"/>
  <c r="B57" i="95"/>
  <c r="T56" i="95"/>
  <c r="R56" i="95"/>
  <c r="P56" i="95"/>
  <c r="J56" i="95"/>
  <c r="H56" i="95"/>
  <c r="D56" i="95"/>
  <c r="B56" i="95"/>
  <c r="X55" i="95"/>
  <c r="Z55" i="95" s="1"/>
  <c r="N55" i="95"/>
  <c r="L55" i="95"/>
  <c r="B55" i="95"/>
  <c r="X54" i="95"/>
  <c r="Z54" i="95" s="1"/>
  <c r="N54" i="95"/>
  <c r="L54" i="95"/>
  <c r="B54" i="95"/>
  <c r="X53" i="95"/>
  <c r="Z53" i="95" s="1"/>
  <c r="N53" i="95"/>
  <c r="L53" i="95"/>
  <c r="B53" i="95"/>
  <c r="Z52" i="95"/>
  <c r="T52" i="95"/>
  <c r="R52" i="95"/>
  <c r="P52" i="95"/>
  <c r="X52" i="95" s="1"/>
  <c r="H52" i="95"/>
  <c r="D52" i="95"/>
  <c r="L52" i="95" s="1"/>
  <c r="B52" i="95"/>
  <c r="Z51" i="95"/>
  <c r="X51" i="95"/>
  <c r="R51" i="95"/>
  <c r="N51" i="95"/>
  <c r="L51" i="95"/>
  <c r="B51" i="95"/>
  <c r="T50" i="95"/>
  <c r="P50" i="95"/>
  <c r="X50" i="95" s="1"/>
  <c r="Z50" i="95" s="1"/>
  <c r="H50" i="95"/>
  <c r="D50" i="95"/>
  <c r="B50" i="95"/>
  <c r="X49" i="95"/>
  <c r="Z49" i="95" s="1"/>
  <c r="N49" i="95"/>
  <c r="L49" i="95"/>
  <c r="B49" i="95"/>
  <c r="T48" i="95"/>
  <c r="P48" i="95"/>
  <c r="L48" i="95"/>
  <c r="N48" i="95" s="1"/>
  <c r="H48" i="95"/>
  <c r="D48" i="95"/>
  <c r="B48" i="95"/>
  <c r="Z47" i="95"/>
  <c r="X47" i="95"/>
  <c r="V47" i="95"/>
  <c r="N47" i="95"/>
  <c r="L47" i="95"/>
  <c r="B47" i="95"/>
  <c r="T46" i="95"/>
  <c r="P46" i="95"/>
  <c r="X46" i="95" s="1"/>
  <c r="L46" i="95"/>
  <c r="H46" i="95"/>
  <c r="N46" i="95" s="1"/>
  <c r="D46" i="95"/>
  <c r="B46" i="95"/>
  <c r="Z45" i="95"/>
  <c r="X45" i="95"/>
  <c r="V45" i="95"/>
  <c r="N45" i="95"/>
  <c r="L45" i="95"/>
  <c r="B45" i="95"/>
  <c r="Z44" i="95"/>
  <c r="X44" i="95"/>
  <c r="N44" i="95"/>
  <c r="L44" i="95"/>
  <c r="B44" i="95"/>
  <c r="Z43" i="95"/>
  <c r="X43" i="95"/>
  <c r="L43" i="95"/>
  <c r="N43" i="95" s="1"/>
  <c r="B43" i="95"/>
  <c r="X42" i="95"/>
  <c r="Z42" i="95" s="1"/>
  <c r="N42" i="95"/>
  <c r="L42" i="95"/>
  <c r="B42" i="95"/>
  <c r="Z41" i="95"/>
  <c r="X41" i="95"/>
  <c r="V41" i="95"/>
  <c r="N41" i="95"/>
  <c r="L41" i="95"/>
  <c r="B41" i="95"/>
  <c r="Z40" i="95"/>
  <c r="X40" i="95"/>
  <c r="L40" i="95"/>
  <c r="N40" i="95" s="1"/>
  <c r="B40" i="95"/>
  <c r="Z39" i="95"/>
  <c r="X39" i="95"/>
  <c r="L39" i="95"/>
  <c r="N39" i="95" s="1"/>
  <c r="B39" i="95"/>
  <c r="Z38" i="95"/>
  <c r="X38" i="95"/>
  <c r="N38" i="95"/>
  <c r="L38" i="95"/>
  <c r="B38" i="95"/>
  <c r="Z37" i="95"/>
  <c r="X37" i="95"/>
  <c r="V37" i="95"/>
  <c r="N37" i="95"/>
  <c r="L37" i="95"/>
  <c r="B37" i="95"/>
  <c r="Z36" i="95"/>
  <c r="X36" i="95"/>
  <c r="N36" i="95"/>
  <c r="L36" i="95"/>
  <c r="B36" i="95"/>
  <c r="T35" i="95"/>
  <c r="P35" i="95"/>
  <c r="X35" i="95" s="1"/>
  <c r="Z35" i="95" s="1"/>
  <c r="J35" i="95"/>
  <c r="H35" i="95"/>
  <c r="D35" i="95"/>
  <c r="L35" i="95" s="1"/>
  <c r="N35" i="95" s="1"/>
  <c r="B35" i="95"/>
  <c r="X34" i="95"/>
  <c r="Z34" i="95" s="1"/>
  <c r="N34" i="95"/>
  <c r="L34" i="95"/>
  <c r="B34" i="95"/>
  <c r="Z33" i="95"/>
  <c r="X33" i="95"/>
  <c r="N33" i="95"/>
  <c r="L33" i="95"/>
  <c r="B33" i="95"/>
  <c r="X32" i="95"/>
  <c r="Z32" i="95" s="1"/>
  <c r="R32" i="95"/>
  <c r="N32" i="95"/>
  <c r="L32" i="95"/>
  <c r="B32" i="95"/>
  <c r="Z31" i="95"/>
  <c r="X31" i="95"/>
  <c r="N31" i="95"/>
  <c r="L31" i="95"/>
  <c r="J31" i="95"/>
  <c r="B31" i="95"/>
  <c r="X30" i="95"/>
  <c r="Z30" i="95" s="1"/>
  <c r="N30" i="95"/>
  <c r="L30" i="95"/>
  <c r="B30" i="95"/>
  <c r="Z29" i="95"/>
  <c r="X29" i="95"/>
  <c r="N29" i="95"/>
  <c r="L29" i="95"/>
  <c r="B29" i="95"/>
  <c r="X28" i="95"/>
  <c r="Z28" i="95" s="1"/>
  <c r="R28" i="95"/>
  <c r="N28" i="95"/>
  <c r="L28" i="95"/>
  <c r="B28" i="95"/>
  <c r="X27" i="95"/>
  <c r="Z27" i="95" s="1"/>
  <c r="N27" i="95"/>
  <c r="L27" i="95"/>
  <c r="J27" i="95"/>
  <c r="B27" i="95"/>
  <c r="X26" i="95"/>
  <c r="Z26" i="95" s="1"/>
  <c r="N26" i="95"/>
  <c r="L26" i="95"/>
  <c r="B26" i="95"/>
  <c r="Z25" i="95"/>
  <c r="X25" i="95"/>
  <c r="T25" i="95"/>
  <c r="P25" i="95"/>
  <c r="L25" i="95"/>
  <c r="H25" i="95"/>
  <c r="N25" i="95" s="1"/>
  <c r="D25" i="95"/>
  <c r="B25" i="95"/>
  <c r="T24" i="95"/>
  <c r="P24" i="95"/>
  <c r="X24" i="95" s="1"/>
  <c r="H24" i="95"/>
  <c r="D24" i="95"/>
  <c r="L24" i="95" s="1"/>
  <c r="T22" i="95"/>
  <c r="T103" i="95" s="1"/>
  <c r="H22" i="95"/>
  <c r="Z20" i="95"/>
  <c r="X20" i="95"/>
  <c r="N20" i="95"/>
  <c r="L20" i="95"/>
  <c r="B20" i="95"/>
  <c r="Z19" i="95"/>
  <c r="X19" i="95"/>
  <c r="V19" i="95"/>
  <c r="N19" i="95"/>
  <c r="L19" i="95"/>
  <c r="J19" i="95"/>
  <c r="B19" i="95"/>
  <c r="Z18" i="95"/>
  <c r="X18" i="95"/>
  <c r="R18" i="95"/>
  <c r="L18" i="95"/>
  <c r="N18" i="95" s="1"/>
  <c r="B18" i="95"/>
  <c r="V17" i="95"/>
  <c r="T17" i="95"/>
  <c r="X17" i="95" s="1"/>
  <c r="Z17" i="95" s="1"/>
  <c r="P17" i="95"/>
  <c r="N17" i="95"/>
  <c r="J17" i="95"/>
  <c r="H17" i="95"/>
  <c r="D17" i="95"/>
  <c r="L17" i="95" s="1"/>
  <c r="Z15" i="95"/>
  <c r="P15" i="95"/>
  <c r="X15" i="95" s="1"/>
  <c r="N15" i="95"/>
  <c r="L15" i="95"/>
  <c r="D15" i="95"/>
  <c r="B15" i="95"/>
  <c r="X14" i="95"/>
  <c r="Z14" i="95" s="1"/>
  <c r="P14" i="95"/>
  <c r="D14" i="95"/>
  <c r="L14" i="95" s="1"/>
  <c r="N14" i="95" s="1"/>
  <c r="B14" i="95"/>
  <c r="Z13" i="95"/>
  <c r="X13" i="95"/>
  <c r="P13" i="95"/>
  <c r="N13" i="95"/>
  <c r="L13" i="95"/>
  <c r="D13" i="95"/>
  <c r="B13" i="95"/>
  <c r="T12" i="95"/>
  <c r="V43" i="95" s="1"/>
  <c r="P12" i="95"/>
  <c r="R93" i="95" s="1"/>
  <c r="H12" i="95"/>
  <c r="J100" i="95" s="1"/>
  <c r="D6" i="95"/>
  <c r="D4" i="95"/>
  <c r="X88" i="94"/>
  <c r="Z88" i="94" s="1"/>
  <c r="L88" i="94"/>
  <c r="N88" i="94" s="1"/>
  <c r="T84" i="94"/>
  <c r="Z84" i="94" s="1"/>
  <c r="P84" i="94"/>
  <c r="X84" i="94" s="1"/>
  <c r="H84" i="94"/>
  <c r="N84" i="94" s="1"/>
  <c r="D84" i="94"/>
  <c r="L84" i="94" s="1"/>
  <c r="Z82" i="94"/>
  <c r="X82" i="94"/>
  <c r="N82" i="94"/>
  <c r="L82" i="94"/>
  <c r="B82" i="94"/>
  <c r="T81" i="94"/>
  <c r="P81" i="94"/>
  <c r="X81" i="94" s="1"/>
  <c r="Z81" i="94" s="1"/>
  <c r="N81" i="94"/>
  <c r="J81" i="94"/>
  <c r="H81" i="94"/>
  <c r="D81" i="94"/>
  <c r="L81" i="94" s="1"/>
  <c r="B81" i="94"/>
  <c r="X80" i="94"/>
  <c r="Z80" i="94" s="1"/>
  <c r="L80" i="94"/>
  <c r="N80" i="94" s="1"/>
  <c r="B80" i="94"/>
  <c r="T79" i="94"/>
  <c r="P79" i="94"/>
  <c r="X79" i="94" s="1"/>
  <c r="J79" i="94"/>
  <c r="H79" i="94"/>
  <c r="D79" i="94"/>
  <c r="L79" i="94" s="1"/>
  <c r="B79" i="94"/>
  <c r="Z78" i="94"/>
  <c r="X78" i="94"/>
  <c r="N78" i="94"/>
  <c r="L78" i="94"/>
  <c r="B78" i="94"/>
  <c r="Z77" i="94"/>
  <c r="X77" i="94"/>
  <c r="N77" i="94"/>
  <c r="L77" i="94"/>
  <c r="B77" i="94"/>
  <c r="Z76" i="94"/>
  <c r="X76" i="94"/>
  <c r="N76" i="94"/>
  <c r="L76" i="94"/>
  <c r="B76" i="94"/>
  <c r="X75" i="94"/>
  <c r="Z75" i="94" s="1"/>
  <c r="N75" i="94"/>
  <c r="L75" i="94"/>
  <c r="J75" i="94"/>
  <c r="B75" i="94"/>
  <c r="X74" i="94"/>
  <c r="Z74" i="94" s="1"/>
  <c r="N74" i="94"/>
  <c r="L74" i="94"/>
  <c r="B74" i="94"/>
  <c r="Z73" i="94"/>
  <c r="X73" i="94"/>
  <c r="N73" i="94"/>
  <c r="L73" i="94"/>
  <c r="B73" i="94"/>
  <c r="Z72" i="94"/>
  <c r="X72" i="94"/>
  <c r="N72" i="94"/>
  <c r="L72" i="94"/>
  <c r="B72" i="94"/>
  <c r="T71" i="94"/>
  <c r="P71" i="94"/>
  <c r="X71" i="94" s="1"/>
  <c r="Z71" i="94" s="1"/>
  <c r="H71" i="94"/>
  <c r="D71" i="94"/>
  <c r="L71" i="94" s="1"/>
  <c r="N71" i="94" s="1"/>
  <c r="B71" i="94"/>
  <c r="Z70" i="94"/>
  <c r="X70" i="94"/>
  <c r="N70" i="94"/>
  <c r="L70" i="94"/>
  <c r="B70" i="94"/>
  <c r="Z69" i="94"/>
  <c r="T69" i="94"/>
  <c r="P69" i="94"/>
  <c r="X69" i="94" s="1"/>
  <c r="N69" i="94"/>
  <c r="J69" i="94"/>
  <c r="H69" i="94"/>
  <c r="D69" i="94"/>
  <c r="L69" i="94" s="1"/>
  <c r="B69" i="94"/>
  <c r="X68" i="94"/>
  <c r="Z68" i="94" s="1"/>
  <c r="L68" i="94"/>
  <c r="N68" i="94" s="1"/>
  <c r="B68" i="94"/>
  <c r="T67" i="94"/>
  <c r="P67" i="94"/>
  <c r="J67" i="94"/>
  <c r="H67" i="94"/>
  <c r="D67" i="94"/>
  <c r="L67" i="94" s="1"/>
  <c r="B67" i="94"/>
  <c r="X66" i="94"/>
  <c r="Z66" i="94" s="1"/>
  <c r="N66" i="94"/>
  <c r="L66" i="94"/>
  <c r="B66" i="94"/>
  <c r="Z65" i="94"/>
  <c r="T65" i="94"/>
  <c r="P65" i="94"/>
  <c r="X65" i="94" s="1"/>
  <c r="H65" i="94"/>
  <c r="D65" i="94"/>
  <c r="L65" i="94" s="1"/>
  <c r="N65" i="94" s="1"/>
  <c r="B65" i="94"/>
  <c r="X64" i="94"/>
  <c r="Z64" i="94" s="1"/>
  <c r="N64" i="94"/>
  <c r="L64" i="94"/>
  <c r="B64" i="94"/>
  <c r="Z63" i="94"/>
  <c r="X63" i="94"/>
  <c r="V63" i="94"/>
  <c r="N63" i="94"/>
  <c r="L63" i="94"/>
  <c r="J63" i="94"/>
  <c r="B63" i="94"/>
  <c r="T62" i="94"/>
  <c r="P62" i="94"/>
  <c r="H62" i="94"/>
  <c r="D62" i="94"/>
  <c r="L62" i="94" s="1"/>
  <c r="B62" i="94"/>
  <c r="X61" i="94"/>
  <c r="Z61" i="94" s="1"/>
  <c r="V61" i="94"/>
  <c r="N61" i="94"/>
  <c r="L61" i="94"/>
  <c r="B61" i="94"/>
  <c r="T60" i="94"/>
  <c r="P60" i="94"/>
  <c r="X60" i="94" s="1"/>
  <c r="L60" i="94"/>
  <c r="H60" i="94"/>
  <c r="D60" i="94"/>
  <c r="B60" i="94"/>
  <c r="Z59" i="94"/>
  <c r="X59" i="94"/>
  <c r="N59" i="94"/>
  <c r="L59" i="94"/>
  <c r="J59" i="94"/>
  <c r="B59" i="94"/>
  <c r="X58" i="94"/>
  <c r="T58" i="94"/>
  <c r="Z58" i="94" s="1"/>
  <c r="P58" i="94"/>
  <c r="L58" i="94"/>
  <c r="H58" i="94"/>
  <c r="N58" i="94" s="1"/>
  <c r="D58" i="94"/>
  <c r="B58" i="94"/>
  <c r="Z57" i="94"/>
  <c r="X57" i="94"/>
  <c r="N57" i="94"/>
  <c r="L57" i="94"/>
  <c r="J57" i="94"/>
  <c r="B57" i="94"/>
  <c r="T56" i="94"/>
  <c r="P56" i="94"/>
  <c r="H56" i="94"/>
  <c r="D56" i="94"/>
  <c r="B56" i="94"/>
  <c r="Z55" i="94"/>
  <c r="X55" i="94"/>
  <c r="V55" i="94"/>
  <c r="N55" i="94"/>
  <c r="L55" i="94"/>
  <c r="B55" i="94"/>
  <c r="X54" i="94"/>
  <c r="Z54" i="94" s="1"/>
  <c r="L54" i="94"/>
  <c r="N54" i="94" s="1"/>
  <c r="B54" i="94"/>
  <c r="V53" i="94"/>
  <c r="T53" i="94"/>
  <c r="Z53" i="94" s="1"/>
  <c r="P53" i="94"/>
  <c r="X53" i="94" s="1"/>
  <c r="J53" i="94"/>
  <c r="H53" i="94"/>
  <c r="N53" i="94" s="1"/>
  <c r="D53" i="94"/>
  <c r="L53" i="94" s="1"/>
  <c r="B53" i="94"/>
  <c r="X52" i="94"/>
  <c r="Z52" i="94" s="1"/>
  <c r="L52" i="94"/>
  <c r="N52" i="94" s="1"/>
  <c r="B52" i="94"/>
  <c r="X51" i="94"/>
  <c r="T51" i="94"/>
  <c r="Z51" i="94" s="1"/>
  <c r="P51" i="94"/>
  <c r="N51" i="94"/>
  <c r="H51" i="94"/>
  <c r="D51" i="94"/>
  <c r="L51" i="94" s="1"/>
  <c r="B51" i="94"/>
  <c r="Z50" i="94"/>
  <c r="X50" i="94"/>
  <c r="L50" i="94"/>
  <c r="N50" i="94" s="1"/>
  <c r="B50" i="94"/>
  <c r="Z49" i="94"/>
  <c r="X49" i="94"/>
  <c r="T49" i="94"/>
  <c r="P49" i="94"/>
  <c r="N49" i="94"/>
  <c r="J49" i="94"/>
  <c r="H49" i="94"/>
  <c r="D49" i="94"/>
  <c r="L49" i="94" s="1"/>
  <c r="B49" i="94"/>
  <c r="Z48" i="94"/>
  <c r="X48" i="94"/>
  <c r="N48" i="94"/>
  <c r="L48" i="94"/>
  <c r="B48" i="94"/>
  <c r="V47" i="94"/>
  <c r="T47" i="94"/>
  <c r="P47" i="94"/>
  <c r="J47" i="94"/>
  <c r="H47" i="94"/>
  <c r="N47" i="94" s="1"/>
  <c r="D47" i="94"/>
  <c r="L47" i="94" s="1"/>
  <c r="B47" i="94"/>
  <c r="Z46" i="94"/>
  <c r="X46" i="94"/>
  <c r="N46" i="94"/>
  <c r="L46" i="94"/>
  <c r="B46" i="94"/>
  <c r="Z45" i="94"/>
  <c r="X45" i="94"/>
  <c r="N45" i="94"/>
  <c r="L45" i="94"/>
  <c r="B45" i="94"/>
  <c r="X44" i="94"/>
  <c r="Z44" i="94" s="1"/>
  <c r="L44" i="94"/>
  <c r="N44" i="94" s="1"/>
  <c r="B44" i="94"/>
  <c r="X43" i="94"/>
  <c r="Z43" i="94" s="1"/>
  <c r="N43" i="94"/>
  <c r="L43" i="94"/>
  <c r="J43" i="94"/>
  <c r="B43" i="94"/>
  <c r="Z42" i="94"/>
  <c r="X42" i="94"/>
  <c r="N42" i="94"/>
  <c r="L42" i="94"/>
  <c r="B42" i="94"/>
  <c r="Z41" i="94"/>
  <c r="X41" i="94"/>
  <c r="N41" i="94"/>
  <c r="L41" i="94"/>
  <c r="B41" i="94"/>
  <c r="X40" i="94"/>
  <c r="Z40" i="94" s="1"/>
  <c r="L40" i="94"/>
  <c r="N40" i="94" s="1"/>
  <c r="B40" i="94"/>
  <c r="Z39" i="94"/>
  <c r="X39" i="94"/>
  <c r="N39" i="94"/>
  <c r="L39" i="94"/>
  <c r="J39" i="94"/>
  <c r="B39" i="94"/>
  <c r="X38" i="94"/>
  <c r="Z38" i="94" s="1"/>
  <c r="L38" i="94"/>
  <c r="N38" i="94" s="1"/>
  <c r="B38" i="94"/>
  <c r="Z37" i="94"/>
  <c r="X37" i="94"/>
  <c r="N37" i="94"/>
  <c r="L37" i="94"/>
  <c r="B37" i="94"/>
  <c r="X36" i="94"/>
  <c r="T36" i="94"/>
  <c r="P36" i="94"/>
  <c r="L36" i="94"/>
  <c r="H36" i="94"/>
  <c r="N36" i="94" s="1"/>
  <c r="D36" i="94"/>
  <c r="B36" i="94"/>
  <c r="Z35" i="94"/>
  <c r="X35" i="94"/>
  <c r="V35" i="94"/>
  <c r="N35" i="94"/>
  <c r="L35" i="94"/>
  <c r="J35" i="94"/>
  <c r="B35" i="94"/>
  <c r="X34" i="94"/>
  <c r="Z34" i="94" s="1"/>
  <c r="L34" i="94"/>
  <c r="N34" i="94" s="1"/>
  <c r="B34" i="94"/>
  <c r="Z33" i="94"/>
  <c r="X33" i="94"/>
  <c r="N33" i="94"/>
  <c r="L33" i="94"/>
  <c r="J33" i="94"/>
  <c r="B33" i="94"/>
  <c r="Z32" i="94"/>
  <c r="X32" i="94"/>
  <c r="N32" i="94"/>
  <c r="L32" i="94"/>
  <c r="B32" i="94"/>
  <c r="Z31" i="94"/>
  <c r="X31" i="94"/>
  <c r="V31" i="94"/>
  <c r="N31" i="94"/>
  <c r="L31" i="94"/>
  <c r="J31" i="94"/>
  <c r="B31" i="94"/>
  <c r="X30" i="94"/>
  <c r="Z30" i="94" s="1"/>
  <c r="L30" i="94"/>
  <c r="N30" i="94" s="1"/>
  <c r="B30" i="94"/>
  <c r="Z29" i="94"/>
  <c r="X29" i="94"/>
  <c r="N29" i="94"/>
  <c r="L29" i="94"/>
  <c r="J29" i="94"/>
  <c r="B29" i="94"/>
  <c r="X28" i="94"/>
  <c r="Z28" i="94" s="1"/>
  <c r="N28" i="94"/>
  <c r="L28" i="94"/>
  <c r="B28" i="94"/>
  <c r="Z27" i="94"/>
  <c r="X27" i="94"/>
  <c r="V27" i="94"/>
  <c r="L27" i="94"/>
  <c r="N27" i="94" s="1"/>
  <c r="J27" i="94"/>
  <c r="B27" i="94"/>
  <c r="T26" i="94"/>
  <c r="P26" i="94"/>
  <c r="H26" i="94"/>
  <c r="D26" i="94"/>
  <c r="B26" i="94"/>
  <c r="V25" i="94"/>
  <c r="T25" i="94"/>
  <c r="P25" i="94"/>
  <c r="X25" i="94" s="1"/>
  <c r="J25" i="94"/>
  <c r="H25" i="94"/>
  <c r="D25" i="94"/>
  <c r="L25" i="94" s="1"/>
  <c r="J23" i="94"/>
  <c r="H23" i="94"/>
  <c r="Z21" i="94"/>
  <c r="X21" i="94"/>
  <c r="V21" i="94"/>
  <c r="N21" i="94"/>
  <c r="L21" i="94"/>
  <c r="B21" i="94"/>
  <c r="Z20" i="94"/>
  <c r="X20" i="94"/>
  <c r="N20" i="94"/>
  <c r="L20" i="94"/>
  <c r="J20" i="94"/>
  <c r="B20" i="94"/>
  <c r="X19" i="94"/>
  <c r="Z19" i="94" s="1"/>
  <c r="V19" i="94"/>
  <c r="L19" i="94"/>
  <c r="N19" i="94" s="1"/>
  <c r="B19" i="94"/>
  <c r="T18" i="94"/>
  <c r="P18" i="94"/>
  <c r="X18" i="94" s="1"/>
  <c r="Z18" i="94" s="1"/>
  <c r="J18" i="94"/>
  <c r="H18" i="94"/>
  <c r="D18" i="94"/>
  <c r="L18" i="94" s="1"/>
  <c r="N18" i="94" s="1"/>
  <c r="Z16" i="94"/>
  <c r="X16" i="94"/>
  <c r="P16" i="94"/>
  <c r="N16" i="94"/>
  <c r="D16" i="94"/>
  <c r="L16" i="94" s="1"/>
  <c r="B16" i="94"/>
  <c r="X15" i="94"/>
  <c r="Z15" i="94" s="1"/>
  <c r="P15" i="94"/>
  <c r="L15" i="94"/>
  <c r="N15" i="94" s="1"/>
  <c r="D15" i="94"/>
  <c r="B15" i="94"/>
  <c r="Z14" i="94"/>
  <c r="P14" i="94"/>
  <c r="X14" i="94" s="1"/>
  <c r="N14" i="94"/>
  <c r="L14" i="94"/>
  <c r="D14" i="94"/>
  <c r="B14" i="94"/>
  <c r="P13" i="94"/>
  <c r="L13" i="94"/>
  <c r="N13" i="94" s="1"/>
  <c r="D13" i="94"/>
  <c r="B13" i="94"/>
  <c r="T12" i="94"/>
  <c r="H12" i="94"/>
  <c r="J82" i="94" s="1"/>
  <c r="D6" i="94"/>
  <c r="D4" i="94"/>
  <c r="Z87" i="93"/>
  <c r="X87" i="93"/>
  <c r="R87" i="93"/>
  <c r="N87" i="93"/>
  <c r="L87" i="93"/>
  <c r="Z83" i="93"/>
  <c r="X83" i="93"/>
  <c r="P83" i="93"/>
  <c r="N83" i="93"/>
  <c r="D83" i="93"/>
  <c r="L83" i="93" s="1"/>
  <c r="B83" i="93"/>
  <c r="V82" i="93"/>
  <c r="T82" i="93"/>
  <c r="Z82" i="93" s="1"/>
  <c r="P82" i="93"/>
  <c r="X82" i="93" s="1"/>
  <c r="H82" i="93"/>
  <c r="N82" i="93" s="1"/>
  <c r="D82" i="93"/>
  <c r="L82" i="93" s="1"/>
  <c r="Z80" i="93"/>
  <c r="X80" i="93"/>
  <c r="N80" i="93"/>
  <c r="L80" i="93"/>
  <c r="B80" i="93"/>
  <c r="T79" i="93"/>
  <c r="P79" i="93"/>
  <c r="X79" i="93" s="1"/>
  <c r="Z79" i="93" s="1"/>
  <c r="N79" i="93"/>
  <c r="L79" i="93"/>
  <c r="H79" i="93"/>
  <c r="D79" i="93"/>
  <c r="B79" i="93"/>
  <c r="X78" i="93"/>
  <c r="Z78" i="93" s="1"/>
  <c r="N78" i="93"/>
  <c r="L78" i="93"/>
  <c r="B78" i="93"/>
  <c r="X77" i="93"/>
  <c r="T77" i="93"/>
  <c r="P77" i="93"/>
  <c r="L77" i="93"/>
  <c r="H77" i="93"/>
  <c r="N77" i="93" s="1"/>
  <c r="D77" i="93"/>
  <c r="B77" i="93"/>
  <c r="Z76" i="93"/>
  <c r="X76" i="93"/>
  <c r="N76" i="93"/>
  <c r="L76" i="93"/>
  <c r="B76" i="93"/>
  <c r="X75" i="93"/>
  <c r="Z75" i="93" s="1"/>
  <c r="N75" i="93"/>
  <c r="L75" i="93"/>
  <c r="B75" i="93"/>
  <c r="Z74" i="93"/>
  <c r="X74" i="93"/>
  <c r="T74" i="93"/>
  <c r="P74" i="93"/>
  <c r="N74" i="93"/>
  <c r="L74" i="93"/>
  <c r="H74" i="93"/>
  <c r="D74" i="93"/>
  <c r="B74" i="93"/>
  <c r="X73" i="93"/>
  <c r="Z73" i="93" s="1"/>
  <c r="N73" i="93"/>
  <c r="L73" i="93"/>
  <c r="B73" i="93"/>
  <c r="X72" i="93"/>
  <c r="Z72" i="93" s="1"/>
  <c r="V72" i="93"/>
  <c r="N72" i="93"/>
  <c r="L72" i="93"/>
  <c r="B72" i="93"/>
  <c r="Z71" i="93"/>
  <c r="X71" i="93"/>
  <c r="N71" i="93"/>
  <c r="L71" i="93"/>
  <c r="B71" i="93"/>
  <c r="Z70" i="93"/>
  <c r="X70" i="93"/>
  <c r="V70" i="93"/>
  <c r="L70" i="93"/>
  <c r="N70" i="93" s="1"/>
  <c r="B70" i="93"/>
  <c r="X69" i="93"/>
  <c r="Z69" i="93" s="1"/>
  <c r="L69" i="93"/>
  <c r="N69" i="93" s="1"/>
  <c r="B69" i="93"/>
  <c r="X68" i="93"/>
  <c r="Z68" i="93" s="1"/>
  <c r="N68" i="93"/>
  <c r="L68" i="93"/>
  <c r="B68" i="93"/>
  <c r="Z67" i="93"/>
  <c r="X67" i="93"/>
  <c r="L67" i="93"/>
  <c r="N67" i="93" s="1"/>
  <c r="B67" i="93"/>
  <c r="T66" i="93"/>
  <c r="P66" i="93"/>
  <c r="X66" i="93" s="1"/>
  <c r="H66" i="93"/>
  <c r="D66" i="93"/>
  <c r="L66" i="93" s="1"/>
  <c r="B66" i="93"/>
  <c r="X65" i="93"/>
  <c r="Z65" i="93" s="1"/>
  <c r="N65" i="93"/>
  <c r="L65" i="93"/>
  <c r="B65" i="93"/>
  <c r="Z64" i="93"/>
  <c r="X64" i="93"/>
  <c r="N64" i="93"/>
  <c r="L64" i="93"/>
  <c r="B64" i="93"/>
  <c r="X63" i="93"/>
  <c r="T63" i="93"/>
  <c r="P63" i="93"/>
  <c r="L63" i="93"/>
  <c r="H63" i="93"/>
  <c r="N63" i="93" s="1"/>
  <c r="D63" i="93"/>
  <c r="B63" i="93"/>
  <c r="Z62" i="93"/>
  <c r="X62" i="93"/>
  <c r="N62" i="93"/>
  <c r="L62" i="93"/>
  <c r="B62" i="93"/>
  <c r="Z61" i="93"/>
  <c r="X61" i="93"/>
  <c r="R61" i="93"/>
  <c r="N61" i="93"/>
  <c r="L61" i="93"/>
  <c r="B61" i="93"/>
  <c r="Z60" i="93"/>
  <c r="X60" i="93"/>
  <c r="N60" i="93"/>
  <c r="L60" i="93"/>
  <c r="B60" i="93"/>
  <c r="T59" i="93"/>
  <c r="P59" i="93"/>
  <c r="H59" i="93"/>
  <c r="N59" i="93" s="1"/>
  <c r="D59" i="93"/>
  <c r="B59" i="93"/>
  <c r="Z58" i="93"/>
  <c r="X58" i="93"/>
  <c r="N58" i="93"/>
  <c r="L58" i="93"/>
  <c r="B58" i="93"/>
  <c r="Z57" i="93"/>
  <c r="X57" i="93"/>
  <c r="T57" i="93"/>
  <c r="P57" i="93"/>
  <c r="N57" i="93"/>
  <c r="H57" i="93"/>
  <c r="D57" i="93"/>
  <c r="L57" i="93" s="1"/>
  <c r="B57" i="93"/>
  <c r="Z56" i="93"/>
  <c r="X56" i="93"/>
  <c r="N56" i="93"/>
  <c r="L56" i="93"/>
  <c r="B56" i="93"/>
  <c r="X55" i="93"/>
  <c r="T55" i="93"/>
  <c r="P55" i="93"/>
  <c r="L55" i="93"/>
  <c r="H55" i="93"/>
  <c r="D55" i="93"/>
  <c r="B55" i="93"/>
  <c r="Z54" i="93"/>
  <c r="X54" i="93"/>
  <c r="N54" i="93"/>
  <c r="L54" i="93"/>
  <c r="B54" i="93"/>
  <c r="T53" i="93"/>
  <c r="P53" i="93"/>
  <c r="H53" i="93"/>
  <c r="D53" i="93"/>
  <c r="B53" i="93"/>
  <c r="Z52" i="93"/>
  <c r="X52" i="93"/>
  <c r="N52" i="93"/>
  <c r="L52" i="93"/>
  <c r="B52" i="93"/>
  <c r="T51" i="93"/>
  <c r="P51" i="93"/>
  <c r="X51" i="93" s="1"/>
  <c r="L51" i="93"/>
  <c r="N51" i="93" s="1"/>
  <c r="H51" i="93"/>
  <c r="D51" i="93"/>
  <c r="B51" i="93"/>
  <c r="X50" i="93"/>
  <c r="Z50" i="93" s="1"/>
  <c r="N50" i="93"/>
  <c r="L50" i="93"/>
  <c r="B50" i="93"/>
  <c r="X49" i="93"/>
  <c r="T49" i="93"/>
  <c r="P49" i="93"/>
  <c r="L49" i="93"/>
  <c r="H49" i="93"/>
  <c r="D49" i="93"/>
  <c r="B49" i="93"/>
  <c r="Z48" i="93"/>
  <c r="X48" i="93"/>
  <c r="N48" i="93"/>
  <c r="L48" i="93"/>
  <c r="B48" i="93"/>
  <c r="T47" i="93"/>
  <c r="P47" i="93"/>
  <c r="H47" i="93"/>
  <c r="D47" i="93"/>
  <c r="B47" i="93"/>
  <c r="Z46" i="93"/>
  <c r="X46" i="93"/>
  <c r="N46" i="93"/>
  <c r="L46" i="93"/>
  <c r="B46" i="93"/>
  <c r="Z45" i="93"/>
  <c r="X45" i="93"/>
  <c r="N45" i="93"/>
  <c r="L45" i="93"/>
  <c r="B45" i="93"/>
  <c r="Z44" i="93"/>
  <c r="X44" i="93"/>
  <c r="N44" i="93"/>
  <c r="L44" i="93"/>
  <c r="B44" i="93"/>
  <c r="X43" i="93"/>
  <c r="Z43" i="93" s="1"/>
  <c r="V43" i="93"/>
  <c r="N43" i="93"/>
  <c r="L43" i="93"/>
  <c r="B43" i="93"/>
  <c r="Z42" i="93"/>
  <c r="X42" i="93"/>
  <c r="N42" i="93"/>
  <c r="L42" i="93"/>
  <c r="B42" i="93"/>
  <c r="Z41" i="93"/>
  <c r="X41" i="93"/>
  <c r="L41" i="93"/>
  <c r="N41" i="93" s="1"/>
  <c r="B41" i="93"/>
  <c r="Z40" i="93"/>
  <c r="X40" i="93"/>
  <c r="R40" i="93"/>
  <c r="L40" i="93"/>
  <c r="N40" i="93" s="1"/>
  <c r="B40" i="93"/>
  <c r="Z39" i="93"/>
  <c r="X39" i="93"/>
  <c r="N39" i="93"/>
  <c r="L39" i="93"/>
  <c r="B39" i="93"/>
  <c r="Z38" i="93"/>
  <c r="X38" i="93"/>
  <c r="V38" i="93"/>
  <c r="N38" i="93"/>
  <c r="L38" i="93"/>
  <c r="B38" i="93"/>
  <c r="Z37" i="93"/>
  <c r="X37" i="93"/>
  <c r="N37" i="93"/>
  <c r="L37" i="93"/>
  <c r="B37" i="93"/>
  <c r="T36" i="93"/>
  <c r="P36" i="93"/>
  <c r="H36" i="93"/>
  <c r="D36" i="93"/>
  <c r="B36" i="93"/>
  <c r="Z35" i="93"/>
  <c r="X35" i="93"/>
  <c r="N35" i="93"/>
  <c r="L35" i="93"/>
  <c r="B35" i="93"/>
  <c r="Z34" i="93"/>
  <c r="X34" i="93"/>
  <c r="V34" i="93"/>
  <c r="N34" i="93"/>
  <c r="L34" i="93"/>
  <c r="B34" i="93"/>
  <c r="X33" i="93"/>
  <c r="Z33" i="93" s="1"/>
  <c r="N33" i="93"/>
  <c r="L33" i="93"/>
  <c r="B33" i="93"/>
  <c r="Z32" i="93"/>
  <c r="X32" i="93"/>
  <c r="N32" i="93"/>
  <c r="L32" i="93"/>
  <c r="B32" i="93"/>
  <c r="X31" i="93"/>
  <c r="Z31" i="93" s="1"/>
  <c r="V31" i="93"/>
  <c r="L31" i="93"/>
  <c r="N31" i="93" s="1"/>
  <c r="B31" i="93"/>
  <c r="Z30" i="93"/>
  <c r="X30" i="93"/>
  <c r="V30" i="93"/>
  <c r="N30" i="93"/>
  <c r="L30" i="93"/>
  <c r="B30" i="93"/>
  <c r="Z29" i="93"/>
  <c r="X29" i="93"/>
  <c r="V29" i="93"/>
  <c r="L29" i="93"/>
  <c r="N29" i="93" s="1"/>
  <c r="B29" i="93"/>
  <c r="Z28" i="93"/>
  <c r="X28" i="93"/>
  <c r="L28" i="93"/>
  <c r="N28" i="93" s="1"/>
  <c r="B28" i="93"/>
  <c r="X27" i="93"/>
  <c r="Z27" i="93" s="1"/>
  <c r="V27" i="93"/>
  <c r="L27" i="93"/>
  <c r="N27" i="93" s="1"/>
  <c r="B27" i="93"/>
  <c r="V26" i="93"/>
  <c r="T26" i="93"/>
  <c r="R26" i="93"/>
  <c r="P26" i="93"/>
  <c r="X26" i="93" s="1"/>
  <c r="Z26" i="93" s="1"/>
  <c r="H26" i="93"/>
  <c r="N26" i="93" s="1"/>
  <c r="D26" i="93"/>
  <c r="L26" i="93" s="1"/>
  <c r="B26" i="93"/>
  <c r="T25" i="93"/>
  <c r="R25" i="93"/>
  <c r="P25" i="93"/>
  <c r="H25" i="93"/>
  <c r="D25" i="93"/>
  <c r="L25" i="93" s="1"/>
  <c r="T23" i="93"/>
  <c r="Z21" i="93"/>
  <c r="X21" i="93"/>
  <c r="R21" i="93"/>
  <c r="N21" i="93"/>
  <c r="L21" i="93"/>
  <c r="B21" i="93"/>
  <c r="Z20" i="93"/>
  <c r="X20" i="93"/>
  <c r="V20" i="93"/>
  <c r="N20" i="93"/>
  <c r="L20" i="93"/>
  <c r="J20" i="93"/>
  <c r="B20" i="93"/>
  <c r="X19" i="93"/>
  <c r="Z19" i="93" s="1"/>
  <c r="N19" i="93"/>
  <c r="L19" i="93"/>
  <c r="B19" i="93"/>
  <c r="Z18" i="93"/>
  <c r="X18" i="93"/>
  <c r="T18" i="93"/>
  <c r="P18" i="93"/>
  <c r="L18" i="93"/>
  <c r="N18" i="93" s="1"/>
  <c r="H18" i="93"/>
  <c r="D18" i="93"/>
  <c r="Z16" i="93"/>
  <c r="X16" i="93"/>
  <c r="P16" i="93"/>
  <c r="N16" i="93"/>
  <c r="L16" i="93"/>
  <c r="D16" i="93"/>
  <c r="B16" i="93"/>
  <c r="Z15" i="93"/>
  <c r="X15" i="93"/>
  <c r="P15" i="93"/>
  <c r="D15" i="93"/>
  <c r="L15" i="93" s="1"/>
  <c r="N15" i="93" s="1"/>
  <c r="B15" i="93"/>
  <c r="Z14" i="93"/>
  <c r="P14" i="93"/>
  <c r="X14" i="93" s="1"/>
  <c r="N14" i="93"/>
  <c r="D14" i="93"/>
  <c r="L14" i="93" s="1"/>
  <c r="B14" i="93"/>
  <c r="X13" i="93"/>
  <c r="Z13" i="93" s="1"/>
  <c r="P13" i="93"/>
  <c r="N13" i="93"/>
  <c r="L13" i="93"/>
  <c r="D13" i="93"/>
  <c r="B13" i="93"/>
  <c r="T12" i="93"/>
  <c r="V54" i="93" s="1"/>
  <c r="P12" i="93"/>
  <c r="R37" i="93" s="1"/>
  <c r="H12" i="93"/>
  <c r="D6" i="93"/>
  <c r="D4" i="93"/>
  <c r="Z92" i="92"/>
  <c r="X92" i="92"/>
  <c r="L92" i="92"/>
  <c r="N92" i="92" s="1"/>
  <c r="Z88" i="92"/>
  <c r="V88" i="92"/>
  <c r="T88" i="92"/>
  <c r="P88" i="92"/>
  <c r="X88" i="92" s="1"/>
  <c r="H88" i="92"/>
  <c r="N88" i="92" s="1"/>
  <c r="D88" i="92"/>
  <c r="Z86" i="92"/>
  <c r="X86" i="92"/>
  <c r="V86" i="92"/>
  <c r="N86" i="92"/>
  <c r="L86" i="92"/>
  <c r="B86" i="92"/>
  <c r="T85" i="92"/>
  <c r="P85" i="92"/>
  <c r="X85" i="92" s="1"/>
  <c r="N85" i="92"/>
  <c r="H85" i="92"/>
  <c r="D85" i="92"/>
  <c r="L85" i="92" s="1"/>
  <c r="B85" i="92"/>
  <c r="Z84" i="92"/>
  <c r="X84" i="92"/>
  <c r="V84" i="92"/>
  <c r="N84" i="92"/>
  <c r="L84" i="92"/>
  <c r="B84" i="92"/>
  <c r="T83" i="92"/>
  <c r="P83" i="92"/>
  <c r="X83" i="92" s="1"/>
  <c r="L83" i="92"/>
  <c r="H83" i="92"/>
  <c r="N83" i="92" s="1"/>
  <c r="D83" i="92"/>
  <c r="B83" i="92"/>
  <c r="X82" i="92"/>
  <c r="Z82" i="92" s="1"/>
  <c r="N82" i="92"/>
  <c r="L82" i="92"/>
  <c r="B82" i="92"/>
  <c r="T81" i="92"/>
  <c r="P81" i="92"/>
  <c r="X81" i="92" s="1"/>
  <c r="L81" i="92"/>
  <c r="H81" i="92"/>
  <c r="D81" i="92"/>
  <c r="B81" i="92"/>
  <c r="Z80" i="92"/>
  <c r="X80" i="92"/>
  <c r="N80" i="92"/>
  <c r="L80" i="92"/>
  <c r="B80" i="92"/>
  <c r="Z79" i="92"/>
  <c r="X79" i="92"/>
  <c r="L79" i="92"/>
  <c r="N79" i="92" s="1"/>
  <c r="B79" i="92"/>
  <c r="Z78" i="92"/>
  <c r="X78" i="92"/>
  <c r="V78" i="92"/>
  <c r="N78" i="92"/>
  <c r="L78" i="92"/>
  <c r="B78" i="92"/>
  <c r="Z77" i="92"/>
  <c r="X77" i="92"/>
  <c r="N77" i="92"/>
  <c r="L77" i="92"/>
  <c r="B77" i="92"/>
  <c r="Z76" i="92"/>
  <c r="X76" i="92"/>
  <c r="N76" i="92"/>
  <c r="L76" i="92"/>
  <c r="B76" i="92"/>
  <c r="Z75" i="92"/>
  <c r="X75" i="92"/>
  <c r="N75" i="92"/>
  <c r="L75" i="92"/>
  <c r="B75" i="92"/>
  <c r="Z74" i="92"/>
  <c r="X74" i="92"/>
  <c r="V74" i="92"/>
  <c r="N74" i="92"/>
  <c r="L74" i="92"/>
  <c r="B74" i="92"/>
  <c r="Z73" i="92"/>
  <c r="X73" i="92"/>
  <c r="L73" i="92"/>
  <c r="N73" i="92" s="1"/>
  <c r="B73" i="92"/>
  <c r="T72" i="92"/>
  <c r="P72" i="92"/>
  <c r="N72" i="92"/>
  <c r="H72" i="92"/>
  <c r="D72" i="92"/>
  <c r="L72" i="92" s="1"/>
  <c r="B72" i="92"/>
  <c r="X71" i="92"/>
  <c r="Z71" i="92" s="1"/>
  <c r="L71" i="92"/>
  <c r="N71" i="92" s="1"/>
  <c r="B71" i="92"/>
  <c r="Z70" i="92"/>
  <c r="X70" i="92"/>
  <c r="N70" i="92"/>
  <c r="L70" i="92"/>
  <c r="B70" i="92"/>
  <c r="X69" i="92"/>
  <c r="Z69" i="92" s="1"/>
  <c r="V69" i="92"/>
  <c r="L69" i="92"/>
  <c r="N69" i="92" s="1"/>
  <c r="B69" i="92"/>
  <c r="V68" i="92"/>
  <c r="T68" i="92"/>
  <c r="P68" i="92"/>
  <c r="X68" i="92" s="1"/>
  <c r="Z68" i="92" s="1"/>
  <c r="H68" i="92"/>
  <c r="D68" i="92"/>
  <c r="L68" i="92" s="1"/>
  <c r="N68" i="92" s="1"/>
  <c r="B68" i="92"/>
  <c r="X67" i="92"/>
  <c r="Z67" i="92" s="1"/>
  <c r="N67" i="92"/>
  <c r="L67" i="92"/>
  <c r="B67" i="92"/>
  <c r="X66" i="92"/>
  <c r="Z66" i="92" s="1"/>
  <c r="T66" i="92"/>
  <c r="P66" i="92"/>
  <c r="N66" i="92"/>
  <c r="L66" i="92"/>
  <c r="H66" i="92"/>
  <c r="D66" i="92"/>
  <c r="B66" i="92"/>
  <c r="Z65" i="92"/>
  <c r="X65" i="92"/>
  <c r="L65" i="92"/>
  <c r="N65" i="92" s="1"/>
  <c r="B65" i="92"/>
  <c r="Z64" i="92"/>
  <c r="X64" i="92"/>
  <c r="N64" i="92"/>
  <c r="L64" i="92"/>
  <c r="J64" i="92"/>
  <c r="B64" i="92"/>
  <c r="T63" i="92"/>
  <c r="P63" i="92"/>
  <c r="X63" i="92" s="1"/>
  <c r="Z63" i="92" s="1"/>
  <c r="H63" i="92"/>
  <c r="D63" i="92"/>
  <c r="B63" i="92"/>
  <c r="Z62" i="92"/>
  <c r="X62" i="92"/>
  <c r="L62" i="92"/>
  <c r="N62" i="92" s="1"/>
  <c r="B62" i="92"/>
  <c r="X61" i="92"/>
  <c r="V61" i="92"/>
  <c r="T61" i="92"/>
  <c r="P61" i="92"/>
  <c r="H61" i="92"/>
  <c r="D61" i="92"/>
  <c r="L61" i="92" s="1"/>
  <c r="B61" i="92"/>
  <c r="Z60" i="92"/>
  <c r="X60" i="92"/>
  <c r="N60" i="92"/>
  <c r="L60" i="92"/>
  <c r="B60" i="92"/>
  <c r="T59" i="92"/>
  <c r="P59" i="92"/>
  <c r="H59" i="92"/>
  <c r="D59" i="92"/>
  <c r="L59" i="92" s="1"/>
  <c r="B59" i="92"/>
  <c r="Z58" i="92"/>
  <c r="X58" i="92"/>
  <c r="V58" i="92"/>
  <c r="N58" i="92"/>
  <c r="L58" i="92"/>
  <c r="B58" i="92"/>
  <c r="T57" i="92"/>
  <c r="P57" i="92"/>
  <c r="X57" i="92" s="1"/>
  <c r="H57" i="92"/>
  <c r="D57" i="92"/>
  <c r="L57" i="92" s="1"/>
  <c r="N57" i="92" s="1"/>
  <c r="B57" i="92"/>
  <c r="Z56" i="92"/>
  <c r="X56" i="92"/>
  <c r="V56" i="92"/>
  <c r="N56" i="92"/>
  <c r="L56" i="92"/>
  <c r="B56" i="92"/>
  <c r="X55" i="92"/>
  <c r="Z55" i="92" s="1"/>
  <c r="L55" i="92"/>
  <c r="N55" i="92" s="1"/>
  <c r="B55" i="92"/>
  <c r="Z54" i="92"/>
  <c r="X54" i="92"/>
  <c r="L54" i="92"/>
  <c r="N54" i="92" s="1"/>
  <c r="B54" i="92"/>
  <c r="X53" i="92"/>
  <c r="V53" i="92"/>
  <c r="T53" i="92"/>
  <c r="P53" i="92"/>
  <c r="H53" i="92"/>
  <c r="D53" i="92"/>
  <c r="L53" i="92" s="1"/>
  <c r="B53" i="92"/>
  <c r="Z52" i="92"/>
  <c r="X52" i="92"/>
  <c r="N52" i="92"/>
  <c r="L52" i="92"/>
  <c r="B52" i="92"/>
  <c r="T51" i="92"/>
  <c r="P51" i="92"/>
  <c r="H51" i="92"/>
  <c r="D51" i="92"/>
  <c r="L51" i="92" s="1"/>
  <c r="B51" i="92"/>
  <c r="Z50" i="92"/>
  <c r="X50" i="92"/>
  <c r="V50" i="92"/>
  <c r="N50" i="92"/>
  <c r="L50" i="92"/>
  <c r="B50" i="92"/>
  <c r="T49" i="92"/>
  <c r="P49" i="92"/>
  <c r="X49" i="92" s="1"/>
  <c r="N49" i="92"/>
  <c r="H49" i="92"/>
  <c r="D49" i="92"/>
  <c r="L49" i="92" s="1"/>
  <c r="B49" i="92"/>
  <c r="Z48" i="92"/>
  <c r="X48" i="92"/>
  <c r="V48" i="92"/>
  <c r="N48" i="92"/>
  <c r="L48" i="92"/>
  <c r="B48" i="92"/>
  <c r="T47" i="92"/>
  <c r="P47" i="92"/>
  <c r="X47" i="92" s="1"/>
  <c r="L47" i="92"/>
  <c r="J47" i="92"/>
  <c r="H47" i="92"/>
  <c r="N47" i="92" s="1"/>
  <c r="D47" i="92"/>
  <c r="B47" i="92"/>
  <c r="Z46" i="92"/>
  <c r="X46" i="92"/>
  <c r="N46" i="92"/>
  <c r="L46" i="92"/>
  <c r="J46" i="92"/>
  <c r="F46" i="92"/>
  <c r="B46" i="92"/>
  <c r="Z45" i="92"/>
  <c r="X45" i="92"/>
  <c r="N45" i="92"/>
  <c r="L45" i="92"/>
  <c r="B45" i="92"/>
  <c r="Z44" i="92"/>
  <c r="X44" i="92"/>
  <c r="N44" i="92"/>
  <c r="L44" i="92"/>
  <c r="B44" i="92"/>
  <c r="Z43" i="92"/>
  <c r="X43" i="92"/>
  <c r="N43" i="92"/>
  <c r="L43" i="92"/>
  <c r="B43" i="92"/>
  <c r="Z42" i="92"/>
  <c r="X42" i="92"/>
  <c r="N42" i="92"/>
  <c r="L42" i="92"/>
  <c r="J42" i="92"/>
  <c r="F42" i="92"/>
  <c r="B42" i="92"/>
  <c r="Z41" i="92"/>
  <c r="X41" i="92"/>
  <c r="N41" i="92"/>
  <c r="L41" i="92"/>
  <c r="B41" i="92"/>
  <c r="Z40" i="92"/>
  <c r="X40" i="92"/>
  <c r="N40" i="92"/>
  <c r="L40" i="92"/>
  <c r="B40" i="92"/>
  <c r="Z39" i="92"/>
  <c r="X39" i="92"/>
  <c r="N39" i="92"/>
  <c r="L39" i="92"/>
  <c r="B39" i="92"/>
  <c r="X38" i="92"/>
  <c r="Z38" i="92" s="1"/>
  <c r="N38" i="92"/>
  <c r="L38" i="92"/>
  <c r="F38" i="92"/>
  <c r="B38" i="92"/>
  <c r="Z37" i="92"/>
  <c r="X37" i="92"/>
  <c r="N37" i="92"/>
  <c r="L37" i="92"/>
  <c r="F37" i="92"/>
  <c r="B37" i="92"/>
  <c r="Z36" i="92"/>
  <c r="X36" i="92"/>
  <c r="T36" i="92"/>
  <c r="P36" i="92"/>
  <c r="L36" i="92"/>
  <c r="N36" i="92" s="1"/>
  <c r="H36" i="92"/>
  <c r="F36" i="92"/>
  <c r="D36" i="92"/>
  <c r="B36" i="92"/>
  <c r="Z35" i="92"/>
  <c r="X35" i="92"/>
  <c r="N35" i="92"/>
  <c r="L35" i="92"/>
  <c r="B35" i="92"/>
  <c r="Z34" i="92"/>
  <c r="X34" i="92"/>
  <c r="V34" i="92"/>
  <c r="N34" i="92"/>
  <c r="L34" i="92"/>
  <c r="B34" i="92"/>
  <c r="X33" i="92"/>
  <c r="Z33" i="92" s="1"/>
  <c r="L33" i="92"/>
  <c r="N33" i="92" s="1"/>
  <c r="J33" i="92"/>
  <c r="B33" i="92"/>
  <c r="Z32" i="92"/>
  <c r="X32" i="92"/>
  <c r="N32" i="92"/>
  <c r="L32" i="92"/>
  <c r="J32" i="92"/>
  <c r="B32" i="92"/>
  <c r="Z31" i="92"/>
  <c r="X31" i="92"/>
  <c r="L31" i="92"/>
  <c r="N31" i="92" s="1"/>
  <c r="B31" i="92"/>
  <c r="Z30" i="92"/>
  <c r="X30" i="92"/>
  <c r="V30" i="92"/>
  <c r="N30" i="92"/>
  <c r="L30" i="92"/>
  <c r="B30" i="92"/>
  <c r="Z29" i="92"/>
  <c r="X29" i="92"/>
  <c r="L29" i="92"/>
  <c r="N29" i="92" s="1"/>
  <c r="B29" i="92"/>
  <c r="Z28" i="92"/>
  <c r="X28" i="92"/>
  <c r="N28" i="92"/>
  <c r="L28" i="92"/>
  <c r="B28" i="92"/>
  <c r="Z27" i="92"/>
  <c r="X27" i="92"/>
  <c r="L27" i="92"/>
  <c r="N27" i="92" s="1"/>
  <c r="B27" i="92"/>
  <c r="V26" i="92"/>
  <c r="T26" i="92"/>
  <c r="P26" i="92"/>
  <c r="H26" i="92"/>
  <c r="D26" i="92"/>
  <c r="B26" i="92"/>
  <c r="X25" i="92"/>
  <c r="V25" i="92"/>
  <c r="T25" i="92"/>
  <c r="Z25" i="92" s="1"/>
  <c r="P25" i="92"/>
  <c r="H25" i="92"/>
  <c r="N25" i="92" s="1"/>
  <c r="D25" i="92"/>
  <c r="L25" i="92" s="1"/>
  <c r="Z21" i="92"/>
  <c r="X21" i="92"/>
  <c r="V21" i="92"/>
  <c r="N21" i="92"/>
  <c r="L21" i="92"/>
  <c r="B21" i="92"/>
  <c r="Z20" i="92"/>
  <c r="X20" i="92"/>
  <c r="V20" i="92"/>
  <c r="N20" i="92"/>
  <c r="L20" i="92"/>
  <c r="B20" i="92"/>
  <c r="X19" i="92"/>
  <c r="Z19" i="92" s="1"/>
  <c r="L19" i="92"/>
  <c r="N19" i="92" s="1"/>
  <c r="F19" i="92"/>
  <c r="B19" i="92"/>
  <c r="V18" i="92"/>
  <c r="T18" i="92"/>
  <c r="P18" i="92"/>
  <c r="X18" i="92" s="1"/>
  <c r="Z18" i="92" s="1"/>
  <c r="J18" i="92"/>
  <c r="H18" i="92"/>
  <c r="F18" i="92"/>
  <c r="D18" i="92"/>
  <c r="L18" i="92" s="1"/>
  <c r="N18" i="92" s="1"/>
  <c r="Z16" i="92"/>
  <c r="P16" i="92"/>
  <c r="X16" i="92" s="1"/>
  <c r="N16" i="92"/>
  <c r="D16" i="92"/>
  <c r="L16" i="92" s="1"/>
  <c r="B16" i="92"/>
  <c r="X15" i="92"/>
  <c r="Z15" i="92" s="1"/>
  <c r="P15" i="92"/>
  <c r="L15" i="92"/>
  <c r="N15" i="92" s="1"/>
  <c r="D15" i="92"/>
  <c r="B15" i="92"/>
  <c r="Z14" i="92"/>
  <c r="P14" i="92"/>
  <c r="X14" i="92" s="1"/>
  <c r="N14" i="92"/>
  <c r="L14" i="92"/>
  <c r="D14" i="92"/>
  <c r="B14" i="92"/>
  <c r="P13" i="92"/>
  <c r="D13" i="92"/>
  <c r="L13" i="92" s="1"/>
  <c r="N13" i="92" s="1"/>
  <c r="B13" i="92"/>
  <c r="T12" i="92"/>
  <c r="V60" i="92" s="1"/>
  <c r="H12" i="92"/>
  <c r="J38" i="92" s="1"/>
  <c r="D12" i="92"/>
  <c r="F97" i="92" s="1"/>
  <c r="D6" i="92"/>
  <c r="D4" i="92"/>
  <c r="J109" i="91"/>
  <c r="Z104" i="91"/>
  <c r="X104" i="91"/>
  <c r="N104" i="91"/>
  <c r="L104" i="91"/>
  <c r="F102" i="91"/>
  <c r="Z100" i="91"/>
  <c r="X100" i="91"/>
  <c r="P100" i="91"/>
  <c r="P98" i="91" s="1"/>
  <c r="N100" i="91"/>
  <c r="L100" i="91"/>
  <c r="D100" i="91"/>
  <c r="B100" i="91"/>
  <c r="X99" i="91"/>
  <c r="Z99" i="91" s="1"/>
  <c r="P99" i="91"/>
  <c r="D99" i="91"/>
  <c r="L99" i="91" s="1"/>
  <c r="N99" i="91" s="1"/>
  <c r="B99" i="91"/>
  <c r="V98" i="91"/>
  <c r="T98" i="91"/>
  <c r="H98" i="91"/>
  <c r="Z96" i="91"/>
  <c r="X96" i="91"/>
  <c r="N96" i="91"/>
  <c r="L96" i="91"/>
  <c r="B96" i="91"/>
  <c r="T95" i="91"/>
  <c r="P95" i="91"/>
  <c r="N95" i="91"/>
  <c r="H95" i="91"/>
  <c r="L95" i="91" s="1"/>
  <c r="D95" i="91"/>
  <c r="B95" i="91"/>
  <c r="Z94" i="91"/>
  <c r="X94" i="91"/>
  <c r="N94" i="91"/>
  <c r="L94" i="91"/>
  <c r="B94" i="91"/>
  <c r="Z93" i="91"/>
  <c r="X93" i="91"/>
  <c r="N93" i="91"/>
  <c r="L93" i="91"/>
  <c r="B93" i="91"/>
  <c r="Z92" i="91"/>
  <c r="X92" i="91"/>
  <c r="N92" i="91"/>
  <c r="L92" i="91"/>
  <c r="B92" i="91"/>
  <c r="V91" i="91"/>
  <c r="T91" i="91"/>
  <c r="P91" i="91"/>
  <c r="X91" i="91" s="1"/>
  <c r="H91" i="91"/>
  <c r="N91" i="91" s="1"/>
  <c r="D91" i="91"/>
  <c r="L91" i="91" s="1"/>
  <c r="B91" i="91"/>
  <c r="Z90" i="91"/>
  <c r="X90" i="91"/>
  <c r="N90" i="91"/>
  <c r="L90" i="91"/>
  <c r="B90" i="91"/>
  <c r="T89" i="91"/>
  <c r="P89" i="91"/>
  <c r="L89" i="91"/>
  <c r="H89" i="91"/>
  <c r="N89" i="91" s="1"/>
  <c r="D89" i="91"/>
  <c r="B89" i="91"/>
  <c r="Z88" i="91"/>
  <c r="X88" i="91"/>
  <c r="N88" i="91"/>
  <c r="L88" i="91"/>
  <c r="B88" i="91"/>
  <c r="T87" i="91"/>
  <c r="P87" i="91"/>
  <c r="X87" i="91" s="1"/>
  <c r="H87" i="91"/>
  <c r="L87" i="91" s="1"/>
  <c r="D87" i="91"/>
  <c r="B87" i="91"/>
  <c r="Z86" i="91"/>
  <c r="X86" i="91"/>
  <c r="N86" i="91"/>
  <c r="L86" i="91"/>
  <c r="B86" i="91"/>
  <c r="Z85" i="91"/>
  <c r="X85" i="91"/>
  <c r="N85" i="91"/>
  <c r="L85" i="91"/>
  <c r="B85" i="91"/>
  <c r="Z84" i="91"/>
  <c r="X84" i="91"/>
  <c r="N84" i="91"/>
  <c r="L84" i="91"/>
  <c r="B84" i="91"/>
  <c r="X83" i="91"/>
  <c r="Z83" i="91" s="1"/>
  <c r="L83" i="91"/>
  <c r="N83" i="91" s="1"/>
  <c r="B83" i="91"/>
  <c r="Z82" i="91"/>
  <c r="X82" i="91"/>
  <c r="N82" i="91"/>
  <c r="L82" i="91"/>
  <c r="B82" i="91"/>
  <c r="X81" i="91"/>
  <c r="Z81" i="91" s="1"/>
  <c r="N81" i="91"/>
  <c r="L81" i="91"/>
  <c r="B81" i="91"/>
  <c r="Z80" i="91"/>
  <c r="X80" i="91"/>
  <c r="L80" i="91"/>
  <c r="N80" i="91" s="1"/>
  <c r="B80" i="91"/>
  <c r="Z79" i="91"/>
  <c r="X79" i="91"/>
  <c r="N79" i="91"/>
  <c r="L79" i="91"/>
  <c r="B79" i="91"/>
  <c r="Z78" i="91"/>
  <c r="X78" i="91"/>
  <c r="N78" i="91"/>
  <c r="L78" i="91"/>
  <c r="B78" i="91"/>
  <c r="T77" i="91"/>
  <c r="P77" i="91"/>
  <c r="X77" i="91" s="1"/>
  <c r="H77" i="91"/>
  <c r="D77" i="91"/>
  <c r="L77" i="91" s="1"/>
  <c r="B77" i="91"/>
  <c r="Z76" i="91"/>
  <c r="X76" i="91"/>
  <c r="N76" i="91"/>
  <c r="L76" i="91"/>
  <c r="B76" i="91"/>
  <c r="X75" i="91"/>
  <c r="T75" i="91"/>
  <c r="Z75" i="91" s="1"/>
  <c r="P75" i="91"/>
  <c r="L75" i="91"/>
  <c r="H75" i="91"/>
  <c r="N75" i="91" s="1"/>
  <c r="D75" i="91"/>
  <c r="B75" i="91"/>
  <c r="Z74" i="91"/>
  <c r="X74" i="91"/>
  <c r="N74" i="91"/>
  <c r="L74" i="91"/>
  <c r="B74" i="91"/>
  <c r="Z73" i="91"/>
  <c r="X73" i="91"/>
  <c r="L73" i="91"/>
  <c r="N73" i="91" s="1"/>
  <c r="B73" i="91"/>
  <c r="Z72" i="91"/>
  <c r="X72" i="91"/>
  <c r="V72" i="91"/>
  <c r="N72" i="91"/>
  <c r="L72" i="91"/>
  <c r="J72" i="91"/>
  <c r="B72" i="91"/>
  <c r="X71" i="91"/>
  <c r="Z71" i="91" s="1"/>
  <c r="L71" i="91"/>
  <c r="N71" i="91" s="1"/>
  <c r="B71" i="91"/>
  <c r="Z70" i="91"/>
  <c r="X70" i="91"/>
  <c r="N70" i="91"/>
  <c r="L70" i="91"/>
  <c r="B70" i="91"/>
  <c r="T69" i="91"/>
  <c r="X69" i="91" s="1"/>
  <c r="P69" i="91"/>
  <c r="H69" i="91"/>
  <c r="D69" i="91"/>
  <c r="B69" i="91"/>
  <c r="Z68" i="91"/>
  <c r="X68" i="91"/>
  <c r="L68" i="91"/>
  <c r="N68" i="91" s="1"/>
  <c r="B68" i="91"/>
  <c r="X67" i="91"/>
  <c r="Z67" i="91" s="1"/>
  <c r="L67" i="91"/>
  <c r="N67" i="91" s="1"/>
  <c r="B67" i="91"/>
  <c r="Z66" i="91"/>
  <c r="X66" i="91"/>
  <c r="N66" i="91"/>
  <c r="L66" i="91"/>
  <c r="B66" i="91"/>
  <c r="X65" i="91"/>
  <c r="Z65" i="91" s="1"/>
  <c r="N65" i="91"/>
  <c r="L65" i="91"/>
  <c r="B65" i="91"/>
  <c r="T64" i="91"/>
  <c r="P64" i="91"/>
  <c r="X64" i="91" s="1"/>
  <c r="Z64" i="91" s="1"/>
  <c r="H64" i="91"/>
  <c r="F64" i="91"/>
  <c r="D64" i="91"/>
  <c r="L64" i="91" s="1"/>
  <c r="N64" i="91" s="1"/>
  <c r="B64" i="91"/>
  <c r="Z63" i="91"/>
  <c r="X63" i="91"/>
  <c r="N63" i="91"/>
  <c r="L63" i="91"/>
  <c r="B63" i="91"/>
  <c r="Z62" i="91"/>
  <c r="X62" i="91"/>
  <c r="T62" i="91"/>
  <c r="P62" i="91"/>
  <c r="N62" i="91"/>
  <c r="L62" i="91"/>
  <c r="J62" i="91"/>
  <c r="H62" i="91"/>
  <c r="F62" i="91"/>
  <c r="D62" i="91"/>
  <c r="B62" i="91"/>
  <c r="Z61" i="91"/>
  <c r="X61" i="91"/>
  <c r="L61" i="91"/>
  <c r="N61" i="91" s="1"/>
  <c r="B61" i="91"/>
  <c r="V60" i="91"/>
  <c r="T60" i="91"/>
  <c r="P60" i="91"/>
  <c r="X60" i="91" s="1"/>
  <c r="Z60" i="91" s="1"/>
  <c r="N60" i="91"/>
  <c r="H60" i="91"/>
  <c r="D60" i="91"/>
  <c r="L60" i="91" s="1"/>
  <c r="B60" i="91"/>
  <c r="X59" i="91"/>
  <c r="Z59" i="91" s="1"/>
  <c r="N59" i="91"/>
  <c r="L59" i="91"/>
  <c r="B59" i="91"/>
  <c r="V58" i="91"/>
  <c r="T58" i="91"/>
  <c r="P58" i="91"/>
  <c r="X58" i="91" s="1"/>
  <c r="Z58" i="91" s="1"/>
  <c r="N58" i="91"/>
  <c r="H58" i="91"/>
  <c r="D58" i="91"/>
  <c r="L58" i="91" s="1"/>
  <c r="B58" i="91"/>
  <c r="Z57" i="91"/>
  <c r="X57" i="91"/>
  <c r="N57" i="91"/>
  <c r="L57" i="91"/>
  <c r="F57" i="91"/>
  <c r="B57" i="91"/>
  <c r="Z56" i="91"/>
  <c r="X56" i="91"/>
  <c r="V56" i="91"/>
  <c r="T56" i="91"/>
  <c r="R56" i="91"/>
  <c r="P56" i="91"/>
  <c r="N56" i="91"/>
  <c r="L56" i="91"/>
  <c r="H56" i="91"/>
  <c r="F56" i="91"/>
  <c r="D56" i="91"/>
  <c r="B56" i="91"/>
  <c r="X55" i="91"/>
  <c r="Z55" i="91" s="1"/>
  <c r="L55" i="91"/>
  <c r="N55" i="91" s="1"/>
  <c r="B55" i="91"/>
  <c r="Z54" i="91"/>
  <c r="T54" i="91"/>
  <c r="P54" i="91"/>
  <c r="X54" i="91" s="1"/>
  <c r="N54" i="91"/>
  <c r="H54" i="91"/>
  <c r="D54" i="91"/>
  <c r="L54" i="91" s="1"/>
  <c r="B54" i="91"/>
  <c r="X53" i="91"/>
  <c r="Z53" i="91" s="1"/>
  <c r="V53" i="91"/>
  <c r="L53" i="91"/>
  <c r="N53" i="91" s="1"/>
  <c r="B53" i="91"/>
  <c r="V52" i="91"/>
  <c r="T52" i="91"/>
  <c r="P52" i="91"/>
  <c r="X52" i="91" s="1"/>
  <c r="Z52" i="91" s="1"/>
  <c r="H52" i="91"/>
  <c r="F52" i="91"/>
  <c r="D52" i="91"/>
  <c r="L52" i="91" s="1"/>
  <c r="N52" i="91" s="1"/>
  <c r="B52" i="91"/>
  <c r="X51" i="91"/>
  <c r="Z51" i="91" s="1"/>
  <c r="L51" i="91"/>
  <c r="N51" i="91" s="1"/>
  <c r="F51" i="91"/>
  <c r="B51" i="91"/>
  <c r="Z50" i="91"/>
  <c r="X50" i="91"/>
  <c r="T50" i="91"/>
  <c r="P50" i="91"/>
  <c r="L50" i="91"/>
  <c r="N50" i="91" s="1"/>
  <c r="H50" i="91"/>
  <c r="D50" i="91"/>
  <c r="B50" i="91"/>
  <c r="Z49" i="91"/>
  <c r="X49" i="91"/>
  <c r="L49" i="91"/>
  <c r="N49" i="91" s="1"/>
  <c r="F49" i="91"/>
  <c r="B49" i="91"/>
  <c r="Z48" i="91"/>
  <c r="X48" i="91"/>
  <c r="N48" i="91"/>
  <c r="L48" i="91"/>
  <c r="B48" i="91"/>
  <c r="X47" i="91"/>
  <c r="Z47" i="91" s="1"/>
  <c r="L47" i="91"/>
  <c r="N47" i="91" s="1"/>
  <c r="B47" i="91"/>
  <c r="Z46" i="91"/>
  <c r="X46" i="91"/>
  <c r="N46" i="91"/>
  <c r="L46" i="91"/>
  <c r="B46" i="91"/>
  <c r="Z45" i="91"/>
  <c r="T45" i="91"/>
  <c r="X45" i="91" s="1"/>
  <c r="P45" i="91"/>
  <c r="L45" i="91"/>
  <c r="N45" i="91" s="1"/>
  <c r="H45" i="91"/>
  <c r="D45" i="91"/>
  <c r="B45" i="91"/>
  <c r="Z44" i="91"/>
  <c r="X44" i="91"/>
  <c r="N44" i="91"/>
  <c r="L44" i="91"/>
  <c r="B44" i="91"/>
  <c r="V43" i="91"/>
  <c r="T43" i="91"/>
  <c r="Z43" i="91" s="1"/>
  <c r="P43" i="91"/>
  <c r="X43" i="91" s="1"/>
  <c r="H43" i="91"/>
  <c r="N43" i="91" s="1"/>
  <c r="D43" i="91"/>
  <c r="B43" i="91"/>
  <c r="X42" i="91"/>
  <c r="Z42" i="91" s="1"/>
  <c r="N42" i="91"/>
  <c r="L42" i="91"/>
  <c r="B42" i="91"/>
  <c r="T41" i="91"/>
  <c r="P41" i="91"/>
  <c r="H41" i="91"/>
  <c r="N41" i="91" s="1"/>
  <c r="F41" i="91"/>
  <c r="D41" i="91"/>
  <c r="L41" i="91" s="1"/>
  <c r="B41" i="91"/>
  <c r="Z40" i="91"/>
  <c r="X40" i="91"/>
  <c r="V40" i="91"/>
  <c r="N40" i="91"/>
  <c r="L40" i="91"/>
  <c r="B40" i="91"/>
  <c r="Z39" i="91"/>
  <c r="X39" i="91"/>
  <c r="N39" i="91"/>
  <c r="L39" i="91"/>
  <c r="B39" i="91"/>
  <c r="Z38" i="91"/>
  <c r="X38" i="91"/>
  <c r="N38" i="91"/>
  <c r="L38" i="91"/>
  <c r="B38" i="91"/>
  <c r="Z37" i="91"/>
  <c r="X37" i="91"/>
  <c r="R37" i="91"/>
  <c r="N37" i="91"/>
  <c r="L37" i="91"/>
  <c r="F37" i="91"/>
  <c r="B37" i="91"/>
  <c r="Z36" i="91"/>
  <c r="X36" i="91"/>
  <c r="N36" i="91"/>
  <c r="L36" i="91"/>
  <c r="B36" i="91"/>
  <c r="Z35" i="91"/>
  <c r="X35" i="91"/>
  <c r="L35" i="91"/>
  <c r="N35" i="91" s="1"/>
  <c r="B35" i="91"/>
  <c r="Z34" i="91"/>
  <c r="X34" i="91"/>
  <c r="N34" i="91"/>
  <c r="L34" i="91"/>
  <c r="B34" i="91"/>
  <c r="Z33" i="91"/>
  <c r="X33" i="91"/>
  <c r="N33" i="91"/>
  <c r="L33" i="91"/>
  <c r="F33" i="91"/>
  <c r="B33" i="91"/>
  <c r="Z32" i="91"/>
  <c r="X32" i="91"/>
  <c r="R32" i="91"/>
  <c r="N32" i="91"/>
  <c r="L32" i="91"/>
  <c r="B32" i="91"/>
  <c r="Z31" i="91"/>
  <c r="X31" i="91"/>
  <c r="L31" i="91"/>
  <c r="N31" i="91" s="1"/>
  <c r="F31" i="91"/>
  <c r="B31" i="91"/>
  <c r="Z30" i="91"/>
  <c r="T30" i="91"/>
  <c r="P30" i="91"/>
  <c r="X30" i="91" s="1"/>
  <c r="N30" i="91"/>
  <c r="H30" i="91"/>
  <c r="F30" i="91"/>
  <c r="D30" i="91"/>
  <c r="L30" i="91" s="1"/>
  <c r="B30" i="91"/>
  <c r="X29" i="91"/>
  <c r="Z29" i="91" s="1"/>
  <c r="R29" i="91"/>
  <c r="L29" i="91"/>
  <c r="N29" i="91" s="1"/>
  <c r="F29" i="91"/>
  <c r="B29" i="91"/>
  <c r="Z28" i="91"/>
  <c r="X28" i="91"/>
  <c r="L28" i="91"/>
  <c r="N28" i="91" s="1"/>
  <c r="B28" i="91"/>
  <c r="X27" i="91"/>
  <c r="Z27" i="91" s="1"/>
  <c r="R27" i="91"/>
  <c r="L27" i="91"/>
  <c r="N27" i="91" s="1"/>
  <c r="F27" i="91"/>
  <c r="B27" i="91"/>
  <c r="Z26" i="91"/>
  <c r="X26" i="91"/>
  <c r="N26" i="91"/>
  <c r="L26" i="91"/>
  <c r="B26" i="91"/>
  <c r="Z25" i="91"/>
  <c r="X25" i="91"/>
  <c r="N25" i="91"/>
  <c r="L25" i="91"/>
  <c r="F25" i="91"/>
  <c r="B25" i="91"/>
  <c r="X24" i="91"/>
  <c r="Z24" i="91" s="1"/>
  <c r="V24" i="91"/>
  <c r="N24" i="91"/>
  <c r="L24" i="91"/>
  <c r="B24" i="91"/>
  <c r="X23" i="91"/>
  <c r="Z23" i="91" s="1"/>
  <c r="V23" i="91"/>
  <c r="N23" i="91"/>
  <c r="L23" i="91"/>
  <c r="F23" i="91"/>
  <c r="B23" i="91"/>
  <c r="Z22" i="91"/>
  <c r="X22" i="91"/>
  <c r="N22" i="91"/>
  <c r="L22" i="91"/>
  <c r="F22" i="91"/>
  <c r="B22" i="91"/>
  <c r="X21" i="91"/>
  <c r="Z21" i="91" s="1"/>
  <c r="L21" i="91"/>
  <c r="N21" i="91" s="1"/>
  <c r="F21" i="91"/>
  <c r="B21" i="91"/>
  <c r="X20" i="91"/>
  <c r="Z20" i="91" s="1"/>
  <c r="V20" i="91"/>
  <c r="N20" i="91"/>
  <c r="L20" i="91"/>
  <c r="B20" i="91"/>
  <c r="V19" i="91"/>
  <c r="T19" i="91"/>
  <c r="P19" i="91"/>
  <c r="X19" i="91" s="1"/>
  <c r="H19" i="91"/>
  <c r="D19" i="91"/>
  <c r="L19" i="91" s="1"/>
  <c r="B19" i="91"/>
  <c r="T18" i="91"/>
  <c r="X18" i="91" s="1"/>
  <c r="Z18" i="91" s="1"/>
  <c r="P18" i="91"/>
  <c r="N18" i="91"/>
  <c r="L18" i="91"/>
  <c r="H18" i="91"/>
  <c r="F18" i="91"/>
  <c r="D18" i="91"/>
  <c r="F16" i="91"/>
  <c r="Z14" i="91"/>
  <c r="T14" i="91"/>
  <c r="T16" i="91" s="1"/>
  <c r="P14" i="91"/>
  <c r="X14" i="91" s="1"/>
  <c r="N14" i="91"/>
  <c r="J14" i="91"/>
  <c r="H14" i="91"/>
  <c r="F14" i="91"/>
  <c r="D14" i="91"/>
  <c r="D16" i="91" s="1"/>
  <c r="Z12" i="91"/>
  <c r="T12" i="91"/>
  <c r="V99" i="91" s="1"/>
  <c r="P12" i="91"/>
  <c r="R88" i="91" s="1"/>
  <c r="H12" i="91"/>
  <c r="J77" i="91" s="1"/>
  <c r="D12" i="91"/>
  <c r="D6" i="91"/>
  <c r="D4" i="91"/>
  <c r="Z90" i="88"/>
  <c r="X90" i="88"/>
  <c r="L90" i="88"/>
  <c r="N90" i="88" s="1"/>
  <c r="Z86" i="88"/>
  <c r="T86" i="88"/>
  <c r="P86" i="88"/>
  <c r="X86" i="88" s="1"/>
  <c r="H86" i="88"/>
  <c r="N86" i="88" s="1"/>
  <c r="D86" i="88"/>
  <c r="L86" i="88" s="1"/>
  <c r="Z84" i="88"/>
  <c r="X84" i="88"/>
  <c r="N84" i="88"/>
  <c r="L84" i="88"/>
  <c r="B84" i="88"/>
  <c r="Z83" i="88"/>
  <c r="X83" i="88"/>
  <c r="N83" i="88"/>
  <c r="L83" i="88"/>
  <c r="B83" i="88"/>
  <c r="T82" i="88"/>
  <c r="Z82" i="88" s="1"/>
  <c r="P82" i="88"/>
  <c r="X82" i="88" s="1"/>
  <c r="N82" i="88"/>
  <c r="J82" i="88"/>
  <c r="H82" i="88"/>
  <c r="D82" i="88"/>
  <c r="L82" i="88" s="1"/>
  <c r="B82" i="88"/>
  <c r="Z81" i="88"/>
  <c r="X81" i="88"/>
  <c r="N81" i="88"/>
  <c r="L81" i="88"/>
  <c r="B81" i="88"/>
  <c r="T80" i="88"/>
  <c r="P80" i="88"/>
  <c r="X80" i="88" s="1"/>
  <c r="Z80" i="88" s="1"/>
  <c r="N80" i="88"/>
  <c r="L80" i="88"/>
  <c r="J80" i="88"/>
  <c r="H80" i="88"/>
  <c r="D80" i="88"/>
  <c r="B80" i="88"/>
  <c r="X79" i="88"/>
  <c r="Z79" i="88" s="1"/>
  <c r="N79" i="88"/>
  <c r="L79" i="88"/>
  <c r="B79" i="88"/>
  <c r="Z78" i="88"/>
  <c r="X78" i="88"/>
  <c r="N78" i="88"/>
  <c r="L78" i="88"/>
  <c r="B78" i="88"/>
  <c r="T77" i="88"/>
  <c r="P77" i="88"/>
  <c r="L77" i="88"/>
  <c r="N77" i="88" s="1"/>
  <c r="H77" i="88"/>
  <c r="D77" i="88"/>
  <c r="B77" i="88"/>
  <c r="Z76" i="88"/>
  <c r="X76" i="88"/>
  <c r="N76" i="88"/>
  <c r="L76" i="88"/>
  <c r="B76" i="88"/>
  <c r="Z75" i="88"/>
  <c r="X75" i="88"/>
  <c r="N75" i="88"/>
  <c r="L75" i="88"/>
  <c r="B75" i="88"/>
  <c r="Z74" i="88"/>
  <c r="X74" i="88"/>
  <c r="N74" i="88"/>
  <c r="L74" i="88"/>
  <c r="J74" i="88"/>
  <c r="B74" i="88"/>
  <c r="Z73" i="88"/>
  <c r="X73" i="88"/>
  <c r="N73" i="88"/>
  <c r="L73" i="88"/>
  <c r="B73" i="88"/>
  <c r="Z72" i="88"/>
  <c r="X72" i="88"/>
  <c r="N72" i="88"/>
  <c r="L72" i="88"/>
  <c r="B72" i="88"/>
  <c r="Z71" i="88"/>
  <c r="X71" i="88"/>
  <c r="R71" i="88"/>
  <c r="L71" i="88"/>
  <c r="N71" i="88" s="1"/>
  <c r="B71" i="88"/>
  <c r="T70" i="88"/>
  <c r="P70" i="88"/>
  <c r="X70" i="88" s="1"/>
  <c r="Z70" i="88" s="1"/>
  <c r="J70" i="88"/>
  <c r="H70" i="88"/>
  <c r="D70" i="88"/>
  <c r="L70" i="88" s="1"/>
  <c r="N70" i="88" s="1"/>
  <c r="B70" i="88"/>
  <c r="Z69" i="88"/>
  <c r="X69" i="88"/>
  <c r="L69" i="88"/>
  <c r="N69" i="88" s="1"/>
  <c r="B69" i="88"/>
  <c r="Z68" i="88"/>
  <c r="X68" i="88"/>
  <c r="L68" i="88"/>
  <c r="N68" i="88" s="1"/>
  <c r="B68" i="88"/>
  <c r="X67" i="88"/>
  <c r="Z67" i="88" s="1"/>
  <c r="L67" i="88"/>
  <c r="N67" i="88" s="1"/>
  <c r="B67" i="88"/>
  <c r="Z66" i="88"/>
  <c r="X66" i="88"/>
  <c r="T66" i="88"/>
  <c r="R66" i="88"/>
  <c r="P66" i="88"/>
  <c r="H66" i="88"/>
  <c r="D66" i="88"/>
  <c r="L66" i="88" s="1"/>
  <c r="N66" i="88" s="1"/>
  <c r="B66" i="88"/>
  <c r="X65" i="88"/>
  <c r="Z65" i="88" s="1"/>
  <c r="R65" i="88"/>
  <c r="N65" i="88"/>
  <c r="L65" i="88"/>
  <c r="B65" i="88"/>
  <c r="Z64" i="88"/>
  <c r="X64" i="88"/>
  <c r="N64" i="88"/>
  <c r="L64" i="88"/>
  <c r="J64" i="88"/>
  <c r="B64" i="88"/>
  <c r="X63" i="88"/>
  <c r="Z63" i="88" s="1"/>
  <c r="N63" i="88"/>
  <c r="L63" i="88"/>
  <c r="B63" i="88"/>
  <c r="T62" i="88"/>
  <c r="X62" i="88" s="1"/>
  <c r="Z62" i="88" s="1"/>
  <c r="P62" i="88"/>
  <c r="L62" i="88"/>
  <c r="H62" i="88"/>
  <c r="N62" i="88" s="1"/>
  <c r="D62" i="88"/>
  <c r="B62" i="88"/>
  <c r="Z61" i="88"/>
  <c r="X61" i="88"/>
  <c r="N61" i="88"/>
  <c r="L61" i="88"/>
  <c r="B61" i="88"/>
  <c r="Z60" i="88"/>
  <c r="T60" i="88"/>
  <c r="P60" i="88"/>
  <c r="X60" i="88" s="1"/>
  <c r="N60" i="88"/>
  <c r="H60" i="88"/>
  <c r="D60" i="88"/>
  <c r="L60" i="88" s="1"/>
  <c r="B60" i="88"/>
  <c r="Z59" i="88"/>
  <c r="X59" i="88"/>
  <c r="N59" i="88"/>
  <c r="L59" i="88"/>
  <c r="B59" i="88"/>
  <c r="Z58" i="88"/>
  <c r="X58" i="88"/>
  <c r="T58" i="88"/>
  <c r="P58" i="88"/>
  <c r="N58" i="88"/>
  <c r="H58" i="88"/>
  <c r="D58" i="88"/>
  <c r="L58" i="88" s="1"/>
  <c r="B58" i="88"/>
  <c r="X57" i="88"/>
  <c r="Z57" i="88" s="1"/>
  <c r="R57" i="88"/>
  <c r="L57" i="88"/>
  <c r="N57" i="88" s="1"/>
  <c r="B57" i="88"/>
  <c r="X56" i="88"/>
  <c r="T56" i="88"/>
  <c r="Z56" i="88" s="1"/>
  <c r="P56" i="88"/>
  <c r="H56" i="88"/>
  <c r="L56" i="88" s="1"/>
  <c r="N56" i="88" s="1"/>
  <c r="D56" i="88"/>
  <c r="B56" i="88"/>
  <c r="Z55" i="88"/>
  <c r="X55" i="88"/>
  <c r="L55" i="88"/>
  <c r="N55" i="88" s="1"/>
  <c r="B55" i="88"/>
  <c r="Z54" i="88"/>
  <c r="X54" i="88"/>
  <c r="N54" i="88"/>
  <c r="L54" i="88"/>
  <c r="J54" i="88"/>
  <c r="B54" i="88"/>
  <c r="T53" i="88"/>
  <c r="P53" i="88"/>
  <c r="H53" i="88"/>
  <c r="D53" i="88"/>
  <c r="B53" i="88"/>
  <c r="X52" i="88"/>
  <c r="Z52" i="88" s="1"/>
  <c r="L52" i="88"/>
  <c r="N52" i="88" s="1"/>
  <c r="B52" i="88"/>
  <c r="X51" i="88"/>
  <c r="T51" i="88"/>
  <c r="P51" i="88"/>
  <c r="H51" i="88"/>
  <c r="N51" i="88" s="1"/>
  <c r="D51" i="88"/>
  <c r="L51" i="88" s="1"/>
  <c r="B51" i="88"/>
  <c r="Z50" i="88"/>
  <c r="X50" i="88"/>
  <c r="N50" i="88"/>
  <c r="L50" i="88"/>
  <c r="B50" i="88"/>
  <c r="T49" i="88"/>
  <c r="P49" i="88"/>
  <c r="L49" i="88"/>
  <c r="N49" i="88" s="1"/>
  <c r="H49" i="88"/>
  <c r="D49" i="88"/>
  <c r="B49" i="88"/>
  <c r="Z48" i="88"/>
  <c r="X48" i="88"/>
  <c r="V48" i="88"/>
  <c r="L48" i="88"/>
  <c r="N48" i="88" s="1"/>
  <c r="J48" i="88"/>
  <c r="B48" i="88"/>
  <c r="T47" i="88"/>
  <c r="P47" i="88"/>
  <c r="H47" i="88"/>
  <c r="D47" i="88"/>
  <c r="B47" i="88"/>
  <c r="Z46" i="88"/>
  <c r="X46" i="88"/>
  <c r="N46" i="88"/>
  <c r="L46" i="88"/>
  <c r="B46" i="88"/>
  <c r="Z45" i="88"/>
  <c r="X45" i="88"/>
  <c r="N45" i="88"/>
  <c r="L45" i="88"/>
  <c r="B45" i="88"/>
  <c r="X44" i="88"/>
  <c r="Z44" i="88" s="1"/>
  <c r="L44" i="88"/>
  <c r="N44" i="88" s="1"/>
  <c r="B44" i="88"/>
  <c r="Z43" i="88"/>
  <c r="X43" i="88"/>
  <c r="N43" i="88"/>
  <c r="L43" i="88"/>
  <c r="B43" i="88"/>
  <c r="Z42" i="88"/>
  <c r="X42" i="88"/>
  <c r="N42" i="88"/>
  <c r="L42" i="88"/>
  <c r="B42" i="88"/>
  <c r="Z41" i="88"/>
  <c r="X41" i="88"/>
  <c r="N41" i="88"/>
  <c r="L41" i="88"/>
  <c r="B41" i="88"/>
  <c r="X40" i="88"/>
  <c r="Z40" i="88" s="1"/>
  <c r="L40" i="88"/>
  <c r="N40" i="88" s="1"/>
  <c r="B40" i="88"/>
  <c r="Z39" i="88"/>
  <c r="X39" i="88"/>
  <c r="N39" i="88"/>
  <c r="L39" i="88"/>
  <c r="B39" i="88"/>
  <c r="Z38" i="88"/>
  <c r="X38" i="88"/>
  <c r="N38" i="88"/>
  <c r="L38" i="88"/>
  <c r="B38" i="88"/>
  <c r="Z37" i="88"/>
  <c r="X37" i="88"/>
  <c r="L37" i="88"/>
  <c r="N37" i="88" s="1"/>
  <c r="B37" i="88"/>
  <c r="T36" i="88"/>
  <c r="P36" i="88"/>
  <c r="X36" i="88" s="1"/>
  <c r="Z36" i="88" s="1"/>
  <c r="N36" i="88"/>
  <c r="L36" i="88"/>
  <c r="J36" i="88"/>
  <c r="H36" i="88"/>
  <c r="D36" i="88"/>
  <c r="B36" i="88"/>
  <c r="X35" i="88"/>
  <c r="Z35" i="88" s="1"/>
  <c r="N35" i="88"/>
  <c r="L35" i="88"/>
  <c r="B35" i="88"/>
  <c r="Z34" i="88"/>
  <c r="X34" i="88"/>
  <c r="N34" i="88"/>
  <c r="L34" i="88"/>
  <c r="B34" i="88"/>
  <c r="X33" i="88"/>
  <c r="Z33" i="88" s="1"/>
  <c r="L33" i="88"/>
  <c r="N33" i="88" s="1"/>
  <c r="B33" i="88"/>
  <c r="Z32" i="88"/>
  <c r="X32" i="88"/>
  <c r="N32" i="88"/>
  <c r="L32" i="88"/>
  <c r="J32" i="88"/>
  <c r="B32" i="88"/>
  <c r="X31" i="88"/>
  <c r="Z31" i="88" s="1"/>
  <c r="N31" i="88"/>
  <c r="L31" i="88"/>
  <c r="B31" i="88"/>
  <c r="Z30" i="88"/>
  <c r="X30" i="88"/>
  <c r="N30" i="88"/>
  <c r="L30" i="88"/>
  <c r="B30" i="88"/>
  <c r="Z29" i="88"/>
  <c r="X29" i="88"/>
  <c r="R29" i="88"/>
  <c r="N29" i="88"/>
  <c r="L29" i="88"/>
  <c r="B29" i="88"/>
  <c r="X28" i="88"/>
  <c r="Z28" i="88" s="1"/>
  <c r="N28" i="88"/>
  <c r="L28" i="88"/>
  <c r="J28" i="88"/>
  <c r="B28" i="88"/>
  <c r="X27" i="88"/>
  <c r="Z27" i="88" s="1"/>
  <c r="N27" i="88"/>
  <c r="L27" i="88"/>
  <c r="B27" i="88"/>
  <c r="T26" i="88"/>
  <c r="X26" i="88" s="1"/>
  <c r="Z26" i="88" s="1"/>
  <c r="P26" i="88"/>
  <c r="L26" i="88"/>
  <c r="H26" i="88"/>
  <c r="D26" i="88"/>
  <c r="B26" i="88"/>
  <c r="T25" i="88"/>
  <c r="P25" i="88"/>
  <c r="H25" i="88"/>
  <c r="N25" i="88" s="1"/>
  <c r="D25" i="88"/>
  <c r="L25" i="88" s="1"/>
  <c r="H23" i="88"/>
  <c r="H88" i="88" s="1"/>
  <c r="Z21" i="88"/>
  <c r="X21" i="88"/>
  <c r="N21" i="88"/>
  <c r="L21" i="88"/>
  <c r="J21" i="88"/>
  <c r="B21" i="88"/>
  <c r="Z20" i="88"/>
  <c r="X20" i="88"/>
  <c r="N20" i="88"/>
  <c r="L20" i="88"/>
  <c r="J20" i="88"/>
  <c r="B20" i="88"/>
  <c r="Z19" i="88"/>
  <c r="X19" i="88"/>
  <c r="L19" i="88"/>
  <c r="N19" i="88" s="1"/>
  <c r="B19" i="88"/>
  <c r="T18" i="88"/>
  <c r="P18" i="88"/>
  <c r="X18" i="88" s="1"/>
  <c r="Z18" i="88" s="1"/>
  <c r="J18" i="88"/>
  <c r="H18" i="88"/>
  <c r="D18" i="88"/>
  <c r="L18" i="88" s="1"/>
  <c r="N18" i="88" s="1"/>
  <c r="Z16" i="88"/>
  <c r="P16" i="88"/>
  <c r="X16" i="88" s="1"/>
  <c r="N16" i="88"/>
  <c r="L16" i="88"/>
  <c r="D16" i="88"/>
  <c r="B16" i="88"/>
  <c r="X15" i="88"/>
  <c r="Z15" i="88" s="1"/>
  <c r="P15" i="88"/>
  <c r="D15" i="88"/>
  <c r="B15" i="88"/>
  <c r="Z14" i="88"/>
  <c r="X14" i="88"/>
  <c r="P14" i="88"/>
  <c r="N14" i="88"/>
  <c r="L14" i="88"/>
  <c r="D14" i="88"/>
  <c r="B14" i="88"/>
  <c r="X13" i="88"/>
  <c r="Z13" i="88" s="1"/>
  <c r="P13" i="88"/>
  <c r="P12" i="88" s="1"/>
  <c r="R83" i="88" s="1"/>
  <c r="N13" i="88"/>
  <c r="D13" i="88"/>
  <c r="L13" i="88" s="1"/>
  <c r="B13" i="88"/>
  <c r="T12" i="88"/>
  <c r="V66" i="88" s="1"/>
  <c r="H12" i="88"/>
  <c r="J83" i="88" s="1"/>
  <c r="D6" i="88"/>
  <c r="D4" i="88"/>
  <c r="X102" i="87"/>
  <c r="Z102" i="87" s="1"/>
  <c r="N102" i="87"/>
  <c r="L102" i="87"/>
  <c r="Z98" i="87"/>
  <c r="T98" i="87"/>
  <c r="P98" i="87"/>
  <c r="X98" i="87" s="1"/>
  <c r="N98" i="87"/>
  <c r="L98" i="87"/>
  <c r="H98" i="87"/>
  <c r="D98" i="87"/>
  <c r="Z96" i="87"/>
  <c r="X96" i="87"/>
  <c r="L96" i="87"/>
  <c r="N96" i="87" s="1"/>
  <c r="B96" i="87"/>
  <c r="X95" i="87"/>
  <c r="T95" i="87"/>
  <c r="Z95" i="87" s="1"/>
  <c r="P95" i="87"/>
  <c r="H95" i="87"/>
  <c r="D95" i="87"/>
  <c r="L95" i="87" s="1"/>
  <c r="B95" i="87"/>
  <c r="Z94" i="87"/>
  <c r="X94" i="87"/>
  <c r="N94" i="87"/>
  <c r="L94" i="87"/>
  <c r="B94" i="87"/>
  <c r="X93" i="87"/>
  <c r="T93" i="87"/>
  <c r="P93" i="87"/>
  <c r="N93" i="87"/>
  <c r="L93" i="87"/>
  <c r="H93" i="87"/>
  <c r="D93" i="87"/>
  <c r="B93" i="87"/>
  <c r="Z92" i="87"/>
  <c r="X92" i="87"/>
  <c r="V92" i="87"/>
  <c r="N92" i="87"/>
  <c r="L92" i="87"/>
  <c r="B92" i="87"/>
  <c r="T91" i="87"/>
  <c r="Z91" i="87" s="1"/>
  <c r="P91" i="87"/>
  <c r="X91" i="87" s="1"/>
  <c r="H91" i="87"/>
  <c r="D91" i="87"/>
  <c r="B91" i="87"/>
  <c r="Z90" i="87"/>
  <c r="X90" i="87"/>
  <c r="V90" i="87"/>
  <c r="N90" i="87"/>
  <c r="L90" i="87"/>
  <c r="B90" i="87"/>
  <c r="T89" i="87"/>
  <c r="P89" i="87"/>
  <c r="L89" i="87"/>
  <c r="H89" i="87"/>
  <c r="D89" i="87"/>
  <c r="B89" i="87"/>
  <c r="Z88" i="87"/>
  <c r="X88" i="87"/>
  <c r="V88" i="87"/>
  <c r="N88" i="87"/>
  <c r="L88" i="87"/>
  <c r="B88" i="87"/>
  <c r="X87" i="87"/>
  <c r="Z87" i="87" s="1"/>
  <c r="N87" i="87"/>
  <c r="L87" i="87"/>
  <c r="B87" i="87"/>
  <c r="Z86" i="87"/>
  <c r="X86" i="87"/>
  <c r="N86" i="87"/>
  <c r="L86" i="87"/>
  <c r="B86" i="87"/>
  <c r="X85" i="87"/>
  <c r="Z85" i="87" s="1"/>
  <c r="L85" i="87"/>
  <c r="N85" i="87" s="1"/>
  <c r="B85" i="87"/>
  <c r="X84" i="87"/>
  <c r="Z84" i="87" s="1"/>
  <c r="N84" i="87"/>
  <c r="L84" i="87"/>
  <c r="B84" i="87"/>
  <c r="Z83" i="87"/>
  <c r="X83" i="87"/>
  <c r="N83" i="87"/>
  <c r="L83" i="87"/>
  <c r="B83" i="87"/>
  <c r="Z82" i="87"/>
  <c r="X82" i="87"/>
  <c r="N82" i="87"/>
  <c r="L82" i="87"/>
  <c r="B82" i="87"/>
  <c r="X81" i="87"/>
  <c r="Z81" i="87" s="1"/>
  <c r="N81" i="87"/>
  <c r="L81" i="87"/>
  <c r="B81" i="87"/>
  <c r="X80" i="87"/>
  <c r="Z80" i="87" s="1"/>
  <c r="N80" i="87"/>
  <c r="L80" i="87"/>
  <c r="B80" i="87"/>
  <c r="Z79" i="87"/>
  <c r="X79" i="87"/>
  <c r="T79" i="87"/>
  <c r="P79" i="87"/>
  <c r="H79" i="87"/>
  <c r="D79" i="87"/>
  <c r="B79" i="87"/>
  <c r="Z78" i="87"/>
  <c r="X78" i="87"/>
  <c r="N78" i="87"/>
  <c r="L78" i="87"/>
  <c r="B78" i="87"/>
  <c r="Z77" i="87"/>
  <c r="X77" i="87"/>
  <c r="N77" i="87"/>
  <c r="L77" i="87"/>
  <c r="B77" i="87"/>
  <c r="Z76" i="87"/>
  <c r="V76" i="87"/>
  <c r="T76" i="87"/>
  <c r="P76" i="87"/>
  <c r="X76" i="87" s="1"/>
  <c r="H76" i="87"/>
  <c r="N76" i="87" s="1"/>
  <c r="D76" i="87"/>
  <c r="B76" i="87"/>
  <c r="X75" i="87"/>
  <c r="Z75" i="87" s="1"/>
  <c r="N75" i="87"/>
  <c r="L75" i="87"/>
  <c r="B75" i="87"/>
  <c r="Z74" i="87"/>
  <c r="X74" i="87"/>
  <c r="N74" i="87"/>
  <c r="L74" i="87"/>
  <c r="B74" i="87"/>
  <c r="Z73" i="87"/>
  <c r="X73" i="87"/>
  <c r="N73" i="87"/>
  <c r="L73" i="87"/>
  <c r="B73" i="87"/>
  <c r="X72" i="87"/>
  <c r="V72" i="87"/>
  <c r="T72" i="87"/>
  <c r="Z72" i="87" s="1"/>
  <c r="P72" i="87"/>
  <c r="H72" i="87"/>
  <c r="D72" i="87"/>
  <c r="L72" i="87" s="1"/>
  <c r="N72" i="87" s="1"/>
  <c r="B72" i="87"/>
  <c r="Z71" i="87"/>
  <c r="X71" i="87"/>
  <c r="L71" i="87"/>
  <c r="N71" i="87" s="1"/>
  <c r="B71" i="87"/>
  <c r="T70" i="87"/>
  <c r="P70" i="87"/>
  <c r="N70" i="87"/>
  <c r="H70" i="87"/>
  <c r="D70" i="87"/>
  <c r="L70" i="87" s="1"/>
  <c r="B70" i="87"/>
  <c r="Z69" i="87"/>
  <c r="X69" i="87"/>
  <c r="V69" i="87"/>
  <c r="L69" i="87"/>
  <c r="N69" i="87" s="1"/>
  <c r="B69" i="87"/>
  <c r="Z68" i="87"/>
  <c r="X68" i="87"/>
  <c r="L68" i="87"/>
  <c r="N68" i="87" s="1"/>
  <c r="B68" i="87"/>
  <c r="X67" i="87"/>
  <c r="Z67" i="87" s="1"/>
  <c r="N67" i="87"/>
  <c r="L67" i="87"/>
  <c r="B67" i="87"/>
  <c r="Z66" i="87"/>
  <c r="V66" i="87"/>
  <c r="T66" i="87"/>
  <c r="P66" i="87"/>
  <c r="X66" i="87" s="1"/>
  <c r="H66" i="87"/>
  <c r="D66" i="87"/>
  <c r="L66" i="87" s="1"/>
  <c r="N66" i="87" s="1"/>
  <c r="B66" i="87"/>
  <c r="X65" i="87"/>
  <c r="Z65" i="87" s="1"/>
  <c r="L65" i="87"/>
  <c r="N65" i="87" s="1"/>
  <c r="B65" i="87"/>
  <c r="X64" i="87"/>
  <c r="V64" i="87"/>
  <c r="T64" i="87"/>
  <c r="Z64" i="87" s="1"/>
  <c r="P64" i="87"/>
  <c r="H64" i="87"/>
  <c r="D64" i="87"/>
  <c r="L64" i="87" s="1"/>
  <c r="B64" i="87"/>
  <c r="Z63" i="87"/>
  <c r="X63" i="87"/>
  <c r="L63" i="87"/>
  <c r="N63" i="87" s="1"/>
  <c r="B63" i="87"/>
  <c r="T62" i="87"/>
  <c r="P62" i="87"/>
  <c r="H62" i="87"/>
  <c r="D62" i="87"/>
  <c r="L62" i="87" s="1"/>
  <c r="N62" i="87" s="1"/>
  <c r="B62" i="87"/>
  <c r="Z61" i="87"/>
  <c r="X61" i="87"/>
  <c r="V61" i="87"/>
  <c r="L61" i="87"/>
  <c r="N61" i="87" s="1"/>
  <c r="B61" i="87"/>
  <c r="T60" i="87"/>
  <c r="P60" i="87"/>
  <c r="X60" i="87" s="1"/>
  <c r="Z60" i="87" s="1"/>
  <c r="H60" i="87"/>
  <c r="D60" i="87"/>
  <c r="L60" i="87" s="1"/>
  <c r="N60" i="87" s="1"/>
  <c r="B60" i="87"/>
  <c r="X59" i="87"/>
  <c r="Z59" i="87" s="1"/>
  <c r="L59" i="87"/>
  <c r="N59" i="87" s="1"/>
  <c r="B59" i="87"/>
  <c r="T58" i="87"/>
  <c r="Z58" i="87" s="1"/>
  <c r="P58" i="87"/>
  <c r="X58" i="87" s="1"/>
  <c r="L58" i="87"/>
  <c r="H58" i="87"/>
  <c r="N58" i="87" s="1"/>
  <c r="D58" i="87"/>
  <c r="B58" i="87"/>
  <c r="X57" i="87"/>
  <c r="Z57" i="87" s="1"/>
  <c r="N57" i="87"/>
  <c r="L57" i="87"/>
  <c r="B57" i="87"/>
  <c r="T56" i="87"/>
  <c r="P56" i="87"/>
  <c r="X56" i="87" s="1"/>
  <c r="Z56" i="87" s="1"/>
  <c r="H56" i="87"/>
  <c r="D56" i="87"/>
  <c r="B56" i="87"/>
  <c r="X55" i="87"/>
  <c r="Z55" i="87" s="1"/>
  <c r="L55" i="87"/>
  <c r="N55" i="87" s="1"/>
  <c r="B55" i="87"/>
  <c r="Z54" i="87"/>
  <c r="X54" i="87"/>
  <c r="V54" i="87"/>
  <c r="L54" i="87"/>
  <c r="N54" i="87" s="1"/>
  <c r="B54" i="87"/>
  <c r="Z53" i="87"/>
  <c r="X53" i="87"/>
  <c r="V53" i="87"/>
  <c r="L53" i="87"/>
  <c r="N53" i="87" s="1"/>
  <c r="B53" i="87"/>
  <c r="T52" i="87"/>
  <c r="P52" i="87"/>
  <c r="X52" i="87" s="1"/>
  <c r="Z52" i="87" s="1"/>
  <c r="H52" i="87"/>
  <c r="D52" i="87"/>
  <c r="L52" i="87" s="1"/>
  <c r="N52" i="87" s="1"/>
  <c r="B52" i="87"/>
  <c r="Z51" i="87"/>
  <c r="X51" i="87"/>
  <c r="N51" i="87"/>
  <c r="L51" i="87"/>
  <c r="B51" i="87"/>
  <c r="T50" i="87"/>
  <c r="Z50" i="87" s="1"/>
  <c r="P50" i="87"/>
  <c r="X50" i="87" s="1"/>
  <c r="L50" i="87"/>
  <c r="H50" i="87"/>
  <c r="N50" i="87" s="1"/>
  <c r="D50" i="87"/>
  <c r="B50" i="87"/>
  <c r="X49" i="87"/>
  <c r="Z49" i="87" s="1"/>
  <c r="N49" i="87"/>
  <c r="L49" i="87"/>
  <c r="B49" i="87"/>
  <c r="T48" i="87"/>
  <c r="P48" i="87"/>
  <c r="X48" i="87" s="1"/>
  <c r="Z48" i="87" s="1"/>
  <c r="H48" i="87"/>
  <c r="D48" i="87"/>
  <c r="B48" i="87"/>
  <c r="X47" i="87"/>
  <c r="Z47" i="87" s="1"/>
  <c r="L47" i="87"/>
  <c r="N47" i="87" s="1"/>
  <c r="B47" i="87"/>
  <c r="Z46" i="87"/>
  <c r="V46" i="87"/>
  <c r="T46" i="87"/>
  <c r="P46" i="87"/>
  <c r="X46" i="87" s="1"/>
  <c r="H46" i="87"/>
  <c r="D46" i="87"/>
  <c r="L46" i="87" s="1"/>
  <c r="N46" i="87" s="1"/>
  <c r="B46" i="87"/>
  <c r="Z45" i="87"/>
  <c r="X45" i="87"/>
  <c r="N45" i="87"/>
  <c r="L45" i="87"/>
  <c r="B45" i="87"/>
  <c r="Z44" i="87"/>
  <c r="X44" i="87"/>
  <c r="V44" i="87"/>
  <c r="N44" i="87"/>
  <c r="L44" i="87"/>
  <c r="B44" i="87"/>
  <c r="X43" i="87"/>
  <c r="Z43" i="87" s="1"/>
  <c r="N43" i="87"/>
  <c r="L43" i="87"/>
  <c r="B43" i="87"/>
  <c r="X42" i="87"/>
  <c r="Z42" i="87" s="1"/>
  <c r="N42" i="87"/>
  <c r="L42" i="87"/>
  <c r="B42" i="87"/>
  <c r="Z41" i="87"/>
  <c r="X41" i="87"/>
  <c r="N41" i="87"/>
  <c r="L41" i="87"/>
  <c r="B41" i="87"/>
  <c r="Z40" i="87"/>
  <c r="X40" i="87"/>
  <c r="V40" i="87"/>
  <c r="N40" i="87"/>
  <c r="L40" i="87"/>
  <c r="B40" i="87"/>
  <c r="Z39" i="87"/>
  <c r="X39" i="87"/>
  <c r="N39" i="87"/>
  <c r="L39" i="87"/>
  <c r="B39" i="87"/>
  <c r="Z38" i="87"/>
  <c r="X38" i="87"/>
  <c r="N38" i="87"/>
  <c r="L38" i="87"/>
  <c r="B38" i="87"/>
  <c r="X37" i="87"/>
  <c r="Z37" i="87" s="1"/>
  <c r="L37" i="87"/>
  <c r="N37" i="87" s="1"/>
  <c r="B37" i="87"/>
  <c r="Z36" i="87"/>
  <c r="X36" i="87"/>
  <c r="V36" i="87"/>
  <c r="N36" i="87"/>
  <c r="L36" i="87"/>
  <c r="B36" i="87"/>
  <c r="T35" i="87"/>
  <c r="P35" i="87"/>
  <c r="X35" i="87" s="1"/>
  <c r="Z35" i="87" s="1"/>
  <c r="L35" i="87"/>
  <c r="N35" i="87" s="1"/>
  <c r="H35" i="87"/>
  <c r="D35" i="87"/>
  <c r="B35" i="87"/>
  <c r="Z34" i="87"/>
  <c r="X34" i="87"/>
  <c r="N34" i="87"/>
  <c r="L34" i="87"/>
  <c r="B34" i="87"/>
  <c r="X33" i="87"/>
  <c r="Z33" i="87" s="1"/>
  <c r="N33" i="87"/>
  <c r="L33" i="87"/>
  <c r="B33" i="87"/>
  <c r="Z32" i="87"/>
  <c r="X32" i="87"/>
  <c r="N32" i="87"/>
  <c r="L32" i="87"/>
  <c r="B32" i="87"/>
  <c r="X31" i="87"/>
  <c r="Z31" i="87" s="1"/>
  <c r="L31" i="87"/>
  <c r="N31" i="87" s="1"/>
  <c r="B31" i="87"/>
  <c r="Z30" i="87"/>
  <c r="X30" i="87"/>
  <c r="N30" i="87"/>
  <c r="L30" i="87"/>
  <c r="B30" i="87"/>
  <c r="X29" i="87"/>
  <c r="Z29" i="87" s="1"/>
  <c r="N29" i="87"/>
  <c r="L29" i="87"/>
  <c r="B29" i="87"/>
  <c r="Z28" i="87"/>
  <c r="X28" i="87"/>
  <c r="N28" i="87"/>
  <c r="L28" i="87"/>
  <c r="B28" i="87"/>
  <c r="Z27" i="87"/>
  <c r="X27" i="87"/>
  <c r="L27" i="87"/>
  <c r="N27" i="87" s="1"/>
  <c r="B27" i="87"/>
  <c r="Z26" i="87"/>
  <c r="X26" i="87"/>
  <c r="N26" i="87"/>
  <c r="L26" i="87"/>
  <c r="B26" i="87"/>
  <c r="X25" i="87"/>
  <c r="T25" i="87"/>
  <c r="Z25" i="87" s="1"/>
  <c r="P25" i="87"/>
  <c r="H25" i="87"/>
  <c r="D25" i="87"/>
  <c r="B25" i="87"/>
  <c r="T24" i="87"/>
  <c r="P24" i="87"/>
  <c r="X24" i="87" s="1"/>
  <c r="Z24" i="87" s="1"/>
  <c r="N24" i="87"/>
  <c r="H24" i="87"/>
  <c r="D24" i="87"/>
  <c r="L24" i="87" s="1"/>
  <c r="Z20" i="87"/>
  <c r="X20" i="87"/>
  <c r="N20" i="87"/>
  <c r="L20" i="87"/>
  <c r="B20" i="87"/>
  <c r="Z19" i="87"/>
  <c r="X19" i="87"/>
  <c r="N19" i="87"/>
  <c r="L19" i="87"/>
  <c r="B19" i="87"/>
  <c r="Z18" i="87"/>
  <c r="X18" i="87"/>
  <c r="V18" i="87"/>
  <c r="L18" i="87"/>
  <c r="N18" i="87" s="1"/>
  <c r="B18" i="87"/>
  <c r="V17" i="87"/>
  <c r="T17" i="87"/>
  <c r="P17" i="87"/>
  <c r="H17" i="87"/>
  <c r="N17" i="87" s="1"/>
  <c r="D17" i="87"/>
  <c r="L17" i="87" s="1"/>
  <c r="Z15" i="87"/>
  <c r="P15" i="87"/>
  <c r="X15" i="87" s="1"/>
  <c r="N15" i="87"/>
  <c r="D15" i="87"/>
  <c r="L15" i="87" s="1"/>
  <c r="B15" i="87"/>
  <c r="Z14" i="87"/>
  <c r="P14" i="87"/>
  <c r="X14" i="87" s="1"/>
  <c r="N14" i="87"/>
  <c r="L14" i="87"/>
  <c r="D14" i="87"/>
  <c r="B14" i="87"/>
  <c r="X13" i="87"/>
  <c r="Z13" i="87" s="1"/>
  <c r="P13" i="87"/>
  <c r="N13" i="87"/>
  <c r="L13" i="87"/>
  <c r="D13" i="87"/>
  <c r="B13" i="87"/>
  <c r="T12" i="87"/>
  <c r="V98" i="87" s="1"/>
  <c r="H12" i="87"/>
  <c r="D6" i="87"/>
  <c r="D4" i="87"/>
  <c r="X34" i="85"/>
  <c r="Z34" i="85" s="1"/>
  <c r="V34" i="85"/>
  <c r="N34" i="85"/>
  <c r="L34" i="85"/>
  <c r="Z30" i="85"/>
  <c r="V30" i="85"/>
  <c r="T30" i="85"/>
  <c r="P30" i="85"/>
  <c r="X30" i="85" s="1"/>
  <c r="N30" i="85"/>
  <c r="J30" i="85"/>
  <c r="H30" i="85"/>
  <c r="D30" i="85"/>
  <c r="L30" i="85" s="1"/>
  <c r="Z28" i="85"/>
  <c r="X28" i="85"/>
  <c r="V28" i="85"/>
  <c r="N28" i="85"/>
  <c r="L28" i="85"/>
  <c r="J28" i="85"/>
  <c r="B28" i="85"/>
  <c r="T27" i="85"/>
  <c r="Z27" i="85" s="1"/>
  <c r="P27" i="85"/>
  <c r="X27" i="85" s="1"/>
  <c r="J27" i="85"/>
  <c r="H27" i="85"/>
  <c r="N27" i="85" s="1"/>
  <c r="D27" i="85"/>
  <c r="B27" i="85"/>
  <c r="Z26" i="85"/>
  <c r="X26" i="85"/>
  <c r="V26" i="85"/>
  <c r="N26" i="85"/>
  <c r="L26" i="85"/>
  <c r="B26" i="85"/>
  <c r="Z25" i="85"/>
  <c r="X25" i="85"/>
  <c r="V25" i="85"/>
  <c r="T25" i="85"/>
  <c r="P25" i="85"/>
  <c r="N25" i="85"/>
  <c r="H25" i="85"/>
  <c r="F25" i="85"/>
  <c r="D25" i="85"/>
  <c r="L25" i="85" s="1"/>
  <c r="B25" i="85"/>
  <c r="Z24" i="85"/>
  <c r="X24" i="85"/>
  <c r="N24" i="85"/>
  <c r="L24" i="85"/>
  <c r="B24" i="85"/>
  <c r="X23" i="85"/>
  <c r="T23" i="85"/>
  <c r="P23" i="85"/>
  <c r="L23" i="85"/>
  <c r="H23" i="85"/>
  <c r="N23" i="85" s="1"/>
  <c r="D23" i="85"/>
  <c r="B23" i="85"/>
  <c r="Z22" i="85"/>
  <c r="V22" i="85"/>
  <c r="T22" i="85"/>
  <c r="P22" i="85"/>
  <c r="X22" i="85" s="1"/>
  <c r="H22" i="85"/>
  <c r="D22" i="85"/>
  <c r="L22" i="85" s="1"/>
  <c r="N22" i="85" s="1"/>
  <c r="D20" i="85"/>
  <c r="Z18" i="85"/>
  <c r="X18" i="85"/>
  <c r="V18" i="85"/>
  <c r="N18" i="85"/>
  <c r="L18" i="85"/>
  <c r="B18" i="85"/>
  <c r="Z17" i="85"/>
  <c r="X17" i="85"/>
  <c r="V17" i="85"/>
  <c r="R17" i="85"/>
  <c r="L17" i="85"/>
  <c r="N17" i="85" s="1"/>
  <c r="B17" i="85"/>
  <c r="V16" i="85"/>
  <c r="T16" i="85"/>
  <c r="T20" i="85" s="1"/>
  <c r="T32" i="85" s="1"/>
  <c r="P16" i="85"/>
  <c r="X16" i="85" s="1"/>
  <c r="Z16" i="85" s="1"/>
  <c r="N16" i="85"/>
  <c r="J16" i="85"/>
  <c r="H16" i="85"/>
  <c r="D16" i="85"/>
  <c r="L16" i="85" s="1"/>
  <c r="Z14" i="85"/>
  <c r="P14" i="85"/>
  <c r="X14" i="85" s="1"/>
  <c r="N14" i="85"/>
  <c r="D14" i="85"/>
  <c r="L14" i="85" s="1"/>
  <c r="B14" i="85"/>
  <c r="X13" i="85"/>
  <c r="Z13" i="85" s="1"/>
  <c r="P13" i="85"/>
  <c r="D13" i="85"/>
  <c r="D12" i="85" s="1"/>
  <c r="B13" i="85"/>
  <c r="T12" i="85"/>
  <c r="V24" i="85" s="1"/>
  <c r="P12" i="85"/>
  <c r="H12" i="85"/>
  <c r="D6" i="85"/>
  <c r="D4" i="85"/>
  <c r="Z132" i="84"/>
  <c r="X132" i="84"/>
  <c r="L132" i="84"/>
  <c r="N132" i="84" s="1"/>
  <c r="Z128" i="84"/>
  <c r="T128" i="84"/>
  <c r="X128" i="84" s="1"/>
  <c r="P128" i="84"/>
  <c r="H128" i="84"/>
  <c r="D128" i="84"/>
  <c r="Z126" i="84"/>
  <c r="X126" i="84"/>
  <c r="N126" i="84"/>
  <c r="L126" i="84"/>
  <c r="B126" i="84"/>
  <c r="X125" i="84"/>
  <c r="Z125" i="84" s="1"/>
  <c r="T125" i="84"/>
  <c r="P125" i="84"/>
  <c r="H125" i="84"/>
  <c r="D125" i="84"/>
  <c r="B125" i="84"/>
  <c r="Z124" i="84"/>
  <c r="X124" i="84"/>
  <c r="V124" i="84"/>
  <c r="L124" i="84"/>
  <c r="N124" i="84" s="1"/>
  <c r="B124" i="84"/>
  <c r="T123" i="84"/>
  <c r="P123" i="84"/>
  <c r="H123" i="84"/>
  <c r="D123" i="84"/>
  <c r="L123" i="84" s="1"/>
  <c r="B123" i="84"/>
  <c r="X122" i="84"/>
  <c r="Z122" i="84" s="1"/>
  <c r="V122" i="84"/>
  <c r="N122" i="84"/>
  <c r="L122" i="84"/>
  <c r="B122" i="84"/>
  <c r="T121" i="84"/>
  <c r="P121" i="84"/>
  <c r="X121" i="84" s="1"/>
  <c r="N121" i="84"/>
  <c r="L121" i="84"/>
  <c r="H121" i="84"/>
  <c r="D121" i="84"/>
  <c r="B121" i="84"/>
  <c r="Z120" i="84"/>
  <c r="X120" i="84"/>
  <c r="N120" i="84"/>
  <c r="L120" i="84"/>
  <c r="B120" i="84"/>
  <c r="X119" i="84"/>
  <c r="Z119" i="84" s="1"/>
  <c r="N119" i="84"/>
  <c r="L119" i="84"/>
  <c r="B119" i="84"/>
  <c r="T118" i="84"/>
  <c r="X118" i="84" s="1"/>
  <c r="Z118" i="84" s="1"/>
  <c r="P118" i="84"/>
  <c r="N118" i="84"/>
  <c r="H118" i="84"/>
  <c r="L118" i="84" s="1"/>
  <c r="D118" i="84"/>
  <c r="B118" i="84"/>
  <c r="Z117" i="84"/>
  <c r="X117" i="84"/>
  <c r="N117" i="84"/>
  <c r="L117" i="84"/>
  <c r="B117" i="84"/>
  <c r="Z116" i="84"/>
  <c r="X116" i="84"/>
  <c r="V116" i="84"/>
  <c r="L116" i="84"/>
  <c r="N116" i="84" s="1"/>
  <c r="B116" i="84"/>
  <c r="Z115" i="84"/>
  <c r="X115" i="84"/>
  <c r="V115" i="84"/>
  <c r="N115" i="84"/>
  <c r="L115" i="84"/>
  <c r="B115" i="84"/>
  <c r="Z114" i="84"/>
  <c r="X114" i="84"/>
  <c r="V114" i="84"/>
  <c r="L114" i="84"/>
  <c r="N114" i="84" s="1"/>
  <c r="B114" i="84"/>
  <c r="Z113" i="84"/>
  <c r="X113" i="84"/>
  <c r="L113" i="84"/>
  <c r="N113" i="84" s="1"/>
  <c r="B113" i="84"/>
  <c r="Z112" i="84"/>
  <c r="X112" i="84"/>
  <c r="V112" i="84"/>
  <c r="L112" i="84"/>
  <c r="N112" i="84" s="1"/>
  <c r="B112" i="84"/>
  <c r="T111" i="84"/>
  <c r="P111" i="84"/>
  <c r="H111" i="84"/>
  <c r="D111" i="84"/>
  <c r="L111" i="84" s="1"/>
  <c r="B111" i="84"/>
  <c r="X110" i="84"/>
  <c r="Z110" i="84" s="1"/>
  <c r="V110" i="84"/>
  <c r="N110" i="84"/>
  <c r="L110" i="84"/>
  <c r="B110" i="84"/>
  <c r="X109" i="84"/>
  <c r="Z109" i="84" s="1"/>
  <c r="N109" i="84"/>
  <c r="L109" i="84"/>
  <c r="B109" i="84"/>
  <c r="V108" i="84"/>
  <c r="T108" i="84"/>
  <c r="P108" i="84"/>
  <c r="X108" i="84" s="1"/>
  <c r="L108" i="84"/>
  <c r="H108" i="84"/>
  <c r="N108" i="84" s="1"/>
  <c r="D108" i="84"/>
  <c r="B108" i="84"/>
  <c r="X107" i="84"/>
  <c r="Z107" i="84" s="1"/>
  <c r="N107" i="84"/>
  <c r="L107" i="84"/>
  <c r="B107" i="84"/>
  <c r="Z106" i="84"/>
  <c r="X106" i="84"/>
  <c r="N106" i="84"/>
  <c r="L106" i="84"/>
  <c r="B106" i="84"/>
  <c r="X105" i="84"/>
  <c r="Z105" i="84" s="1"/>
  <c r="N105" i="84"/>
  <c r="L105" i="84"/>
  <c r="B105" i="84"/>
  <c r="T104" i="84"/>
  <c r="X104" i="84" s="1"/>
  <c r="P104" i="84"/>
  <c r="N104" i="84"/>
  <c r="H104" i="84"/>
  <c r="L104" i="84" s="1"/>
  <c r="D104" i="84"/>
  <c r="B104" i="84"/>
  <c r="Z103" i="84"/>
  <c r="X103" i="84"/>
  <c r="V103" i="84"/>
  <c r="L103" i="84"/>
  <c r="N103" i="84" s="1"/>
  <c r="B103" i="84"/>
  <c r="Z102" i="84"/>
  <c r="X102" i="84"/>
  <c r="V102" i="84"/>
  <c r="N102" i="84"/>
  <c r="L102" i="84"/>
  <c r="B102" i="84"/>
  <c r="T101" i="84"/>
  <c r="P101" i="84"/>
  <c r="X101" i="84" s="1"/>
  <c r="H101" i="84"/>
  <c r="D101" i="84"/>
  <c r="B101" i="84"/>
  <c r="X100" i="84"/>
  <c r="Z100" i="84" s="1"/>
  <c r="V100" i="84"/>
  <c r="N100" i="84"/>
  <c r="L100" i="84"/>
  <c r="B100" i="84"/>
  <c r="T99" i="84"/>
  <c r="P99" i="84"/>
  <c r="X99" i="84" s="1"/>
  <c r="Z99" i="84" s="1"/>
  <c r="L99" i="84"/>
  <c r="H99" i="84"/>
  <c r="D99" i="84"/>
  <c r="B99" i="84"/>
  <c r="Z98" i="84"/>
  <c r="X98" i="84"/>
  <c r="N98" i="84"/>
  <c r="L98" i="84"/>
  <c r="B98" i="84"/>
  <c r="X97" i="84"/>
  <c r="T97" i="84"/>
  <c r="Z97" i="84" s="1"/>
  <c r="P97" i="84"/>
  <c r="L97" i="84"/>
  <c r="H97" i="84"/>
  <c r="N97" i="84" s="1"/>
  <c r="D97" i="84"/>
  <c r="B97" i="84"/>
  <c r="Z96" i="84"/>
  <c r="X96" i="84"/>
  <c r="V96" i="84"/>
  <c r="L96" i="84"/>
  <c r="N96" i="84" s="1"/>
  <c r="B96" i="84"/>
  <c r="T95" i="84"/>
  <c r="P95" i="84"/>
  <c r="H95" i="84"/>
  <c r="D95" i="84"/>
  <c r="L95" i="84" s="1"/>
  <c r="B95" i="84"/>
  <c r="X94" i="84"/>
  <c r="Z94" i="84" s="1"/>
  <c r="V94" i="84"/>
  <c r="N94" i="84"/>
  <c r="L94" i="84"/>
  <c r="B94" i="84"/>
  <c r="X93" i="84"/>
  <c r="T93" i="84"/>
  <c r="P93" i="84"/>
  <c r="H93" i="84"/>
  <c r="D93" i="84"/>
  <c r="L93" i="84" s="1"/>
  <c r="N93" i="84" s="1"/>
  <c r="B93" i="84"/>
  <c r="Z92" i="84"/>
  <c r="X92" i="84"/>
  <c r="N92" i="84"/>
  <c r="L92" i="84"/>
  <c r="B92" i="84"/>
  <c r="X91" i="84"/>
  <c r="T91" i="84"/>
  <c r="P91" i="84"/>
  <c r="H91" i="84"/>
  <c r="L91" i="84" s="1"/>
  <c r="D91" i="84"/>
  <c r="B91" i="84"/>
  <c r="Z90" i="84"/>
  <c r="X90" i="84"/>
  <c r="V90" i="84"/>
  <c r="L90" i="84"/>
  <c r="N90" i="84" s="1"/>
  <c r="B90" i="84"/>
  <c r="T89" i="84"/>
  <c r="P89" i="84"/>
  <c r="H89" i="84"/>
  <c r="D89" i="84"/>
  <c r="B89" i="84"/>
  <c r="X88" i="84"/>
  <c r="Z88" i="84" s="1"/>
  <c r="V88" i="84"/>
  <c r="N88" i="84"/>
  <c r="L88" i="84"/>
  <c r="B88" i="84"/>
  <c r="X87" i="84"/>
  <c r="Z87" i="84" s="1"/>
  <c r="T87" i="84"/>
  <c r="P87" i="84"/>
  <c r="L87" i="84"/>
  <c r="H87" i="84"/>
  <c r="D87" i="84"/>
  <c r="B87" i="84"/>
  <c r="Z86" i="84"/>
  <c r="X86" i="84"/>
  <c r="N86" i="84"/>
  <c r="L86" i="84"/>
  <c r="B86" i="84"/>
  <c r="X85" i="84"/>
  <c r="Z85" i="84" s="1"/>
  <c r="T85" i="84"/>
  <c r="P85" i="84"/>
  <c r="H85" i="84"/>
  <c r="D85" i="84"/>
  <c r="B85" i="84"/>
  <c r="Z84" i="84"/>
  <c r="X84" i="84"/>
  <c r="V84" i="84"/>
  <c r="L84" i="84"/>
  <c r="N84" i="84" s="1"/>
  <c r="B84" i="84"/>
  <c r="T83" i="84"/>
  <c r="P83" i="84"/>
  <c r="X83" i="84" s="1"/>
  <c r="H83" i="84"/>
  <c r="D83" i="84"/>
  <c r="B83" i="84"/>
  <c r="X82" i="84"/>
  <c r="Z82" i="84" s="1"/>
  <c r="V82" i="84"/>
  <c r="N82" i="84"/>
  <c r="L82" i="84"/>
  <c r="B82" i="84"/>
  <c r="Z81" i="84"/>
  <c r="X81" i="84"/>
  <c r="N81" i="84"/>
  <c r="L81" i="84"/>
  <c r="B81" i="84"/>
  <c r="V80" i="84"/>
  <c r="T80" i="84"/>
  <c r="P80" i="84"/>
  <c r="X80" i="84" s="1"/>
  <c r="Z80" i="84" s="1"/>
  <c r="L80" i="84"/>
  <c r="H80" i="84"/>
  <c r="N80" i="84" s="1"/>
  <c r="D80" i="84"/>
  <c r="B80" i="84"/>
  <c r="X79" i="84"/>
  <c r="Z79" i="84" s="1"/>
  <c r="N79" i="84"/>
  <c r="L79" i="84"/>
  <c r="B79" i="84"/>
  <c r="T78" i="84"/>
  <c r="X78" i="84" s="1"/>
  <c r="Z78" i="84" s="1"/>
  <c r="P78" i="84"/>
  <c r="H78" i="84"/>
  <c r="L78" i="84" s="1"/>
  <c r="D78" i="84"/>
  <c r="B78" i="84"/>
  <c r="Z77" i="84"/>
  <c r="X77" i="84"/>
  <c r="N77" i="84"/>
  <c r="L77" i="84"/>
  <c r="B77" i="84"/>
  <c r="Z76" i="84"/>
  <c r="X76" i="84"/>
  <c r="V76" i="84"/>
  <c r="N76" i="84"/>
  <c r="L76" i="84"/>
  <c r="B76" i="84"/>
  <c r="Z75" i="84"/>
  <c r="X75" i="84"/>
  <c r="V75" i="84"/>
  <c r="L75" i="84"/>
  <c r="N75" i="84" s="1"/>
  <c r="B75" i="84"/>
  <c r="Z74" i="84"/>
  <c r="X74" i="84"/>
  <c r="V74" i="84"/>
  <c r="N74" i="84"/>
  <c r="L74" i="84"/>
  <c r="B74" i="84"/>
  <c r="Z73" i="84"/>
  <c r="X73" i="84"/>
  <c r="V73" i="84"/>
  <c r="N73" i="84"/>
  <c r="L73" i="84"/>
  <c r="B73" i="84"/>
  <c r="Z72" i="84"/>
  <c r="X72" i="84"/>
  <c r="V72" i="84"/>
  <c r="N72" i="84"/>
  <c r="L72" i="84"/>
  <c r="B72" i="84"/>
  <c r="Z71" i="84"/>
  <c r="X71" i="84"/>
  <c r="V71" i="84"/>
  <c r="L71" i="84"/>
  <c r="N71" i="84" s="1"/>
  <c r="B71" i="84"/>
  <c r="Z70" i="84"/>
  <c r="X70" i="84"/>
  <c r="V70" i="84"/>
  <c r="N70" i="84"/>
  <c r="L70" i="84"/>
  <c r="B70" i="84"/>
  <c r="Z69" i="84"/>
  <c r="X69" i="84"/>
  <c r="V69" i="84"/>
  <c r="L69" i="84"/>
  <c r="N69" i="84" s="1"/>
  <c r="B69" i="84"/>
  <c r="Z68" i="84"/>
  <c r="X68" i="84"/>
  <c r="V68" i="84"/>
  <c r="N68" i="84"/>
  <c r="L68" i="84"/>
  <c r="B68" i="84"/>
  <c r="V67" i="84"/>
  <c r="T67" i="84"/>
  <c r="Z67" i="84" s="1"/>
  <c r="P67" i="84"/>
  <c r="X67" i="84" s="1"/>
  <c r="H67" i="84"/>
  <c r="D67" i="84"/>
  <c r="L67" i="84" s="1"/>
  <c r="B67" i="84"/>
  <c r="Z66" i="84"/>
  <c r="X66" i="84"/>
  <c r="V66" i="84"/>
  <c r="N66" i="84"/>
  <c r="L66" i="84"/>
  <c r="B66" i="84"/>
  <c r="X65" i="84"/>
  <c r="Z65" i="84" s="1"/>
  <c r="V65" i="84"/>
  <c r="L65" i="84"/>
  <c r="N65" i="84" s="1"/>
  <c r="B65" i="84"/>
  <c r="X64" i="84"/>
  <c r="Z64" i="84" s="1"/>
  <c r="V64" i="84"/>
  <c r="L64" i="84"/>
  <c r="N64" i="84" s="1"/>
  <c r="B64" i="84"/>
  <c r="Z63" i="84"/>
  <c r="X63" i="84"/>
  <c r="N63" i="84"/>
  <c r="L63" i="84"/>
  <c r="B63" i="84"/>
  <c r="X62" i="84"/>
  <c r="Z62" i="84" s="1"/>
  <c r="V62" i="84"/>
  <c r="N62" i="84"/>
  <c r="L62" i="84"/>
  <c r="B62" i="84"/>
  <c r="X61" i="84"/>
  <c r="Z61" i="84" s="1"/>
  <c r="V61" i="84"/>
  <c r="L61" i="84"/>
  <c r="N61" i="84" s="1"/>
  <c r="B61" i="84"/>
  <c r="X60" i="84"/>
  <c r="Z60" i="84" s="1"/>
  <c r="V60" i="84"/>
  <c r="L60" i="84"/>
  <c r="N60" i="84" s="1"/>
  <c r="B60" i="84"/>
  <c r="X59" i="84"/>
  <c r="Z59" i="84" s="1"/>
  <c r="N59" i="84"/>
  <c r="L59" i="84"/>
  <c r="B59" i="84"/>
  <c r="X58" i="84"/>
  <c r="Z58" i="84" s="1"/>
  <c r="V58" i="84"/>
  <c r="N58" i="84"/>
  <c r="L58" i="84"/>
  <c r="B58" i="84"/>
  <c r="V57" i="84"/>
  <c r="T57" i="84"/>
  <c r="P57" i="84"/>
  <c r="X57" i="84" s="1"/>
  <c r="L57" i="84"/>
  <c r="N57" i="84" s="1"/>
  <c r="H57" i="84"/>
  <c r="D57" i="84"/>
  <c r="B57" i="84"/>
  <c r="X56" i="84"/>
  <c r="T56" i="84"/>
  <c r="Z56" i="84" s="1"/>
  <c r="P56" i="84"/>
  <c r="H56" i="84"/>
  <c r="D56" i="84"/>
  <c r="Z52" i="84"/>
  <c r="X52" i="84"/>
  <c r="N52" i="84"/>
  <c r="L52" i="84"/>
  <c r="B52" i="84"/>
  <c r="Z51" i="84"/>
  <c r="X51" i="84"/>
  <c r="N51" i="84"/>
  <c r="L51" i="84"/>
  <c r="B51" i="84"/>
  <c r="Z50" i="84"/>
  <c r="X50" i="84"/>
  <c r="N50" i="84"/>
  <c r="L50" i="84"/>
  <c r="B50" i="84"/>
  <c r="Z49" i="84"/>
  <c r="X49" i="84"/>
  <c r="V49" i="84"/>
  <c r="N49" i="84"/>
  <c r="L49" i="84"/>
  <c r="B49" i="84"/>
  <c r="Z48" i="84"/>
  <c r="X48" i="84"/>
  <c r="N48" i="84"/>
  <c r="L48" i="84"/>
  <c r="B48" i="84"/>
  <c r="Z47" i="84"/>
  <c r="X47" i="84"/>
  <c r="V47" i="84"/>
  <c r="N47" i="84"/>
  <c r="L47" i="84"/>
  <c r="B47" i="84"/>
  <c r="Z46" i="84"/>
  <c r="X46" i="84"/>
  <c r="N46" i="84"/>
  <c r="L46" i="84"/>
  <c r="B46" i="84"/>
  <c r="Z45" i="84"/>
  <c r="X45" i="84"/>
  <c r="V45" i="84"/>
  <c r="N45" i="84"/>
  <c r="L45" i="84"/>
  <c r="B45" i="84"/>
  <c r="Z44" i="84"/>
  <c r="X44" i="84"/>
  <c r="N44" i="84"/>
  <c r="L44" i="84"/>
  <c r="B44" i="84"/>
  <c r="Z43" i="84"/>
  <c r="X43" i="84"/>
  <c r="V43" i="84"/>
  <c r="N43" i="84"/>
  <c r="L43" i="84"/>
  <c r="B43" i="84"/>
  <c r="Z42" i="84"/>
  <c r="X42" i="84"/>
  <c r="N42" i="84"/>
  <c r="L42" i="84"/>
  <c r="B42" i="84"/>
  <c r="Z41" i="84"/>
  <c r="X41" i="84"/>
  <c r="V41" i="84"/>
  <c r="N41" i="84"/>
  <c r="L41" i="84"/>
  <c r="B41" i="84"/>
  <c r="Z40" i="84"/>
  <c r="X40" i="84"/>
  <c r="N40" i="84"/>
  <c r="L40" i="84"/>
  <c r="B40" i="84"/>
  <c r="Z39" i="84"/>
  <c r="X39" i="84"/>
  <c r="V39" i="84"/>
  <c r="N39" i="84"/>
  <c r="L39" i="84"/>
  <c r="B39" i="84"/>
  <c r="Z38" i="84"/>
  <c r="X38" i="84"/>
  <c r="N38" i="84"/>
  <c r="L38" i="84"/>
  <c r="B38" i="84"/>
  <c r="Z37" i="84"/>
  <c r="X37" i="84"/>
  <c r="V37" i="84"/>
  <c r="N37" i="84"/>
  <c r="L37" i="84"/>
  <c r="B37" i="84"/>
  <c r="Z36" i="84"/>
  <c r="X36" i="84"/>
  <c r="N36" i="84"/>
  <c r="L36" i="84"/>
  <c r="B36" i="84"/>
  <c r="T35" i="84"/>
  <c r="P35" i="84"/>
  <c r="H35" i="84"/>
  <c r="D35" i="84"/>
  <c r="Z33" i="84"/>
  <c r="P33" i="84"/>
  <c r="X33" i="84" s="1"/>
  <c r="N33" i="84"/>
  <c r="L33" i="84"/>
  <c r="D33" i="84"/>
  <c r="B33" i="84"/>
  <c r="Z32" i="84"/>
  <c r="P32" i="84"/>
  <c r="X32" i="84" s="1"/>
  <c r="N32" i="84"/>
  <c r="D32" i="84"/>
  <c r="L32" i="84" s="1"/>
  <c r="B32" i="84"/>
  <c r="Z31" i="84"/>
  <c r="P31" i="84"/>
  <c r="X31" i="84" s="1"/>
  <c r="N31" i="84"/>
  <c r="D31" i="84"/>
  <c r="L31" i="84" s="1"/>
  <c r="B31" i="84"/>
  <c r="Z30" i="84"/>
  <c r="P30" i="84"/>
  <c r="X30" i="84" s="1"/>
  <c r="N30" i="84"/>
  <c r="D30" i="84"/>
  <c r="L30" i="84" s="1"/>
  <c r="B30" i="84"/>
  <c r="Z29" i="84"/>
  <c r="P29" i="84"/>
  <c r="X29" i="84" s="1"/>
  <c r="N29" i="84"/>
  <c r="D29" i="84"/>
  <c r="L29" i="84" s="1"/>
  <c r="B29" i="84"/>
  <c r="Z28" i="84"/>
  <c r="P28" i="84"/>
  <c r="X28" i="84" s="1"/>
  <c r="N28" i="84"/>
  <c r="L28" i="84"/>
  <c r="D28" i="84"/>
  <c r="B28" i="84"/>
  <c r="Z27" i="84"/>
  <c r="X27" i="84"/>
  <c r="P27" i="84"/>
  <c r="N27" i="84"/>
  <c r="D27" i="84"/>
  <c r="L27" i="84" s="1"/>
  <c r="B27" i="84"/>
  <c r="Z26" i="84"/>
  <c r="X26" i="84"/>
  <c r="P26" i="84"/>
  <c r="N26" i="84"/>
  <c r="D26" i="84"/>
  <c r="L26" i="84" s="1"/>
  <c r="B26" i="84"/>
  <c r="Z25" i="84"/>
  <c r="X25" i="84"/>
  <c r="P25" i="84"/>
  <c r="N25" i="84"/>
  <c r="L25" i="84"/>
  <c r="D25" i="84"/>
  <c r="B25" i="84"/>
  <c r="Z24" i="84"/>
  <c r="X24" i="84"/>
  <c r="P24" i="84"/>
  <c r="N24" i="84"/>
  <c r="D24" i="84"/>
  <c r="L24" i="84" s="1"/>
  <c r="B24" i="84"/>
  <c r="Z23" i="84"/>
  <c r="P23" i="84"/>
  <c r="X23" i="84" s="1"/>
  <c r="N23" i="84"/>
  <c r="D23" i="84"/>
  <c r="L23" i="84" s="1"/>
  <c r="B23" i="84"/>
  <c r="Z22" i="84"/>
  <c r="X22" i="84"/>
  <c r="P22" i="84"/>
  <c r="N22" i="84"/>
  <c r="L22" i="84"/>
  <c r="D22" i="84"/>
  <c r="B22" i="84"/>
  <c r="Z21" i="84"/>
  <c r="X21" i="84"/>
  <c r="P21" i="84"/>
  <c r="N21" i="84"/>
  <c r="L21" i="84"/>
  <c r="D21" i="84"/>
  <c r="B21" i="84"/>
  <c r="Z20" i="84"/>
  <c r="P20" i="84"/>
  <c r="X20" i="84" s="1"/>
  <c r="N20" i="84"/>
  <c r="D20" i="84"/>
  <c r="L20" i="84" s="1"/>
  <c r="B20" i="84"/>
  <c r="Z19" i="84"/>
  <c r="P19" i="84"/>
  <c r="X19" i="84" s="1"/>
  <c r="N19" i="84"/>
  <c r="D19" i="84"/>
  <c r="L19" i="84" s="1"/>
  <c r="B19" i="84"/>
  <c r="Z18" i="84"/>
  <c r="P18" i="84"/>
  <c r="X18" i="84" s="1"/>
  <c r="N18" i="84"/>
  <c r="D18" i="84"/>
  <c r="L18" i="84" s="1"/>
  <c r="B18" i="84"/>
  <c r="Z17" i="84"/>
  <c r="P17" i="84"/>
  <c r="X17" i="84" s="1"/>
  <c r="N17" i="84"/>
  <c r="D17" i="84"/>
  <c r="L17" i="84" s="1"/>
  <c r="B17" i="84"/>
  <c r="Z16" i="84"/>
  <c r="P16" i="84"/>
  <c r="X16" i="84" s="1"/>
  <c r="N16" i="84"/>
  <c r="L16" i="84"/>
  <c r="D16" i="84"/>
  <c r="B16" i="84"/>
  <c r="Z15" i="84"/>
  <c r="X15" i="84"/>
  <c r="P15" i="84"/>
  <c r="N15" i="84"/>
  <c r="D15" i="84"/>
  <c r="L15" i="84" s="1"/>
  <c r="B15" i="84"/>
  <c r="Z14" i="84"/>
  <c r="X14" i="84"/>
  <c r="P14" i="84"/>
  <c r="N14" i="84"/>
  <c r="D14" i="84"/>
  <c r="L14" i="84" s="1"/>
  <c r="B14" i="84"/>
  <c r="X13" i="84"/>
  <c r="Z13" i="84" s="1"/>
  <c r="P13" i="84"/>
  <c r="D13" i="84"/>
  <c r="B13" i="84"/>
  <c r="T12" i="84"/>
  <c r="V99" i="84" s="1"/>
  <c r="H12" i="84"/>
  <c r="J42" i="84" s="1"/>
  <c r="D6" i="84"/>
  <c r="D4" i="84"/>
  <c r="Z30" i="82"/>
  <c r="X30" i="82"/>
  <c r="V30" i="82"/>
  <c r="L30" i="82"/>
  <c r="N30" i="82" s="1"/>
  <c r="J30" i="82"/>
  <c r="Z26" i="82"/>
  <c r="T26" i="82"/>
  <c r="P26" i="82"/>
  <c r="X26" i="82" s="1"/>
  <c r="H26" i="82"/>
  <c r="D26" i="82"/>
  <c r="Z24" i="82"/>
  <c r="T24" i="82"/>
  <c r="P24" i="82"/>
  <c r="X24" i="82" s="1"/>
  <c r="H24" i="82"/>
  <c r="D24" i="82"/>
  <c r="Z20" i="82"/>
  <c r="X20" i="82"/>
  <c r="N20" i="82"/>
  <c r="L20" i="82"/>
  <c r="B20" i="82"/>
  <c r="Z19" i="82"/>
  <c r="X19" i="82"/>
  <c r="V19" i="82"/>
  <c r="N19" i="82"/>
  <c r="L19" i="82"/>
  <c r="B19" i="82"/>
  <c r="Z18" i="82"/>
  <c r="X18" i="82"/>
  <c r="N18" i="82"/>
  <c r="L18" i="82"/>
  <c r="J18" i="82"/>
  <c r="B18" i="82"/>
  <c r="T17" i="82"/>
  <c r="T22" i="82" s="1"/>
  <c r="T28" i="82" s="1"/>
  <c r="T32" i="82" s="1"/>
  <c r="P17" i="82"/>
  <c r="H17" i="82"/>
  <c r="H22" i="82" s="1"/>
  <c r="D17" i="82"/>
  <c r="X15" i="82"/>
  <c r="Z15" i="82" s="1"/>
  <c r="P15" i="82"/>
  <c r="N15" i="82"/>
  <c r="L15" i="82"/>
  <c r="D15" i="82"/>
  <c r="B15" i="82"/>
  <c r="Z14" i="82"/>
  <c r="P14" i="82"/>
  <c r="N14" i="82"/>
  <c r="D14" i="82"/>
  <c r="L14" i="82" s="1"/>
  <c r="B14" i="82"/>
  <c r="Z13" i="82"/>
  <c r="X13" i="82"/>
  <c r="P13" i="82"/>
  <c r="N13" i="82"/>
  <c r="D13" i="82"/>
  <c r="B13" i="82"/>
  <c r="T12" i="82"/>
  <c r="V28" i="82" s="1"/>
  <c r="H12" i="82"/>
  <c r="J19" i="82" s="1"/>
  <c r="D6" i="82"/>
  <c r="D4" i="82"/>
  <c r="V29" i="81"/>
  <c r="V26" i="81"/>
  <c r="Z24" i="81"/>
  <c r="X24" i="81"/>
  <c r="V24" i="81"/>
  <c r="N24" i="81"/>
  <c r="L24" i="81"/>
  <c r="F24" i="81"/>
  <c r="R22" i="81"/>
  <c r="F22" i="81"/>
  <c r="T20" i="81"/>
  <c r="R20" i="81"/>
  <c r="P20" i="81"/>
  <c r="N20" i="81"/>
  <c r="H20" i="81"/>
  <c r="F20" i="81"/>
  <c r="D20" i="81"/>
  <c r="L20" i="81" s="1"/>
  <c r="T18" i="81"/>
  <c r="P18" i="81"/>
  <c r="N18" i="81"/>
  <c r="H18" i="81"/>
  <c r="F18" i="81"/>
  <c r="D18" i="81"/>
  <c r="L18" i="81" s="1"/>
  <c r="T16" i="81"/>
  <c r="Z16" i="81" s="1"/>
  <c r="F16" i="81"/>
  <c r="T14" i="81"/>
  <c r="R14" i="81"/>
  <c r="P14" i="81"/>
  <c r="N14" i="81"/>
  <c r="H14" i="81"/>
  <c r="F14" i="81"/>
  <c r="D14" i="81"/>
  <c r="L14" i="81" s="1"/>
  <c r="Z12" i="81"/>
  <c r="T12" i="81"/>
  <c r="V22" i="81" s="1"/>
  <c r="P12" i="81"/>
  <c r="R18" i="81" s="1"/>
  <c r="H12" i="81"/>
  <c r="D12" i="81"/>
  <c r="F29" i="81" s="1"/>
  <c r="D6" i="81"/>
  <c r="D4" i="81"/>
  <c r="Z68" i="80"/>
  <c r="X68" i="80"/>
  <c r="L68" i="80"/>
  <c r="N68" i="80" s="1"/>
  <c r="F66" i="80"/>
  <c r="Z64" i="80"/>
  <c r="T64" i="80"/>
  <c r="P64" i="80"/>
  <c r="X64" i="80" s="1"/>
  <c r="H64" i="80"/>
  <c r="F64" i="80"/>
  <c r="D64" i="80"/>
  <c r="Z62" i="80"/>
  <c r="X62" i="80"/>
  <c r="N62" i="80"/>
  <c r="L62" i="80"/>
  <c r="B62" i="80"/>
  <c r="T61" i="80"/>
  <c r="P61" i="80"/>
  <c r="H61" i="80"/>
  <c r="D61" i="80"/>
  <c r="B61" i="80"/>
  <c r="Z60" i="80"/>
  <c r="X60" i="80"/>
  <c r="L60" i="80"/>
  <c r="N60" i="80" s="1"/>
  <c r="B60" i="80"/>
  <c r="T59" i="80"/>
  <c r="P59" i="80"/>
  <c r="X59" i="80" s="1"/>
  <c r="H59" i="80"/>
  <c r="D59" i="80"/>
  <c r="L59" i="80" s="1"/>
  <c r="B59" i="80"/>
  <c r="X58" i="80"/>
  <c r="Z58" i="80" s="1"/>
  <c r="N58" i="80"/>
  <c r="L58" i="80"/>
  <c r="B58" i="80"/>
  <c r="Z57" i="80"/>
  <c r="X57" i="80"/>
  <c r="N57" i="80"/>
  <c r="L57" i="80"/>
  <c r="F57" i="80"/>
  <c r="B57" i="80"/>
  <c r="T56" i="80"/>
  <c r="P56" i="80"/>
  <c r="L56" i="80"/>
  <c r="H56" i="80"/>
  <c r="N56" i="80" s="1"/>
  <c r="F56" i="80"/>
  <c r="D56" i="80"/>
  <c r="B56" i="80"/>
  <c r="X55" i="80"/>
  <c r="Z55" i="80" s="1"/>
  <c r="N55" i="80"/>
  <c r="L55" i="80"/>
  <c r="F55" i="80"/>
  <c r="B55" i="80"/>
  <c r="T54" i="80"/>
  <c r="P54" i="80"/>
  <c r="X54" i="80" s="1"/>
  <c r="Z54" i="80" s="1"/>
  <c r="H54" i="80"/>
  <c r="F54" i="80"/>
  <c r="D54" i="80"/>
  <c r="B54" i="80"/>
  <c r="X53" i="80"/>
  <c r="Z53" i="80" s="1"/>
  <c r="L53" i="80"/>
  <c r="N53" i="80" s="1"/>
  <c r="B53" i="80"/>
  <c r="Z52" i="80"/>
  <c r="T52" i="80"/>
  <c r="P52" i="80"/>
  <c r="X52" i="80" s="1"/>
  <c r="H52" i="80"/>
  <c r="D52" i="80"/>
  <c r="L52" i="80" s="1"/>
  <c r="N52" i="80" s="1"/>
  <c r="B52" i="80"/>
  <c r="Z51" i="80"/>
  <c r="X51" i="80"/>
  <c r="N51" i="80"/>
  <c r="L51" i="80"/>
  <c r="F51" i="80"/>
  <c r="B51" i="80"/>
  <c r="X50" i="80"/>
  <c r="T50" i="80"/>
  <c r="Z50" i="80" s="1"/>
  <c r="R50" i="80"/>
  <c r="P50" i="80"/>
  <c r="H50" i="80"/>
  <c r="N50" i="80" s="1"/>
  <c r="F50" i="80"/>
  <c r="D50" i="80"/>
  <c r="B50" i="80"/>
  <c r="X49" i="80"/>
  <c r="Z49" i="80" s="1"/>
  <c r="L49" i="80"/>
  <c r="N49" i="80" s="1"/>
  <c r="F49" i="80"/>
  <c r="B49" i="80"/>
  <c r="Z48" i="80"/>
  <c r="X48" i="80"/>
  <c r="N48" i="80"/>
  <c r="L48" i="80"/>
  <c r="B48" i="80"/>
  <c r="T47" i="80"/>
  <c r="P47" i="80"/>
  <c r="H47" i="80"/>
  <c r="L47" i="80" s="1"/>
  <c r="N47" i="80" s="1"/>
  <c r="D47" i="80"/>
  <c r="B47" i="80"/>
  <c r="Z46" i="80"/>
  <c r="X46" i="80"/>
  <c r="L46" i="80"/>
  <c r="N46" i="80" s="1"/>
  <c r="B46" i="80"/>
  <c r="T45" i="80"/>
  <c r="P45" i="80"/>
  <c r="X45" i="80" s="1"/>
  <c r="H45" i="80"/>
  <c r="D45" i="80"/>
  <c r="L45" i="80" s="1"/>
  <c r="B45" i="80"/>
  <c r="Z44" i="80"/>
  <c r="X44" i="80"/>
  <c r="N44" i="80"/>
  <c r="L44" i="80"/>
  <c r="F44" i="80"/>
  <c r="B44" i="80"/>
  <c r="Z43" i="80"/>
  <c r="X43" i="80"/>
  <c r="T43" i="80"/>
  <c r="P43" i="80"/>
  <c r="N43" i="80"/>
  <c r="L43" i="80"/>
  <c r="H43" i="80"/>
  <c r="F43" i="80"/>
  <c r="D43" i="80"/>
  <c r="B43" i="80"/>
  <c r="Z42" i="80"/>
  <c r="X42" i="80"/>
  <c r="N42" i="80"/>
  <c r="L42" i="80"/>
  <c r="B42" i="80"/>
  <c r="Z41" i="80"/>
  <c r="X41" i="80"/>
  <c r="T41" i="80"/>
  <c r="P41" i="80"/>
  <c r="H41" i="80"/>
  <c r="D41" i="80"/>
  <c r="B41" i="80"/>
  <c r="Z40" i="80"/>
  <c r="X40" i="80"/>
  <c r="N40" i="80"/>
  <c r="L40" i="80"/>
  <c r="B40" i="80"/>
  <c r="Z39" i="80"/>
  <c r="X39" i="80"/>
  <c r="N39" i="80"/>
  <c r="L39" i="80"/>
  <c r="B39" i="80"/>
  <c r="Z38" i="80"/>
  <c r="X38" i="80"/>
  <c r="L38" i="80"/>
  <c r="N38" i="80" s="1"/>
  <c r="J38" i="80"/>
  <c r="B38" i="80"/>
  <c r="X37" i="80"/>
  <c r="Z37" i="80" s="1"/>
  <c r="N37" i="80"/>
  <c r="L37" i="80"/>
  <c r="B37" i="80"/>
  <c r="Z36" i="80"/>
  <c r="X36" i="80"/>
  <c r="N36" i="80"/>
  <c r="L36" i="80"/>
  <c r="B36" i="80"/>
  <c r="Z35" i="80"/>
  <c r="X35" i="80"/>
  <c r="R35" i="80"/>
  <c r="N35" i="80"/>
  <c r="L35" i="80"/>
  <c r="B35" i="80"/>
  <c r="Z34" i="80"/>
  <c r="X34" i="80"/>
  <c r="N34" i="80"/>
  <c r="L34" i="80"/>
  <c r="J34" i="80"/>
  <c r="B34" i="80"/>
  <c r="Z33" i="80"/>
  <c r="X33" i="80"/>
  <c r="N33" i="80"/>
  <c r="L33" i="80"/>
  <c r="B33" i="80"/>
  <c r="Z32" i="80"/>
  <c r="X32" i="80"/>
  <c r="N32" i="80"/>
  <c r="L32" i="80"/>
  <c r="B32" i="80"/>
  <c r="Z31" i="80"/>
  <c r="X31" i="80"/>
  <c r="L31" i="80"/>
  <c r="N31" i="80" s="1"/>
  <c r="B31" i="80"/>
  <c r="T30" i="80"/>
  <c r="P30" i="80"/>
  <c r="X30" i="80" s="1"/>
  <c r="Z30" i="80" s="1"/>
  <c r="H30" i="80"/>
  <c r="D30" i="80"/>
  <c r="L30" i="80" s="1"/>
  <c r="N30" i="80" s="1"/>
  <c r="B30" i="80"/>
  <c r="X29" i="80"/>
  <c r="Z29" i="80" s="1"/>
  <c r="L29" i="80"/>
  <c r="N29" i="80" s="1"/>
  <c r="F29" i="80"/>
  <c r="B29" i="80"/>
  <c r="X28" i="80"/>
  <c r="Z28" i="80" s="1"/>
  <c r="N28" i="80"/>
  <c r="L28" i="80"/>
  <c r="F28" i="80"/>
  <c r="B28" i="80"/>
  <c r="Z27" i="80"/>
  <c r="X27" i="80"/>
  <c r="N27" i="80"/>
  <c r="L27" i="80"/>
  <c r="F27" i="80"/>
  <c r="B27" i="80"/>
  <c r="X26" i="80"/>
  <c r="Z26" i="80" s="1"/>
  <c r="N26" i="80"/>
  <c r="L26" i="80"/>
  <c r="B26" i="80"/>
  <c r="X25" i="80"/>
  <c r="Z25" i="80" s="1"/>
  <c r="N25" i="80"/>
  <c r="L25" i="80"/>
  <c r="F25" i="80"/>
  <c r="B25" i="80"/>
  <c r="X24" i="80"/>
  <c r="Z24" i="80" s="1"/>
  <c r="N24" i="80"/>
  <c r="L24" i="80"/>
  <c r="F24" i="80"/>
  <c r="B24" i="80"/>
  <c r="X23" i="80"/>
  <c r="Z23" i="80" s="1"/>
  <c r="L23" i="80"/>
  <c r="N23" i="80" s="1"/>
  <c r="F23" i="80"/>
  <c r="B23" i="80"/>
  <c r="X22" i="80"/>
  <c r="Z22" i="80" s="1"/>
  <c r="N22" i="80"/>
  <c r="L22" i="80"/>
  <c r="B22" i="80"/>
  <c r="X21" i="80"/>
  <c r="Z21" i="80" s="1"/>
  <c r="T21" i="80"/>
  <c r="P21" i="80"/>
  <c r="H21" i="80"/>
  <c r="D21" i="80"/>
  <c r="L21" i="80" s="1"/>
  <c r="N21" i="80" s="1"/>
  <c r="B21" i="80"/>
  <c r="Z20" i="80"/>
  <c r="T20" i="80"/>
  <c r="P20" i="80"/>
  <c r="X20" i="80" s="1"/>
  <c r="N20" i="80"/>
  <c r="H20" i="80"/>
  <c r="F20" i="80"/>
  <c r="D20" i="80"/>
  <c r="L20" i="80" s="1"/>
  <c r="R18" i="80"/>
  <c r="F18" i="80"/>
  <c r="Z16" i="80"/>
  <c r="X16" i="80"/>
  <c r="N16" i="80"/>
  <c r="L16" i="80"/>
  <c r="J16" i="80"/>
  <c r="B16" i="80"/>
  <c r="T15" i="80"/>
  <c r="P15" i="80"/>
  <c r="L15" i="80"/>
  <c r="N15" i="80" s="1"/>
  <c r="H15" i="80"/>
  <c r="D15" i="80"/>
  <c r="X13" i="80"/>
  <c r="Z13" i="80" s="1"/>
  <c r="P13" i="80"/>
  <c r="P12" i="80" s="1"/>
  <c r="R49" i="80" s="1"/>
  <c r="N13" i="80"/>
  <c r="L13" i="80"/>
  <c r="D13" i="80"/>
  <c r="B13" i="80"/>
  <c r="T12" i="80"/>
  <c r="V31" i="80" s="1"/>
  <c r="H12" i="80"/>
  <c r="D12" i="80"/>
  <c r="F48" i="80" s="1"/>
  <c r="D6" i="80"/>
  <c r="D4" i="80"/>
  <c r="X84" i="79"/>
  <c r="Z84" i="79" s="1"/>
  <c r="N84" i="79"/>
  <c r="L84" i="79"/>
  <c r="Z80" i="79"/>
  <c r="T80" i="79"/>
  <c r="P80" i="79"/>
  <c r="X80" i="79" s="1"/>
  <c r="N80" i="79"/>
  <c r="H80" i="79"/>
  <c r="D80" i="79"/>
  <c r="L80" i="79" s="1"/>
  <c r="Z78" i="79"/>
  <c r="X78" i="79"/>
  <c r="L78" i="79"/>
  <c r="N78" i="79" s="1"/>
  <c r="J78" i="79"/>
  <c r="B78" i="79"/>
  <c r="T77" i="79"/>
  <c r="P77" i="79"/>
  <c r="H77" i="79"/>
  <c r="D77" i="79"/>
  <c r="L77" i="79" s="1"/>
  <c r="B77" i="79"/>
  <c r="X76" i="79"/>
  <c r="Z76" i="79" s="1"/>
  <c r="N76" i="79"/>
  <c r="L76" i="79"/>
  <c r="B76" i="79"/>
  <c r="X75" i="79"/>
  <c r="Z75" i="79" s="1"/>
  <c r="T75" i="79"/>
  <c r="P75" i="79"/>
  <c r="H75" i="79"/>
  <c r="D75" i="79"/>
  <c r="L75" i="79" s="1"/>
  <c r="N75" i="79" s="1"/>
  <c r="B75" i="79"/>
  <c r="Z74" i="79"/>
  <c r="X74" i="79"/>
  <c r="N74" i="79"/>
  <c r="L74" i="79"/>
  <c r="J74" i="79"/>
  <c r="B74" i="79"/>
  <c r="X73" i="79"/>
  <c r="Z73" i="79" s="1"/>
  <c r="L73" i="79"/>
  <c r="N73" i="79" s="1"/>
  <c r="B73" i="79"/>
  <c r="Z72" i="79"/>
  <c r="X72" i="79"/>
  <c r="R72" i="79"/>
  <c r="N72" i="79"/>
  <c r="L72" i="79"/>
  <c r="B72" i="79"/>
  <c r="Z71" i="79"/>
  <c r="X71" i="79"/>
  <c r="N71" i="79"/>
  <c r="L71" i="79"/>
  <c r="B71" i="79"/>
  <c r="Z70" i="79"/>
  <c r="T70" i="79"/>
  <c r="P70" i="79"/>
  <c r="X70" i="79" s="1"/>
  <c r="H70" i="79"/>
  <c r="D70" i="79"/>
  <c r="B70" i="79"/>
  <c r="Z69" i="79"/>
  <c r="X69" i="79"/>
  <c r="R69" i="79"/>
  <c r="N69" i="79"/>
  <c r="L69" i="79"/>
  <c r="B69" i="79"/>
  <c r="Z68" i="79"/>
  <c r="X68" i="79"/>
  <c r="V68" i="79"/>
  <c r="L68" i="79"/>
  <c r="N68" i="79" s="1"/>
  <c r="B68" i="79"/>
  <c r="Z67" i="79"/>
  <c r="X67" i="79"/>
  <c r="V67" i="79"/>
  <c r="N67" i="79"/>
  <c r="L67" i="79"/>
  <c r="B67" i="79"/>
  <c r="V66" i="79"/>
  <c r="T66" i="79"/>
  <c r="P66" i="79"/>
  <c r="X66" i="79" s="1"/>
  <c r="Z66" i="79" s="1"/>
  <c r="H66" i="79"/>
  <c r="D66" i="79"/>
  <c r="L66" i="79" s="1"/>
  <c r="N66" i="79" s="1"/>
  <c r="B66" i="79"/>
  <c r="X65" i="79"/>
  <c r="Z65" i="79" s="1"/>
  <c r="N65" i="79"/>
  <c r="L65" i="79"/>
  <c r="B65" i="79"/>
  <c r="Z64" i="79"/>
  <c r="X64" i="79"/>
  <c r="N64" i="79"/>
  <c r="L64" i="79"/>
  <c r="B64" i="79"/>
  <c r="X63" i="79"/>
  <c r="Z63" i="79" s="1"/>
  <c r="T63" i="79"/>
  <c r="P63" i="79"/>
  <c r="H63" i="79"/>
  <c r="D63" i="79"/>
  <c r="L63" i="79" s="1"/>
  <c r="N63" i="79" s="1"/>
  <c r="B63" i="79"/>
  <c r="Z62" i="79"/>
  <c r="X62" i="79"/>
  <c r="N62" i="79"/>
  <c r="L62" i="79"/>
  <c r="J62" i="79"/>
  <c r="B62" i="79"/>
  <c r="Z61" i="79"/>
  <c r="X61" i="79"/>
  <c r="N61" i="79"/>
  <c r="L61" i="79"/>
  <c r="B61" i="79"/>
  <c r="Z60" i="79"/>
  <c r="X60" i="79"/>
  <c r="N60" i="79"/>
  <c r="L60" i="79"/>
  <c r="B60" i="79"/>
  <c r="X59" i="79"/>
  <c r="T59" i="79"/>
  <c r="Z59" i="79" s="1"/>
  <c r="P59" i="79"/>
  <c r="H59" i="79"/>
  <c r="N59" i="79" s="1"/>
  <c r="D59" i="79"/>
  <c r="B59" i="79"/>
  <c r="Z58" i="79"/>
  <c r="X58" i="79"/>
  <c r="N58" i="79"/>
  <c r="L58" i="79"/>
  <c r="B58" i="79"/>
  <c r="T57" i="79"/>
  <c r="Z57" i="79" s="1"/>
  <c r="P57" i="79"/>
  <c r="X57" i="79" s="1"/>
  <c r="H57" i="79"/>
  <c r="D57" i="79"/>
  <c r="B57" i="79"/>
  <c r="X56" i="79"/>
  <c r="Z56" i="79" s="1"/>
  <c r="N56" i="79"/>
  <c r="L56" i="79"/>
  <c r="B56" i="79"/>
  <c r="T55" i="79"/>
  <c r="P55" i="79"/>
  <c r="X55" i="79" s="1"/>
  <c r="Z55" i="79" s="1"/>
  <c r="L55" i="79"/>
  <c r="N55" i="79" s="1"/>
  <c r="H55" i="79"/>
  <c r="D55" i="79"/>
  <c r="B55" i="79"/>
  <c r="Z54" i="79"/>
  <c r="X54" i="79"/>
  <c r="N54" i="79"/>
  <c r="L54" i="79"/>
  <c r="B54" i="79"/>
  <c r="Z53" i="79"/>
  <c r="X53" i="79"/>
  <c r="T53" i="79"/>
  <c r="P53" i="79"/>
  <c r="L53" i="79"/>
  <c r="H53" i="79"/>
  <c r="N53" i="79" s="1"/>
  <c r="D53" i="79"/>
  <c r="B53" i="79"/>
  <c r="Z52" i="79"/>
  <c r="X52" i="79"/>
  <c r="L52" i="79"/>
  <c r="N52" i="79" s="1"/>
  <c r="J52" i="79"/>
  <c r="B52" i="79"/>
  <c r="T51" i="79"/>
  <c r="P51" i="79"/>
  <c r="H51" i="79"/>
  <c r="D51" i="79"/>
  <c r="L51" i="79" s="1"/>
  <c r="B51" i="79"/>
  <c r="X50" i="79"/>
  <c r="Z50" i="79" s="1"/>
  <c r="V50" i="79"/>
  <c r="N50" i="79"/>
  <c r="L50" i="79"/>
  <c r="B50" i="79"/>
  <c r="X49" i="79"/>
  <c r="Z49" i="79" s="1"/>
  <c r="T49" i="79"/>
  <c r="R49" i="79"/>
  <c r="P49" i="79"/>
  <c r="H49" i="79"/>
  <c r="D49" i="79"/>
  <c r="L49" i="79" s="1"/>
  <c r="N49" i="79" s="1"/>
  <c r="B49" i="79"/>
  <c r="Z48" i="79"/>
  <c r="X48" i="79"/>
  <c r="N48" i="79"/>
  <c r="L48" i="79"/>
  <c r="B48" i="79"/>
  <c r="X47" i="79"/>
  <c r="T47" i="79"/>
  <c r="Z47" i="79" s="1"/>
  <c r="P47" i="79"/>
  <c r="N47" i="79"/>
  <c r="H47" i="79"/>
  <c r="L47" i="79" s="1"/>
  <c r="D47" i="79"/>
  <c r="B47" i="79"/>
  <c r="Z46" i="79"/>
  <c r="X46" i="79"/>
  <c r="V46" i="79"/>
  <c r="N46" i="79"/>
  <c r="L46" i="79"/>
  <c r="B46" i="79"/>
  <c r="T45" i="79"/>
  <c r="Z45" i="79" s="1"/>
  <c r="P45" i="79"/>
  <c r="H45" i="79"/>
  <c r="N45" i="79" s="1"/>
  <c r="D45" i="79"/>
  <c r="L45" i="79" s="1"/>
  <c r="B45" i="79"/>
  <c r="Z44" i="79"/>
  <c r="X44" i="79"/>
  <c r="V44" i="79"/>
  <c r="N44" i="79"/>
  <c r="L44" i="79"/>
  <c r="B44" i="79"/>
  <c r="Z43" i="79"/>
  <c r="X43" i="79"/>
  <c r="N43" i="79"/>
  <c r="L43" i="79"/>
  <c r="B43" i="79"/>
  <c r="X42" i="79"/>
  <c r="Z42" i="79" s="1"/>
  <c r="V42" i="79"/>
  <c r="N42" i="79"/>
  <c r="L42" i="79"/>
  <c r="B42" i="79"/>
  <c r="X41" i="79"/>
  <c r="Z41" i="79" s="1"/>
  <c r="N41" i="79"/>
  <c r="L41" i="79"/>
  <c r="B41" i="79"/>
  <c r="Z40" i="79"/>
  <c r="X40" i="79"/>
  <c r="V40" i="79"/>
  <c r="N40" i="79"/>
  <c r="L40" i="79"/>
  <c r="B40" i="79"/>
  <c r="Z39" i="79"/>
  <c r="X39" i="79"/>
  <c r="N39" i="79"/>
  <c r="L39" i="79"/>
  <c r="B39" i="79"/>
  <c r="Z38" i="79"/>
  <c r="X38" i="79"/>
  <c r="V38" i="79"/>
  <c r="N38" i="79"/>
  <c r="L38" i="79"/>
  <c r="B38" i="79"/>
  <c r="Z37" i="79"/>
  <c r="X37" i="79"/>
  <c r="N37" i="79"/>
  <c r="L37" i="79"/>
  <c r="B37" i="79"/>
  <c r="Z36" i="79"/>
  <c r="X36" i="79"/>
  <c r="N36" i="79"/>
  <c r="L36" i="79"/>
  <c r="B36" i="79"/>
  <c r="X35" i="79"/>
  <c r="Z35" i="79" s="1"/>
  <c r="L35" i="79"/>
  <c r="N35" i="79" s="1"/>
  <c r="B35" i="79"/>
  <c r="X34" i="79"/>
  <c r="V34" i="79"/>
  <c r="T34" i="79"/>
  <c r="P34" i="79"/>
  <c r="L34" i="79"/>
  <c r="H34" i="79"/>
  <c r="D34" i="79"/>
  <c r="B34" i="79"/>
  <c r="Z33" i="79"/>
  <c r="X33" i="79"/>
  <c r="R33" i="79"/>
  <c r="L33" i="79"/>
  <c r="N33" i="79" s="1"/>
  <c r="B33" i="79"/>
  <c r="Z32" i="79"/>
  <c r="X32" i="79"/>
  <c r="N32" i="79"/>
  <c r="L32" i="79"/>
  <c r="J32" i="79"/>
  <c r="B32" i="79"/>
  <c r="Z31" i="79"/>
  <c r="X31" i="79"/>
  <c r="N31" i="79"/>
  <c r="L31" i="79"/>
  <c r="B31" i="79"/>
  <c r="Z30" i="79"/>
  <c r="X30" i="79"/>
  <c r="N30" i="79"/>
  <c r="L30" i="79"/>
  <c r="B30" i="79"/>
  <c r="Z29" i="79"/>
  <c r="X29" i="79"/>
  <c r="R29" i="79"/>
  <c r="L29" i="79"/>
  <c r="N29" i="79" s="1"/>
  <c r="B29" i="79"/>
  <c r="Z28" i="79"/>
  <c r="X28" i="79"/>
  <c r="N28" i="79"/>
  <c r="L28" i="79"/>
  <c r="B28" i="79"/>
  <c r="Z27" i="79"/>
  <c r="X27" i="79"/>
  <c r="V27" i="79"/>
  <c r="R27" i="79"/>
  <c r="N27" i="79"/>
  <c r="L27" i="79"/>
  <c r="J27" i="79"/>
  <c r="B27" i="79"/>
  <c r="Z26" i="79"/>
  <c r="X26" i="79"/>
  <c r="N26" i="79"/>
  <c r="L26" i="79"/>
  <c r="B26" i="79"/>
  <c r="Z25" i="79"/>
  <c r="T25" i="79"/>
  <c r="X25" i="79" s="1"/>
  <c r="P25" i="79"/>
  <c r="L25" i="79"/>
  <c r="N25" i="79" s="1"/>
  <c r="H25" i="79"/>
  <c r="D25" i="79"/>
  <c r="B25" i="79"/>
  <c r="V24" i="79"/>
  <c r="T24" i="79"/>
  <c r="P24" i="79"/>
  <c r="X24" i="79" s="1"/>
  <c r="Z24" i="79" s="1"/>
  <c r="H24" i="79"/>
  <c r="D24" i="79"/>
  <c r="L24" i="79" s="1"/>
  <c r="N24" i="79" s="1"/>
  <c r="Z20" i="79"/>
  <c r="X20" i="79"/>
  <c r="V20" i="79"/>
  <c r="N20" i="79"/>
  <c r="L20" i="79"/>
  <c r="B20" i="79"/>
  <c r="Z19" i="79"/>
  <c r="X19" i="79"/>
  <c r="V19" i="79"/>
  <c r="R19" i="79"/>
  <c r="N19" i="79"/>
  <c r="L19" i="79"/>
  <c r="B19" i="79"/>
  <c r="Z18" i="79"/>
  <c r="X18" i="79"/>
  <c r="V18" i="79"/>
  <c r="L18" i="79"/>
  <c r="N18" i="79" s="1"/>
  <c r="J18" i="79"/>
  <c r="B18" i="79"/>
  <c r="T17" i="79"/>
  <c r="P17" i="79"/>
  <c r="H17" i="79"/>
  <c r="D17" i="79"/>
  <c r="L17" i="79" s="1"/>
  <c r="N17" i="79" s="1"/>
  <c r="Z15" i="79"/>
  <c r="P15" i="79"/>
  <c r="X15" i="79" s="1"/>
  <c r="N15" i="79"/>
  <c r="L15" i="79"/>
  <c r="D15" i="79"/>
  <c r="D12" i="79" s="1"/>
  <c r="B15" i="79"/>
  <c r="X14" i="79"/>
  <c r="Z14" i="79" s="1"/>
  <c r="P14" i="79"/>
  <c r="L14" i="79"/>
  <c r="N14" i="79" s="1"/>
  <c r="D14" i="79"/>
  <c r="B14" i="79"/>
  <c r="Z13" i="79"/>
  <c r="P13" i="79"/>
  <c r="P12" i="79" s="1"/>
  <c r="R67" i="79" s="1"/>
  <c r="N13" i="79"/>
  <c r="L13" i="79"/>
  <c r="D13" i="79"/>
  <c r="B13" i="79"/>
  <c r="T12" i="79"/>
  <c r="H12" i="79"/>
  <c r="J58" i="79" s="1"/>
  <c r="D6" i="79"/>
  <c r="D4" i="79"/>
  <c r="X77" i="78"/>
  <c r="Z77" i="78" s="1"/>
  <c r="N77" i="78"/>
  <c r="L77" i="78"/>
  <c r="Z73" i="78"/>
  <c r="X73" i="78"/>
  <c r="P73" i="78"/>
  <c r="N73" i="78"/>
  <c r="L73" i="78"/>
  <c r="D73" i="78"/>
  <c r="B73" i="78"/>
  <c r="X72" i="78"/>
  <c r="Z72" i="78" s="1"/>
  <c r="P72" i="78"/>
  <c r="L72" i="78"/>
  <c r="N72" i="78" s="1"/>
  <c r="D72" i="78"/>
  <c r="B72" i="78"/>
  <c r="Z71" i="78"/>
  <c r="P71" i="78"/>
  <c r="X71" i="78" s="1"/>
  <c r="N71" i="78"/>
  <c r="D71" i="78"/>
  <c r="L71" i="78" s="1"/>
  <c r="B71" i="78"/>
  <c r="Z70" i="78"/>
  <c r="P70" i="78"/>
  <c r="X70" i="78" s="1"/>
  <c r="N70" i="78"/>
  <c r="L70" i="78"/>
  <c r="D70" i="78"/>
  <c r="B70" i="78"/>
  <c r="Z69" i="78"/>
  <c r="X69" i="78"/>
  <c r="P69" i="78"/>
  <c r="N69" i="78"/>
  <c r="J69" i="78"/>
  <c r="D69" i="78"/>
  <c r="B69" i="78"/>
  <c r="T68" i="78"/>
  <c r="H68" i="78"/>
  <c r="Z66" i="78"/>
  <c r="X66" i="78"/>
  <c r="N66" i="78"/>
  <c r="L66" i="78"/>
  <c r="B66" i="78"/>
  <c r="X65" i="78"/>
  <c r="T65" i="78"/>
  <c r="Z65" i="78" s="1"/>
  <c r="P65" i="78"/>
  <c r="N65" i="78"/>
  <c r="L65" i="78"/>
  <c r="H65" i="78"/>
  <c r="D65" i="78"/>
  <c r="B65" i="78"/>
  <c r="X64" i="78"/>
  <c r="Z64" i="78" s="1"/>
  <c r="N64" i="78"/>
  <c r="L64" i="78"/>
  <c r="B64" i="78"/>
  <c r="Z63" i="78"/>
  <c r="X63" i="78"/>
  <c r="N63" i="78"/>
  <c r="L63" i="78"/>
  <c r="B63" i="78"/>
  <c r="X62" i="78"/>
  <c r="Z62" i="78" s="1"/>
  <c r="T62" i="78"/>
  <c r="P62" i="78"/>
  <c r="L62" i="78"/>
  <c r="J62" i="78"/>
  <c r="H62" i="78"/>
  <c r="N62" i="78" s="1"/>
  <c r="D62" i="78"/>
  <c r="B62" i="78"/>
  <c r="X61" i="78"/>
  <c r="Z61" i="78" s="1"/>
  <c r="L61" i="78"/>
  <c r="N61" i="78" s="1"/>
  <c r="J61" i="78"/>
  <c r="B61" i="78"/>
  <c r="Z60" i="78"/>
  <c r="T60" i="78"/>
  <c r="X60" i="78" s="1"/>
  <c r="P60" i="78"/>
  <c r="H60" i="78"/>
  <c r="D60" i="78"/>
  <c r="L60" i="78" s="1"/>
  <c r="B60" i="78"/>
  <c r="Z59" i="78"/>
  <c r="X59" i="78"/>
  <c r="L59" i="78"/>
  <c r="N59" i="78" s="1"/>
  <c r="B59" i="78"/>
  <c r="Z58" i="78"/>
  <c r="X58" i="78"/>
  <c r="T58" i="78"/>
  <c r="P58" i="78"/>
  <c r="H58" i="78"/>
  <c r="D58" i="78"/>
  <c r="L58" i="78" s="1"/>
  <c r="N58" i="78" s="1"/>
  <c r="B58" i="78"/>
  <c r="Z57" i="78"/>
  <c r="X57" i="78"/>
  <c r="N57" i="78"/>
  <c r="L57" i="78"/>
  <c r="B57" i="78"/>
  <c r="X56" i="78"/>
  <c r="Z56" i="78" s="1"/>
  <c r="N56" i="78"/>
  <c r="L56" i="78"/>
  <c r="B56" i="78"/>
  <c r="T55" i="78"/>
  <c r="Z55" i="78" s="1"/>
  <c r="P55" i="78"/>
  <c r="X55" i="78" s="1"/>
  <c r="L55" i="78"/>
  <c r="N55" i="78" s="1"/>
  <c r="H55" i="78"/>
  <c r="D55" i="78"/>
  <c r="B55" i="78"/>
  <c r="Z54" i="78"/>
  <c r="X54" i="78"/>
  <c r="N54" i="78"/>
  <c r="L54" i="78"/>
  <c r="J54" i="78"/>
  <c r="B54" i="78"/>
  <c r="X53" i="78"/>
  <c r="T53" i="78"/>
  <c r="Z53" i="78" s="1"/>
  <c r="P53" i="78"/>
  <c r="H53" i="78"/>
  <c r="D53" i="78"/>
  <c r="B53" i="78"/>
  <c r="Z52" i="78"/>
  <c r="X52" i="78"/>
  <c r="N52" i="78"/>
  <c r="L52" i="78"/>
  <c r="J52" i="78"/>
  <c r="B52" i="78"/>
  <c r="T51" i="78"/>
  <c r="P51" i="78"/>
  <c r="X51" i="78" s="1"/>
  <c r="H51" i="78"/>
  <c r="D51" i="78"/>
  <c r="L51" i="78" s="1"/>
  <c r="B51" i="78"/>
  <c r="Z50" i="78"/>
  <c r="X50" i="78"/>
  <c r="N50" i="78"/>
  <c r="L50" i="78"/>
  <c r="B50" i="78"/>
  <c r="Z49" i="78"/>
  <c r="X49" i="78"/>
  <c r="N49" i="78"/>
  <c r="L49" i="78"/>
  <c r="B49" i="78"/>
  <c r="Z48" i="78"/>
  <c r="X48" i="78"/>
  <c r="N48" i="78"/>
  <c r="L48" i="78"/>
  <c r="B48" i="78"/>
  <c r="X47" i="78"/>
  <c r="Z47" i="78" s="1"/>
  <c r="L47" i="78"/>
  <c r="N47" i="78" s="1"/>
  <c r="B47" i="78"/>
  <c r="Z46" i="78"/>
  <c r="X46" i="78"/>
  <c r="N46" i="78"/>
  <c r="L46" i="78"/>
  <c r="B46" i="78"/>
  <c r="Z45" i="78"/>
  <c r="X45" i="78"/>
  <c r="N45" i="78"/>
  <c r="L45" i="78"/>
  <c r="B45" i="78"/>
  <c r="Z44" i="78"/>
  <c r="X44" i="78"/>
  <c r="V44" i="78"/>
  <c r="N44" i="78"/>
  <c r="L44" i="78"/>
  <c r="B44" i="78"/>
  <c r="Z43" i="78"/>
  <c r="X43" i="78"/>
  <c r="N43" i="78"/>
  <c r="L43" i="78"/>
  <c r="B43" i="78"/>
  <c r="X42" i="78"/>
  <c r="Z42" i="78" s="1"/>
  <c r="N42" i="78"/>
  <c r="L42" i="78"/>
  <c r="B42" i="78"/>
  <c r="Z41" i="78"/>
  <c r="X41" i="78"/>
  <c r="N41" i="78"/>
  <c r="L41" i="78"/>
  <c r="B41" i="78"/>
  <c r="X40" i="78"/>
  <c r="T40" i="78"/>
  <c r="Z40" i="78" s="1"/>
  <c r="P40" i="78"/>
  <c r="L40" i="78"/>
  <c r="N40" i="78" s="1"/>
  <c r="H40" i="78"/>
  <c r="D40" i="78"/>
  <c r="B40" i="78"/>
  <c r="X39" i="78"/>
  <c r="Z39" i="78" s="1"/>
  <c r="N39" i="78"/>
  <c r="L39" i="78"/>
  <c r="B39" i="78"/>
  <c r="Z38" i="78"/>
  <c r="X38" i="78"/>
  <c r="N38" i="78"/>
  <c r="L38" i="78"/>
  <c r="J38" i="78"/>
  <c r="B38" i="78"/>
  <c r="Z37" i="78"/>
  <c r="X37" i="78"/>
  <c r="N37" i="78"/>
  <c r="L37" i="78"/>
  <c r="J37" i="78"/>
  <c r="B37" i="78"/>
  <c r="Z36" i="78"/>
  <c r="X36" i="78"/>
  <c r="N36" i="78"/>
  <c r="L36" i="78"/>
  <c r="B36" i="78"/>
  <c r="X35" i="78"/>
  <c r="Z35" i="78" s="1"/>
  <c r="N35" i="78"/>
  <c r="L35" i="78"/>
  <c r="B35" i="78"/>
  <c r="Z34" i="78"/>
  <c r="X34" i="78"/>
  <c r="N34" i="78"/>
  <c r="L34" i="78"/>
  <c r="J34" i="78"/>
  <c r="B34" i="78"/>
  <c r="X33" i="78"/>
  <c r="Z33" i="78" s="1"/>
  <c r="L33" i="78"/>
  <c r="N33" i="78" s="1"/>
  <c r="J33" i="78"/>
  <c r="B33" i="78"/>
  <c r="Z32" i="78"/>
  <c r="X32" i="78"/>
  <c r="N32" i="78"/>
  <c r="L32" i="78"/>
  <c r="B32" i="78"/>
  <c r="X31" i="78"/>
  <c r="T31" i="78"/>
  <c r="P31" i="78"/>
  <c r="L31" i="78"/>
  <c r="H31" i="78"/>
  <c r="N31" i="78" s="1"/>
  <c r="D31" i="78"/>
  <c r="B31" i="78"/>
  <c r="Z30" i="78"/>
  <c r="X30" i="78"/>
  <c r="V30" i="78"/>
  <c r="T30" i="78"/>
  <c r="P30" i="78"/>
  <c r="H30" i="78"/>
  <c r="D30" i="78"/>
  <c r="L30" i="78" s="1"/>
  <c r="N30" i="78" s="1"/>
  <c r="Z26" i="78"/>
  <c r="X26" i="78"/>
  <c r="N26" i="78"/>
  <c r="L26" i="78"/>
  <c r="B26" i="78"/>
  <c r="Z25" i="78"/>
  <c r="X25" i="78"/>
  <c r="N25" i="78"/>
  <c r="L25" i="78"/>
  <c r="B25" i="78"/>
  <c r="Z24" i="78"/>
  <c r="X24" i="78"/>
  <c r="N24" i="78"/>
  <c r="L24" i="78"/>
  <c r="J24" i="78"/>
  <c r="B24" i="78"/>
  <c r="Z23" i="78"/>
  <c r="X23" i="78"/>
  <c r="N23" i="78"/>
  <c r="L23" i="78"/>
  <c r="B23" i="78"/>
  <c r="Z22" i="78"/>
  <c r="X22" i="78"/>
  <c r="N22" i="78"/>
  <c r="L22" i="78"/>
  <c r="B22" i="78"/>
  <c r="X21" i="78"/>
  <c r="Z21" i="78" s="1"/>
  <c r="L21" i="78"/>
  <c r="N21" i="78" s="1"/>
  <c r="B21" i="78"/>
  <c r="T20" i="78"/>
  <c r="P20" i="78"/>
  <c r="X20" i="78" s="1"/>
  <c r="Z20" i="78" s="1"/>
  <c r="N20" i="78"/>
  <c r="L20" i="78"/>
  <c r="J20" i="78"/>
  <c r="H20" i="78"/>
  <c r="D20" i="78"/>
  <c r="Z18" i="78"/>
  <c r="P18" i="78"/>
  <c r="X18" i="78" s="1"/>
  <c r="N18" i="78"/>
  <c r="D18" i="78"/>
  <c r="L18" i="78" s="1"/>
  <c r="B18" i="78"/>
  <c r="Z17" i="78"/>
  <c r="X17" i="78"/>
  <c r="P17" i="78"/>
  <c r="N17" i="78"/>
  <c r="D17" i="78"/>
  <c r="L17" i="78" s="1"/>
  <c r="B17" i="78"/>
  <c r="P16" i="78"/>
  <c r="X16" i="78" s="1"/>
  <c r="Z16" i="78" s="1"/>
  <c r="L16" i="78"/>
  <c r="N16" i="78" s="1"/>
  <c r="D16" i="78"/>
  <c r="B16" i="78"/>
  <c r="Z15" i="78"/>
  <c r="P15" i="78"/>
  <c r="X15" i="78" s="1"/>
  <c r="N15" i="78"/>
  <c r="D15" i="78"/>
  <c r="L15" i="78" s="1"/>
  <c r="B15" i="78"/>
  <c r="Z14" i="78"/>
  <c r="P14" i="78"/>
  <c r="N14" i="78"/>
  <c r="L14" i="78"/>
  <c r="D14" i="78"/>
  <c r="B14" i="78"/>
  <c r="X13" i="78"/>
  <c r="Z13" i="78" s="1"/>
  <c r="P13" i="78"/>
  <c r="D13" i="78"/>
  <c r="D12" i="78" s="1"/>
  <c r="F62" i="78" s="1"/>
  <c r="B13" i="78"/>
  <c r="T12" i="78"/>
  <c r="V48" i="78" s="1"/>
  <c r="H12" i="78"/>
  <c r="J72" i="78" s="1"/>
  <c r="D6" i="78"/>
  <c r="D4" i="78"/>
  <c r="X117" i="76"/>
  <c r="Z117" i="76" s="1"/>
  <c r="N117" i="76"/>
  <c r="L117" i="76"/>
  <c r="Z113" i="76"/>
  <c r="X113" i="76"/>
  <c r="P113" i="76"/>
  <c r="L113" i="76"/>
  <c r="N113" i="76" s="1"/>
  <c r="D113" i="76"/>
  <c r="B113" i="76"/>
  <c r="Z112" i="76"/>
  <c r="X112" i="76"/>
  <c r="P112" i="76"/>
  <c r="N112" i="76"/>
  <c r="L112" i="76"/>
  <c r="D112" i="76"/>
  <c r="B112" i="76"/>
  <c r="Z111" i="76"/>
  <c r="V111" i="76"/>
  <c r="P111" i="76"/>
  <c r="N111" i="76"/>
  <c r="L111" i="76"/>
  <c r="D111" i="76"/>
  <c r="B111" i="76"/>
  <c r="Z110" i="76"/>
  <c r="P110" i="76"/>
  <c r="X110" i="76" s="1"/>
  <c r="N110" i="76"/>
  <c r="D110" i="76"/>
  <c r="L110" i="76" s="1"/>
  <c r="B110" i="76"/>
  <c r="T109" i="76"/>
  <c r="H109" i="76"/>
  <c r="Z107" i="76"/>
  <c r="X107" i="76"/>
  <c r="N107" i="76"/>
  <c r="L107" i="76"/>
  <c r="J107" i="76"/>
  <c r="B107" i="76"/>
  <c r="Z106" i="76"/>
  <c r="X106" i="76"/>
  <c r="T106" i="76"/>
  <c r="P106" i="76"/>
  <c r="L106" i="76"/>
  <c r="H106" i="76"/>
  <c r="N106" i="76" s="1"/>
  <c r="D106" i="76"/>
  <c r="B106" i="76"/>
  <c r="Z105" i="76"/>
  <c r="X105" i="76"/>
  <c r="L105" i="76"/>
  <c r="N105" i="76" s="1"/>
  <c r="J105" i="76"/>
  <c r="B105" i="76"/>
  <c r="T104" i="76"/>
  <c r="Z104" i="76" s="1"/>
  <c r="P104" i="76"/>
  <c r="X104" i="76" s="1"/>
  <c r="H104" i="76"/>
  <c r="D104" i="76"/>
  <c r="L104" i="76" s="1"/>
  <c r="B104" i="76"/>
  <c r="Z103" i="76"/>
  <c r="X103" i="76"/>
  <c r="N103" i="76"/>
  <c r="L103" i="76"/>
  <c r="B103" i="76"/>
  <c r="X102" i="76"/>
  <c r="Z102" i="76" s="1"/>
  <c r="L102" i="76"/>
  <c r="N102" i="76" s="1"/>
  <c r="B102" i="76"/>
  <c r="X101" i="76"/>
  <c r="T101" i="76"/>
  <c r="Z101" i="76" s="1"/>
  <c r="P101" i="76"/>
  <c r="L101" i="76"/>
  <c r="N101" i="76" s="1"/>
  <c r="H101" i="76"/>
  <c r="D101" i="76"/>
  <c r="B101" i="76"/>
  <c r="Z100" i="76"/>
  <c r="X100" i="76"/>
  <c r="N100" i="76"/>
  <c r="L100" i="76"/>
  <c r="B100" i="76"/>
  <c r="Z99" i="76"/>
  <c r="X99" i="76"/>
  <c r="N99" i="76"/>
  <c r="L99" i="76"/>
  <c r="J99" i="76"/>
  <c r="B99" i="76"/>
  <c r="X98" i="76"/>
  <c r="Z98" i="76" s="1"/>
  <c r="T98" i="76"/>
  <c r="P98" i="76"/>
  <c r="L98" i="76"/>
  <c r="H98" i="76"/>
  <c r="D98" i="76"/>
  <c r="B98" i="76"/>
  <c r="Z97" i="76"/>
  <c r="X97" i="76"/>
  <c r="N97" i="76"/>
  <c r="L97" i="76"/>
  <c r="J97" i="76"/>
  <c r="B97" i="76"/>
  <c r="T96" i="76"/>
  <c r="Z96" i="76" s="1"/>
  <c r="P96" i="76"/>
  <c r="X96" i="76" s="1"/>
  <c r="H96" i="76"/>
  <c r="D96" i="76"/>
  <c r="B96" i="76"/>
  <c r="Z95" i="76"/>
  <c r="X95" i="76"/>
  <c r="N95" i="76"/>
  <c r="L95" i="76"/>
  <c r="B95" i="76"/>
  <c r="Z94" i="76"/>
  <c r="X94" i="76"/>
  <c r="T94" i="76"/>
  <c r="P94" i="76"/>
  <c r="H94" i="76"/>
  <c r="N94" i="76" s="1"/>
  <c r="D94" i="76"/>
  <c r="L94" i="76" s="1"/>
  <c r="B94" i="76"/>
  <c r="Z93" i="76"/>
  <c r="X93" i="76"/>
  <c r="N93" i="76"/>
  <c r="L93" i="76"/>
  <c r="B93" i="76"/>
  <c r="X92" i="76"/>
  <c r="T92" i="76"/>
  <c r="Z92" i="76" s="1"/>
  <c r="P92" i="76"/>
  <c r="N92" i="76"/>
  <c r="L92" i="76"/>
  <c r="H92" i="76"/>
  <c r="D92" i="76"/>
  <c r="B92" i="76"/>
  <c r="Z91" i="76"/>
  <c r="X91" i="76"/>
  <c r="L91" i="76"/>
  <c r="N91" i="76" s="1"/>
  <c r="B91" i="76"/>
  <c r="T90" i="76"/>
  <c r="P90" i="76"/>
  <c r="X90" i="76" s="1"/>
  <c r="H90" i="76"/>
  <c r="D90" i="76"/>
  <c r="L90" i="76" s="1"/>
  <c r="B90" i="76"/>
  <c r="X89" i="76"/>
  <c r="Z89" i="76" s="1"/>
  <c r="N89" i="76"/>
  <c r="L89" i="76"/>
  <c r="B89" i="76"/>
  <c r="T88" i="76"/>
  <c r="Z88" i="76" s="1"/>
  <c r="P88" i="76"/>
  <c r="X88" i="76" s="1"/>
  <c r="L88" i="76"/>
  <c r="N88" i="76" s="1"/>
  <c r="H88" i="76"/>
  <c r="D88" i="76"/>
  <c r="B88" i="76"/>
  <c r="Z87" i="76"/>
  <c r="X87" i="76"/>
  <c r="N87" i="76"/>
  <c r="L87" i="76"/>
  <c r="J87" i="76"/>
  <c r="B87" i="76"/>
  <c r="X86" i="76"/>
  <c r="Z86" i="76" s="1"/>
  <c r="T86" i="76"/>
  <c r="P86" i="76"/>
  <c r="H86" i="76"/>
  <c r="D86" i="76"/>
  <c r="B86" i="76"/>
  <c r="Z85" i="76"/>
  <c r="X85" i="76"/>
  <c r="N85" i="76"/>
  <c r="L85" i="76"/>
  <c r="J85" i="76"/>
  <c r="B85" i="76"/>
  <c r="T84" i="76"/>
  <c r="Z84" i="76" s="1"/>
  <c r="P84" i="76"/>
  <c r="X84" i="76" s="1"/>
  <c r="H84" i="76"/>
  <c r="D84" i="76"/>
  <c r="L84" i="76" s="1"/>
  <c r="B84" i="76"/>
  <c r="X83" i="76"/>
  <c r="Z83" i="76" s="1"/>
  <c r="N83" i="76"/>
  <c r="L83" i="76"/>
  <c r="B83" i="76"/>
  <c r="X82" i="76"/>
  <c r="Z82" i="76" s="1"/>
  <c r="T82" i="76"/>
  <c r="P82" i="76"/>
  <c r="H82" i="76"/>
  <c r="N82" i="76" s="1"/>
  <c r="D82" i="76"/>
  <c r="L82" i="76" s="1"/>
  <c r="B82" i="76"/>
  <c r="Z81" i="76"/>
  <c r="X81" i="76"/>
  <c r="N81" i="76"/>
  <c r="L81" i="76"/>
  <c r="B81" i="76"/>
  <c r="Z80" i="76"/>
  <c r="X80" i="76"/>
  <c r="N80" i="76"/>
  <c r="L80" i="76"/>
  <c r="B80" i="76"/>
  <c r="Z79" i="76"/>
  <c r="X79" i="76"/>
  <c r="N79" i="76"/>
  <c r="L79" i="76"/>
  <c r="J79" i="76"/>
  <c r="B79" i="76"/>
  <c r="X78" i="76"/>
  <c r="Z78" i="76" s="1"/>
  <c r="N78" i="76"/>
  <c r="L78" i="76"/>
  <c r="J78" i="76"/>
  <c r="B78" i="76"/>
  <c r="Z77" i="76"/>
  <c r="X77" i="76"/>
  <c r="N77" i="76"/>
  <c r="L77" i="76"/>
  <c r="B77" i="76"/>
  <c r="Z76" i="76"/>
  <c r="X76" i="76"/>
  <c r="N76" i="76"/>
  <c r="L76" i="76"/>
  <c r="B76" i="76"/>
  <c r="Z75" i="76"/>
  <c r="X75" i="76"/>
  <c r="N75" i="76"/>
  <c r="L75" i="76"/>
  <c r="J75" i="76"/>
  <c r="B75" i="76"/>
  <c r="Z74" i="76"/>
  <c r="X74" i="76"/>
  <c r="N74" i="76"/>
  <c r="L74" i="76"/>
  <c r="J74" i="76"/>
  <c r="B74" i="76"/>
  <c r="Z73" i="76"/>
  <c r="X73" i="76"/>
  <c r="N73" i="76"/>
  <c r="L73" i="76"/>
  <c r="B73" i="76"/>
  <c r="X72" i="76"/>
  <c r="Z72" i="76" s="1"/>
  <c r="N72" i="76"/>
  <c r="L72" i="76"/>
  <c r="B72" i="76"/>
  <c r="T71" i="76"/>
  <c r="P71" i="76"/>
  <c r="X71" i="76" s="1"/>
  <c r="H71" i="76"/>
  <c r="L71" i="76" s="1"/>
  <c r="N71" i="76" s="1"/>
  <c r="D71" i="76"/>
  <c r="B71" i="76"/>
  <c r="Z70" i="76"/>
  <c r="X70" i="76"/>
  <c r="N70" i="76"/>
  <c r="L70" i="76"/>
  <c r="B70" i="76"/>
  <c r="Z69" i="76"/>
  <c r="X69" i="76"/>
  <c r="L69" i="76"/>
  <c r="N69" i="76" s="1"/>
  <c r="J69" i="76"/>
  <c r="B69" i="76"/>
  <c r="Z68" i="76"/>
  <c r="X68" i="76"/>
  <c r="L68" i="76"/>
  <c r="N68" i="76" s="1"/>
  <c r="B68" i="76"/>
  <c r="Z67" i="76"/>
  <c r="X67" i="76"/>
  <c r="V67" i="76"/>
  <c r="N67" i="76"/>
  <c r="L67" i="76"/>
  <c r="J67" i="76"/>
  <c r="B67" i="76"/>
  <c r="Z66" i="76"/>
  <c r="X66" i="76"/>
  <c r="N66" i="76"/>
  <c r="L66" i="76"/>
  <c r="B66" i="76"/>
  <c r="Z65" i="76"/>
  <c r="X65" i="76"/>
  <c r="L65" i="76"/>
  <c r="N65" i="76" s="1"/>
  <c r="J65" i="76"/>
  <c r="B65" i="76"/>
  <c r="Z64" i="76"/>
  <c r="X64" i="76"/>
  <c r="L64" i="76"/>
  <c r="N64" i="76" s="1"/>
  <c r="B64" i="76"/>
  <c r="Z63" i="76"/>
  <c r="X63" i="76"/>
  <c r="L63" i="76"/>
  <c r="N63" i="76" s="1"/>
  <c r="J63" i="76"/>
  <c r="B63" i="76"/>
  <c r="X62" i="76"/>
  <c r="Z62" i="76" s="1"/>
  <c r="L62" i="76"/>
  <c r="N62" i="76" s="1"/>
  <c r="B62" i="76"/>
  <c r="Z61" i="76"/>
  <c r="X61" i="76"/>
  <c r="L61" i="76"/>
  <c r="N61" i="76" s="1"/>
  <c r="J61" i="76"/>
  <c r="B61" i="76"/>
  <c r="T60" i="76"/>
  <c r="Z60" i="76" s="1"/>
  <c r="P60" i="76"/>
  <c r="X60" i="76" s="1"/>
  <c r="J60" i="76"/>
  <c r="H60" i="76"/>
  <c r="D60" i="76"/>
  <c r="L60" i="76" s="1"/>
  <c r="B60" i="76"/>
  <c r="X59" i="76"/>
  <c r="T59" i="76"/>
  <c r="Z59" i="76" s="1"/>
  <c r="P59" i="76"/>
  <c r="L59" i="76"/>
  <c r="J59" i="76"/>
  <c r="H59" i="76"/>
  <c r="N59" i="76" s="1"/>
  <c r="D59" i="76"/>
  <c r="Z55" i="76"/>
  <c r="X55" i="76"/>
  <c r="N55" i="76"/>
  <c r="L55" i="76"/>
  <c r="B55" i="76"/>
  <c r="Z54" i="76"/>
  <c r="X54" i="76"/>
  <c r="N54" i="76"/>
  <c r="L54" i="76"/>
  <c r="B54" i="76"/>
  <c r="Z53" i="76"/>
  <c r="X53" i="76"/>
  <c r="N53" i="76"/>
  <c r="L53" i="76"/>
  <c r="B53" i="76"/>
  <c r="Z52" i="76"/>
  <c r="X52" i="76"/>
  <c r="N52" i="76"/>
  <c r="L52" i="76"/>
  <c r="B52" i="76"/>
  <c r="Z51" i="76"/>
  <c r="X51" i="76"/>
  <c r="N51" i="76"/>
  <c r="L51" i="76"/>
  <c r="B51" i="76"/>
  <c r="Z50" i="76"/>
  <c r="X50" i="76"/>
  <c r="N50" i="76"/>
  <c r="L50" i="76"/>
  <c r="B50" i="76"/>
  <c r="Z49" i="76"/>
  <c r="X49" i="76"/>
  <c r="N49" i="76"/>
  <c r="L49" i="76"/>
  <c r="B49" i="76"/>
  <c r="Z48" i="76"/>
  <c r="X48" i="76"/>
  <c r="N48" i="76"/>
  <c r="L48" i="76"/>
  <c r="J48" i="76"/>
  <c r="B48" i="76"/>
  <c r="Z47" i="76"/>
  <c r="X47" i="76"/>
  <c r="N47" i="76"/>
  <c r="L47" i="76"/>
  <c r="B47" i="76"/>
  <c r="Z46" i="76"/>
  <c r="X46" i="76"/>
  <c r="N46" i="76"/>
  <c r="L46" i="76"/>
  <c r="B46" i="76"/>
  <c r="Z45" i="76"/>
  <c r="X45" i="76"/>
  <c r="N45" i="76"/>
  <c r="L45" i="76"/>
  <c r="B45" i="76"/>
  <c r="Z44" i="76"/>
  <c r="X44" i="76"/>
  <c r="N44" i="76"/>
  <c r="L44" i="76"/>
  <c r="J44" i="76"/>
  <c r="B44" i="76"/>
  <c r="Z43" i="76"/>
  <c r="X43" i="76"/>
  <c r="N43" i="76"/>
  <c r="L43" i="76"/>
  <c r="B43" i="76"/>
  <c r="Z42" i="76"/>
  <c r="X42" i="76"/>
  <c r="N42" i="76"/>
  <c r="L42" i="76"/>
  <c r="B42" i="76"/>
  <c r="X41" i="76"/>
  <c r="Z41" i="76" s="1"/>
  <c r="N41" i="76"/>
  <c r="L41" i="76"/>
  <c r="B41" i="76"/>
  <c r="T40" i="76"/>
  <c r="P40" i="76"/>
  <c r="X40" i="76" s="1"/>
  <c r="L40" i="76"/>
  <c r="N40" i="76" s="1"/>
  <c r="H40" i="76"/>
  <c r="D40" i="76"/>
  <c r="Z38" i="76"/>
  <c r="X38" i="76"/>
  <c r="P38" i="76"/>
  <c r="N38" i="76"/>
  <c r="D38" i="76"/>
  <c r="L38" i="76" s="1"/>
  <c r="B38" i="76"/>
  <c r="Z37" i="76"/>
  <c r="X37" i="76"/>
  <c r="P37" i="76"/>
  <c r="N37" i="76"/>
  <c r="L37" i="76"/>
  <c r="D37" i="76"/>
  <c r="B37" i="76"/>
  <c r="Z36" i="76"/>
  <c r="P36" i="76"/>
  <c r="X36" i="76" s="1"/>
  <c r="N36" i="76"/>
  <c r="D36" i="76"/>
  <c r="L36" i="76" s="1"/>
  <c r="B36" i="76"/>
  <c r="Z35" i="76"/>
  <c r="P35" i="76"/>
  <c r="X35" i="76" s="1"/>
  <c r="N35" i="76"/>
  <c r="L35" i="76"/>
  <c r="D35" i="76"/>
  <c r="B35" i="76"/>
  <c r="Z34" i="76"/>
  <c r="X34" i="76"/>
  <c r="P34" i="76"/>
  <c r="N34" i="76"/>
  <c r="L34" i="76"/>
  <c r="D34" i="76"/>
  <c r="B34" i="76"/>
  <c r="Z33" i="76"/>
  <c r="P33" i="76"/>
  <c r="X33" i="76" s="1"/>
  <c r="N33" i="76"/>
  <c r="D33" i="76"/>
  <c r="L33" i="76" s="1"/>
  <c r="B33" i="76"/>
  <c r="Z32" i="76"/>
  <c r="X32" i="76"/>
  <c r="P32" i="76"/>
  <c r="N32" i="76"/>
  <c r="D32" i="76"/>
  <c r="L32" i="76" s="1"/>
  <c r="B32" i="76"/>
  <c r="Z31" i="76"/>
  <c r="X31" i="76"/>
  <c r="P31" i="76"/>
  <c r="N31" i="76"/>
  <c r="L31" i="76"/>
  <c r="D31" i="76"/>
  <c r="B31" i="76"/>
  <c r="Z30" i="76"/>
  <c r="P30" i="76"/>
  <c r="X30" i="76" s="1"/>
  <c r="N30" i="76"/>
  <c r="D30" i="76"/>
  <c r="L30" i="76" s="1"/>
  <c r="B30" i="76"/>
  <c r="Z29" i="76"/>
  <c r="P29" i="76"/>
  <c r="X29" i="76" s="1"/>
  <c r="N29" i="76"/>
  <c r="L29" i="76"/>
  <c r="D29" i="76"/>
  <c r="B29" i="76"/>
  <c r="Z28" i="76"/>
  <c r="X28" i="76"/>
  <c r="P28" i="76"/>
  <c r="N28" i="76"/>
  <c r="L28" i="76"/>
  <c r="D28" i="76"/>
  <c r="B28" i="76"/>
  <c r="Z27" i="76"/>
  <c r="P27" i="76"/>
  <c r="X27" i="76" s="1"/>
  <c r="N27" i="76"/>
  <c r="D27" i="76"/>
  <c r="L27" i="76" s="1"/>
  <c r="B27" i="76"/>
  <c r="Z26" i="76"/>
  <c r="X26" i="76"/>
  <c r="P26" i="76"/>
  <c r="N26" i="76"/>
  <c r="L26" i="76"/>
  <c r="D26" i="76"/>
  <c r="B26" i="76"/>
  <c r="Z25" i="76"/>
  <c r="X25" i="76"/>
  <c r="P25" i="76"/>
  <c r="N25" i="76"/>
  <c r="L25" i="76"/>
  <c r="D25" i="76"/>
  <c r="B25" i="76"/>
  <c r="Z24" i="76"/>
  <c r="P24" i="76"/>
  <c r="X24" i="76" s="1"/>
  <c r="N24" i="76"/>
  <c r="D24" i="76"/>
  <c r="L24" i="76" s="1"/>
  <c r="B24" i="76"/>
  <c r="Z23" i="76"/>
  <c r="P23" i="76"/>
  <c r="X23" i="76" s="1"/>
  <c r="N23" i="76"/>
  <c r="L23" i="76"/>
  <c r="D23" i="76"/>
  <c r="B23" i="76"/>
  <c r="Z22" i="76"/>
  <c r="X22" i="76"/>
  <c r="P22" i="76"/>
  <c r="N22" i="76"/>
  <c r="L22" i="76"/>
  <c r="D22" i="76"/>
  <c r="B22" i="76"/>
  <c r="P21" i="76"/>
  <c r="X21" i="76" s="1"/>
  <c r="Z21" i="76" s="1"/>
  <c r="D21" i="76"/>
  <c r="L21" i="76" s="1"/>
  <c r="N21" i="76" s="1"/>
  <c r="B21" i="76"/>
  <c r="Z20" i="76"/>
  <c r="X20" i="76"/>
  <c r="P20" i="76"/>
  <c r="N20" i="76"/>
  <c r="D20" i="76"/>
  <c r="L20" i="76" s="1"/>
  <c r="B20" i="76"/>
  <c r="Z19" i="76"/>
  <c r="X19" i="76"/>
  <c r="P19" i="76"/>
  <c r="N19" i="76"/>
  <c r="L19" i="76"/>
  <c r="D19" i="76"/>
  <c r="B19" i="76"/>
  <c r="Z18" i="76"/>
  <c r="P18" i="76"/>
  <c r="X18" i="76" s="1"/>
  <c r="N18" i="76"/>
  <c r="D18" i="76"/>
  <c r="L18" i="76" s="1"/>
  <c r="B18" i="76"/>
  <c r="Z17" i="76"/>
  <c r="P17" i="76"/>
  <c r="X17" i="76" s="1"/>
  <c r="N17" i="76"/>
  <c r="L17" i="76"/>
  <c r="D17" i="76"/>
  <c r="B17" i="76"/>
  <c r="Z16" i="76"/>
  <c r="X16" i="76"/>
  <c r="P16" i="76"/>
  <c r="N16" i="76"/>
  <c r="L16" i="76"/>
  <c r="D16" i="76"/>
  <c r="B16" i="76"/>
  <c r="Z15" i="76"/>
  <c r="P15" i="76"/>
  <c r="N15" i="76"/>
  <c r="D15" i="76"/>
  <c r="L15" i="76" s="1"/>
  <c r="B15" i="76"/>
  <c r="Z14" i="76"/>
  <c r="X14" i="76"/>
  <c r="P14" i="76"/>
  <c r="N14" i="76"/>
  <c r="L14" i="76"/>
  <c r="D14" i="76"/>
  <c r="B14" i="76"/>
  <c r="Z13" i="76"/>
  <c r="X13" i="76"/>
  <c r="P13" i="76"/>
  <c r="L13" i="76"/>
  <c r="N13" i="76" s="1"/>
  <c r="D13" i="76"/>
  <c r="B13" i="76"/>
  <c r="T12" i="76"/>
  <c r="V91" i="76" s="1"/>
  <c r="H12" i="76"/>
  <c r="J88" i="76" s="1"/>
  <c r="D6" i="76"/>
  <c r="D4" i="76"/>
  <c r="X94" i="75"/>
  <c r="Z94" i="75" s="1"/>
  <c r="N94" i="75"/>
  <c r="L94" i="75"/>
  <c r="P90" i="75"/>
  <c r="X90" i="75" s="1"/>
  <c r="Z90" i="75" s="1"/>
  <c r="D90" i="75"/>
  <c r="L90" i="75" s="1"/>
  <c r="N90" i="75" s="1"/>
  <c r="B90" i="75"/>
  <c r="Z89" i="75"/>
  <c r="P89" i="75"/>
  <c r="X89" i="75" s="1"/>
  <c r="N89" i="75"/>
  <c r="D89" i="75"/>
  <c r="B89" i="75"/>
  <c r="T88" i="75"/>
  <c r="H88" i="75"/>
  <c r="Z86" i="75"/>
  <c r="X86" i="75"/>
  <c r="N86" i="75"/>
  <c r="L86" i="75"/>
  <c r="B86" i="75"/>
  <c r="X85" i="75"/>
  <c r="T85" i="75"/>
  <c r="Z85" i="75" s="1"/>
  <c r="P85" i="75"/>
  <c r="L85" i="75"/>
  <c r="J85" i="75"/>
  <c r="H85" i="75"/>
  <c r="N85" i="75" s="1"/>
  <c r="D85" i="75"/>
  <c r="B85" i="75"/>
  <c r="Z84" i="75"/>
  <c r="X84" i="75"/>
  <c r="N84" i="75"/>
  <c r="L84" i="75"/>
  <c r="B84" i="75"/>
  <c r="Z83" i="75"/>
  <c r="X83" i="75"/>
  <c r="N83" i="75"/>
  <c r="L83" i="75"/>
  <c r="J83" i="75"/>
  <c r="B83" i="75"/>
  <c r="X82" i="75"/>
  <c r="Z82" i="75" s="1"/>
  <c r="T82" i="75"/>
  <c r="P82" i="75"/>
  <c r="H82" i="75"/>
  <c r="D82" i="75"/>
  <c r="B82" i="75"/>
  <c r="Z81" i="75"/>
  <c r="X81" i="75"/>
  <c r="L81" i="75"/>
  <c r="N81" i="75" s="1"/>
  <c r="J81" i="75"/>
  <c r="B81" i="75"/>
  <c r="Z80" i="75"/>
  <c r="X80" i="75"/>
  <c r="N80" i="75"/>
  <c r="L80" i="75"/>
  <c r="B80" i="75"/>
  <c r="Z79" i="75"/>
  <c r="X79" i="75"/>
  <c r="L79" i="75"/>
  <c r="N79" i="75" s="1"/>
  <c r="J79" i="75"/>
  <c r="B79" i="75"/>
  <c r="Z78" i="75"/>
  <c r="X78" i="75"/>
  <c r="N78" i="75"/>
  <c r="L78" i="75"/>
  <c r="B78" i="75"/>
  <c r="Z77" i="75"/>
  <c r="X77" i="75"/>
  <c r="N77" i="75"/>
  <c r="L77" i="75"/>
  <c r="J77" i="75"/>
  <c r="B77" i="75"/>
  <c r="T76" i="75"/>
  <c r="P76" i="75"/>
  <c r="H76" i="75"/>
  <c r="D76" i="75"/>
  <c r="B76" i="75"/>
  <c r="Z75" i="75"/>
  <c r="X75" i="75"/>
  <c r="N75" i="75"/>
  <c r="L75" i="75"/>
  <c r="B75" i="75"/>
  <c r="X74" i="75"/>
  <c r="Z74" i="75" s="1"/>
  <c r="L74" i="75"/>
  <c r="N74" i="75" s="1"/>
  <c r="B74" i="75"/>
  <c r="X73" i="75"/>
  <c r="T73" i="75"/>
  <c r="Z73" i="75" s="1"/>
  <c r="P73" i="75"/>
  <c r="L73" i="75"/>
  <c r="J73" i="75"/>
  <c r="H73" i="75"/>
  <c r="N73" i="75" s="1"/>
  <c r="D73" i="75"/>
  <c r="B73" i="75"/>
  <c r="Z72" i="75"/>
  <c r="X72" i="75"/>
  <c r="N72" i="75"/>
  <c r="L72" i="75"/>
  <c r="B72" i="75"/>
  <c r="Z71" i="75"/>
  <c r="X71" i="75"/>
  <c r="N71" i="75"/>
  <c r="L71" i="75"/>
  <c r="J71" i="75"/>
  <c r="B71" i="75"/>
  <c r="X70" i="75"/>
  <c r="Z70" i="75" s="1"/>
  <c r="T70" i="75"/>
  <c r="P70" i="75"/>
  <c r="H70" i="75"/>
  <c r="D70" i="75"/>
  <c r="B70" i="75"/>
  <c r="Z69" i="75"/>
  <c r="X69" i="75"/>
  <c r="L69" i="75"/>
  <c r="N69" i="75" s="1"/>
  <c r="J69" i="75"/>
  <c r="B69" i="75"/>
  <c r="T68" i="75"/>
  <c r="P68" i="75"/>
  <c r="H68" i="75"/>
  <c r="D68" i="75"/>
  <c r="L68" i="75" s="1"/>
  <c r="B68" i="75"/>
  <c r="X67" i="75"/>
  <c r="Z67" i="75" s="1"/>
  <c r="V67" i="75"/>
  <c r="N67" i="75"/>
  <c r="L67" i="75"/>
  <c r="B67" i="75"/>
  <c r="X66" i="75"/>
  <c r="Z66" i="75" s="1"/>
  <c r="T66" i="75"/>
  <c r="P66" i="75"/>
  <c r="H66" i="75"/>
  <c r="D66" i="75"/>
  <c r="L66" i="75" s="1"/>
  <c r="B66" i="75"/>
  <c r="Z65" i="75"/>
  <c r="X65" i="75"/>
  <c r="N65" i="75"/>
  <c r="L65" i="75"/>
  <c r="B65" i="75"/>
  <c r="Z64" i="75"/>
  <c r="X64" i="75"/>
  <c r="T64" i="75"/>
  <c r="P64" i="75"/>
  <c r="L64" i="75"/>
  <c r="N64" i="75" s="1"/>
  <c r="H64" i="75"/>
  <c r="D64" i="75"/>
  <c r="B64" i="75"/>
  <c r="Z63" i="75"/>
  <c r="X63" i="75"/>
  <c r="L63" i="75"/>
  <c r="N63" i="75" s="1"/>
  <c r="J63" i="75"/>
  <c r="B63" i="75"/>
  <c r="T62" i="75"/>
  <c r="P62" i="75"/>
  <c r="X62" i="75" s="1"/>
  <c r="H62" i="75"/>
  <c r="D62" i="75"/>
  <c r="B62" i="75"/>
  <c r="X61" i="75"/>
  <c r="Z61" i="75" s="1"/>
  <c r="N61" i="75"/>
  <c r="L61" i="75"/>
  <c r="B61" i="75"/>
  <c r="T60" i="75"/>
  <c r="P60" i="75"/>
  <c r="X60" i="75" s="1"/>
  <c r="L60" i="75"/>
  <c r="N60" i="75" s="1"/>
  <c r="H60" i="75"/>
  <c r="D60" i="75"/>
  <c r="B60" i="75"/>
  <c r="Z59" i="75"/>
  <c r="X59" i="75"/>
  <c r="N59" i="75"/>
  <c r="L59" i="75"/>
  <c r="J59" i="75"/>
  <c r="B59" i="75"/>
  <c r="Z58" i="75"/>
  <c r="X58" i="75"/>
  <c r="T58" i="75"/>
  <c r="P58" i="75"/>
  <c r="N58" i="75"/>
  <c r="H58" i="75"/>
  <c r="J58" i="75" s="1"/>
  <c r="D58" i="75"/>
  <c r="B58" i="75"/>
  <c r="Z57" i="75"/>
  <c r="X57" i="75"/>
  <c r="L57" i="75"/>
  <c r="N57" i="75" s="1"/>
  <c r="J57" i="75"/>
  <c r="B57" i="75"/>
  <c r="T56" i="75"/>
  <c r="P56" i="75"/>
  <c r="J56" i="75"/>
  <c r="H56" i="75"/>
  <c r="D56" i="75"/>
  <c r="L56" i="75" s="1"/>
  <c r="B56" i="75"/>
  <c r="Z55" i="75"/>
  <c r="X55" i="75"/>
  <c r="N55" i="75"/>
  <c r="L55" i="75"/>
  <c r="B55" i="75"/>
  <c r="Z54" i="75"/>
  <c r="X54" i="75"/>
  <c r="N54" i="75"/>
  <c r="L54" i="75"/>
  <c r="B54" i="75"/>
  <c r="X53" i="75"/>
  <c r="Z53" i="75" s="1"/>
  <c r="V53" i="75"/>
  <c r="N53" i="75"/>
  <c r="L53" i="75"/>
  <c r="B53" i="75"/>
  <c r="X52" i="75"/>
  <c r="Z52" i="75" s="1"/>
  <c r="N52" i="75"/>
  <c r="L52" i="75"/>
  <c r="J52" i="75"/>
  <c r="B52" i="75"/>
  <c r="Z51" i="75"/>
  <c r="X51" i="75"/>
  <c r="N51" i="75"/>
  <c r="L51" i="75"/>
  <c r="F51" i="75"/>
  <c r="B51" i="75"/>
  <c r="Z50" i="75"/>
  <c r="X50" i="75"/>
  <c r="N50" i="75"/>
  <c r="L50" i="75"/>
  <c r="B50" i="75"/>
  <c r="X49" i="75"/>
  <c r="Z49" i="75" s="1"/>
  <c r="V49" i="75"/>
  <c r="N49" i="75"/>
  <c r="L49" i="75"/>
  <c r="B49" i="75"/>
  <c r="Z48" i="75"/>
  <c r="X48" i="75"/>
  <c r="N48" i="75"/>
  <c r="L48" i="75"/>
  <c r="J48" i="75"/>
  <c r="B48" i="75"/>
  <c r="X47" i="75"/>
  <c r="Z47" i="75" s="1"/>
  <c r="N47" i="75"/>
  <c r="L47" i="75"/>
  <c r="B47" i="75"/>
  <c r="X46" i="75"/>
  <c r="Z46" i="75" s="1"/>
  <c r="L46" i="75"/>
  <c r="N46" i="75" s="1"/>
  <c r="B46" i="75"/>
  <c r="V45" i="75"/>
  <c r="T45" i="75"/>
  <c r="P45" i="75"/>
  <c r="L45" i="75"/>
  <c r="J45" i="75"/>
  <c r="H45" i="75"/>
  <c r="D45" i="75"/>
  <c r="B45" i="75"/>
  <c r="X44" i="75"/>
  <c r="Z44" i="75" s="1"/>
  <c r="N44" i="75"/>
  <c r="L44" i="75"/>
  <c r="J44" i="75"/>
  <c r="B44" i="75"/>
  <c r="Z43" i="75"/>
  <c r="X43" i="75"/>
  <c r="L43" i="75"/>
  <c r="N43" i="75" s="1"/>
  <c r="J43" i="75"/>
  <c r="B43" i="75"/>
  <c r="Z42" i="75"/>
  <c r="X42" i="75"/>
  <c r="N42" i="75"/>
  <c r="L42" i="75"/>
  <c r="J42" i="75"/>
  <c r="B42" i="75"/>
  <c r="Z41" i="75"/>
  <c r="X41" i="75"/>
  <c r="N41" i="75"/>
  <c r="L41" i="75"/>
  <c r="J41" i="75"/>
  <c r="B41" i="75"/>
  <c r="X40" i="75"/>
  <c r="Z40" i="75" s="1"/>
  <c r="V40" i="75"/>
  <c r="N40" i="75"/>
  <c r="L40" i="75"/>
  <c r="J40" i="75"/>
  <c r="B40" i="75"/>
  <c r="Z39" i="75"/>
  <c r="X39" i="75"/>
  <c r="L39" i="75"/>
  <c r="N39" i="75" s="1"/>
  <c r="J39" i="75"/>
  <c r="B39" i="75"/>
  <c r="Z38" i="75"/>
  <c r="X38" i="75"/>
  <c r="N38" i="75"/>
  <c r="L38" i="75"/>
  <c r="J38" i="75"/>
  <c r="B38" i="75"/>
  <c r="Z37" i="75"/>
  <c r="X37" i="75"/>
  <c r="N37" i="75"/>
  <c r="L37" i="75"/>
  <c r="J37" i="75"/>
  <c r="B37" i="75"/>
  <c r="X36" i="75"/>
  <c r="Z36" i="75" s="1"/>
  <c r="N36" i="75"/>
  <c r="L36" i="75"/>
  <c r="J36" i="75"/>
  <c r="F36" i="75"/>
  <c r="B36" i="75"/>
  <c r="T35" i="75"/>
  <c r="P35" i="75"/>
  <c r="H35" i="75"/>
  <c r="L35" i="75" s="1"/>
  <c r="D35" i="75"/>
  <c r="B35" i="75"/>
  <c r="T34" i="75"/>
  <c r="P34" i="75"/>
  <c r="X34" i="75" s="1"/>
  <c r="H34" i="75"/>
  <c r="D34" i="75"/>
  <c r="V30" i="75"/>
  <c r="T30" i="75"/>
  <c r="Z30" i="75" s="1"/>
  <c r="P30" i="75"/>
  <c r="X30" i="75" s="1"/>
  <c r="H30" i="75"/>
  <c r="N30" i="75" s="1"/>
  <c r="D30" i="75"/>
  <c r="L30" i="75" s="1"/>
  <c r="Z28" i="75"/>
  <c r="P28" i="75"/>
  <c r="X28" i="75" s="1"/>
  <c r="N28" i="75"/>
  <c r="D28" i="75"/>
  <c r="L28" i="75" s="1"/>
  <c r="B28" i="75"/>
  <c r="Z27" i="75"/>
  <c r="P27" i="75"/>
  <c r="X27" i="75" s="1"/>
  <c r="N27" i="75"/>
  <c r="L27" i="75"/>
  <c r="D27" i="75"/>
  <c r="B27" i="75"/>
  <c r="Z26" i="75"/>
  <c r="X26" i="75"/>
  <c r="P26" i="75"/>
  <c r="N26" i="75"/>
  <c r="L26" i="75"/>
  <c r="D26" i="75"/>
  <c r="B26" i="75"/>
  <c r="Z25" i="75"/>
  <c r="P25" i="75"/>
  <c r="X25" i="75" s="1"/>
  <c r="N25" i="75"/>
  <c r="L25" i="75"/>
  <c r="D25" i="75"/>
  <c r="B25" i="75"/>
  <c r="Z24" i="75"/>
  <c r="P24" i="75"/>
  <c r="X24" i="75" s="1"/>
  <c r="N24" i="75"/>
  <c r="L24" i="75"/>
  <c r="D24" i="75"/>
  <c r="B24" i="75"/>
  <c r="Z23" i="75"/>
  <c r="P23" i="75"/>
  <c r="X23" i="75" s="1"/>
  <c r="N23" i="75"/>
  <c r="D23" i="75"/>
  <c r="L23" i="75" s="1"/>
  <c r="B23" i="75"/>
  <c r="Z22" i="75"/>
  <c r="P22" i="75"/>
  <c r="X22" i="75" s="1"/>
  <c r="N22" i="75"/>
  <c r="D22" i="75"/>
  <c r="L22" i="75" s="1"/>
  <c r="B22" i="75"/>
  <c r="Z21" i="75"/>
  <c r="P21" i="75"/>
  <c r="X21" i="75" s="1"/>
  <c r="N21" i="75"/>
  <c r="D21" i="75"/>
  <c r="L21" i="75" s="1"/>
  <c r="B21" i="75"/>
  <c r="Z20" i="75"/>
  <c r="X20" i="75"/>
  <c r="P20" i="75"/>
  <c r="N20" i="75"/>
  <c r="D20" i="75"/>
  <c r="L20" i="75" s="1"/>
  <c r="B20" i="75"/>
  <c r="X19" i="75"/>
  <c r="Z19" i="75" s="1"/>
  <c r="P19" i="75"/>
  <c r="N19" i="75"/>
  <c r="D19" i="75"/>
  <c r="L19" i="75" s="1"/>
  <c r="B19" i="75"/>
  <c r="Z18" i="75"/>
  <c r="X18" i="75"/>
  <c r="P18" i="75"/>
  <c r="N18" i="75"/>
  <c r="L18" i="75"/>
  <c r="D18" i="75"/>
  <c r="B18" i="75"/>
  <c r="Z17" i="75"/>
  <c r="X17" i="75"/>
  <c r="P17" i="75"/>
  <c r="N17" i="75"/>
  <c r="L17" i="75"/>
  <c r="D17" i="75"/>
  <c r="B17" i="75"/>
  <c r="Z16" i="75"/>
  <c r="P16" i="75"/>
  <c r="X16" i="75" s="1"/>
  <c r="N16" i="75"/>
  <c r="D16" i="75"/>
  <c r="L16" i="75" s="1"/>
  <c r="B16" i="75"/>
  <c r="Z15" i="75"/>
  <c r="X15" i="75"/>
  <c r="P15" i="75"/>
  <c r="N15" i="75"/>
  <c r="L15" i="75"/>
  <c r="D15" i="75"/>
  <c r="B15" i="75"/>
  <c r="Z14" i="75"/>
  <c r="P14" i="75"/>
  <c r="X14" i="75" s="1"/>
  <c r="N14" i="75"/>
  <c r="L14" i="75"/>
  <c r="D14" i="75"/>
  <c r="B14" i="75"/>
  <c r="P13" i="75"/>
  <c r="N13" i="75"/>
  <c r="L13" i="75"/>
  <c r="D13" i="75"/>
  <c r="D12" i="75" s="1"/>
  <c r="F44" i="75" s="1"/>
  <c r="B13" i="75"/>
  <c r="T12" i="75"/>
  <c r="V44" i="75" s="1"/>
  <c r="H12" i="75"/>
  <c r="D6" i="75"/>
  <c r="D4" i="75"/>
  <c r="Z125" i="74"/>
  <c r="X125" i="74"/>
  <c r="N125" i="74"/>
  <c r="L125" i="74"/>
  <c r="X121" i="74"/>
  <c r="Z121" i="74" s="1"/>
  <c r="P121" i="74"/>
  <c r="L121" i="74"/>
  <c r="N121" i="74" s="1"/>
  <c r="D121" i="74"/>
  <c r="B121" i="74"/>
  <c r="Z120" i="74"/>
  <c r="P120" i="74"/>
  <c r="X120" i="74" s="1"/>
  <c r="L120" i="74"/>
  <c r="N120" i="74" s="1"/>
  <c r="D120" i="74"/>
  <c r="B120" i="74"/>
  <c r="X119" i="74"/>
  <c r="Z119" i="74" s="1"/>
  <c r="P119" i="74"/>
  <c r="D119" i="74"/>
  <c r="L119" i="74" s="1"/>
  <c r="N119" i="74" s="1"/>
  <c r="B119" i="74"/>
  <c r="T118" i="74"/>
  <c r="N118" i="74"/>
  <c r="H118" i="74"/>
  <c r="D118" i="74"/>
  <c r="L118" i="74" s="1"/>
  <c r="Z116" i="74"/>
  <c r="X116" i="74"/>
  <c r="L116" i="74"/>
  <c r="N116" i="74" s="1"/>
  <c r="B116" i="74"/>
  <c r="Z115" i="74"/>
  <c r="X115" i="74"/>
  <c r="N115" i="74"/>
  <c r="L115" i="74"/>
  <c r="B115" i="74"/>
  <c r="Z114" i="74"/>
  <c r="V114" i="74"/>
  <c r="T114" i="74"/>
  <c r="P114" i="74"/>
  <c r="X114" i="74" s="1"/>
  <c r="H114" i="74"/>
  <c r="D114" i="74"/>
  <c r="L114" i="74" s="1"/>
  <c r="N114" i="74" s="1"/>
  <c r="B114" i="74"/>
  <c r="X113" i="74"/>
  <c r="Z113" i="74" s="1"/>
  <c r="N113" i="74"/>
  <c r="L113" i="74"/>
  <c r="B113" i="74"/>
  <c r="X112" i="74"/>
  <c r="Z112" i="74" s="1"/>
  <c r="V112" i="74"/>
  <c r="T112" i="74"/>
  <c r="P112" i="74"/>
  <c r="H112" i="74"/>
  <c r="N112" i="74" s="1"/>
  <c r="D112" i="74"/>
  <c r="B112" i="74"/>
  <c r="X111" i="74"/>
  <c r="Z111" i="74" s="1"/>
  <c r="L111" i="74"/>
  <c r="N111" i="74" s="1"/>
  <c r="B111" i="74"/>
  <c r="T110" i="74"/>
  <c r="P110" i="74"/>
  <c r="H110" i="74"/>
  <c r="D110" i="74"/>
  <c r="L110" i="74" s="1"/>
  <c r="N110" i="74" s="1"/>
  <c r="B110" i="74"/>
  <c r="X109" i="74"/>
  <c r="Z109" i="74" s="1"/>
  <c r="V109" i="74"/>
  <c r="L109" i="74"/>
  <c r="N109" i="74" s="1"/>
  <c r="B109" i="74"/>
  <c r="Z108" i="74"/>
  <c r="X108" i="74"/>
  <c r="N108" i="74"/>
  <c r="L108" i="74"/>
  <c r="B108" i="74"/>
  <c r="X107" i="74"/>
  <c r="Z107" i="74" s="1"/>
  <c r="N107" i="74"/>
  <c r="L107" i="74"/>
  <c r="B107" i="74"/>
  <c r="Z106" i="74"/>
  <c r="X106" i="74"/>
  <c r="V106" i="74"/>
  <c r="L106" i="74"/>
  <c r="N106" i="74" s="1"/>
  <c r="B106" i="74"/>
  <c r="X105" i="74"/>
  <c r="Z105" i="74" s="1"/>
  <c r="V105" i="74"/>
  <c r="L105" i="74"/>
  <c r="N105" i="74" s="1"/>
  <c r="B105" i="74"/>
  <c r="T104" i="74"/>
  <c r="P104" i="74"/>
  <c r="X104" i="74" s="1"/>
  <c r="Z104" i="74" s="1"/>
  <c r="N104" i="74"/>
  <c r="H104" i="74"/>
  <c r="D104" i="74"/>
  <c r="L104" i="74" s="1"/>
  <c r="B104" i="74"/>
  <c r="Z103" i="74"/>
  <c r="X103" i="74"/>
  <c r="N103" i="74"/>
  <c r="L103" i="74"/>
  <c r="B103" i="74"/>
  <c r="X102" i="74"/>
  <c r="Z102" i="74" s="1"/>
  <c r="N102" i="74"/>
  <c r="L102" i="74"/>
  <c r="B102" i="74"/>
  <c r="X101" i="74"/>
  <c r="T101" i="74"/>
  <c r="P101" i="74"/>
  <c r="N101" i="74"/>
  <c r="H101" i="74"/>
  <c r="D101" i="74"/>
  <c r="L101" i="74" s="1"/>
  <c r="B101" i="74"/>
  <c r="Z100" i="74"/>
  <c r="X100" i="74"/>
  <c r="L100" i="74"/>
  <c r="N100" i="74" s="1"/>
  <c r="B100" i="74"/>
  <c r="Z99" i="74"/>
  <c r="X99" i="74"/>
  <c r="L99" i="74"/>
  <c r="N99" i="74" s="1"/>
  <c r="B99" i="74"/>
  <c r="Z98" i="74"/>
  <c r="X98" i="74"/>
  <c r="N98" i="74"/>
  <c r="L98" i="74"/>
  <c r="B98" i="74"/>
  <c r="T97" i="74"/>
  <c r="P97" i="74"/>
  <c r="X97" i="74" s="1"/>
  <c r="Z97" i="74" s="1"/>
  <c r="L97" i="74"/>
  <c r="H97" i="74"/>
  <c r="D97" i="74"/>
  <c r="B97" i="74"/>
  <c r="X96" i="74"/>
  <c r="Z96" i="74" s="1"/>
  <c r="L96" i="74"/>
  <c r="N96" i="74" s="1"/>
  <c r="B96" i="74"/>
  <c r="Z95" i="74"/>
  <c r="X95" i="74"/>
  <c r="N95" i="74"/>
  <c r="L95" i="74"/>
  <c r="B95" i="74"/>
  <c r="Z94" i="74"/>
  <c r="V94" i="74"/>
  <c r="T94" i="74"/>
  <c r="P94" i="74"/>
  <c r="X94" i="74" s="1"/>
  <c r="H94" i="74"/>
  <c r="D94" i="74"/>
  <c r="L94" i="74" s="1"/>
  <c r="N94" i="74" s="1"/>
  <c r="B94" i="74"/>
  <c r="X93" i="74"/>
  <c r="Z93" i="74" s="1"/>
  <c r="N93" i="74"/>
  <c r="L93" i="74"/>
  <c r="B93" i="74"/>
  <c r="X92" i="74"/>
  <c r="Z92" i="74" s="1"/>
  <c r="V92" i="74"/>
  <c r="T92" i="74"/>
  <c r="P92" i="74"/>
  <c r="H92" i="74"/>
  <c r="N92" i="74" s="1"/>
  <c r="D92" i="74"/>
  <c r="B92" i="74"/>
  <c r="Z91" i="74"/>
  <c r="X91" i="74"/>
  <c r="L91" i="74"/>
  <c r="N91" i="74" s="1"/>
  <c r="B91" i="74"/>
  <c r="T90" i="74"/>
  <c r="P90" i="74"/>
  <c r="H90" i="74"/>
  <c r="D90" i="74"/>
  <c r="L90" i="74" s="1"/>
  <c r="N90" i="74" s="1"/>
  <c r="B90" i="74"/>
  <c r="X89" i="74"/>
  <c r="Z89" i="74" s="1"/>
  <c r="V89" i="74"/>
  <c r="N89" i="74"/>
  <c r="L89" i="74"/>
  <c r="B89" i="74"/>
  <c r="T88" i="74"/>
  <c r="P88" i="74"/>
  <c r="X88" i="74" s="1"/>
  <c r="Z88" i="74" s="1"/>
  <c r="N88" i="74"/>
  <c r="H88" i="74"/>
  <c r="D88" i="74"/>
  <c r="L88" i="74" s="1"/>
  <c r="B88" i="74"/>
  <c r="Z87" i="74"/>
  <c r="X87" i="74"/>
  <c r="N87" i="74"/>
  <c r="L87" i="74"/>
  <c r="B87" i="74"/>
  <c r="X86" i="74"/>
  <c r="Z86" i="74" s="1"/>
  <c r="N86" i="74"/>
  <c r="L86" i="74"/>
  <c r="B86" i="74"/>
  <c r="X85" i="74"/>
  <c r="T85" i="74"/>
  <c r="P85" i="74"/>
  <c r="H85" i="74"/>
  <c r="D85" i="74"/>
  <c r="L85" i="74" s="1"/>
  <c r="N85" i="74" s="1"/>
  <c r="B85" i="74"/>
  <c r="Z84" i="74"/>
  <c r="X84" i="74"/>
  <c r="L84" i="74"/>
  <c r="N84" i="74" s="1"/>
  <c r="B84" i="74"/>
  <c r="Z83" i="74"/>
  <c r="X83" i="74"/>
  <c r="T83" i="74"/>
  <c r="P83" i="74"/>
  <c r="H83" i="74"/>
  <c r="D83" i="74"/>
  <c r="L83" i="74" s="1"/>
  <c r="N83" i="74" s="1"/>
  <c r="B83" i="74"/>
  <c r="Z82" i="74"/>
  <c r="X82" i="74"/>
  <c r="V82" i="74"/>
  <c r="N82" i="74"/>
  <c r="L82" i="74"/>
  <c r="B82" i="74"/>
  <c r="X81" i="74"/>
  <c r="Z81" i="74" s="1"/>
  <c r="V81" i="74"/>
  <c r="L81" i="74"/>
  <c r="N81" i="74" s="1"/>
  <c r="B81" i="74"/>
  <c r="T80" i="74"/>
  <c r="P80" i="74"/>
  <c r="X80" i="74" s="1"/>
  <c r="Z80" i="74" s="1"/>
  <c r="N80" i="74"/>
  <c r="H80" i="74"/>
  <c r="D80" i="74"/>
  <c r="L80" i="74" s="1"/>
  <c r="B80" i="74"/>
  <c r="Z79" i="74"/>
  <c r="X79" i="74"/>
  <c r="L79" i="74"/>
  <c r="N79" i="74" s="1"/>
  <c r="B79" i="74"/>
  <c r="T78" i="74"/>
  <c r="P78" i="74"/>
  <c r="L78" i="74"/>
  <c r="N78" i="74" s="1"/>
  <c r="H78" i="74"/>
  <c r="D78" i="74"/>
  <c r="B78" i="74"/>
  <c r="Z77" i="74"/>
  <c r="X77" i="74"/>
  <c r="N77" i="74"/>
  <c r="L77" i="74"/>
  <c r="J77" i="74"/>
  <c r="B77" i="74"/>
  <c r="Z76" i="74"/>
  <c r="X76" i="74"/>
  <c r="N76" i="74"/>
  <c r="L76" i="74"/>
  <c r="B76" i="74"/>
  <c r="X75" i="74"/>
  <c r="Z75" i="74" s="1"/>
  <c r="L75" i="74"/>
  <c r="N75" i="74" s="1"/>
  <c r="B75" i="74"/>
  <c r="Z74" i="74"/>
  <c r="X74" i="74"/>
  <c r="N74" i="74"/>
  <c r="L74" i="74"/>
  <c r="J74" i="74"/>
  <c r="B74" i="74"/>
  <c r="Z73" i="74"/>
  <c r="X73" i="74"/>
  <c r="N73" i="74"/>
  <c r="L73" i="74"/>
  <c r="J73" i="74"/>
  <c r="B73" i="74"/>
  <c r="Z72" i="74"/>
  <c r="X72" i="74"/>
  <c r="N72" i="74"/>
  <c r="L72" i="74"/>
  <c r="B72" i="74"/>
  <c r="X71" i="74"/>
  <c r="Z71" i="74" s="1"/>
  <c r="L71" i="74"/>
  <c r="N71" i="74" s="1"/>
  <c r="B71" i="74"/>
  <c r="Z70" i="74"/>
  <c r="X70" i="74"/>
  <c r="N70" i="74"/>
  <c r="L70" i="74"/>
  <c r="J70" i="74"/>
  <c r="B70" i="74"/>
  <c r="Z69" i="74"/>
  <c r="X69" i="74"/>
  <c r="L69" i="74"/>
  <c r="N69" i="74" s="1"/>
  <c r="J69" i="74"/>
  <c r="B69" i="74"/>
  <c r="Z68" i="74"/>
  <c r="X68" i="74"/>
  <c r="N68" i="74"/>
  <c r="L68" i="74"/>
  <c r="B68" i="74"/>
  <c r="T67" i="74"/>
  <c r="P67" i="74"/>
  <c r="H67" i="74"/>
  <c r="D67" i="74"/>
  <c r="L67" i="74" s="1"/>
  <c r="N67" i="74" s="1"/>
  <c r="B67" i="74"/>
  <c r="Z66" i="74"/>
  <c r="X66" i="74"/>
  <c r="V66" i="74"/>
  <c r="N66" i="74"/>
  <c r="L66" i="74"/>
  <c r="B66" i="74"/>
  <c r="X65" i="74"/>
  <c r="Z65" i="74" s="1"/>
  <c r="V65" i="74"/>
  <c r="L65" i="74"/>
  <c r="N65" i="74" s="1"/>
  <c r="B65" i="74"/>
  <c r="X64" i="74"/>
  <c r="Z64" i="74" s="1"/>
  <c r="L64" i="74"/>
  <c r="N64" i="74" s="1"/>
  <c r="J64" i="74"/>
  <c r="B64" i="74"/>
  <c r="Z63" i="74"/>
  <c r="X63" i="74"/>
  <c r="N63" i="74"/>
  <c r="L63" i="74"/>
  <c r="B63" i="74"/>
  <c r="Z62" i="74"/>
  <c r="X62" i="74"/>
  <c r="V62" i="74"/>
  <c r="L62" i="74"/>
  <c r="N62" i="74" s="1"/>
  <c r="B62" i="74"/>
  <c r="X61" i="74"/>
  <c r="Z61" i="74" s="1"/>
  <c r="V61" i="74"/>
  <c r="L61" i="74"/>
  <c r="N61" i="74" s="1"/>
  <c r="B61" i="74"/>
  <c r="X60" i="74"/>
  <c r="Z60" i="74" s="1"/>
  <c r="L60" i="74"/>
  <c r="N60" i="74" s="1"/>
  <c r="J60" i="74"/>
  <c r="B60" i="74"/>
  <c r="X59" i="74"/>
  <c r="Z59" i="74" s="1"/>
  <c r="N59" i="74"/>
  <c r="L59" i="74"/>
  <c r="B59" i="74"/>
  <c r="Z58" i="74"/>
  <c r="X58" i="74"/>
  <c r="V58" i="74"/>
  <c r="L58" i="74"/>
  <c r="N58" i="74" s="1"/>
  <c r="B58" i="74"/>
  <c r="T57" i="74"/>
  <c r="P57" i="74"/>
  <c r="X57" i="74" s="1"/>
  <c r="H57" i="74"/>
  <c r="N57" i="74" s="1"/>
  <c r="D57" i="74"/>
  <c r="L57" i="74" s="1"/>
  <c r="B57" i="74"/>
  <c r="X56" i="74"/>
  <c r="Z56" i="74" s="1"/>
  <c r="V56" i="74"/>
  <c r="T56" i="74"/>
  <c r="P56" i="74"/>
  <c r="H56" i="74"/>
  <c r="D56" i="74"/>
  <c r="Z52" i="74"/>
  <c r="X52" i="74"/>
  <c r="V52" i="74"/>
  <c r="N52" i="74"/>
  <c r="L52" i="74"/>
  <c r="B52" i="74"/>
  <c r="Z51" i="74"/>
  <c r="X51" i="74"/>
  <c r="N51" i="74"/>
  <c r="L51" i="74"/>
  <c r="B51" i="74"/>
  <c r="Z50" i="74"/>
  <c r="X50" i="74"/>
  <c r="N50" i="74"/>
  <c r="L50" i="74"/>
  <c r="B50" i="74"/>
  <c r="Z49" i="74"/>
  <c r="X49" i="74"/>
  <c r="N49" i="74"/>
  <c r="L49" i="74"/>
  <c r="B49" i="74"/>
  <c r="Z48" i="74"/>
  <c r="X48" i="74"/>
  <c r="V48" i="74"/>
  <c r="N48" i="74"/>
  <c r="L48" i="74"/>
  <c r="B48" i="74"/>
  <c r="Z47" i="74"/>
  <c r="X47" i="74"/>
  <c r="N47" i="74"/>
  <c r="L47" i="74"/>
  <c r="B47" i="74"/>
  <c r="Z46" i="74"/>
  <c r="X46" i="74"/>
  <c r="N46" i="74"/>
  <c r="L46" i="74"/>
  <c r="B46" i="74"/>
  <c r="Z45" i="74"/>
  <c r="X45" i="74"/>
  <c r="N45" i="74"/>
  <c r="L45" i="74"/>
  <c r="B45" i="74"/>
  <c r="Z44" i="74"/>
  <c r="X44" i="74"/>
  <c r="V44" i="74"/>
  <c r="N44" i="74"/>
  <c r="L44" i="74"/>
  <c r="B44" i="74"/>
  <c r="Z43" i="74"/>
  <c r="X43" i="74"/>
  <c r="N43" i="74"/>
  <c r="L43" i="74"/>
  <c r="B43" i="74"/>
  <c r="Z42" i="74"/>
  <c r="X42" i="74"/>
  <c r="N42" i="74"/>
  <c r="L42" i="74"/>
  <c r="B42" i="74"/>
  <c r="Z41" i="74"/>
  <c r="X41" i="74"/>
  <c r="N41" i="74"/>
  <c r="L41" i="74"/>
  <c r="B41" i="74"/>
  <c r="Z40" i="74"/>
  <c r="X40" i="74"/>
  <c r="V40" i="74"/>
  <c r="N40" i="74"/>
  <c r="L40" i="74"/>
  <c r="B40" i="74"/>
  <c r="Z39" i="74"/>
  <c r="X39" i="74"/>
  <c r="N39" i="74"/>
  <c r="L39" i="74"/>
  <c r="B39" i="74"/>
  <c r="Z38" i="74"/>
  <c r="X38" i="74"/>
  <c r="N38" i="74"/>
  <c r="L38" i="74"/>
  <c r="B38" i="74"/>
  <c r="X37" i="74"/>
  <c r="Z37" i="74" s="1"/>
  <c r="N37" i="74"/>
  <c r="L37" i="74"/>
  <c r="B37" i="74"/>
  <c r="X36" i="74"/>
  <c r="Z36" i="74" s="1"/>
  <c r="V36" i="74"/>
  <c r="T36" i="74"/>
  <c r="P36" i="74"/>
  <c r="H36" i="74"/>
  <c r="D36" i="74"/>
  <c r="Z34" i="74"/>
  <c r="P34" i="74"/>
  <c r="X34" i="74" s="1"/>
  <c r="N34" i="74"/>
  <c r="L34" i="74"/>
  <c r="D34" i="74"/>
  <c r="B34" i="74"/>
  <c r="Z33" i="74"/>
  <c r="P33" i="74"/>
  <c r="X33" i="74" s="1"/>
  <c r="N33" i="74"/>
  <c r="D33" i="74"/>
  <c r="L33" i="74" s="1"/>
  <c r="B33" i="74"/>
  <c r="Z32" i="74"/>
  <c r="P32" i="74"/>
  <c r="X32" i="74" s="1"/>
  <c r="N32" i="74"/>
  <c r="D32" i="74"/>
  <c r="L32" i="74" s="1"/>
  <c r="B32" i="74"/>
  <c r="Z31" i="74"/>
  <c r="P31" i="74"/>
  <c r="X31" i="74" s="1"/>
  <c r="N31" i="74"/>
  <c r="L31" i="74"/>
  <c r="D31" i="74"/>
  <c r="B31" i="74"/>
  <c r="Z30" i="74"/>
  <c r="X30" i="74"/>
  <c r="P30" i="74"/>
  <c r="N30" i="74"/>
  <c r="D30" i="74"/>
  <c r="L30" i="74" s="1"/>
  <c r="B30" i="74"/>
  <c r="Z29" i="74"/>
  <c r="P29" i="74"/>
  <c r="X29" i="74" s="1"/>
  <c r="N29" i="74"/>
  <c r="D29" i="74"/>
  <c r="L29" i="74" s="1"/>
  <c r="B29" i="74"/>
  <c r="Z28" i="74"/>
  <c r="X28" i="74"/>
  <c r="P28" i="74"/>
  <c r="N28" i="74"/>
  <c r="D28" i="74"/>
  <c r="L28" i="74" s="1"/>
  <c r="B28" i="74"/>
  <c r="Z27" i="74"/>
  <c r="X27" i="74"/>
  <c r="P27" i="74"/>
  <c r="N27" i="74"/>
  <c r="L27" i="74"/>
  <c r="D27" i="74"/>
  <c r="B27" i="74"/>
  <c r="Z26" i="74"/>
  <c r="X26" i="74"/>
  <c r="P26" i="74"/>
  <c r="N26" i="74"/>
  <c r="D26" i="74"/>
  <c r="L26" i="74" s="1"/>
  <c r="B26" i="74"/>
  <c r="Z25" i="74"/>
  <c r="X25" i="74"/>
  <c r="P25" i="74"/>
  <c r="N25" i="74"/>
  <c r="L25" i="74"/>
  <c r="D25" i="74"/>
  <c r="B25" i="74"/>
  <c r="Z24" i="74"/>
  <c r="P24" i="74"/>
  <c r="X24" i="74" s="1"/>
  <c r="N24" i="74"/>
  <c r="L24" i="74"/>
  <c r="D24" i="74"/>
  <c r="B24" i="74"/>
  <c r="Z23" i="74"/>
  <c r="P23" i="74"/>
  <c r="X23" i="74" s="1"/>
  <c r="N23" i="74"/>
  <c r="L23" i="74"/>
  <c r="D23" i="74"/>
  <c r="B23" i="74"/>
  <c r="Z22" i="74"/>
  <c r="P22" i="74"/>
  <c r="X22" i="74" s="1"/>
  <c r="N22" i="74"/>
  <c r="L22" i="74"/>
  <c r="D22" i="74"/>
  <c r="B22" i="74"/>
  <c r="Z21" i="74"/>
  <c r="P21" i="74"/>
  <c r="X21" i="74" s="1"/>
  <c r="N21" i="74"/>
  <c r="D21" i="74"/>
  <c r="L21" i="74" s="1"/>
  <c r="B21" i="74"/>
  <c r="Z20" i="74"/>
  <c r="P20" i="74"/>
  <c r="X20" i="74" s="1"/>
  <c r="N20" i="74"/>
  <c r="D20" i="74"/>
  <c r="L20" i="74" s="1"/>
  <c r="B20" i="74"/>
  <c r="Z19" i="74"/>
  <c r="P19" i="74"/>
  <c r="X19" i="74" s="1"/>
  <c r="N19" i="74"/>
  <c r="D19" i="74"/>
  <c r="L19" i="74" s="1"/>
  <c r="B19" i="74"/>
  <c r="Z18" i="74"/>
  <c r="X18" i="74"/>
  <c r="P18" i="74"/>
  <c r="N18" i="74"/>
  <c r="D18" i="74"/>
  <c r="L18" i="74" s="1"/>
  <c r="B18" i="74"/>
  <c r="Z17" i="74"/>
  <c r="P17" i="74"/>
  <c r="X17" i="74" s="1"/>
  <c r="N17" i="74"/>
  <c r="D17" i="74"/>
  <c r="L17" i="74" s="1"/>
  <c r="B17" i="74"/>
  <c r="Z16" i="74"/>
  <c r="X16" i="74"/>
  <c r="P16" i="74"/>
  <c r="N16" i="74"/>
  <c r="D16" i="74"/>
  <c r="L16" i="74" s="1"/>
  <c r="B16" i="74"/>
  <c r="Z15" i="74"/>
  <c r="X15" i="74"/>
  <c r="P15" i="74"/>
  <c r="N15" i="74"/>
  <c r="L15" i="74"/>
  <c r="D15" i="74"/>
  <c r="B15" i="74"/>
  <c r="Z14" i="74"/>
  <c r="X14" i="74"/>
  <c r="P14" i="74"/>
  <c r="N14" i="74"/>
  <c r="D14" i="74"/>
  <c r="B14" i="74"/>
  <c r="X13" i="74"/>
  <c r="Z13" i="74" s="1"/>
  <c r="P13" i="74"/>
  <c r="L13" i="74"/>
  <c r="N13" i="74" s="1"/>
  <c r="D13" i="74"/>
  <c r="B13" i="74"/>
  <c r="T12" i="74"/>
  <c r="V119" i="74" s="1"/>
  <c r="H12" i="74"/>
  <c r="J125" i="74" s="1"/>
  <c r="D6" i="74"/>
  <c r="D4" i="74"/>
  <c r="X104" i="73"/>
  <c r="Z104" i="73" s="1"/>
  <c r="L104" i="73"/>
  <c r="N104" i="73" s="1"/>
  <c r="J104" i="73"/>
  <c r="Z100" i="73"/>
  <c r="T100" i="73"/>
  <c r="P100" i="73"/>
  <c r="X100" i="73" s="1"/>
  <c r="H100" i="73"/>
  <c r="D100" i="73"/>
  <c r="Z98" i="73"/>
  <c r="X98" i="73"/>
  <c r="N98" i="73"/>
  <c r="L98" i="73"/>
  <c r="B98" i="73"/>
  <c r="Z97" i="73"/>
  <c r="X97" i="73"/>
  <c r="T97" i="73"/>
  <c r="P97" i="73"/>
  <c r="N97" i="73"/>
  <c r="J97" i="73"/>
  <c r="H97" i="73"/>
  <c r="D97" i="73"/>
  <c r="L97" i="73" s="1"/>
  <c r="B97" i="73"/>
  <c r="Z96" i="73"/>
  <c r="X96" i="73"/>
  <c r="V96" i="73"/>
  <c r="N96" i="73"/>
  <c r="L96" i="73"/>
  <c r="B96" i="73"/>
  <c r="T95" i="73"/>
  <c r="P95" i="73"/>
  <c r="X95" i="73" s="1"/>
  <c r="N95" i="73"/>
  <c r="H95" i="73"/>
  <c r="D95" i="73"/>
  <c r="L95" i="73" s="1"/>
  <c r="B95" i="73"/>
  <c r="Z94" i="73"/>
  <c r="X94" i="73"/>
  <c r="V94" i="73"/>
  <c r="N94" i="73"/>
  <c r="L94" i="73"/>
  <c r="B94" i="73"/>
  <c r="Z93" i="73"/>
  <c r="X93" i="73"/>
  <c r="L93" i="73"/>
  <c r="N93" i="73" s="1"/>
  <c r="B93" i="73"/>
  <c r="T92" i="73"/>
  <c r="P92" i="73"/>
  <c r="L92" i="73"/>
  <c r="N92" i="73" s="1"/>
  <c r="J92" i="73"/>
  <c r="H92" i="73"/>
  <c r="D92" i="73"/>
  <c r="B92" i="73"/>
  <c r="Z91" i="73"/>
  <c r="X91" i="73"/>
  <c r="V91" i="73"/>
  <c r="N91" i="73"/>
  <c r="L91" i="73"/>
  <c r="J91" i="73"/>
  <c r="B91" i="73"/>
  <c r="Z90" i="73"/>
  <c r="T90" i="73"/>
  <c r="P90" i="73"/>
  <c r="X90" i="73" s="1"/>
  <c r="H90" i="73"/>
  <c r="N90" i="73" s="1"/>
  <c r="D90" i="73"/>
  <c r="L90" i="73" s="1"/>
  <c r="B90" i="73"/>
  <c r="Z89" i="73"/>
  <c r="X89" i="73"/>
  <c r="N89" i="73"/>
  <c r="L89" i="73"/>
  <c r="B89" i="73"/>
  <c r="Z88" i="73"/>
  <c r="V88" i="73"/>
  <c r="T88" i="73"/>
  <c r="P88" i="73"/>
  <c r="X88" i="73" s="1"/>
  <c r="H88" i="73"/>
  <c r="N88" i="73" s="1"/>
  <c r="D88" i="73"/>
  <c r="L88" i="73" s="1"/>
  <c r="B88" i="73"/>
  <c r="Z87" i="73"/>
  <c r="X87" i="73"/>
  <c r="N87" i="73"/>
  <c r="L87" i="73"/>
  <c r="J87" i="73"/>
  <c r="B87" i="73"/>
  <c r="Z86" i="73"/>
  <c r="X86" i="73"/>
  <c r="V86" i="73"/>
  <c r="T86" i="73"/>
  <c r="P86" i="73"/>
  <c r="H86" i="73"/>
  <c r="N86" i="73" s="1"/>
  <c r="D86" i="73"/>
  <c r="B86" i="73"/>
  <c r="Z85" i="73"/>
  <c r="X85" i="73"/>
  <c r="N85" i="73"/>
  <c r="L85" i="73"/>
  <c r="J85" i="73"/>
  <c r="B85" i="73"/>
  <c r="T84" i="73"/>
  <c r="P84" i="73"/>
  <c r="H84" i="73"/>
  <c r="D84" i="73"/>
  <c r="L84" i="73" s="1"/>
  <c r="N84" i="73" s="1"/>
  <c r="B84" i="73"/>
  <c r="Z83" i="73"/>
  <c r="X83" i="73"/>
  <c r="V83" i="73"/>
  <c r="N83" i="73"/>
  <c r="L83" i="73"/>
  <c r="B83" i="73"/>
  <c r="X82" i="73"/>
  <c r="Z82" i="73" s="1"/>
  <c r="L82" i="73"/>
  <c r="N82" i="73" s="1"/>
  <c r="J82" i="73"/>
  <c r="B82" i="73"/>
  <c r="V81" i="73"/>
  <c r="T81" i="73"/>
  <c r="P81" i="73"/>
  <c r="X81" i="73" s="1"/>
  <c r="Z81" i="73" s="1"/>
  <c r="H81" i="73"/>
  <c r="D81" i="73"/>
  <c r="B81" i="73"/>
  <c r="X80" i="73"/>
  <c r="Z80" i="73" s="1"/>
  <c r="L80" i="73"/>
  <c r="N80" i="73" s="1"/>
  <c r="B80" i="73"/>
  <c r="X79" i="73"/>
  <c r="Z79" i="73" s="1"/>
  <c r="T79" i="73"/>
  <c r="P79" i="73"/>
  <c r="H79" i="73"/>
  <c r="D79" i="73"/>
  <c r="L79" i="73" s="1"/>
  <c r="N79" i="73" s="1"/>
  <c r="B79" i="73"/>
  <c r="Z78" i="73"/>
  <c r="X78" i="73"/>
  <c r="N78" i="73"/>
  <c r="L78" i="73"/>
  <c r="B78" i="73"/>
  <c r="Z77" i="73"/>
  <c r="X77" i="73"/>
  <c r="N77" i="73"/>
  <c r="L77" i="73"/>
  <c r="J77" i="73"/>
  <c r="B77" i="73"/>
  <c r="X76" i="73"/>
  <c r="Z76" i="73" s="1"/>
  <c r="V76" i="73"/>
  <c r="N76" i="73"/>
  <c r="L76" i="73"/>
  <c r="J76" i="73"/>
  <c r="B76" i="73"/>
  <c r="Z75" i="73"/>
  <c r="X75" i="73"/>
  <c r="V75" i="73"/>
  <c r="N75" i="73"/>
  <c r="L75" i="73"/>
  <c r="J75" i="73"/>
  <c r="B75" i="73"/>
  <c r="Z74" i="73"/>
  <c r="X74" i="73"/>
  <c r="N74" i="73"/>
  <c r="L74" i="73"/>
  <c r="B74" i="73"/>
  <c r="Z73" i="73"/>
  <c r="X73" i="73"/>
  <c r="N73" i="73"/>
  <c r="L73" i="73"/>
  <c r="J73" i="73"/>
  <c r="B73" i="73"/>
  <c r="Z72" i="73"/>
  <c r="X72" i="73"/>
  <c r="V72" i="73"/>
  <c r="N72" i="73"/>
  <c r="L72" i="73"/>
  <c r="J72" i="73"/>
  <c r="B72" i="73"/>
  <c r="Z71" i="73"/>
  <c r="X71" i="73"/>
  <c r="V71" i="73"/>
  <c r="N71" i="73"/>
  <c r="L71" i="73"/>
  <c r="J71" i="73"/>
  <c r="B71" i="73"/>
  <c r="Z70" i="73"/>
  <c r="X70" i="73"/>
  <c r="N70" i="73"/>
  <c r="L70" i="73"/>
  <c r="B70" i="73"/>
  <c r="Z69" i="73"/>
  <c r="X69" i="73"/>
  <c r="N69" i="73"/>
  <c r="L69" i="73"/>
  <c r="J69" i="73"/>
  <c r="B69" i="73"/>
  <c r="T68" i="73"/>
  <c r="P68" i="73"/>
  <c r="X68" i="73" s="1"/>
  <c r="H68" i="73"/>
  <c r="D68" i="73"/>
  <c r="L68" i="73" s="1"/>
  <c r="N68" i="73" s="1"/>
  <c r="B68" i="73"/>
  <c r="Z67" i="73"/>
  <c r="X67" i="73"/>
  <c r="V67" i="73"/>
  <c r="N67" i="73"/>
  <c r="L67" i="73"/>
  <c r="B67" i="73"/>
  <c r="X66" i="73"/>
  <c r="Z66" i="73" s="1"/>
  <c r="L66" i="73"/>
  <c r="N66" i="73" s="1"/>
  <c r="J66" i="73"/>
  <c r="B66" i="73"/>
  <c r="Z65" i="73"/>
  <c r="X65" i="73"/>
  <c r="V65" i="73"/>
  <c r="N65" i="73"/>
  <c r="L65" i="73"/>
  <c r="B65" i="73"/>
  <c r="Z64" i="73"/>
  <c r="X64" i="73"/>
  <c r="V64" i="73"/>
  <c r="N64" i="73"/>
  <c r="L64" i="73"/>
  <c r="B64" i="73"/>
  <c r="Z63" i="73"/>
  <c r="X63" i="73"/>
  <c r="V63" i="73"/>
  <c r="N63" i="73"/>
  <c r="L63" i="73"/>
  <c r="B63" i="73"/>
  <c r="X62" i="73"/>
  <c r="Z62" i="73" s="1"/>
  <c r="L62" i="73"/>
  <c r="N62" i="73" s="1"/>
  <c r="J62" i="73"/>
  <c r="B62" i="73"/>
  <c r="Z61" i="73"/>
  <c r="X61" i="73"/>
  <c r="V61" i="73"/>
  <c r="N61" i="73"/>
  <c r="L61" i="73"/>
  <c r="B61" i="73"/>
  <c r="Z60" i="73"/>
  <c r="X60" i="73"/>
  <c r="V60" i="73"/>
  <c r="L60" i="73"/>
  <c r="N60" i="73" s="1"/>
  <c r="B60" i="73"/>
  <c r="X59" i="73"/>
  <c r="Z59" i="73" s="1"/>
  <c r="V59" i="73"/>
  <c r="L59" i="73"/>
  <c r="N59" i="73" s="1"/>
  <c r="B59" i="73"/>
  <c r="X58" i="73"/>
  <c r="Z58" i="73" s="1"/>
  <c r="L58" i="73"/>
  <c r="N58" i="73" s="1"/>
  <c r="J58" i="73"/>
  <c r="B58" i="73"/>
  <c r="V57" i="73"/>
  <c r="T57" i="73"/>
  <c r="P57" i="73"/>
  <c r="X57" i="73" s="1"/>
  <c r="Z57" i="73" s="1"/>
  <c r="H57" i="73"/>
  <c r="D57" i="73"/>
  <c r="B57" i="73"/>
  <c r="T56" i="73"/>
  <c r="P56" i="73"/>
  <c r="L56" i="73"/>
  <c r="N56" i="73" s="1"/>
  <c r="J56" i="73"/>
  <c r="H56" i="73"/>
  <c r="D56" i="73"/>
  <c r="T54" i="73"/>
  <c r="Z52" i="73"/>
  <c r="X52" i="73"/>
  <c r="N52" i="73"/>
  <c r="L52" i="73"/>
  <c r="J52" i="73"/>
  <c r="B52" i="73"/>
  <c r="Z51" i="73"/>
  <c r="X51" i="73"/>
  <c r="N51" i="73"/>
  <c r="L51" i="73"/>
  <c r="J51" i="73"/>
  <c r="B51" i="73"/>
  <c r="Z50" i="73"/>
  <c r="X50" i="73"/>
  <c r="V50" i="73"/>
  <c r="N50" i="73"/>
  <c r="L50" i="73"/>
  <c r="B50" i="73"/>
  <c r="Z49" i="73"/>
  <c r="X49" i="73"/>
  <c r="N49" i="73"/>
  <c r="L49" i="73"/>
  <c r="B49" i="73"/>
  <c r="Z48" i="73"/>
  <c r="X48" i="73"/>
  <c r="N48" i="73"/>
  <c r="L48" i="73"/>
  <c r="J48" i="73"/>
  <c r="B48" i="73"/>
  <c r="Z47" i="73"/>
  <c r="X47" i="73"/>
  <c r="V47" i="73"/>
  <c r="N47" i="73"/>
  <c r="L47" i="73"/>
  <c r="J47" i="73"/>
  <c r="B47" i="73"/>
  <c r="Z46" i="73"/>
  <c r="X46" i="73"/>
  <c r="V46" i="73"/>
  <c r="N46" i="73"/>
  <c r="L46" i="73"/>
  <c r="B46" i="73"/>
  <c r="Z45" i="73"/>
  <c r="X45" i="73"/>
  <c r="N45" i="73"/>
  <c r="L45" i="73"/>
  <c r="B45" i="73"/>
  <c r="Z44" i="73"/>
  <c r="X44" i="73"/>
  <c r="N44" i="73"/>
  <c r="L44" i="73"/>
  <c r="J44" i="73"/>
  <c r="B44" i="73"/>
  <c r="Z43" i="73"/>
  <c r="X43" i="73"/>
  <c r="V43" i="73"/>
  <c r="N43" i="73"/>
  <c r="L43" i="73"/>
  <c r="J43" i="73"/>
  <c r="B43" i="73"/>
  <c r="Z42" i="73"/>
  <c r="X42" i="73"/>
  <c r="V42" i="73"/>
  <c r="N42" i="73"/>
  <c r="L42" i="73"/>
  <c r="B42" i="73"/>
  <c r="Z41" i="73"/>
  <c r="X41" i="73"/>
  <c r="V41" i="73"/>
  <c r="N41" i="73"/>
  <c r="L41" i="73"/>
  <c r="J41" i="73"/>
  <c r="B41" i="73"/>
  <c r="Z40" i="73"/>
  <c r="X40" i="73"/>
  <c r="N40" i="73"/>
  <c r="L40" i="73"/>
  <c r="J40" i="73"/>
  <c r="B40" i="73"/>
  <c r="Z39" i="73"/>
  <c r="X39" i="73"/>
  <c r="V39" i="73"/>
  <c r="N39" i="73"/>
  <c r="L39" i="73"/>
  <c r="J39" i="73"/>
  <c r="B39" i="73"/>
  <c r="Z38" i="73"/>
  <c r="X38" i="73"/>
  <c r="V38" i="73"/>
  <c r="N38" i="73"/>
  <c r="L38" i="73"/>
  <c r="B38" i="73"/>
  <c r="Z37" i="73"/>
  <c r="X37" i="73"/>
  <c r="V37" i="73"/>
  <c r="N37" i="73"/>
  <c r="L37" i="73"/>
  <c r="J37" i="73"/>
  <c r="B37" i="73"/>
  <c r="T36" i="73"/>
  <c r="P36" i="73"/>
  <c r="L36" i="73"/>
  <c r="N36" i="73" s="1"/>
  <c r="J36" i="73"/>
  <c r="H36" i="73"/>
  <c r="D36" i="73"/>
  <c r="Z34" i="73"/>
  <c r="X34" i="73"/>
  <c r="P34" i="73"/>
  <c r="N34" i="73"/>
  <c r="D34" i="73"/>
  <c r="L34" i="73" s="1"/>
  <c r="B34" i="73"/>
  <c r="Z33" i="73"/>
  <c r="X33" i="73"/>
  <c r="P33" i="73"/>
  <c r="N33" i="73"/>
  <c r="L33" i="73"/>
  <c r="D33" i="73"/>
  <c r="B33" i="73"/>
  <c r="Z32" i="73"/>
  <c r="X32" i="73"/>
  <c r="P32" i="73"/>
  <c r="N32" i="73"/>
  <c r="D32" i="73"/>
  <c r="L32" i="73" s="1"/>
  <c r="B32" i="73"/>
  <c r="Z31" i="73"/>
  <c r="X31" i="73"/>
  <c r="P31" i="73"/>
  <c r="N31" i="73"/>
  <c r="L31" i="73"/>
  <c r="D31" i="73"/>
  <c r="B31" i="73"/>
  <c r="Z30" i="73"/>
  <c r="P30" i="73"/>
  <c r="X30" i="73" s="1"/>
  <c r="N30" i="73"/>
  <c r="L30" i="73"/>
  <c r="D30" i="73"/>
  <c r="B30" i="73"/>
  <c r="Z29" i="73"/>
  <c r="P29" i="73"/>
  <c r="X29" i="73" s="1"/>
  <c r="N29" i="73"/>
  <c r="L29" i="73"/>
  <c r="D29" i="73"/>
  <c r="B29" i="73"/>
  <c r="Z28" i="73"/>
  <c r="X28" i="73"/>
  <c r="P28" i="73"/>
  <c r="N28" i="73"/>
  <c r="L28" i="73"/>
  <c r="D28" i="73"/>
  <c r="B28" i="73"/>
  <c r="Z27" i="73"/>
  <c r="P27" i="73"/>
  <c r="X27" i="73" s="1"/>
  <c r="N27" i="73"/>
  <c r="D27" i="73"/>
  <c r="L27" i="73" s="1"/>
  <c r="B27" i="73"/>
  <c r="Z26" i="73"/>
  <c r="P26" i="73"/>
  <c r="X26" i="73" s="1"/>
  <c r="N26" i="73"/>
  <c r="D26" i="73"/>
  <c r="L26" i="73" s="1"/>
  <c r="B26" i="73"/>
  <c r="Z25" i="73"/>
  <c r="P25" i="73"/>
  <c r="X25" i="73" s="1"/>
  <c r="N25" i="73"/>
  <c r="L25" i="73"/>
  <c r="D25" i="73"/>
  <c r="B25" i="73"/>
  <c r="Z24" i="73"/>
  <c r="X24" i="73"/>
  <c r="P24" i="73"/>
  <c r="N24" i="73"/>
  <c r="D24" i="73"/>
  <c r="L24" i="73" s="1"/>
  <c r="B24" i="73"/>
  <c r="Z23" i="73"/>
  <c r="P23" i="73"/>
  <c r="X23" i="73" s="1"/>
  <c r="N23" i="73"/>
  <c r="D23" i="73"/>
  <c r="L23" i="73" s="1"/>
  <c r="B23" i="73"/>
  <c r="Z22" i="73"/>
  <c r="X22" i="73"/>
  <c r="P22" i="73"/>
  <c r="N22" i="73"/>
  <c r="D22" i="73"/>
  <c r="L22" i="73" s="1"/>
  <c r="B22" i="73"/>
  <c r="X21" i="73"/>
  <c r="Z21" i="73" s="1"/>
  <c r="P21" i="73"/>
  <c r="N21" i="73"/>
  <c r="L21" i="73"/>
  <c r="D21" i="73"/>
  <c r="B21" i="73"/>
  <c r="Z20" i="73"/>
  <c r="X20" i="73"/>
  <c r="P20" i="73"/>
  <c r="N20" i="73"/>
  <c r="D20" i="73"/>
  <c r="L20" i="73" s="1"/>
  <c r="B20" i="73"/>
  <c r="Z19" i="73"/>
  <c r="X19" i="73"/>
  <c r="P19" i="73"/>
  <c r="N19" i="73"/>
  <c r="L19" i="73"/>
  <c r="D19" i="73"/>
  <c r="B19" i="73"/>
  <c r="Z18" i="73"/>
  <c r="P18" i="73"/>
  <c r="X18" i="73" s="1"/>
  <c r="N18" i="73"/>
  <c r="L18" i="73"/>
  <c r="D18" i="73"/>
  <c r="B18" i="73"/>
  <c r="Z17" i="73"/>
  <c r="P17" i="73"/>
  <c r="X17" i="73" s="1"/>
  <c r="N17" i="73"/>
  <c r="L17" i="73"/>
  <c r="D17" i="73"/>
  <c r="B17" i="73"/>
  <c r="Z16" i="73"/>
  <c r="X16" i="73"/>
  <c r="P16" i="73"/>
  <c r="N16" i="73"/>
  <c r="L16" i="73"/>
  <c r="D16" i="73"/>
  <c r="B16" i="73"/>
  <c r="Z15" i="73"/>
  <c r="P15" i="73"/>
  <c r="X15" i="73" s="1"/>
  <c r="N15" i="73"/>
  <c r="D15" i="73"/>
  <c r="L15" i="73" s="1"/>
  <c r="B15" i="73"/>
  <c r="Z14" i="73"/>
  <c r="P14" i="73"/>
  <c r="N14" i="73"/>
  <c r="D14" i="73"/>
  <c r="L14" i="73" s="1"/>
  <c r="B14" i="73"/>
  <c r="P13" i="73"/>
  <c r="X13" i="73" s="1"/>
  <c r="Z13" i="73" s="1"/>
  <c r="L13" i="73"/>
  <c r="N13" i="73" s="1"/>
  <c r="D13" i="73"/>
  <c r="B13" i="73"/>
  <c r="T12" i="73"/>
  <c r="V87" i="73" s="1"/>
  <c r="H12" i="73"/>
  <c r="J83" i="73" s="1"/>
  <c r="D6" i="73"/>
  <c r="D4" i="73"/>
  <c r="Z89" i="72"/>
  <c r="X89" i="72"/>
  <c r="V89" i="72"/>
  <c r="L89" i="72"/>
  <c r="N89" i="72" s="1"/>
  <c r="T87" i="72"/>
  <c r="T85" i="72"/>
  <c r="P85" i="72"/>
  <c r="N85" i="72"/>
  <c r="H85" i="72"/>
  <c r="D85" i="72"/>
  <c r="L85" i="72" s="1"/>
  <c r="X83" i="72"/>
  <c r="Z83" i="72" s="1"/>
  <c r="N83" i="72"/>
  <c r="L83" i="72"/>
  <c r="J83" i="72"/>
  <c r="B83" i="72"/>
  <c r="V82" i="72"/>
  <c r="T82" i="72"/>
  <c r="P82" i="72"/>
  <c r="X82" i="72" s="1"/>
  <c r="Z82" i="72" s="1"/>
  <c r="N82" i="72"/>
  <c r="L82" i="72"/>
  <c r="H82" i="72"/>
  <c r="D82" i="72"/>
  <c r="B82" i="72"/>
  <c r="X81" i="72"/>
  <c r="Z81" i="72" s="1"/>
  <c r="L81" i="72"/>
  <c r="N81" i="72" s="1"/>
  <c r="J81" i="72"/>
  <c r="B81" i="72"/>
  <c r="T80" i="72"/>
  <c r="X80" i="72" s="1"/>
  <c r="Z80" i="72" s="1"/>
  <c r="P80" i="72"/>
  <c r="H80" i="72"/>
  <c r="D80" i="72"/>
  <c r="B80" i="72"/>
  <c r="Z79" i="72"/>
  <c r="X79" i="72"/>
  <c r="N79" i="72"/>
  <c r="L79" i="72"/>
  <c r="B79" i="72"/>
  <c r="X78" i="72"/>
  <c r="Z78" i="72" s="1"/>
  <c r="N78" i="72"/>
  <c r="L78" i="72"/>
  <c r="B78" i="72"/>
  <c r="Z77" i="72"/>
  <c r="X77" i="72"/>
  <c r="V77" i="72"/>
  <c r="N77" i="72"/>
  <c r="L77" i="72"/>
  <c r="B77" i="72"/>
  <c r="Z76" i="72"/>
  <c r="X76" i="72"/>
  <c r="N76" i="72"/>
  <c r="L76" i="72"/>
  <c r="B76" i="72"/>
  <c r="Z75" i="72"/>
  <c r="X75" i="72"/>
  <c r="N75" i="72"/>
  <c r="L75" i="72"/>
  <c r="B75" i="72"/>
  <c r="Z74" i="72"/>
  <c r="X74" i="72"/>
  <c r="N74" i="72"/>
  <c r="L74" i="72"/>
  <c r="B74" i="72"/>
  <c r="X73" i="72"/>
  <c r="Z73" i="72" s="1"/>
  <c r="V73" i="72"/>
  <c r="T73" i="72"/>
  <c r="P73" i="72"/>
  <c r="H73" i="72"/>
  <c r="D73" i="72"/>
  <c r="B73" i="72"/>
  <c r="Z72" i="72"/>
  <c r="X72" i="72"/>
  <c r="N72" i="72"/>
  <c r="L72" i="72"/>
  <c r="B72" i="72"/>
  <c r="T71" i="72"/>
  <c r="P71" i="72"/>
  <c r="N71" i="72"/>
  <c r="H71" i="72"/>
  <c r="D71" i="72"/>
  <c r="L71" i="72" s="1"/>
  <c r="B71" i="72"/>
  <c r="X70" i="72"/>
  <c r="Z70" i="72" s="1"/>
  <c r="V70" i="72"/>
  <c r="L70" i="72"/>
  <c r="N70" i="72" s="1"/>
  <c r="B70" i="72"/>
  <c r="Z69" i="72"/>
  <c r="X69" i="72"/>
  <c r="N69" i="72"/>
  <c r="L69" i="72"/>
  <c r="B69" i="72"/>
  <c r="Z68" i="72"/>
  <c r="X68" i="72"/>
  <c r="N68" i="72"/>
  <c r="L68" i="72"/>
  <c r="B68" i="72"/>
  <c r="Z67" i="72"/>
  <c r="V67" i="72"/>
  <c r="T67" i="72"/>
  <c r="P67" i="72"/>
  <c r="X67" i="72" s="1"/>
  <c r="H67" i="72"/>
  <c r="D67" i="72"/>
  <c r="L67" i="72" s="1"/>
  <c r="B67" i="72"/>
  <c r="X66" i="72"/>
  <c r="Z66" i="72" s="1"/>
  <c r="N66" i="72"/>
  <c r="L66" i="72"/>
  <c r="J66" i="72"/>
  <c r="B66" i="72"/>
  <c r="X65" i="72"/>
  <c r="Z65" i="72" s="1"/>
  <c r="V65" i="72"/>
  <c r="T65" i="72"/>
  <c r="P65" i="72"/>
  <c r="H65" i="72"/>
  <c r="D65" i="72"/>
  <c r="B65" i="72"/>
  <c r="Z64" i="72"/>
  <c r="X64" i="72"/>
  <c r="N64" i="72"/>
  <c r="L64" i="72"/>
  <c r="B64" i="72"/>
  <c r="T63" i="72"/>
  <c r="P63" i="72"/>
  <c r="N63" i="72"/>
  <c r="H63" i="72"/>
  <c r="D63" i="72"/>
  <c r="L63" i="72" s="1"/>
  <c r="B63" i="72"/>
  <c r="Z62" i="72"/>
  <c r="X62" i="72"/>
  <c r="V62" i="72"/>
  <c r="N62" i="72"/>
  <c r="L62" i="72"/>
  <c r="B62" i="72"/>
  <c r="T61" i="72"/>
  <c r="Z61" i="72" s="1"/>
  <c r="P61" i="72"/>
  <c r="X61" i="72" s="1"/>
  <c r="N61" i="72"/>
  <c r="H61" i="72"/>
  <c r="D61" i="72"/>
  <c r="L61" i="72" s="1"/>
  <c r="B61" i="72"/>
  <c r="Z60" i="72"/>
  <c r="X60" i="72"/>
  <c r="N60" i="72"/>
  <c r="L60" i="72"/>
  <c r="B60" i="72"/>
  <c r="T59" i="72"/>
  <c r="P59" i="72"/>
  <c r="N59" i="72"/>
  <c r="L59" i="72"/>
  <c r="J59" i="72"/>
  <c r="H59" i="72"/>
  <c r="D59" i="72"/>
  <c r="B59" i="72"/>
  <c r="Z58" i="72"/>
  <c r="X58" i="72"/>
  <c r="V58" i="72"/>
  <c r="L58" i="72"/>
  <c r="N58" i="72" s="1"/>
  <c r="B58" i="72"/>
  <c r="T57" i="72"/>
  <c r="P57" i="72"/>
  <c r="X57" i="72" s="1"/>
  <c r="Z57" i="72" s="1"/>
  <c r="H57" i="72"/>
  <c r="D57" i="72"/>
  <c r="B57" i="72"/>
  <c r="Z56" i="72"/>
  <c r="X56" i="72"/>
  <c r="V56" i="72"/>
  <c r="N56" i="72"/>
  <c r="L56" i="72"/>
  <c r="B56" i="72"/>
  <c r="Z55" i="72"/>
  <c r="V55" i="72"/>
  <c r="T55" i="72"/>
  <c r="P55" i="72"/>
  <c r="X55" i="72" s="1"/>
  <c r="H55" i="72"/>
  <c r="D55" i="72"/>
  <c r="L55" i="72" s="1"/>
  <c r="B55" i="72"/>
  <c r="Z54" i="72"/>
  <c r="X54" i="72"/>
  <c r="N54" i="72"/>
  <c r="L54" i="72"/>
  <c r="J54" i="72"/>
  <c r="B54" i="72"/>
  <c r="Z53" i="72"/>
  <c r="X53" i="72"/>
  <c r="V53" i="72"/>
  <c r="T53" i="72"/>
  <c r="P53" i="72"/>
  <c r="L53" i="72"/>
  <c r="H53" i="72"/>
  <c r="N53" i="72" s="1"/>
  <c r="D53" i="72"/>
  <c r="B53" i="72"/>
  <c r="Z52" i="72"/>
  <c r="X52" i="72"/>
  <c r="N52" i="72"/>
  <c r="L52" i="72"/>
  <c r="B52" i="72"/>
  <c r="T51" i="72"/>
  <c r="P51" i="72"/>
  <c r="H51" i="72"/>
  <c r="N51" i="72" s="1"/>
  <c r="D51" i="72"/>
  <c r="L51" i="72" s="1"/>
  <c r="B51" i="72"/>
  <c r="Z50" i="72"/>
  <c r="X50" i="72"/>
  <c r="V50" i="72"/>
  <c r="N50" i="72"/>
  <c r="L50" i="72"/>
  <c r="B50" i="72"/>
  <c r="Z49" i="72"/>
  <c r="X49" i="72"/>
  <c r="N49" i="72"/>
  <c r="L49" i="72"/>
  <c r="J49" i="72"/>
  <c r="B49" i="72"/>
  <c r="Z48" i="72"/>
  <c r="X48" i="72"/>
  <c r="V48" i="72"/>
  <c r="N48" i="72"/>
  <c r="L48" i="72"/>
  <c r="B48" i="72"/>
  <c r="Z47" i="72"/>
  <c r="X47" i="72"/>
  <c r="V47" i="72"/>
  <c r="N47" i="72"/>
  <c r="L47" i="72"/>
  <c r="B47" i="72"/>
  <c r="Z46" i="72"/>
  <c r="X46" i="72"/>
  <c r="V46" i="72"/>
  <c r="N46" i="72"/>
  <c r="L46" i="72"/>
  <c r="B46" i="72"/>
  <c r="Z45" i="72"/>
  <c r="X45" i="72"/>
  <c r="N45" i="72"/>
  <c r="L45" i="72"/>
  <c r="B45" i="72"/>
  <c r="Z44" i="72"/>
  <c r="X44" i="72"/>
  <c r="V44" i="72"/>
  <c r="N44" i="72"/>
  <c r="L44" i="72"/>
  <c r="B44" i="72"/>
  <c r="Z43" i="72"/>
  <c r="X43" i="72"/>
  <c r="V43" i="72"/>
  <c r="N43" i="72"/>
  <c r="L43" i="72"/>
  <c r="B43" i="72"/>
  <c r="Z42" i="72"/>
  <c r="X42" i="72"/>
  <c r="V42" i="72"/>
  <c r="N42" i="72"/>
  <c r="L42" i="72"/>
  <c r="B42" i="72"/>
  <c r="X41" i="72"/>
  <c r="Z41" i="72" s="1"/>
  <c r="L41" i="72"/>
  <c r="N41" i="72" s="1"/>
  <c r="B41" i="72"/>
  <c r="V40" i="72"/>
  <c r="T40" i="72"/>
  <c r="P40" i="72"/>
  <c r="X40" i="72" s="1"/>
  <c r="Z40" i="72" s="1"/>
  <c r="H40" i="72"/>
  <c r="D40" i="72"/>
  <c r="L40" i="72" s="1"/>
  <c r="B40" i="72"/>
  <c r="Z39" i="72"/>
  <c r="X39" i="72"/>
  <c r="N39" i="72"/>
  <c r="L39" i="72"/>
  <c r="B39" i="72"/>
  <c r="X38" i="72"/>
  <c r="Z38" i="72" s="1"/>
  <c r="N38" i="72"/>
  <c r="L38" i="72"/>
  <c r="J38" i="72"/>
  <c r="B38" i="72"/>
  <c r="X37" i="72"/>
  <c r="Z37" i="72" s="1"/>
  <c r="V37" i="72"/>
  <c r="N37" i="72"/>
  <c r="L37" i="72"/>
  <c r="B37" i="72"/>
  <c r="Z36" i="72"/>
  <c r="X36" i="72"/>
  <c r="N36" i="72"/>
  <c r="L36" i="72"/>
  <c r="B36" i="72"/>
  <c r="X35" i="72"/>
  <c r="Z35" i="72" s="1"/>
  <c r="L35" i="72"/>
  <c r="N35" i="72" s="1"/>
  <c r="B35" i="72"/>
  <c r="X34" i="72"/>
  <c r="Z34" i="72" s="1"/>
  <c r="N34" i="72"/>
  <c r="L34" i="72"/>
  <c r="B34" i="72"/>
  <c r="X33" i="72"/>
  <c r="Z33" i="72" s="1"/>
  <c r="V33" i="72"/>
  <c r="N33" i="72"/>
  <c r="L33" i="72"/>
  <c r="B33" i="72"/>
  <c r="Z32" i="72"/>
  <c r="X32" i="72"/>
  <c r="N32" i="72"/>
  <c r="L32" i="72"/>
  <c r="B32" i="72"/>
  <c r="X31" i="72"/>
  <c r="Z31" i="72" s="1"/>
  <c r="L31" i="72"/>
  <c r="N31" i="72" s="1"/>
  <c r="B31" i="72"/>
  <c r="X30" i="72"/>
  <c r="Z30" i="72" s="1"/>
  <c r="T30" i="72"/>
  <c r="P30" i="72"/>
  <c r="H30" i="72"/>
  <c r="D30" i="72"/>
  <c r="L30" i="72" s="1"/>
  <c r="N30" i="72" s="1"/>
  <c r="B30" i="72"/>
  <c r="T29" i="72"/>
  <c r="P29" i="72"/>
  <c r="H29" i="72"/>
  <c r="D29" i="72"/>
  <c r="T27" i="72"/>
  <c r="Z25" i="72"/>
  <c r="X25" i="72"/>
  <c r="N25" i="72"/>
  <c r="L25" i="72"/>
  <c r="B25" i="72"/>
  <c r="Z24" i="72"/>
  <c r="X24" i="72"/>
  <c r="N24" i="72"/>
  <c r="L24" i="72"/>
  <c r="J24" i="72"/>
  <c r="B24" i="72"/>
  <c r="X23" i="72"/>
  <c r="Z23" i="72" s="1"/>
  <c r="V23" i="72"/>
  <c r="N23" i="72"/>
  <c r="L23" i="72"/>
  <c r="B23" i="72"/>
  <c r="V22" i="72"/>
  <c r="T22" i="72"/>
  <c r="P22" i="72"/>
  <c r="X22" i="72" s="1"/>
  <c r="Z22" i="72" s="1"/>
  <c r="H22" i="72"/>
  <c r="L22" i="72" s="1"/>
  <c r="N22" i="72" s="1"/>
  <c r="D22" i="72"/>
  <c r="Z20" i="72"/>
  <c r="P20" i="72"/>
  <c r="X20" i="72" s="1"/>
  <c r="N20" i="72"/>
  <c r="D20" i="72"/>
  <c r="L20" i="72" s="1"/>
  <c r="B20" i="72"/>
  <c r="Z19" i="72"/>
  <c r="P19" i="72"/>
  <c r="X19" i="72" s="1"/>
  <c r="N19" i="72"/>
  <c r="D19" i="72"/>
  <c r="L19" i="72" s="1"/>
  <c r="B19" i="72"/>
  <c r="Z18" i="72"/>
  <c r="P18" i="72"/>
  <c r="X18" i="72" s="1"/>
  <c r="N18" i="72"/>
  <c r="D18" i="72"/>
  <c r="L18" i="72" s="1"/>
  <c r="B18" i="72"/>
  <c r="Z17" i="72"/>
  <c r="X17" i="72"/>
  <c r="P17" i="72"/>
  <c r="N17" i="72"/>
  <c r="D17" i="72"/>
  <c r="L17" i="72" s="1"/>
  <c r="B17" i="72"/>
  <c r="Z16" i="72"/>
  <c r="P16" i="72"/>
  <c r="X16" i="72" s="1"/>
  <c r="N16" i="72"/>
  <c r="D16" i="72"/>
  <c r="L16" i="72" s="1"/>
  <c r="B16" i="72"/>
  <c r="X15" i="72"/>
  <c r="Z15" i="72" s="1"/>
  <c r="P15" i="72"/>
  <c r="D15" i="72"/>
  <c r="L15" i="72" s="1"/>
  <c r="N15" i="72" s="1"/>
  <c r="B15" i="72"/>
  <c r="Z14" i="72"/>
  <c r="X14" i="72"/>
  <c r="P14" i="72"/>
  <c r="N14" i="72"/>
  <c r="L14" i="72"/>
  <c r="D14" i="72"/>
  <c r="B14" i="72"/>
  <c r="Z13" i="72"/>
  <c r="X13" i="72"/>
  <c r="P13" i="72"/>
  <c r="N13" i="72"/>
  <c r="L13" i="72"/>
  <c r="D13" i="72"/>
  <c r="B13" i="72"/>
  <c r="T12" i="72"/>
  <c r="V78" i="72" s="1"/>
  <c r="H12" i="72"/>
  <c r="J78" i="72" s="1"/>
  <c r="D6" i="72"/>
  <c r="D4" i="72"/>
  <c r="Z133" i="70"/>
  <c r="X133" i="70"/>
  <c r="L133" i="70"/>
  <c r="N133" i="70" s="1"/>
  <c r="J133" i="70"/>
  <c r="P129" i="70"/>
  <c r="X129" i="70" s="1"/>
  <c r="Z129" i="70" s="1"/>
  <c r="L129" i="70"/>
  <c r="N129" i="70" s="1"/>
  <c r="D129" i="70"/>
  <c r="B129" i="70"/>
  <c r="Z128" i="70"/>
  <c r="X128" i="70"/>
  <c r="P128" i="70"/>
  <c r="N128" i="70"/>
  <c r="J128" i="70"/>
  <c r="D128" i="70"/>
  <c r="L128" i="70" s="1"/>
  <c r="B128" i="70"/>
  <c r="Z127" i="70"/>
  <c r="P127" i="70"/>
  <c r="X127" i="70" s="1"/>
  <c r="N127" i="70"/>
  <c r="L127" i="70"/>
  <c r="D127" i="70"/>
  <c r="B127" i="70"/>
  <c r="Z126" i="70"/>
  <c r="X126" i="70"/>
  <c r="P126" i="70"/>
  <c r="N126" i="70"/>
  <c r="D126" i="70"/>
  <c r="B126" i="70"/>
  <c r="T125" i="70"/>
  <c r="H125" i="70"/>
  <c r="Z123" i="70"/>
  <c r="X123" i="70"/>
  <c r="N123" i="70"/>
  <c r="L123" i="70"/>
  <c r="J123" i="70"/>
  <c r="B123" i="70"/>
  <c r="Z122" i="70"/>
  <c r="X122" i="70"/>
  <c r="N122" i="70"/>
  <c r="L122" i="70"/>
  <c r="B122" i="70"/>
  <c r="V121" i="70"/>
  <c r="T121" i="70"/>
  <c r="P121" i="70"/>
  <c r="H121" i="70"/>
  <c r="N121" i="70" s="1"/>
  <c r="D121" i="70"/>
  <c r="B121" i="70"/>
  <c r="X120" i="70"/>
  <c r="Z120" i="70" s="1"/>
  <c r="V120" i="70"/>
  <c r="N120" i="70"/>
  <c r="L120" i="70"/>
  <c r="B120" i="70"/>
  <c r="T119" i="70"/>
  <c r="P119" i="70"/>
  <c r="X119" i="70" s="1"/>
  <c r="Z119" i="70" s="1"/>
  <c r="N119" i="70"/>
  <c r="L119" i="70"/>
  <c r="H119" i="70"/>
  <c r="D119" i="70"/>
  <c r="B119" i="70"/>
  <c r="Z118" i="70"/>
  <c r="X118" i="70"/>
  <c r="N118" i="70"/>
  <c r="L118" i="70"/>
  <c r="J118" i="70"/>
  <c r="B118" i="70"/>
  <c r="X117" i="70"/>
  <c r="Z117" i="70" s="1"/>
  <c r="L117" i="70"/>
  <c r="N117" i="70" s="1"/>
  <c r="J117" i="70"/>
  <c r="B117" i="70"/>
  <c r="T116" i="70"/>
  <c r="P116" i="70"/>
  <c r="X116" i="70" s="1"/>
  <c r="Z116" i="70" s="1"/>
  <c r="H116" i="70"/>
  <c r="D116" i="70"/>
  <c r="B116" i="70"/>
  <c r="X115" i="70"/>
  <c r="Z115" i="70" s="1"/>
  <c r="N115" i="70"/>
  <c r="L115" i="70"/>
  <c r="B115" i="70"/>
  <c r="Z114" i="70"/>
  <c r="X114" i="70"/>
  <c r="N114" i="70"/>
  <c r="L114" i="70"/>
  <c r="B114" i="70"/>
  <c r="X113" i="70"/>
  <c r="Z113" i="70" s="1"/>
  <c r="V113" i="70"/>
  <c r="L113" i="70"/>
  <c r="N113" i="70" s="1"/>
  <c r="B113" i="70"/>
  <c r="T112" i="70"/>
  <c r="P112" i="70"/>
  <c r="X112" i="70" s="1"/>
  <c r="Z112" i="70" s="1"/>
  <c r="L112" i="70"/>
  <c r="N112" i="70" s="1"/>
  <c r="J112" i="70"/>
  <c r="H112" i="70"/>
  <c r="D112" i="70"/>
  <c r="B112" i="70"/>
  <c r="Z111" i="70"/>
  <c r="X111" i="70"/>
  <c r="N111" i="70"/>
  <c r="L111" i="70"/>
  <c r="J111" i="70"/>
  <c r="B111" i="70"/>
  <c r="Z110" i="70"/>
  <c r="X110" i="70"/>
  <c r="N110" i="70"/>
  <c r="L110" i="70"/>
  <c r="B110" i="70"/>
  <c r="X109" i="70"/>
  <c r="Z109" i="70" s="1"/>
  <c r="T109" i="70"/>
  <c r="P109" i="70"/>
  <c r="H109" i="70"/>
  <c r="D109" i="70"/>
  <c r="L109" i="70" s="1"/>
  <c r="N109" i="70" s="1"/>
  <c r="B109" i="70"/>
  <c r="Z108" i="70"/>
  <c r="X108" i="70"/>
  <c r="N108" i="70"/>
  <c r="L108" i="70"/>
  <c r="B108" i="70"/>
  <c r="Z107" i="70"/>
  <c r="X107" i="70"/>
  <c r="V107" i="70"/>
  <c r="L107" i="70"/>
  <c r="N107" i="70" s="1"/>
  <c r="B107" i="70"/>
  <c r="Z106" i="70"/>
  <c r="X106" i="70"/>
  <c r="N106" i="70"/>
  <c r="L106" i="70"/>
  <c r="J106" i="70"/>
  <c r="B106" i="70"/>
  <c r="X105" i="70"/>
  <c r="Z105" i="70" s="1"/>
  <c r="L105" i="70"/>
  <c r="N105" i="70" s="1"/>
  <c r="J105" i="70"/>
  <c r="B105" i="70"/>
  <c r="T104" i="70"/>
  <c r="P104" i="70"/>
  <c r="X104" i="70" s="1"/>
  <c r="Z104" i="70" s="1"/>
  <c r="H104" i="70"/>
  <c r="D104" i="70"/>
  <c r="B104" i="70"/>
  <c r="X103" i="70"/>
  <c r="Z103" i="70" s="1"/>
  <c r="N103" i="70"/>
  <c r="L103" i="70"/>
  <c r="B103" i="70"/>
  <c r="Z102" i="70"/>
  <c r="X102" i="70"/>
  <c r="T102" i="70"/>
  <c r="P102" i="70"/>
  <c r="H102" i="70"/>
  <c r="D102" i="70"/>
  <c r="L102" i="70" s="1"/>
  <c r="N102" i="70" s="1"/>
  <c r="B102" i="70"/>
  <c r="X101" i="70"/>
  <c r="Z101" i="70" s="1"/>
  <c r="N101" i="70"/>
  <c r="L101" i="70"/>
  <c r="B101" i="70"/>
  <c r="T100" i="70"/>
  <c r="P100" i="70"/>
  <c r="H100" i="70"/>
  <c r="N100" i="70" s="1"/>
  <c r="D100" i="70"/>
  <c r="B100" i="70"/>
  <c r="Z99" i="70"/>
  <c r="X99" i="70"/>
  <c r="V99" i="70"/>
  <c r="N99" i="70"/>
  <c r="L99" i="70"/>
  <c r="B99" i="70"/>
  <c r="Z98" i="70"/>
  <c r="X98" i="70"/>
  <c r="N98" i="70"/>
  <c r="L98" i="70"/>
  <c r="J98" i="70"/>
  <c r="B98" i="70"/>
  <c r="X97" i="70"/>
  <c r="T97" i="70"/>
  <c r="Z97" i="70" s="1"/>
  <c r="P97" i="70"/>
  <c r="L97" i="70"/>
  <c r="N97" i="70" s="1"/>
  <c r="J97" i="70"/>
  <c r="H97" i="70"/>
  <c r="D97" i="70"/>
  <c r="B97" i="70"/>
  <c r="X96" i="70"/>
  <c r="Z96" i="70" s="1"/>
  <c r="L96" i="70"/>
  <c r="N96" i="70" s="1"/>
  <c r="J96" i="70"/>
  <c r="B96" i="70"/>
  <c r="T95" i="70"/>
  <c r="P95" i="70"/>
  <c r="J95" i="70"/>
  <c r="H95" i="70"/>
  <c r="D95" i="70"/>
  <c r="B95" i="70"/>
  <c r="Z94" i="70"/>
  <c r="X94" i="70"/>
  <c r="N94" i="70"/>
  <c r="L94" i="70"/>
  <c r="B94" i="70"/>
  <c r="X93" i="70"/>
  <c r="Z93" i="70" s="1"/>
  <c r="T93" i="70"/>
  <c r="P93" i="70"/>
  <c r="H93" i="70"/>
  <c r="D93" i="70"/>
  <c r="L93" i="70" s="1"/>
  <c r="N93" i="70" s="1"/>
  <c r="B93" i="70"/>
  <c r="Z92" i="70"/>
  <c r="X92" i="70"/>
  <c r="N92" i="70"/>
  <c r="L92" i="70"/>
  <c r="B92" i="70"/>
  <c r="Z91" i="70"/>
  <c r="X91" i="70"/>
  <c r="L91" i="70"/>
  <c r="N91" i="70" s="1"/>
  <c r="B91" i="70"/>
  <c r="T90" i="70"/>
  <c r="P90" i="70"/>
  <c r="N90" i="70"/>
  <c r="H90" i="70"/>
  <c r="D90" i="70"/>
  <c r="L90" i="70" s="1"/>
  <c r="B90" i="70"/>
  <c r="X89" i="70"/>
  <c r="Z89" i="70" s="1"/>
  <c r="N89" i="70"/>
  <c r="L89" i="70"/>
  <c r="B89" i="70"/>
  <c r="T88" i="70"/>
  <c r="P88" i="70"/>
  <c r="X88" i="70" s="1"/>
  <c r="Z88" i="70" s="1"/>
  <c r="L88" i="70"/>
  <c r="N88" i="70" s="1"/>
  <c r="J88" i="70"/>
  <c r="H88" i="70"/>
  <c r="D88" i="70"/>
  <c r="B88" i="70"/>
  <c r="Z87" i="70"/>
  <c r="X87" i="70"/>
  <c r="N87" i="70"/>
  <c r="L87" i="70"/>
  <c r="J87" i="70"/>
  <c r="B87" i="70"/>
  <c r="Z86" i="70"/>
  <c r="X86" i="70"/>
  <c r="N86" i="70"/>
  <c r="L86" i="70"/>
  <c r="B86" i="70"/>
  <c r="Z85" i="70"/>
  <c r="X85" i="70"/>
  <c r="L85" i="70"/>
  <c r="N85" i="70" s="1"/>
  <c r="B85" i="70"/>
  <c r="X84" i="70"/>
  <c r="Z84" i="70" s="1"/>
  <c r="V84" i="70"/>
  <c r="N84" i="70"/>
  <c r="L84" i="70"/>
  <c r="B84" i="70"/>
  <c r="Z83" i="70"/>
  <c r="X83" i="70"/>
  <c r="N83" i="70"/>
  <c r="L83" i="70"/>
  <c r="J83" i="70"/>
  <c r="B83" i="70"/>
  <c r="Z82" i="70"/>
  <c r="X82" i="70"/>
  <c r="N82" i="70"/>
  <c r="L82" i="70"/>
  <c r="B82" i="70"/>
  <c r="X81" i="70"/>
  <c r="Z81" i="70" s="1"/>
  <c r="L81" i="70"/>
  <c r="N81" i="70" s="1"/>
  <c r="B81" i="70"/>
  <c r="Z80" i="70"/>
  <c r="X80" i="70"/>
  <c r="V80" i="70"/>
  <c r="N80" i="70"/>
  <c r="L80" i="70"/>
  <c r="B80" i="70"/>
  <c r="Z79" i="70"/>
  <c r="X79" i="70"/>
  <c r="N79" i="70"/>
  <c r="L79" i="70"/>
  <c r="J79" i="70"/>
  <c r="B79" i="70"/>
  <c r="Z78" i="70"/>
  <c r="X78" i="70"/>
  <c r="N78" i="70"/>
  <c r="L78" i="70"/>
  <c r="B78" i="70"/>
  <c r="X77" i="70"/>
  <c r="Z77" i="70" s="1"/>
  <c r="T77" i="70"/>
  <c r="P77" i="70"/>
  <c r="H77" i="70"/>
  <c r="D77" i="70"/>
  <c r="L77" i="70" s="1"/>
  <c r="N77" i="70" s="1"/>
  <c r="B77" i="70"/>
  <c r="Z76" i="70"/>
  <c r="X76" i="70"/>
  <c r="N76" i="70"/>
  <c r="L76" i="70"/>
  <c r="B76" i="70"/>
  <c r="Z75" i="70"/>
  <c r="X75" i="70"/>
  <c r="V75" i="70"/>
  <c r="L75" i="70"/>
  <c r="N75" i="70" s="1"/>
  <c r="B75" i="70"/>
  <c r="Z74" i="70"/>
  <c r="X74" i="70"/>
  <c r="N74" i="70"/>
  <c r="L74" i="70"/>
  <c r="J74" i="70"/>
  <c r="B74" i="70"/>
  <c r="Z73" i="70"/>
  <c r="X73" i="70"/>
  <c r="N73" i="70"/>
  <c r="L73" i="70"/>
  <c r="J73" i="70"/>
  <c r="B73" i="70"/>
  <c r="Z72" i="70"/>
  <c r="X72" i="70"/>
  <c r="N72" i="70"/>
  <c r="L72" i="70"/>
  <c r="B72" i="70"/>
  <c r="X71" i="70"/>
  <c r="Z71" i="70" s="1"/>
  <c r="L71" i="70"/>
  <c r="N71" i="70" s="1"/>
  <c r="B71" i="70"/>
  <c r="Z70" i="70"/>
  <c r="X70" i="70"/>
  <c r="L70" i="70"/>
  <c r="N70" i="70" s="1"/>
  <c r="J70" i="70"/>
  <c r="B70" i="70"/>
  <c r="X69" i="70"/>
  <c r="Z69" i="70" s="1"/>
  <c r="L69" i="70"/>
  <c r="N69" i="70" s="1"/>
  <c r="J69" i="70"/>
  <c r="B69" i="70"/>
  <c r="Z68" i="70"/>
  <c r="X68" i="70"/>
  <c r="N68" i="70"/>
  <c r="L68" i="70"/>
  <c r="B68" i="70"/>
  <c r="Z67" i="70"/>
  <c r="X67" i="70"/>
  <c r="V67" i="70"/>
  <c r="L67" i="70"/>
  <c r="N67" i="70" s="1"/>
  <c r="B67" i="70"/>
  <c r="T66" i="70"/>
  <c r="P66" i="70"/>
  <c r="N66" i="70"/>
  <c r="H66" i="70"/>
  <c r="D66" i="70"/>
  <c r="L66" i="70" s="1"/>
  <c r="B66" i="70"/>
  <c r="T65" i="70"/>
  <c r="P65" i="70"/>
  <c r="H65" i="70"/>
  <c r="D65" i="70"/>
  <c r="L65" i="70" s="1"/>
  <c r="T63" i="70"/>
  <c r="Z61" i="70"/>
  <c r="X61" i="70"/>
  <c r="V61" i="70"/>
  <c r="N61" i="70"/>
  <c r="L61" i="70"/>
  <c r="B61" i="70"/>
  <c r="Z60" i="70"/>
  <c r="X60" i="70"/>
  <c r="N60" i="70"/>
  <c r="L60" i="70"/>
  <c r="J60" i="70"/>
  <c r="B60" i="70"/>
  <c r="Z59" i="70"/>
  <c r="X59" i="70"/>
  <c r="N59" i="70"/>
  <c r="L59" i="70"/>
  <c r="B59" i="70"/>
  <c r="Z58" i="70"/>
  <c r="X58" i="70"/>
  <c r="V58" i="70"/>
  <c r="N58" i="70"/>
  <c r="L58" i="70"/>
  <c r="B58" i="70"/>
  <c r="Z57" i="70"/>
  <c r="X57" i="70"/>
  <c r="V57" i="70"/>
  <c r="N57" i="70"/>
  <c r="L57" i="70"/>
  <c r="B57" i="70"/>
  <c r="Z56" i="70"/>
  <c r="X56" i="70"/>
  <c r="N56" i="70"/>
  <c r="L56" i="70"/>
  <c r="J56" i="70"/>
  <c r="B56" i="70"/>
  <c r="Z55" i="70"/>
  <c r="X55" i="70"/>
  <c r="N55" i="70"/>
  <c r="L55" i="70"/>
  <c r="B55" i="70"/>
  <c r="Z54" i="70"/>
  <c r="X54" i="70"/>
  <c r="V54" i="70"/>
  <c r="N54" i="70"/>
  <c r="L54" i="70"/>
  <c r="B54" i="70"/>
  <c r="Z53" i="70"/>
  <c r="X53" i="70"/>
  <c r="N53" i="70"/>
  <c r="L53" i="70"/>
  <c r="B53" i="70"/>
  <c r="Z52" i="70"/>
  <c r="X52" i="70"/>
  <c r="N52" i="70"/>
  <c r="L52" i="70"/>
  <c r="J52" i="70"/>
  <c r="B52" i="70"/>
  <c r="Z51" i="70"/>
  <c r="X51" i="70"/>
  <c r="N51" i="70"/>
  <c r="L51" i="70"/>
  <c r="B51" i="70"/>
  <c r="Z50" i="70"/>
  <c r="X50" i="70"/>
  <c r="N50" i="70"/>
  <c r="L50" i="70"/>
  <c r="B50" i="70"/>
  <c r="Z49" i="70"/>
  <c r="X49" i="70"/>
  <c r="V49" i="70"/>
  <c r="N49" i="70"/>
  <c r="L49" i="70"/>
  <c r="B49" i="70"/>
  <c r="Z48" i="70"/>
  <c r="X48" i="70"/>
  <c r="N48" i="70"/>
  <c r="L48" i="70"/>
  <c r="J48" i="70"/>
  <c r="B48" i="70"/>
  <c r="Z47" i="70"/>
  <c r="X47" i="70"/>
  <c r="N47" i="70"/>
  <c r="L47" i="70"/>
  <c r="B47" i="70"/>
  <c r="Z46" i="70"/>
  <c r="X46" i="70"/>
  <c r="V46" i="70"/>
  <c r="N46" i="70"/>
  <c r="L46" i="70"/>
  <c r="B46" i="70"/>
  <c r="X45" i="70"/>
  <c r="Z45" i="70" s="1"/>
  <c r="V45" i="70"/>
  <c r="N45" i="70"/>
  <c r="L45" i="70"/>
  <c r="B45" i="70"/>
  <c r="T44" i="70"/>
  <c r="P44" i="70"/>
  <c r="X44" i="70" s="1"/>
  <c r="Z44" i="70" s="1"/>
  <c r="L44" i="70"/>
  <c r="N44" i="70" s="1"/>
  <c r="J44" i="70"/>
  <c r="H44" i="70"/>
  <c r="D44" i="70"/>
  <c r="Z42" i="70"/>
  <c r="X42" i="70"/>
  <c r="P42" i="70"/>
  <c r="N42" i="70"/>
  <c r="D42" i="70"/>
  <c r="L42" i="70" s="1"/>
  <c r="B42" i="70"/>
  <c r="Z41" i="70"/>
  <c r="X41" i="70"/>
  <c r="P41" i="70"/>
  <c r="N41" i="70"/>
  <c r="D41" i="70"/>
  <c r="L41" i="70" s="1"/>
  <c r="B41" i="70"/>
  <c r="Z40" i="70"/>
  <c r="P40" i="70"/>
  <c r="X40" i="70" s="1"/>
  <c r="N40" i="70"/>
  <c r="D40" i="70"/>
  <c r="L40" i="70" s="1"/>
  <c r="B40" i="70"/>
  <c r="Z39" i="70"/>
  <c r="X39" i="70"/>
  <c r="P39" i="70"/>
  <c r="N39" i="70"/>
  <c r="L39" i="70"/>
  <c r="D39" i="70"/>
  <c r="B39" i="70"/>
  <c r="Z38" i="70"/>
  <c r="X38" i="70"/>
  <c r="P38" i="70"/>
  <c r="N38" i="70"/>
  <c r="L38" i="70"/>
  <c r="D38" i="70"/>
  <c r="B38" i="70"/>
  <c r="Z37" i="70"/>
  <c r="X37" i="70"/>
  <c r="P37" i="70"/>
  <c r="N37" i="70"/>
  <c r="D37" i="70"/>
  <c r="L37" i="70" s="1"/>
  <c r="B37" i="70"/>
  <c r="Z36" i="70"/>
  <c r="P36" i="70"/>
  <c r="X36" i="70" s="1"/>
  <c r="N36" i="70"/>
  <c r="L36" i="70"/>
  <c r="D36" i="70"/>
  <c r="B36" i="70"/>
  <c r="Z35" i="70"/>
  <c r="X35" i="70"/>
  <c r="P35" i="70"/>
  <c r="N35" i="70"/>
  <c r="D35" i="70"/>
  <c r="L35" i="70" s="1"/>
  <c r="B35" i="70"/>
  <c r="Z34" i="70"/>
  <c r="P34" i="70"/>
  <c r="X34" i="70" s="1"/>
  <c r="N34" i="70"/>
  <c r="L34" i="70"/>
  <c r="D34" i="70"/>
  <c r="B34" i="70"/>
  <c r="Z33" i="70"/>
  <c r="P33" i="70"/>
  <c r="X33" i="70" s="1"/>
  <c r="N33" i="70"/>
  <c r="D33" i="70"/>
  <c r="L33" i="70" s="1"/>
  <c r="B33" i="70"/>
  <c r="Z32" i="70"/>
  <c r="P32" i="70"/>
  <c r="X32" i="70" s="1"/>
  <c r="N32" i="70"/>
  <c r="L32" i="70"/>
  <c r="D32" i="70"/>
  <c r="B32" i="70"/>
  <c r="Z31" i="70"/>
  <c r="P31" i="70"/>
  <c r="X31" i="70" s="1"/>
  <c r="N31" i="70"/>
  <c r="D31" i="70"/>
  <c r="L31" i="70" s="1"/>
  <c r="B31" i="70"/>
  <c r="Z30" i="70"/>
  <c r="X30" i="70"/>
  <c r="P30" i="70"/>
  <c r="N30" i="70"/>
  <c r="D30" i="70"/>
  <c r="L30" i="70" s="1"/>
  <c r="B30" i="70"/>
  <c r="Z29" i="70"/>
  <c r="X29" i="70"/>
  <c r="P29" i="70"/>
  <c r="N29" i="70"/>
  <c r="D29" i="70"/>
  <c r="L29" i="70" s="1"/>
  <c r="B29" i="70"/>
  <c r="Z28" i="70"/>
  <c r="P28" i="70"/>
  <c r="X28" i="70" s="1"/>
  <c r="N28" i="70"/>
  <c r="D28" i="70"/>
  <c r="L28" i="70" s="1"/>
  <c r="B28" i="70"/>
  <c r="Z27" i="70"/>
  <c r="X27" i="70"/>
  <c r="P27" i="70"/>
  <c r="N27" i="70"/>
  <c r="L27" i="70"/>
  <c r="D27" i="70"/>
  <c r="B27" i="70"/>
  <c r="Z26" i="70"/>
  <c r="P26" i="70"/>
  <c r="X26" i="70" s="1"/>
  <c r="N26" i="70"/>
  <c r="L26" i="70"/>
  <c r="D26" i="70"/>
  <c r="B26" i="70"/>
  <c r="Z25" i="70"/>
  <c r="X25" i="70"/>
  <c r="P25" i="70"/>
  <c r="N25" i="70"/>
  <c r="D25" i="70"/>
  <c r="L25" i="70" s="1"/>
  <c r="B25" i="70"/>
  <c r="Z24" i="70"/>
  <c r="P24" i="70"/>
  <c r="X24" i="70" s="1"/>
  <c r="N24" i="70"/>
  <c r="L24" i="70"/>
  <c r="D24" i="70"/>
  <c r="B24" i="70"/>
  <c r="Z23" i="70"/>
  <c r="X23" i="70"/>
  <c r="P23" i="70"/>
  <c r="N23" i="70"/>
  <c r="L23" i="70"/>
  <c r="D23" i="70"/>
  <c r="B23" i="70"/>
  <c r="Z22" i="70"/>
  <c r="P22" i="70"/>
  <c r="X22" i="70" s="1"/>
  <c r="N22" i="70"/>
  <c r="L22" i="70"/>
  <c r="D22" i="70"/>
  <c r="B22" i="70"/>
  <c r="P21" i="70"/>
  <c r="X21" i="70" s="1"/>
  <c r="Z21" i="70" s="1"/>
  <c r="L21" i="70"/>
  <c r="N21" i="70" s="1"/>
  <c r="D21" i="70"/>
  <c r="B21" i="70"/>
  <c r="Z20" i="70"/>
  <c r="P20" i="70"/>
  <c r="X20" i="70" s="1"/>
  <c r="N20" i="70"/>
  <c r="L20" i="70"/>
  <c r="D20" i="70"/>
  <c r="B20" i="70"/>
  <c r="Z19" i="70"/>
  <c r="X19" i="70"/>
  <c r="P19" i="70"/>
  <c r="N19" i="70"/>
  <c r="D19" i="70"/>
  <c r="L19" i="70" s="1"/>
  <c r="B19" i="70"/>
  <c r="Z18" i="70"/>
  <c r="X18" i="70"/>
  <c r="P18" i="70"/>
  <c r="N18" i="70"/>
  <c r="D18" i="70"/>
  <c r="L18" i="70" s="1"/>
  <c r="B18" i="70"/>
  <c r="Z17" i="70"/>
  <c r="X17" i="70"/>
  <c r="P17" i="70"/>
  <c r="N17" i="70"/>
  <c r="D17" i="70"/>
  <c r="L17" i="70" s="1"/>
  <c r="B17" i="70"/>
  <c r="Z16" i="70"/>
  <c r="P16" i="70"/>
  <c r="X16" i="70" s="1"/>
  <c r="N16" i="70"/>
  <c r="L16" i="70"/>
  <c r="D16" i="70"/>
  <c r="B16" i="70"/>
  <c r="Z15" i="70"/>
  <c r="X15" i="70"/>
  <c r="P15" i="70"/>
  <c r="N15" i="70"/>
  <c r="L15" i="70"/>
  <c r="D15" i="70"/>
  <c r="B15" i="70"/>
  <c r="Z14" i="70"/>
  <c r="P14" i="70"/>
  <c r="X14" i="70" s="1"/>
  <c r="N14" i="70"/>
  <c r="L14" i="70"/>
  <c r="D14" i="70"/>
  <c r="B14" i="70"/>
  <c r="Z13" i="70"/>
  <c r="X13" i="70"/>
  <c r="P13" i="70"/>
  <c r="N13" i="70"/>
  <c r="D13" i="70"/>
  <c r="L13" i="70" s="1"/>
  <c r="B13" i="70"/>
  <c r="T12" i="70"/>
  <c r="V114" i="70" s="1"/>
  <c r="H12" i="70"/>
  <c r="J101" i="70" s="1"/>
  <c r="D6" i="70"/>
  <c r="D4" i="70"/>
  <c r="X81" i="69"/>
  <c r="Z81" i="69" s="1"/>
  <c r="N81" i="69"/>
  <c r="L81" i="69"/>
  <c r="Z77" i="69"/>
  <c r="T77" i="69"/>
  <c r="P77" i="69"/>
  <c r="X77" i="69" s="1"/>
  <c r="N77" i="69"/>
  <c r="L77" i="69"/>
  <c r="J77" i="69"/>
  <c r="H77" i="69"/>
  <c r="D77" i="69"/>
  <c r="Z75" i="69"/>
  <c r="X75" i="69"/>
  <c r="N75" i="69"/>
  <c r="L75" i="69"/>
  <c r="J75" i="69"/>
  <c r="B75" i="69"/>
  <c r="T74" i="69"/>
  <c r="P74" i="69"/>
  <c r="X74" i="69" s="1"/>
  <c r="H74" i="69"/>
  <c r="D74" i="69"/>
  <c r="B74" i="69"/>
  <c r="Z73" i="69"/>
  <c r="X73" i="69"/>
  <c r="N73" i="69"/>
  <c r="L73" i="69"/>
  <c r="F73" i="69"/>
  <c r="B73" i="69"/>
  <c r="X72" i="69"/>
  <c r="Z72" i="69" s="1"/>
  <c r="T72" i="69"/>
  <c r="P72" i="69"/>
  <c r="H72" i="69"/>
  <c r="F72" i="69"/>
  <c r="D72" i="69"/>
  <c r="L72" i="69" s="1"/>
  <c r="N72" i="69" s="1"/>
  <c r="B72" i="69"/>
  <c r="Z71" i="69"/>
  <c r="X71" i="69"/>
  <c r="N71" i="69"/>
  <c r="L71" i="69"/>
  <c r="B71" i="69"/>
  <c r="Z70" i="69"/>
  <c r="X70" i="69"/>
  <c r="N70" i="69"/>
  <c r="L70" i="69"/>
  <c r="B70" i="69"/>
  <c r="Z69" i="69"/>
  <c r="X69" i="69"/>
  <c r="N69" i="69"/>
  <c r="L69" i="69"/>
  <c r="J69" i="69"/>
  <c r="B69" i="69"/>
  <c r="X68" i="69"/>
  <c r="T68" i="69"/>
  <c r="Z68" i="69" s="1"/>
  <c r="P68" i="69"/>
  <c r="J68" i="69"/>
  <c r="H68" i="69"/>
  <c r="D68" i="69"/>
  <c r="B68" i="69"/>
  <c r="Z67" i="69"/>
  <c r="X67" i="69"/>
  <c r="N67" i="69"/>
  <c r="L67" i="69"/>
  <c r="J67" i="69"/>
  <c r="F67" i="69"/>
  <c r="B67" i="69"/>
  <c r="Z66" i="69"/>
  <c r="X66" i="69"/>
  <c r="N66" i="69"/>
  <c r="L66" i="69"/>
  <c r="B66" i="69"/>
  <c r="Z65" i="69"/>
  <c r="X65" i="69"/>
  <c r="N65" i="69"/>
  <c r="L65" i="69"/>
  <c r="B65" i="69"/>
  <c r="T64" i="69"/>
  <c r="P64" i="69"/>
  <c r="H64" i="69"/>
  <c r="D64" i="69"/>
  <c r="L64" i="69" s="1"/>
  <c r="B64" i="69"/>
  <c r="X63" i="69"/>
  <c r="Z63" i="69" s="1"/>
  <c r="V63" i="69"/>
  <c r="N63" i="69"/>
  <c r="L63" i="69"/>
  <c r="B63" i="69"/>
  <c r="Z62" i="69"/>
  <c r="X62" i="69"/>
  <c r="N62" i="69"/>
  <c r="L62" i="69"/>
  <c r="J62" i="69"/>
  <c r="F62" i="69"/>
  <c r="B62" i="69"/>
  <c r="V61" i="69"/>
  <c r="T61" i="69"/>
  <c r="P61" i="69"/>
  <c r="J61" i="69"/>
  <c r="H61" i="69"/>
  <c r="F61" i="69"/>
  <c r="D61" i="69"/>
  <c r="B61" i="69"/>
  <c r="X60" i="69"/>
  <c r="Z60" i="69" s="1"/>
  <c r="L60" i="69"/>
  <c r="N60" i="69" s="1"/>
  <c r="J60" i="69"/>
  <c r="F60" i="69"/>
  <c r="B60" i="69"/>
  <c r="T59" i="69"/>
  <c r="P59" i="69"/>
  <c r="X59" i="69" s="1"/>
  <c r="Z59" i="69" s="1"/>
  <c r="H59" i="69"/>
  <c r="D59" i="69"/>
  <c r="B59" i="69"/>
  <c r="Z58" i="69"/>
  <c r="X58" i="69"/>
  <c r="N58" i="69"/>
  <c r="L58" i="69"/>
  <c r="B58" i="69"/>
  <c r="Z57" i="69"/>
  <c r="X57" i="69"/>
  <c r="T57" i="69"/>
  <c r="P57" i="69"/>
  <c r="N57" i="69"/>
  <c r="H57" i="69"/>
  <c r="D57" i="69"/>
  <c r="L57" i="69" s="1"/>
  <c r="B57" i="69"/>
  <c r="Z56" i="69"/>
  <c r="X56" i="69"/>
  <c r="N56" i="69"/>
  <c r="L56" i="69"/>
  <c r="J56" i="69"/>
  <c r="B56" i="69"/>
  <c r="T55" i="69"/>
  <c r="P55" i="69"/>
  <c r="J55" i="69"/>
  <c r="H55" i="69"/>
  <c r="D55" i="69"/>
  <c r="B55" i="69"/>
  <c r="X54" i="69"/>
  <c r="Z54" i="69" s="1"/>
  <c r="L54" i="69"/>
  <c r="N54" i="69" s="1"/>
  <c r="F54" i="69"/>
  <c r="B54" i="69"/>
  <c r="Z53" i="69"/>
  <c r="X53" i="69"/>
  <c r="N53" i="69"/>
  <c r="L53" i="69"/>
  <c r="J53" i="69"/>
  <c r="B53" i="69"/>
  <c r="X52" i="69"/>
  <c r="T52" i="69"/>
  <c r="Z52" i="69" s="1"/>
  <c r="P52" i="69"/>
  <c r="L52" i="69"/>
  <c r="N52" i="69" s="1"/>
  <c r="J52" i="69"/>
  <c r="H52" i="69"/>
  <c r="D52" i="69"/>
  <c r="B52" i="69"/>
  <c r="X51" i="69"/>
  <c r="Z51" i="69" s="1"/>
  <c r="L51" i="69"/>
  <c r="N51" i="69" s="1"/>
  <c r="J51" i="69"/>
  <c r="F51" i="69"/>
  <c r="B51" i="69"/>
  <c r="T50" i="69"/>
  <c r="P50" i="69"/>
  <c r="X50" i="69" s="1"/>
  <c r="H50" i="69"/>
  <c r="F50" i="69"/>
  <c r="D50" i="69"/>
  <c r="B50" i="69"/>
  <c r="Z49" i="69"/>
  <c r="X49" i="69"/>
  <c r="V49" i="69"/>
  <c r="N49" i="69"/>
  <c r="L49" i="69"/>
  <c r="F49" i="69"/>
  <c r="B49" i="69"/>
  <c r="Z48" i="69"/>
  <c r="T48" i="69"/>
  <c r="P48" i="69"/>
  <c r="X48" i="69" s="1"/>
  <c r="N48" i="69"/>
  <c r="H48" i="69"/>
  <c r="F48" i="69"/>
  <c r="D48" i="69"/>
  <c r="L48" i="69" s="1"/>
  <c r="B48" i="69"/>
  <c r="Z47" i="69"/>
  <c r="X47" i="69"/>
  <c r="N47" i="69"/>
  <c r="L47" i="69"/>
  <c r="B47" i="69"/>
  <c r="X46" i="69"/>
  <c r="T46" i="69"/>
  <c r="Z46" i="69" s="1"/>
  <c r="P46" i="69"/>
  <c r="L46" i="69"/>
  <c r="J46" i="69"/>
  <c r="H46" i="69"/>
  <c r="N46" i="69" s="1"/>
  <c r="D46" i="69"/>
  <c r="B46" i="69"/>
  <c r="Z45" i="69"/>
  <c r="X45" i="69"/>
  <c r="N45" i="69"/>
  <c r="L45" i="69"/>
  <c r="J45" i="69"/>
  <c r="F45" i="69"/>
  <c r="B45" i="69"/>
  <c r="Z44" i="69"/>
  <c r="X44" i="69"/>
  <c r="V44" i="69"/>
  <c r="N44" i="69"/>
  <c r="L44" i="69"/>
  <c r="B44" i="69"/>
  <c r="Z43" i="69"/>
  <c r="X43" i="69"/>
  <c r="L43" i="69"/>
  <c r="N43" i="69" s="1"/>
  <c r="J43" i="69"/>
  <c r="F43" i="69"/>
  <c r="B43" i="69"/>
  <c r="X42" i="69"/>
  <c r="Z42" i="69" s="1"/>
  <c r="N42" i="69"/>
  <c r="L42" i="69"/>
  <c r="B42" i="69"/>
  <c r="Z41" i="69"/>
  <c r="X41" i="69"/>
  <c r="N41" i="69"/>
  <c r="L41" i="69"/>
  <c r="J41" i="69"/>
  <c r="B41" i="69"/>
  <c r="Z40" i="69"/>
  <c r="X40" i="69"/>
  <c r="N40" i="69"/>
  <c r="L40" i="69"/>
  <c r="B40" i="69"/>
  <c r="Z39" i="69"/>
  <c r="X39" i="69"/>
  <c r="N39" i="69"/>
  <c r="L39" i="69"/>
  <c r="J39" i="69"/>
  <c r="F39" i="69"/>
  <c r="B39" i="69"/>
  <c r="Z38" i="69"/>
  <c r="X38" i="69"/>
  <c r="N38" i="69"/>
  <c r="L38" i="69"/>
  <c r="B38" i="69"/>
  <c r="Z37" i="69"/>
  <c r="X37" i="69"/>
  <c r="N37" i="69"/>
  <c r="L37" i="69"/>
  <c r="B37" i="69"/>
  <c r="X36" i="69"/>
  <c r="Z36" i="69" s="1"/>
  <c r="L36" i="69"/>
  <c r="N36" i="69" s="1"/>
  <c r="B36" i="69"/>
  <c r="X35" i="69"/>
  <c r="Z35" i="69" s="1"/>
  <c r="T35" i="69"/>
  <c r="P35" i="69"/>
  <c r="L35" i="69"/>
  <c r="N35" i="69" s="1"/>
  <c r="J35" i="69"/>
  <c r="H35" i="69"/>
  <c r="D35" i="69"/>
  <c r="B35" i="69"/>
  <c r="Z34" i="69"/>
  <c r="X34" i="69"/>
  <c r="N34" i="69"/>
  <c r="L34" i="69"/>
  <c r="J34" i="69"/>
  <c r="B34" i="69"/>
  <c r="X33" i="69"/>
  <c r="Z33" i="69" s="1"/>
  <c r="N33" i="69"/>
  <c r="L33" i="69"/>
  <c r="F33" i="69"/>
  <c r="B33" i="69"/>
  <c r="X32" i="69"/>
  <c r="Z32" i="69" s="1"/>
  <c r="L32" i="69"/>
  <c r="N32" i="69" s="1"/>
  <c r="J32" i="69"/>
  <c r="B32" i="69"/>
  <c r="Z31" i="69"/>
  <c r="X31" i="69"/>
  <c r="N31" i="69"/>
  <c r="L31" i="69"/>
  <c r="B31" i="69"/>
  <c r="Z30" i="69"/>
  <c r="X30" i="69"/>
  <c r="N30" i="69"/>
  <c r="L30" i="69"/>
  <c r="J30" i="69"/>
  <c r="F30" i="69"/>
  <c r="B30" i="69"/>
  <c r="X29" i="69"/>
  <c r="Z29" i="69" s="1"/>
  <c r="N29" i="69"/>
  <c r="L29" i="69"/>
  <c r="B29" i="69"/>
  <c r="Z28" i="69"/>
  <c r="X28" i="69"/>
  <c r="L28" i="69"/>
  <c r="N28" i="69" s="1"/>
  <c r="J28" i="69"/>
  <c r="B28" i="69"/>
  <c r="X27" i="69"/>
  <c r="Z27" i="69" s="1"/>
  <c r="N27" i="69"/>
  <c r="L27" i="69"/>
  <c r="B27" i="69"/>
  <c r="Z26" i="69"/>
  <c r="X26" i="69"/>
  <c r="L26" i="69"/>
  <c r="N26" i="69" s="1"/>
  <c r="J26" i="69"/>
  <c r="B26" i="69"/>
  <c r="T25" i="69"/>
  <c r="P25" i="69"/>
  <c r="L25" i="69"/>
  <c r="H25" i="69"/>
  <c r="F25" i="69"/>
  <c r="D25" i="69"/>
  <c r="B25" i="69"/>
  <c r="X24" i="69"/>
  <c r="T24" i="69"/>
  <c r="Z24" i="69" s="1"/>
  <c r="P24" i="69"/>
  <c r="L24" i="69"/>
  <c r="N24" i="69" s="1"/>
  <c r="J24" i="69"/>
  <c r="H24" i="69"/>
  <c r="D24" i="69"/>
  <c r="H22" i="69"/>
  <c r="H79" i="69" s="1"/>
  <c r="H83" i="69" s="1"/>
  <c r="Z20" i="69"/>
  <c r="X20" i="69"/>
  <c r="V20" i="69"/>
  <c r="N20" i="69"/>
  <c r="L20" i="69"/>
  <c r="J20" i="69"/>
  <c r="F20" i="69"/>
  <c r="B20" i="69"/>
  <c r="Z19" i="69"/>
  <c r="X19" i="69"/>
  <c r="N19" i="69"/>
  <c r="L19" i="69"/>
  <c r="B19" i="69"/>
  <c r="X18" i="69"/>
  <c r="Z18" i="69" s="1"/>
  <c r="V18" i="69"/>
  <c r="L18" i="69"/>
  <c r="N18" i="69" s="1"/>
  <c r="F18" i="69"/>
  <c r="B18" i="69"/>
  <c r="T17" i="69"/>
  <c r="P17" i="69"/>
  <c r="H17" i="69"/>
  <c r="D17" i="69"/>
  <c r="L17" i="69" s="1"/>
  <c r="N17" i="69" s="1"/>
  <c r="Z15" i="69"/>
  <c r="P15" i="69"/>
  <c r="X15" i="69" s="1"/>
  <c r="N15" i="69"/>
  <c r="L15" i="69"/>
  <c r="D15" i="69"/>
  <c r="B15" i="69"/>
  <c r="X14" i="69"/>
  <c r="Z14" i="69" s="1"/>
  <c r="P14" i="69"/>
  <c r="N14" i="69"/>
  <c r="L14" i="69"/>
  <c r="D14" i="69"/>
  <c r="B14" i="69"/>
  <c r="Z13" i="69"/>
  <c r="P13" i="69"/>
  <c r="N13" i="69"/>
  <c r="L13" i="69"/>
  <c r="D13" i="69"/>
  <c r="B13" i="69"/>
  <c r="T12" i="69"/>
  <c r="V54" i="69" s="1"/>
  <c r="H12" i="69"/>
  <c r="D12" i="69"/>
  <c r="F74" i="69" s="1"/>
  <c r="D6" i="69"/>
  <c r="D4" i="69"/>
  <c r="X132" i="68"/>
  <c r="Z132" i="68" s="1"/>
  <c r="N132" i="68"/>
  <c r="L132" i="68"/>
  <c r="Z128" i="68"/>
  <c r="X128" i="68"/>
  <c r="V128" i="68"/>
  <c r="P128" i="68"/>
  <c r="N128" i="68"/>
  <c r="D128" i="68"/>
  <c r="L128" i="68" s="1"/>
  <c r="B128" i="68"/>
  <c r="T127" i="68"/>
  <c r="P127" i="68"/>
  <c r="J127" i="68"/>
  <c r="H127" i="68"/>
  <c r="N127" i="68" s="1"/>
  <c r="X125" i="68"/>
  <c r="Z125" i="68" s="1"/>
  <c r="V125" i="68"/>
  <c r="N125" i="68"/>
  <c r="L125" i="68"/>
  <c r="B125" i="68"/>
  <c r="Z124" i="68"/>
  <c r="T124" i="68"/>
  <c r="P124" i="68"/>
  <c r="X124" i="68" s="1"/>
  <c r="N124" i="68"/>
  <c r="L124" i="68"/>
  <c r="H124" i="68"/>
  <c r="D124" i="68"/>
  <c r="B124" i="68"/>
  <c r="Z123" i="68"/>
  <c r="X123" i="68"/>
  <c r="L123" i="68"/>
  <c r="N123" i="68" s="1"/>
  <c r="J123" i="68"/>
  <c r="B123" i="68"/>
  <c r="X122" i="68"/>
  <c r="V122" i="68"/>
  <c r="T122" i="68"/>
  <c r="P122" i="68"/>
  <c r="N122" i="68"/>
  <c r="L122" i="68"/>
  <c r="J122" i="68"/>
  <c r="H122" i="68"/>
  <c r="D122" i="68"/>
  <c r="B122" i="68"/>
  <c r="Z121" i="68"/>
  <c r="X121" i="68"/>
  <c r="N121" i="68"/>
  <c r="L121" i="68"/>
  <c r="B121" i="68"/>
  <c r="Z120" i="68"/>
  <c r="X120" i="68"/>
  <c r="N120" i="68"/>
  <c r="L120" i="68"/>
  <c r="B120" i="68"/>
  <c r="X119" i="68"/>
  <c r="Z119" i="68" s="1"/>
  <c r="V119" i="68"/>
  <c r="N119" i="68"/>
  <c r="L119" i="68"/>
  <c r="J119" i="68"/>
  <c r="B119" i="68"/>
  <c r="T118" i="68"/>
  <c r="P118" i="68"/>
  <c r="X118" i="68" s="1"/>
  <c r="H118" i="68"/>
  <c r="D118" i="68"/>
  <c r="L118" i="68" s="1"/>
  <c r="B118" i="68"/>
  <c r="X117" i="68"/>
  <c r="Z117" i="68" s="1"/>
  <c r="V117" i="68"/>
  <c r="N117" i="68"/>
  <c r="L117" i="68"/>
  <c r="B117" i="68"/>
  <c r="Z116" i="68"/>
  <c r="X116" i="68"/>
  <c r="L116" i="68"/>
  <c r="N116" i="68" s="1"/>
  <c r="J116" i="68"/>
  <c r="B116" i="68"/>
  <c r="V115" i="68"/>
  <c r="T115" i="68"/>
  <c r="P115" i="68"/>
  <c r="H115" i="68"/>
  <c r="D115" i="68"/>
  <c r="B115" i="68"/>
  <c r="X114" i="68"/>
  <c r="Z114" i="68" s="1"/>
  <c r="V114" i="68"/>
  <c r="L114" i="68"/>
  <c r="N114" i="68" s="1"/>
  <c r="J114" i="68"/>
  <c r="B114" i="68"/>
  <c r="Z113" i="68"/>
  <c r="X113" i="68"/>
  <c r="N113" i="68"/>
  <c r="L113" i="68"/>
  <c r="B113" i="68"/>
  <c r="X112" i="68"/>
  <c r="Z112" i="68" s="1"/>
  <c r="T112" i="68"/>
  <c r="V112" i="68" s="1"/>
  <c r="P112" i="68"/>
  <c r="L112" i="68"/>
  <c r="J112" i="68"/>
  <c r="H112" i="68"/>
  <c r="D112" i="68"/>
  <c r="B112" i="68"/>
  <c r="Z111" i="68"/>
  <c r="X111" i="68"/>
  <c r="V111" i="68"/>
  <c r="N111" i="68"/>
  <c r="L111" i="68"/>
  <c r="B111" i="68"/>
  <c r="V110" i="68"/>
  <c r="T110" i="68"/>
  <c r="P110" i="68"/>
  <c r="X110" i="68" s="1"/>
  <c r="H110" i="68"/>
  <c r="D110" i="68"/>
  <c r="L110" i="68" s="1"/>
  <c r="B110" i="68"/>
  <c r="X109" i="68"/>
  <c r="Z109" i="68" s="1"/>
  <c r="V109" i="68"/>
  <c r="N109" i="68"/>
  <c r="L109" i="68"/>
  <c r="B109" i="68"/>
  <c r="Z108" i="68"/>
  <c r="T108" i="68"/>
  <c r="P108" i="68"/>
  <c r="X108" i="68" s="1"/>
  <c r="L108" i="68"/>
  <c r="N108" i="68" s="1"/>
  <c r="H108" i="68"/>
  <c r="D108" i="68"/>
  <c r="B108" i="68"/>
  <c r="Z107" i="68"/>
  <c r="X107" i="68"/>
  <c r="L107" i="68"/>
  <c r="N107" i="68" s="1"/>
  <c r="J107" i="68"/>
  <c r="B107" i="68"/>
  <c r="X106" i="68"/>
  <c r="V106" i="68"/>
  <c r="T106" i="68"/>
  <c r="P106" i="68"/>
  <c r="N106" i="68"/>
  <c r="L106" i="68"/>
  <c r="J106" i="68"/>
  <c r="H106" i="68"/>
  <c r="D106" i="68"/>
  <c r="B106" i="68"/>
  <c r="Z105" i="68"/>
  <c r="X105" i="68"/>
  <c r="N105" i="68"/>
  <c r="L105" i="68"/>
  <c r="B105" i="68"/>
  <c r="X104" i="68"/>
  <c r="Z104" i="68" s="1"/>
  <c r="N104" i="68"/>
  <c r="L104" i="68"/>
  <c r="B104" i="68"/>
  <c r="Z103" i="68"/>
  <c r="X103" i="68"/>
  <c r="V103" i="68"/>
  <c r="T103" i="68"/>
  <c r="P103" i="68"/>
  <c r="H103" i="68"/>
  <c r="D103" i="68"/>
  <c r="L103" i="68" s="1"/>
  <c r="N103" i="68" s="1"/>
  <c r="B103" i="68"/>
  <c r="Z102" i="68"/>
  <c r="X102" i="68"/>
  <c r="N102" i="68"/>
  <c r="L102" i="68"/>
  <c r="J102" i="68"/>
  <c r="B102" i="68"/>
  <c r="T101" i="68"/>
  <c r="Z101" i="68" s="1"/>
  <c r="P101" i="68"/>
  <c r="H101" i="68"/>
  <c r="D101" i="68"/>
  <c r="B101" i="68"/>
  <c r="X100" i="68"/>
  <c r="Z100" i="68" s="1"/>
  <c r="V100" i="68"/>
  <c r="L100" i="68"/>
  <c r="N100" i="68" s="1"/>
  <c r="B100" i="68"/>
  <c r="T99" i="68"/>
  <c r="P99" i="68"/>
  <c r="H99" i="68"/>
  <c r="D99" i="68"/>
  <c r="L99" i="68" s="1"/>
  <c r="N99" i="68" s="1"/>
  <c r="B99" i="68"/>
  <c r="Z98" i="68"/>
  <c r="X98" i="68"/>
  <c r="V98" i="68"/>
  <c r="N98" i="68"/>
  <c r="L98" i="68"/>
  <c r="B98" i="68"/>
  <c r="Z97" i="68"/>
  <c r="X97" i="68"/>
  <c r="N97" i="68"/>
  <c r="L97" i="68"/>
  <c r="J97" i="68"/>
  <c r="B97" i="68"/>
  <c r="X96" i="68"/>
  <c r="Z96" i="68" s="1"/>
  <c r="N96" i="68"/>
  <c r="L96" i="68"/>
  <c r="B96" i="68"/>
  <c r="Z95" i="68"/>
  <c r="X95" i="68"/>
  <c r="V95" i="68"/>
  <c r="N95" i="68"/>
  <c r="L95" i="68"/>
  <c r="B95" i="68"/>
  <c r="Z94" i="68"/>
  <c r="X94" i="68"/>
  <c r="V94" i="68"/>
  <c r="N94" i="68"/>
  <c r="L94" i="68"/>
  <c r="B94" i="68"/>
  <c r="Z93" i="68"/>
  <c r="X93" i="68"/>
  <c r="N93" i="68"/>
  <c r="L93" i="68"/>
  <c r="J93" i="68"/>
  <c r="B93" i="68"/>
  <c r="Z92" i="68"/>
  <c r="X92" i="68"/>
  <c r="N92" i="68"/>
  <c r="L92" i="68"/>
  <c r="B92" i="68"/>
  <c r="Z91" i="68"/>
  <c r="X91" i="68"/>
  <c r="V91" i="68"/>
  <c r="N91" i="68"/>
  <c r="L91" i="68"/>
  <c r="J91" i="68"/>
  <c r="B91" i="68"/>
  <c r="Z90" i="68"/>
  <c r="X90" i="68"/>
  <c r="V90" i="68"/>
  <c r="N90" i="68"/>
  <c r="L90" i="68"/>
  <c r="B90" i="68"/>
  <c r="Z89" i="68"/>
  <c r="X89" i="68"/>
  <c r="L89" i="68"/>
  <c r="N89" i="68" s="1"/>
  <c r="B89" i="68"/>
  <c r="T88" i="68"/>
  <c r="P88" i="68"/>
  <c r="J88" i="68"/>
  <c r="H88" i="68"/>
  <c r="D88" i="68"/>
  <c r="L88" i="68" s="1"/>
  <c r="B88" i="68"/>
  <c r="Z87" i="68"/>
  <c r="X87" i="68"/>
  <c r="V87" i="68"/>
  <c r="N87" i="68"/>
  <c r="L87" i="68"/>
  <c r="B87" i="68"/>
  <c r="X86" i="68"/>
  <c r="Z86" i="68" s="1"/>
  <c r="L86" i="68"/>
  <c r="N86" i="68" s="1"/>
  <c r="B86" i="68"/>
  <c r="X85" i="68"/>
  <c r="Z85" i="68" s="1"/>
  <c r="V85" i="68"/>
  <c r="N85" i="68"/>
  <c r="L85" i="68"/>
  <c r="B85" i="68"/>
  <c r="Z84" i="68"/>
  <c r="X84" i="68"/>
  <c r="N84" i="68"/>
  <c r="L84" i="68"/>
  <c r="B84" i="68"/>
  <c r="Z83" i="68"/>
  <c r="X83" i="68"/>
  <c r="V83" i="68"/>
  <c r="N83" i="68"/>
  <c r="L83" i="68"/>
  <c r="B83" i="68"/>
  <c r="Z82" i="68"/>
  <c r="X82" i="68"/>
  <c r="L82" i="68"/>
  <c r="N82" i="68" s="1"/>
  <c r="B82" i="68"/>
  <c r="X81" i="68"/>
  <c r="Z81" i="68" s="1"/>
  <c r="V81" i="68"/>
  <c r="N81" i="68"/>
  <c r="L81" i="68"/>
  <c r="B81" i="68"/>
  <c r="Z80" i="68"/>
  <c r="X80" i="68"/>
  <c r="L80" i="68"/>
  <c r="N80" i="68" s="1"/>
  <c r="B80" i="68"/>
  <c r="Z79" i="68"/>
  <c r="X79" i="68"/>
  <c r="V79" i="68"/>
  <c r="N79" i="68"/>
  <c r="L79" i="68"/>
  <c r="B79" i="68"/>
  <c r="T78" i="68"/>
  <c r="P78" i="68"/>
  <c r="X78" i="68" s="1"/>
  <c r="Z78" i="68" s="1"/>
  <c r="H78" i="68"/>
  <c r="D78" i="68"/>
  <c r="L78" i="68" s="1"/>
  <c r="N78" i="68" s="1"/>
  <c r="B78" i="68"/>
  <c r="T77" i="68"/>
  <c r="P77" i="68"/>
  <c r="X77" i="68" s="1"/>
  <c r="Z77" i="68" s="1"/>
  <c r="H77" i="68"/>
  <c r="D77" i="68"/>
  <c r="L77" i="68" s="1"/>
  <c r="H75" i="68"/>
  <c r="Z73" i="68"/>
  <c r="X73" i="68"/>
  <c r="N73" i="68"/>
  <c r="L73" i="68"/>
  <c r="B73" i="68"/>
  <c r="Z72" i="68"/>
  <c r="X72" i="68"/>
  <c r="V72" i="68"/>
  <c r="N72" i="68"/>
  <c r="L72" i="68"/>
  <c r="B72" i="68"/>
  <c r="Z71" i="68"/>
  <c r="X71" i="68"/>
  <c r="N71" i="68"/>
  <c r="L71" i="68"/>
  <c r="J71" i="68"/>
  <c r="B71" i="68"/>
  <c r="Z70" i="68"/>
  <c r="X70" i="68"/>
  <c r="V70" i="68"/>
  <c r="N70" i="68"/>
  <c r="L70" i="68"/>
  <c r="B70" i="68"/>
  <c r="Z69" i="68"/>
  <c r="X69" i="68"/>
  <c r="N69" i="68"/>
  <c r="L69" i="68"/>
  <c r="B69" i="68"/>
  <c r="Z68" i="68"/>
  <c r="X68" i="68"/>
  <c r="V68" i="68"/>
  <c r="N68" i="68"/>
  <c r="L68" i="68"/>
  <c r="B68" i="68"/>
  <c r="Z67" i="68"/>
  <c r="X67" i="68"/>
  <c r="N67" i="68"/>
  <c r="L67" i="68"/>
  <c r="B67" i="68"/>
  <c r="Z66" i="68"/>
  <c r="X66" i="68"/>
  <c r="V66" i="68"/>
  <c r="N66" i="68"/>
  <c r="L66" i="68"/>
  <c r="J66" i="68"/>
  <c r="B66" i="68"/>
  <c r="Z65" i="68"/>
  <c r="X65" i="68"/>
  <c r="N65" i="68"/>
  <c r="L65" i="68"/>
  <c r="B65" i="68"/>
  <c r="Z64" i="68"/>
  <c r="X64" i="68"/>
  <c r="V64" i="68"/>
  <c r="N64" i="68"/>
  <c r="L64" i="68"/>
  <c r="B64" i="68"/>
  <c r="Z63" i="68"/>
  <c r="X63" i="68"/>
  <c r="N63" i="68"/>
  <c r="L63" i="68"/>
  <c r="J63" i="68"/>
  <c r="B63" i="68"/>
  <c r="Z62" i="68"/>
  <c r="X62" i="68"/>
  <c r="V62" i="68"/>
  <c r="N62" i="68"/>
  <c r="L62" i="68"/>
  <c r="J62" i="68"/>
  <c r="B62" i="68"/>
  <c r="Z61" i="68"/>
  <c r="X61" i="68"/>
  <c r="N61" i="68"/>
  <c r="L61" i="68"/>
  <c r="B61" i="68"/>
  <c r="Z60" i="68"/>
  <c r="X60" i="68"/>
  <c r="V60" i="68"/>
  <c r="N60" i="68"/>
  <c r="L60" i="68"/>
  <c r="B60" i="68"/>
  <c r="Z59" i="68"/>
  <c r="X59" i="68"/>
  <c r="N59" i="68"/>
  <c r="L59" i="68"/>
  <c r="J59" i="68"/>
  <c r="B59" i="68"/>
  <c r="Z58" i="68"/>
  <c r="X58" i="68"/>
  <c r="V58" i="68"/>
  <c r="N58" i="68"/>
  <c r="L58" i="68"/>
  <c r="J58" i="68"/>
  <c r="B58" i="68"/>
  <c r="Z57" i="68"/>
  <c r="X57" i="68"/>
  <c r="N57" i="68"/>
  <c r="L57" i="68"/>
  <c r="B57" i="68"/>
  <c r="Z56" i="68"/>
  <c r="X56" i="68"/>
  <c r="V56" i="68"/>
  <c r="N56" i="68"/>
  <c r="L56" i="68"/>
  <c r="B56" i="68"/>
  <c r="Z55" i="68"/>
  <c r="X55" i="68"/>
  <c r="N55" i="68"/>
  <c r="L55" i="68"/>
  <c r="B55" i="68"/>
  <c r="Z54" i="68"/>
  <c r="X54" i="68"/>
  <c r="V54" i="68"/>
  <c r="N54" i="68"/>
  <c r="L54" i="68"/>
  <c r="J54" i="68"/>
  <c r="B54" i="68"/>
  <c r="Z53" i="68"/>
  <c r="X53" i="68"/>
  <c r="L53" i="68"/>
  <c r="N53" i="68" s="1"/>
  <c r="B53" i="68"/>
  <c r="X52" i="68"/>
  <c r="T52" i="68"/>
  <c r="Z52" i="68" s="1"/>
  <c r="P52" i="68"/>
  <c r="L52" i="68"/>
  <c r="J52" i="68"/>
  <c r="H52" i="68"/>
  <c r="N52" i="68" s="1"/>
  <c r="D52" i="68"/>
  <c r="Z50" i="68"/>
  <c r="P50" i="68"/>
  <c r="X50" i="68" s="1"/>
  <c r="N50" i="68"/>
  <c r="D50" i="68"/>
  <c r="L50" i="68" s="1"/>
  <c r="B50" i="68"/>
  <c r="Z49" i="68"/>
  <c r="X49" i="68"/>
  <c r="P49" i="68"/>
  <c r="N49" i="68"/>
  <c r="D49" i="68"/>
  <c r="L49" i="68" s="1"/>
  <c r="B49" i="68"/>
  <c r="Z48" i="68"/>
  <c r="X48" i="68"/>
  <c r="P48" i="68"/>
  <c r="N48" i="68"/>
  <c r="D48" i="68"/>
  <c r="L48" i="68" s="1"/>
  <c r="B48" i="68"/>
  <c r="Z47" i="68"/>
  <c r="P47" i="68"/>
  <c r="X47" i="68" s="1"/>
  <c r="N47" i="68"/>
  <c r="D47" i="68"/>
  <c r="L47" i="68" s="1"/>
  <c r="B47" i="68"/>
  <c r="Z46" i="68"/>
  <c r="X46" i="68"/>
  <c r="P46" i="68"/>
  <c r="N46" i="68"/>
  <c r="L46" i="68"/>
  <c r="D46" i="68"/>
  <c r="B46" i="68"/>
  <c r="Z45" i="68"/>
  <c r="X45" i="68"/>
  <c r="P45" i="68"/>
  <c r="N45" i="68"/>
  <c r="L45" i="68"/>
  <c r="D45" i="68"/>
  <c r="B45" i="68"/>
  <c r="Z44" i="68"/>
  <c r="P44" i="68"/>
  <c r="X44" i="68" s="1"/>
  <c r="N44" i="68"/>
  <c r="D44" i="68"/>
  <c r="L44" i="68" s="1"/>
  <c r="B44" i="68"/>
  <c r="Z43" i="68"/>
  <c r="P43" i="68"/>
  <c r="X43" i="68" s="1"/>
  <c r="N43" i="68"/>
  <c r="L43" i="68"/>
  <c r="D43" i="68"/>
  <c r="B43" i="68"/>
  <c r="Z42" i="68"/>
  <c r="X42" i="68"/>
  <c r="P42" i="68"/>
  <c r="N42" i="68"/>
  <c r="L42" i="68"/>
  <c r="D42" i="68"/>
  <c r="B42" i="68"/>
  <c r="Z41" i="68"/>
  <c r="P41" i="68"/>
  <c r="X41" i="68" s="1"/>
  <c r="N41" i="68"/>
  <c r="D41" i="68"/>
  <c r="L41" i="68" s="1"/>
  <c r="B41" i="68"/>
  <c r="Z40" i="68"/>
  <c r="P40" i="68"/>
  <c r="X40" i="68" s="1"/>
  <c r="N40" i="68"/>
  <c r="D40" i="68"/>
  <c r="L40" i="68" s="1"/>
  <c r="B40" i="68"/>
  <c r="Z39" i="68"/>
  <c r="P39" i="68"/>
  <c r="X39" i="68" s="1"/>
  <c r="N39" i="68"/>
  <c r="L39" i="68"/>
  <c r="D39" i="68"/>
  <c r="B39" i="68"/>
  <c r="Z38" i="68"/>
  <c r="P38" i="68"/>
  <c r="X38" i="68" s="1"/>
  <c r="N38" i="68"/>
  <c r="D38" i="68"/>
  <c r="L38" i="68" s="1"/>
  <c r="B38" i="68"/>
  <c r="Z37" i="68"/>
  <c r="X37" i="68"/>
  <c r="P37" i="68"/>
  <c r="N37" i="68"/>
  <c r="L37" i="68"/>
  <c r="D37" i="68"/>
  <c r="B37" i="68"/>
  <c r="Z36" i="68"/>
  <c r="X36" i="68"/>
  <c r="P36" i="68"/>
  <c r="N36" i="68"/>
  <c r="D36" i="68"/>
  <c r="L36" i="68" s="1"/>
  <c r="B36" i="68"/>
  <c r="Z35" i="68"/>
  <c r="P35" i="68"/>
  <c r="X35" i="68" s="1"/>
  <c r="N35" i="68"/>
  <c r="L35" i="68"/>
  <c r="D35" i="68"/>
  <c r="B35" i="68"/>
  <c r="Z34" i="68"/>
  <c r="X34" i="68"/>
  <c r="P34" i="68"/>
  <c r="N34" i="68"/>
  <c r="D34" i="68"/>
  <c r="L34" i="68" s="1"/>
  <c r="B34" i="68"/>
  <c r="Z33" i="68"/>
  <c r="P33" i="68"/>
  <c r="X33" i="68" s="1"/>
  <c r="N33" i="68"/>
  <c r="L33" i="68"/>
  <c r="D33" i="68"/>
  <c r="B33" i="68"/>
  <c r="X32" i="68"/>
  <c r="Z32" i="68" s="1"/>
  <c r="P32" i="68"/>
  <c r="D32" i="68"/>
  <c r="L32" i="68" s="1"/>
  <c r="N32" i="68" s="1"/>
  <c r="B32" i="68"/>
  <c r="Z31" i="68"/>
  <c r="P31" i="68"/>
  <c r="X31" i="68" s="1"/>
  <c r="N31" i="68"/>
  <c r="L31" i="68"/>
  <c r="D31" i="68"/>
  <c r="B31" i="68"/>
  <c r="Z30" i="68"/>
  <c r="X30" i="68"/>
  <c r="P30" i="68"/>
  <c r="N30" i="68"/>
  <c r="L30" i="68"/>
  <c r="D30" i="68"/>
  <c r="B30" i="68"/>
  <c r="Z29" i="68"/>
  <c r="P29" i="68"/>
  <c r="X29" i="68" s="1"/>
  <c r="N29" i="68"/>
  <c r="D29" i="68"/>
  <c r="L29" i="68" s="1"/>
  <c r="B29" i="68"/>
  <c r="Z28" i="68"/>
  <c r="P28" i="68"/>
  <c r="X28" i="68" s="1"/>
  <c r="N28" i="68"/>
  <c r="D28" i="68"/>
  <c r="L28" i="68" s="1"/>
  <c r="B28" i="68"/>
  <c r="Z27" i="68"/>
  <c r="X27" i="68"/>
  <c r="P27" i="68"/>
  <c r="N27" i="68"/>
  <c r="L27" i="68"/>
  <c r="D27" i="68"/>
  <c r="B27" i="68"/>
  <c r="Z26" i="68"/>
  <c r="X26" i="68"/>
  <c r="P26" i="68"/>
  <c r="N26" i="68"/>
  <c r="D26" i="68"/>
  <c r="L26" i="68" s="1"/>
  <c r="B26" i="68"/>
  <c r="Z25" i="68"/>
  <c r="P25" i="68"/>
  <c r="X25" i="68" s="1"/>
  <c r="N25" i="68"/>
  <c r="L25" i="68"/>
  <c r="D25" i="68"/>
  <c r="B25" i="68"/>
  <c r="Z24" i="68"/>
  <c r="X24" i="68"/>
  <c r="P24" i="68"/>
  <c r="N24" i="68"/>
  <c r="D24" i="68"/>
  <c r="L24" i="68" s="1"/>
  <c r="B24" i="68"/>
  <c r="Z23" i="68"/>
  <c r="P23" i="68"/>
  <c r="X23" i="68" s="1"/>
  <c r="N23" i="68"/>
  <c r="D23" i="68"/>
  <c r="L23" i="68" s="1"/>
  <c r="B23" i="68"/>
  <c r="Z22" i="68"/>
  <c r="P22" i="68"/>
  <c r="X22" i="68" s="1"/>
  <c r="N22" i="68"/>
  <c r="L22" i="68"/>
  <c r="D22" i="68"/>
  <c r="B22" i="68"/>
  <c r="Z21" i="68"/>
  <c r="X21" i="68"/>
  <c r="P21" i="68"/>
  <c r="N21" i="68"/>
  <c r="L21" i="68"/>
  <c r="D21" i="68"/>
  <c r="B21" i="68"/>
  <c r="Z20" i="68"/>
  <c r="P20" i="68"/>
  <c r="X20" i="68" s="1"/>
  <c r="N20" i="68"/>
  <c r="D20" i="68"/>
  <c r="L20" i="68" s="1"/>
  <c r="B20" i="68"/>
  <c r="Z19" i="68"/>
  <c r="P19" i="68"/>
  <c r="X19" i="68" s="1"/>
  <c r="N19" i="68"/>
  <c r="D19" i="68"/>
  <c r="L19" i="68" s="1"/>
  <c r="B19" i="68"/>
  <c r="Z18" i="68"/>
  <c r="X18" i="68"/>
  <c r="P18" i="68"/>
  <c r="N18" i="68"/>
  <c r="L18" i="68"/>
  <c r="D18" i="68"/>
  <c r="B18" i="68"/>
  <c r="Z17" i="68"/>
  <c r="P17" i="68"/>
  <c r="X17" i="68" s="1"/>
  <c r="N17" i="68"/>
  <c r="D17" i="68"/>
  <c r="L17" i="68" s="1"/>
  <c r="B17" i="68"/>
  <c r="Z16" i="68"/>
  <c r="P16" i="68"/>
  <c r="X16" i="68" s="1"/>
  <c r="N16" i="68"/>
  <c r="L16" i="68"/>
  <c r="D16" i="68"/>
  <c r="B16" i="68"/>
  <c r="Z15" i="68"/>
  <c r="P15" i="68"/>
  <c r="X15" i="68" s="1"/>
  <c r="N15" i="68"/>
  <c r="L15" i="68"/>
  <c r="D15" i="68"/>
  <c r="B15" i="68"/>
  <c r="Z14" i="68"/>
  <c r="P14" i="68"/>
  <c r="X14" i="68" s="1"/>
  <c r="N14" i="68"/>
  <c r="D14" i="68"/>
  <c r="L14" i="68" s="1"/>
  <c r="B14" i="68"/>
  <c r="P13" i="68"/>
  <c r="X13" i="68" s="1"/>
  <c r="Z13" i="68" s="1"/>
  <c r="D13" i="68"/>
  <c r="B13" i="68"/>
  <c r="T12" i="68"/>
  <c r="V102" i="68" s="1"/>
  <c r="H12" i="68"/>
  <c r="J128" i="68" s="1"/>
  <c r="D6" i="68"/>
  <c r="D4" i="68"/>
  <c r="Z67" i="67"/>
  <c r="X67" i="67"/>
  <c r="N67" i="67"/>
  <c r="L67" i="67"/>
  <c r="F67" i="67"/>
  <c r="Z63" i="67"/>
  <c r="T63" i="67"/>
  <c r="P63" i="67"/>
  <c r="X63" i="67" s="1"/>
  <c r="L63" i="67"/>
  <c r="H63" i="67"/>
  <c r="N63" i="67" s="1"/>
  <c r="F63" i="67"/>
  <c r="D63" i="67"/>
  <c r="X61" i="67"/>
  <c r="Z61" i="67" s="1"/>
  <c r="V61" i="67"/>
  <c r="N61" i="67"/>
  <c r="L61" i="67"/>
  <c r="B61" i="67"/>
  <c r="T60" i="67"/>
  <c r="P60" i="67"/>
  <c r="X60" i="67" s="1"/>
  <c r="N60" i="67"/>
  <c r="L60" i="67"/>
  <c r="H60" i="67"/>
  <c r="D60" i="67"/>
  <c r="B60" i="67"/>
  <c r="Z59" i="67"/>
  <c r="X59" i="67"/>
  <c r="N59" i="67"/>
  <c r="L59" i="67"/>
  <c r="J59" i="67"/>
  <c r="F59" i="67"/>
  <c r="B59" i="67"/>
  <c r="X58" i="67"/>
  <c r="T58" i="67"/>
  <c r="Z58" i="67" s="1"/>
  <c r="P58" i="67"/>
  <c r="H58" i="67"/>
  <c r="L58" i="67" s="1"/>
  <c r="F58" i="67"/>
  <c r="D58" i="67"/>
  <c r="B58" i="67"/>
  <c r="Z57" i="67"/>
  <c r="X57" i="67"/>
  <c r="L57" i="67"/>
  <c r="N57" i="67" s="1"/>
  <c r="B57" i="67"/>
  <c r="Z56" i="67"/>
  <c r="X56" i="67"/>
  <c r="N56" i="67"/>
  <c r="L56" i="67"/>
  <c r="F56" i="67"/>
  <c r="B56" i="67"/>
  <c r="Z55" i="67"/>
  <c r="X55" i="67"/>
  <c r="R55" i="67"/>
  <c r="L55" i="67"/>
  <c r="N55" i="67" s="1"/>
  <c r="B55" i="67"/>
  <c r="Z54" i="67"/>
  <c r="X54" i="67"/>
  <c r="R54" i="67"/>
  <c r="N54" i="67"/>
  <c r="L54" i="67"/>
  <c r="B54" i="67"/>
  <c r="T53" i="67"/>
  <c r="P53" i="67"/>
  <c r="X53" i="67" s="1"/>
  <c r="Z53" i="67" s="1"/>
  <c r="H53" i="67"/>
  <c r="D53" i="67"/>
  <c r="L53" i="67" s="1"/>
  <c r="N53" i="67" s="1"/>
  <c r="B53" i="67"/>
  <c r="X52" i="67"/>
  <c r="Z52" i="67" s="1"/>
  <c r="N52" i="67"/>
  <c r="L52" i="67"/>
  <c r="F52" i="67"/>
  <c r="B52" i="67"/>
  <c r="Z51" i="67"/>
  <c r="X51" i="67"/>
  <c r="N51" i="67"/>
  <c r="L51" i="67"/>
  <c r="F51" i="67"/>
  <c r="B51" i="67"/>
  <c r="X50" i="67"/>
  <c r="Z50" i="67" s="1"/>
  <c r="V50" i="67"/>
  <c r="T50" i="67"/>
  <c r="P50" i="67"/>
  <c r="H50" i="67"/>
  <c r="F50" i="67"/>
  <c r="D50" i="67"/>
  <c r="L50" i="67" s="1"/>
  <c r="B50" i="67"/>
  <c r="Z49" i="67"/>
  <c r="X49" i="67"/>
  <c r="N49" i="67"/>
  <c r="L49" i="67"/>
  <c r="B49" i="67"/>
  <c r="Z48" i="67"/>
  <c r="X48" i="67"/>
  <c r="T48" i="67"/>
  <c r="P48" i="67"/>
  <c r="L48" i="67"/>
  <c r="H48" i="67"/>
  <c r="N48" i="67" s="1"/>
  <c r="D48" i="67"/>
  <c r="B48" i="67"/>
  <c r="Z47" i="67"/>
  <c r="X47" i="67"/>
  <c r="R47" i="67"/>
  <c r="L47" i="67"/>
  <c r="N47" i="67" s="1"/>
  <c r="B47" i="67"/>
  <c r="T46" i="67"/>
  <c r="P46" i="67"/>
  <c r="H46" i="67"/>
  <c r="D46" i="67"/>
  <c r="B46" i="67"/>
  <c r="X45" i="67"/>
  <c r="Z45" i="67" s="1"/>
  <c r="N45" i="67"/>
  <c r="L45" i="67"/>
  <c r="F45" i="67"/>
  <c r="B45" i="67"/>
  <c r="T44" i="67"/>
  <c r="P44" i="67"/>
  <c r="X44" i="67" s="1"/>
  <c r="L44" i="67"/>
  <c r="N44" i="67" s="1"/>
  <c r="H44" i="67"/>
  <c r="F44" i="67"/>
  <c r="D44" i="67"/>
  <c r="B44" i="67"/>
  <c r="Z43" i="67"/>
  <c r="X43" i="67"/>
  <c r="N43" i="67"/>
  <c r="L43" i="67"/>
  <c r="J43" i="67"/>
  <c r="F43" i="67"/>
  <c r="B43" i="67"/>
  <c r="X42" i="67"/>
  <c r="T42" i="67"/>
  <c r="Z42" i="67" s="1"/>
  <c r="P42" i="67"/>
  <c r="N42" i="67"/>
  <c r="L42" i="67"/>
  <c r="H42" i="67"/>
  <c r="F42" i="67"/>
  <c r="D42" i="67"/>
  <c r="B42" i="67"/>
  <c r="Z41" i="67"/>
  <c r="X41" i="67"/>
  <c r="N41" i="67"/>
  <c r="L41" i="67"/>
  <c r="J41" i="67"/>
  <c r="F41" i="67"/>
  <c r="B41" i="67"/>
  <c r="Z40" i="67"/>
  <c r="T40" i="67"/>
  <c r="P40" i="67"/>
  <c r="X40" i="67" s="1"/>
  <c r="J40" i="67"/>
  <c r="H40" i="67"/>
  <c r="N40" i="67" s="1"/>
  <c r="F40" i="67"/>
  <c r="D40" i="67"/>
  <c r="L40" i="67" s="1"/>
  <c r="B40" i="67"/>
  <c r="Z39" i="67"/>
  <c r="X39" i="67"/>
  <c r="N39" i="67"/>
  <c r="L39" i="67"/>
  <c r="F39" i="67"/>
  <c r="B39" i="67"/>
  <c r="Z38" i="67"/>
  <c r="X38" i="67"/>
  <c r="V38" i="67"/>
  <c r="N38" i="67"/>
  <c r="L38" i="67"/>
  <c r="F38" i="67"/>
  <c r="B38" i="67"/>
  <c r="X37" i="67"/>
  <c r="Z37" i="67" s="1"/>
  <c r="V37" i="67"/>
  <c r="N37" i="67"/>
  <c r="L37" i="67"/>
  <c r="F37" i="67"/>
  <c r="B37" i="67"/>
  <c r="X36" i="67"/>
  <c r="Z36" i="67" s="1"/>
  <c r="N36" i="67"/>
  <c r="L36" i="67"/>
  <c r="F36" i="67"/>
  <c r="B36" i="67"/>
  <c r="Z35" i="67"/>
  <c r="X35" i="67"/>
  <c r="V35" i="67"/>
  <c r="N35" i="67"/>
  <c r="L35" i="67"/>
  <c r="F35" i="67"/>
  <c r="B35" i="67"/>
  <c r="Z34" i="67"/>
  <c r="X34" i="67"/>
  <c r="N34" i="67"/>
  <c r="L34" i="67"/>
  <c r="F34" i="67"/>
  <c r="B34" i="67"/>
  <c r="X33" i="67"/>
  <c r="Z33" i="67" s="1"/>
  <c r="L33" i="67"/>
  <c r="N33" i="67" s="1"/>
  <c r="F33" i="67"/>
  <c r="B33" i="67"/>
  <c r="Z32" i="67"/>
  <c r="X32" i="67"/>
  <c r="N32" i="67"/>
  <c r="L32" i="67"/>
  <c r="F32" i="67"/>
  <c r="B32" i="67"/>
  <c r="X31" i="67"/>
  <c r="Z31" i="67" s="1"/>
  <c r="N31" i="67"/>
  <c r="L31" i="67"/>
  <c r="F31" i="67"/>
  <c r="B31" i="67"/>
  <c r="X30" i="67"/>
  <c r="Z30" i="67" s="1"/>
  <c r="L30" i="67"/>
  <c r="N30" i="67" s="1"/>
  <c r="F30" i="67"/>
  <c r="B30" i="67"/>
  <c r="X29" i="67"/>
  <c r="Z29" i="67" s="1"/>
  <c r="V29" i="67"/>
  <c r="T29" i="67"/>
  <c r="P29" i="67"/>
  <c r="L29" i="67"/>
  <c r="H29" i="67"/>
  <c r="N29" i="67" s="1"/>
  <c r="F29" i="67"/>
  <c r="D29" i="67"/>
  <c r="B29" i="67"/>
  <c r="Z28" i="67"/>
  <c r="X28" i="67"/>
  <c r="R28" i="67"/>
  <c r="N28" i="67"/>
  <c r="L28" i="67"/>
  <c r="F28" i="67"/>
  <c r="B28" i="67"/>
  <c r="Z27" i="67"/>
  <c r="X27" i="67"/>
  <c r="R27" i="67"/>
  <c r="N27" i="67"/>
  <c r="L27" i="67"/>
  <c r="J27" i="67"/>
  <c r="F27" i="67"/>
  <c r="B27" i="67"/>
  <c r="X26" i="67"/>
  <c r="Z26" i="67" s="1"/>
  <c r="L26" i="67"/>
  <c r="N26" i="67" s="1"/>
  <c r="F26" i="67"/>
  <c r="B26" i="67"/>
  <c r="Z25" i="67"/>
  <c r="X25" i="67"/>
  <c r="N25" i="67"/>
  <c r="L25" i="67"/>
  <c r="B25" i="67"/>
  <c r="X24" i="67"/>
  <c r="Z24" i="67" s="1"/>
  <c r="R24" i="67"/>
  <c r="N24" i="67"/>
  <c r="L24" i="67"/>
  <c r="F24" i="67"/>
  <c r="B24" i="67"/>
  <c r="Z23" i="67"/>
  <c r="X23" i="67"/>
  <c r="N23" i="67"/>
  <c r="L23" i="67"/>
  <c r="F23" i="67"/>
  <c r="B23" i="67"/>
  <c r="X22" i="67"/>
  <c r="Z22" i="67" s="1"/>
  <c r="L22" i="67"/>
  <c r="N22" i="67" s="1"/>
  <c r="F22" i="67"/>
  <c r="B22" i="67"/>
  <c r="X21" i="67"/>
  <c r="Z21" i="67" s="1"/>
  <c r="N21" i="67"/>
  <c r="L21" i="67"/>
  <c r="J21" i="67"/>
  <c r="B21" i="67"/>
  <c r="X20" i="67"/>
  <c r="Z20" i="67" s="1"/>
  <c r="R20" i="67"/>
  <c r="N20" i="67"/>
  <c r="L20" i="67"/>
  <c r="F20" i="67"/>
  <c r="B20" i="67"/>
  <c r="T19" i="67"/>
  <c r="P19" i="67"/>
  <c r="N19" i="67"/>
  <c r="L19" i="67"/>
  <c r="H19" i="67"/>
  <c r="F19" i="67"/>
  <c r="D19" i="67"/>
  <c r="B19" i="67"/>
  <c r="T18" i="67"/>
  <c r="P18" i="67"/>
  <c r="X18" i="67" s="1"/>
  <c r="N18" i="67"/>
  <c r="H18" i="67"/>
  <c r="F18" i="67"/>
  <c r="D18" i="67"/>
  <c r="L18" i="67" s="1"/>
  <c r="P16" i="67"/>
  <c r="H16" i="67"/>
  <c r="H65" i="67" s="1"/>
  <c r="F16" i="67"/>
  <c r="D16" i="67"/>
  <c r="T14" i="67"/>
  <c r="Z14" i="67" s="1"/>
  <c r="P14" i="67"/>
  <c r="N14" i="67"/>
  <c r="H14" i="67"/>
  <c r="F14" i="67"/>
  <c r="D14" i="67"/>
  <c r="T12" i="67"/>
  <c r="V55" i="67" s="1"/>
  <c r="P12" i="67"/>
  <c r="R23" i="67" s="1"/>
  <c r="L12" i="67"/>
  <c r="H12" i="67"/>
  <c r="J53" i="67" s="1"/>
  <c r="D12" i="67"/>
  <c r="F61" i="67" s="1"/>
  <c r="D6" i="67"/>
  <c r="D4" i="67"/>
  <c r="R115" i="63"/>
  <c r="Z113" i="63"/>
  <c r="X113" i="63"/>
  <c r="R113" i="63"/>
  <c r="N113" i="63"/>
  <c r="L113" i="63"/>
  <c r="F113" i="63"/>
  <c r="R111" i="63"/>
  <c r="R109" i="63"/>
  <c r="P109" i="63"/>
  <c r="X109" i="63" s="1"/>
  <c r="Z109" i="63" s="1"/>
  <c r="N109" i="63"/>
  <c r="F109" i="63"/>
  <c r="D109" i="63"/>
  <c r="L109" i="63" s="1"/>
  <c r="B109" i="63"/>
  <c r="Z108" i="63"/>
  <c r="V108" i="63"/>
  <c r="P108" i="63"/>
  <c r="X108" i="63" s="1"/>
  <c r="N108" i="63"/>
  <c r="F108" i="63"/>
  <c r="D108" i="63"/>
  <c r="L108" i="63" s="1"/>
  <c r="B108" i="63"/>
  <c r="X107" i="63"/>
  <c r="Z107" i="63" s="1"/>
  <c r="P107" i="63"/>
  <c r="N107" i="63"/>
  <c r="L107" i="63"/>
  <c r="J107" i="63"/>
  <c r="D107" i="63"/>
  <c r="B107" i="63"/>
  <c r="P106" i="63"/>
  <c r="X106" i="63" s="1"/>
  <c r="Z106" i="63" s="1"/>
  <c r="L106" i="63"/>
  <c r="N106" i="63" s="1"/>
  <c r="J106" i="63"/>
  <c r="F106" i="63"/>
  <c r="D106" i="63"/>
  <c r="B106" i="63"/>
  <c r="Z105" i="63"/>
  <c r="T105" i="63"/>
  <c r="P105" i="63"/>
  <c r="X105" i="63" s="1"/>
  <c r="H105" i="63"/>
  <c r="D105" i="63"/>
  <c r="L105" i="63" s="1"/>
  <c r="Z103" i="63"/>
  <c r="X103" i="63"/>
  <c r="L103" i="63"/>
  <c r="N103" i="63" s="1"/>
  <c r="F103" i="63"/>
  <c r="B103" i="63"/>
  <c r="V102" i="63"/>
  <c r="T102" i="63"/>
  <c r="P102" i="63"/>
  <c r="H102" i="63"/>
  <c r="F102" i="63"/>
  <c r="D102" i="63"/>
  <c r="L102" i="63" s="1"/>
  <c r="N102" i="63" s="1"/>
  <c r="B102" i="63"/>
  <c r="Z101" i="63"/>
  <c r="X101" i="63"/>
  <c r="N101" i="63"/>
  <c r="L101" i="63"/>
  <c r="F101" i="63"/>
  <c r="B101" i="63"/>
  <c r="Z100" i="63"/>
  <c r="X100" i="63"/>
  <c r="N100" i="63"/>
  <c r="L100" i="63"/>
  <c r="B100" i="63"/>
  <c r="Z99" i="63"/>
  <c r="X99" i="63"/>
  <c r="R99" i="63"/>
  <c r="N99" i="63"/>
  <c r="L99" i="63"/>
  <c r="F99" i="63"/>
  <c r="B99" i="63"/>
  <c r="Z98" i="63"/>
  <c r="X98" i="63"/>
  <c r="T98" i="63"/>
  <c r="R98" i="63"/>
  <c r="P98" i="63"/>
  <c r="N98" i="63"/>
  <c r="L98" i="63"/>
  <c r="H98" i="63"/>
  <c r="F98" i="63"/>
  <c r="D98" i="63"/>
  <c r="B98" i="63"/>
  <c r="X97" i="63"/>
  <c r="Z97" i="63" s="1"/>
  <c r="L97" i="63"/>
  <c r="N97" i="63" s="1"/>
  <c r="F97" i="63"/>
  <c r="B97" i="63"/>
  <c r="Z96" i="63"/>
  <c r="X96" i="63"/>
  <c r="T96" i="63"/>
  <c r="P96" i="63"/>
  <c r="J96" i="63"/>
  <c r="H96" i="63"/>
  <c r="N96" i="63" s="1"/>
  <c r="F96" i="63"/>
  <c r="D96" i="63"/>
  <c r="L96" i="63" s="1"/>
  <c r="B96" i="63"/>
  <c r="Z95" i="63"/>
  <c r="X95" i="63"/>
  <c r="L95" i="63"/>
  <c r="N95" i="63" s="1"/>
  <c r="F95" i="63"/>
  <c r="B95" i="63"/>
  <c r="T94" i="63"/>
  <c r="P94" i="63"/>
  <c r="N94" i="63"/>
  <c r="J94" i="63"/>
  <c r="H94" i="63"/>
  <c r="F94" i="63"/>
  <c r="D94" i="63"/>
  <c r="L94" i="63" s="1"/>
  <c r="B94" i="63"/>
  <c r="X93" i="63"/>
  <c r="Z93" i="63" s="1"/>
  <c r="L93" i="63"/>
  <c r="N93" i="63" s="1"/>
  <c r="F93" i="63"/>
  <c r="B93" i="63"/>
  <c r="X92" i="63"/>
  <c r="Z92" i="63" s="1"/>
  <c r="V92" i="63"/>
  <c r="L92" i="63"/>
  <c r="N92" i="63" s="1"/>
  <c r="B92" i="63"/>
  <c r="Z91" i="63"/>
  <c r="X91" i="63"/>
  <c r="R91" i="63"/>
  <c r="N91" i="63"/>
  <c r="L91" i="63"/>
  <c r="F91" i="63"/>
  <c r="B91" i="63"/>
  <c r="Z90" i="63"/>
  <c r="X90" i="63"/>
  <c r="N90" i="63"/>
  <c r="L90" i="63"/>
  <c r="F90" i="63"/>
  <c r="B90" i="63"/>
  <c r="Z89" i="63"/>
  <c r="X89" i="63"/>
  <c r="N89" i="63"/>
  <c r="L89" i="63"/>
  <c r="F89" i="63"/>
  <c r="B89" i="63"/>
  <c r="Z88" i="63"/>
  <c r="X88" i="63"/>
  <c r="N88" i="63"/>
  <c r="L88" i="63"/>
  <c r="B88" i="63"/>
  <c r="Z87" i="63"/>
  <c r="X87" i="63"/>
  <c r="N87" i="63"/>
  <c r="L87" i="63"/>
  <c r="F87" i="63"/>
  <c r="B87" i="63"/>
  <c r="X86" i="63"/>
  <c r="T86" i="63"/>
  <c r="Z86" i="63" s="1"/>
  <c r="R86" i="63"/>
  <c r="P86" i="63"/>
  <c r="H86" i="63"/>
  <c r="F86" i="63"/>
  <c r="D86" i="63"/>
  <c r="L86" i="63" s="1"/>
  <c r="N86" i="63" s="1"/>
  <c r="B86" i="63"/>
  <c r="Z85" i="63"/>
  <c r="X85" i="63"/>
  <c r="N85" i="63"/>
  <c r="L85" i="63"/>
  <c r="J85" i="63"/>
  <c r="F85" i="63"/>
  <c r="B85" i="63"/>
  <c r="X84" i="63"/>
  <c r="Z84" i="63" s="1"/>
  <c r="N84" i="63"/>
  <c r="L84" i="63"/>
  <c r="B84" i="63"/>
  <c r="X83" i="63"/>
  <c r="T83" i="63"/>
  <c r="Z83" i="63" s="1"/>
  <c r="R83" i="63"/>
  <c r="P83" i="63"/>
  <c r="H83" i="63"/>
  <c r="D83" i="63"/>
  <c r="L83" i="63" s="1"/>
  <c r="B83" i="63"/>
  <c r="Z82" i="63"/>
  <c r="X82" i="63"/>
  <c r="L82" i="63"/>
  <c r="N82" i="63" s="1"/>
  <c r="B82" i="63"/>
  <c r="Z81" i="63"/>
  <c r="X81" i="63"/>
  <c r="R81" i="63"/>
  <c r="N81" i="63"/>
  <c r="L81" i="63"/>
  <c r="B81" i="63"/>
  <c r="Z80" i="63"/>
  <c r="X80" i="63"/>
  <c r="N80" i="63"/>
  <c r="L80" i="63"/>
  <c r="B80" i="63"/>
  <c r="Z79" i="63"/>
  <c r="T79" i="63"/>
  <c r="P79" i="63"/>
  <c r="X79" i="63" s="1"/>
  <c r="H79" i="63"/>
  <c r="D79" i="63"/>
  <c r="L79" i="63" s="1"/>
  <c r="B79" i="63"/>
  <c r="X78" i="63"/>
  <c r="Z78" i="63" s="1"/>
  <c r="N78" i="63"/>
  <c r="L78" i="63"/>
  <c r="J78" i="63"/>
  <c r="F78" i="63"/>
  <c r="B78" i="63"/>
  <c r="Z77" i="63"/>
  <c r="X77" i="63"/>
  <c r="N77" i="63"/>
  <c r="L77" i="63"/>
  <c r="F77" i="63"/>
  <c r="B77" i="63"/>
  <c r="Z76" i="63"/>
  <c r="X76" i="63"/>
  <c r="V76" i="63"/>
  <c r="N76" i="63"/>
  <c r="L76" i="63"/>
  <c r="B76" i="63"/>
  <c r="X75" i="63"/>
  <c r="Z75" i="63" s="1"/>
  <c r="N75" i="63"/>
  <c r="L75" i="63"/>
  <c r="F75" i="63"/>
  <c r="B75" i="63"/>
  <c r="X74" i="63"/>
  <c r="Z74" i="63" s="1"/>
  <c r="T74" i="63"/>
  <c r="P74" i="63"/>
  <c r="H74" i="63"/>
  <c r="F74" i="63"/>
  <c r="D74" i="63"/>
  <c r="L74" i="63" s="1"/>
  <c r="N74" i="63" s="1"/>
  <c r="B74" i="63"/>
  <c r="X73" i="63"/>
  <c r="Z73" i="63" s="1"/>
  <c r="R73" i="63"/>
  <c r="L73" i="63"/>
  <c r="N73" i="63" s="1"/>
  <c r="F73" i="63"/>
  <c r="B73" i="63"/>
  <c r="Z72" i="63"/>
  <c r="X72" i="63"/>
  <c r="T72" i="63"/>
  <c r="P72" i="63"/>
  <c r="H72" i="63"/>
  <c r="L72" i="63" s="1"/>
  <c r="F72" i="63"/>
  <c r="D72" i="63"/>
  <c r="B72" i="63"/>
  <c r="Z71" i="63"/>
  <c r="X71" i="63"/>
  <c r="L71" i="63"/>
  <c r="N71" i="63" s="1"/>
  <c r="F71" i="63"/>
  <c r="B71" i="63"/>
  <c r="T70" i="63"/>
  <c r="Z70" i="63" s="1"/>
  <c r="P70" i="63"/>
  <c r="X70" i="63" s="1"/>
  <c r="N70" i="63"/>
  <c r="J70" i="63"/>
  <c r="H70" i="63"/>
  <c r="F70" i="63"/>
  <c r="D70" i="63"/>
  <c r="L70" i="63" s="1"/>
  <c r="B70" i="63"/>
  <c r="Z69" i="63"/>
  <c r="X69" i="63"/>
  <c r="N69" i="63"/>
  <c r="L69" i="63"/>
  <c r="F69" i="63"/>
  <c r="B69" i="63"/>
  <c r="Z68" i="63"/>
  <c r="X68" i="63"/>
  <c r="T68" i="63"/>
  <c r="R68" i="63"/>
  <c r="P68" i="63"/>
  <c r="N68" i="63"/>
  <c r="L68" i="63"/>
  <c r="H68" i="63"/>
  <c r="F68" i="63"/>
  <c r="D68" i="63"/>
  <c r="B68" i="63"/>
  <c r="Z67" i="63"/>
  <c r="X67" i="63"/>
  <c r="N67" i="63"/>
  <c r="L67" i="63"/>
  <c r="F67" i="63"/>
  <c r="B67" i="63"/>
  <c r="T66" i="63"/>
  <c r="P66" i="63"/>
  <c r="N66" i="63"/>
  <c r="L66" i="63"/>
  <c r="H66" i="63"/>
  <c r="F66" i="63"/>
  <c r="D66" i="63"/>
  <c r="B66" i="63"/>
  <c r="X65" i="63"/>
  <c r="Z65" i="63" s="1"/>
  <c r="R65" i="63"/>
  <c r="L65" i="63"/>
  <c r="N65" i="63" s="1"/>
  <c r="B65" i="63"/>
  <c r="Z64" i="63"/>
  <c r="T64" i="63"/>
  <c r="R64" i="63"/>
  <c r="P64" i="63"/>
  <c r="X64" i="63" s="1"/>
  <c r="N64" i="63"/>
  <c r="H64" i="63"/>
  <c r="D64" i="63"/>
  <c r="L64" i="63" s="1"/>
  <c r="B64" i="63"/>
  <c r="X63" i="63"/>
  <c r="Z63" i="63" s="1"/>
  <c r="R63" i="63"/>
  <c r="N63" i="63"/>
  <c r="L63" i="63"/>
  <c r="F63" i="63"/>
  <c r="B63" i="63"/>
  <c r="X62" i="63"/>
  <c r="T62" i="63"/>
  <c r="Z62" i="63" s="1"/>
  <c r="P62" i="63"/>
  <c r="N62" i="63"/>
  <c r="L62" i="63"/>
  <c r="J62" i="63"/>
  <c r="H62" i="63"/>
  <c r="F62" i="63"/>
  <c r="D62" i="63"/>
  <c r="B62" i="63"/>
  <c r="Z61" i="63"/>
  <c r="X61" i="63"/>
  <c r="N61" i="63"/>
  <c r="L61" i="63"/>
  <c r="J61" i="63"/>
  <c r="F61" i="63"/>
  <c r="B61" i="63"/>
  <c r="Z60" i="63"/>
  <c r="X60" i="63"/>
  <c r="T60" i="63"/>
  <c r="R60" i="63"/>
  <c r="P60" i="63"/>
  <c r="N60" i="63"/>
  <c r="H60" i="63"/>
  <c r="L60" i="63" s="1"/>
  <c r="F60" i="63"/>
  <c r="D60" i="63"/>
  <c r="B60" i="63"/>
  <c r="Z59" i="63"/>
  <c r="X59" i="63"/>
  <c r="L59" i="63"/>
  <c r="N59" i="63" s="1"/>
  <c r="F59" i="63"/>
  <c r="B59" i="63"/>
  <c r="Z58" i="63"/>
  <c r="T58" i="63"/>
  <c r="P58" i="63"/>
  <c r="X58" i="63" s="1"/>
  <c r="N58" i="63"/>
  <c r="H58" i="63"/>
  <c r="F58" i="63"/>
  <c r="D58" i="63"/>
  <c r="L58" i="63" s="1"/>
  <c r="B58" i="63"/>
  <c r="Z57" i="63"/>
  <c r="X57" i="63"/>
  <c r="N57" i="63"/>
  <c r="L57" i="63"/>
  <c r="F57" i="63"/>
  <c r="B57" i="63"/>
  <c r="X56" i="63"/>
  <c r="Z56" i="63" s="1"/>
  <c r="N56" i="63"/>
  <c r="L56" i="63"/>
  <c r="B56" i="63"/>
  <c r="T55" i="63"/>
  <c r="P55" i="63"/>
  <c r="J55" i="63"/>
  <c r="H55" i="63"/>
  <c r="D55" i="63"/>
  <c r="L55" i="63" s="1"/>
  <c r="N55" i="63" s="1"/>
  <c r="B55" i="63"/>
  <c r="Z54" i="63"/>
  <c r="X54" i="63"/>
  <c r="N54" i="63"/>
  <c r="L54" i="63"/>
  <c r="F54" i="63"/>
  <c r="B54" i="63"/>
  <c r="X53" i="63"/>
  <c r="Z53" i="63" s="1"/>
  <c r="R53" i="63"/>
  <c r="L53" i="63"/>
  <c r="N53" i="63" s="1"/>
  <c r="F53" i="63"/>
  <c r="B53" i="63"/>
  <c r="X52" i="63"/>
  <c r="Z52" i="63" s="1"/>
  <c r="T52" i="63"/>
  <c r="P52" i="63"/>
  <c r="H52" i="63"/>
  <c r="F52" i="63"/>
  <c r="D52" i="63"/>
  <c r="B52" i="63"/>
  <c r="Z51" i="63"/>
  <c r="X51" i="63"/>
  <c r="R51" i="63"/>
  <c r="L51" i="63"/>
  <c r="N51" i="63" s="1"/>
  <c r="F51" i="63"/>
  <c r="B51" i="63"/>
  <c r="Z50" i="63"/>
  <c r="X50" i="63"/>
  <c r="V50" i="63"/>
  <c r="L50" i="63"/>
  <c r="N50" i="63" s="1"/>
  <c r="B50" i="63"/>
  <c r="X49" i="63"/>
  <c r="Z49" i="63" s="1"/>
  <c r="L49" i="63"/>
  <c r="N49" i="63" s="1"/>
  <c r="B49" i="63"/>
  <c r="Z48" i="63"/>
  <c r="X48" i="63"/>
  <c r="N48" i="63"/>
  <c r="L48" i="63"/>
  <c r="J48" i="63"/>
  <c r="B48" i="63"/>
  <c r="T47" i="63"/>
  <c r="P47" i="63"/>
  <c r="J47" i="63"/>
  <c r="H47" i="63"/>
  <c r="D47" i="63"/>
  <c r="L47" i="63" s="1"/>
  <c r="B47" i="63"/>
  <c r="X46" i="63"/>
  <c r="Z46" i="63" s="1"/>
  <c r="N46" i="63"/>
  <c r="L46" i="63"/>
  <c r="J46" i="63"/>
  <c r="F46" i="63"/>
  <c r="B46" i="63"/>
  <c r="V45" i="63"/>
  <c r="T45" i="63"/>
  <c r="P45" i="63"/>
  <c r="X45" i="63" s="1"/>
  <c r="Z45" i="63" s="1"/>
  <c r="H45" i="63"/>
  <c r="F45" i="63"/>
  <c r="D45" i="63"/>
  <c r="L45" i="63" s="1"/>
  <c r="B45" i="63"/>
  <c r="Z44" i="63"/>
  <c r="X44" i="63"/>
  <c r="N44" i="63"/>
  <c r="L44" i="63"/>
  <c r="J44" i="63"/>
  <c r="B44" i="63"/>
  <c r="Z43" i="63"/>
  <c r="X43" i="63"/>
  <c r="N43" i="63"/>
  <c r="L43" i="63"/>
  <c r="F43" i="63"/>
  <c r="B43" i="63"/>
  <c r="T42" i="63"/>
  <c r="R42" i="63"/>
  <c r="P42" i="63"/>
  <c r="N42" i="63"/>
  <c r="L42" i="63"/>
  <c r="H42" i="63"/>
  <c r="F42" i="63"/>
  <c r="D42" i="63"/>
  <c r="B42" i="63"/>
  <c r="X41" i="63"/>
  <c r="Z41" i="63" s="1"/>
  <c r="L41" i="63"/>
  <c r="N41" i="63" s="1"/>
  <c r="J41" i="63"/>
  <c r="B41" i="63"/>
  <c r="Z40" i="63"/>
  <c r="T40" i="63"/>
  <c r="P40" i="63"/>
  <c r="X40" i="63" s="1"/>
  <c r="N40" i="63"/>
  <c r="J40" i="63"/>
  <c r="H40" i="63"/>
  <c r="D40" i="63"/>
  <c r="L40" i="63" s="1"/>
  <c r="B40" i="63"/>
  <c r="Z39" i="63"/>
  <c r="X39" i="63"/>
  <c r="R39" i="63"/>
  <c r="N39" i="63"/>
  <c r="L39" i="63"/>
  <c r="F39" i="63"/>
  <c r="B39" i="63"/>
  <c r="Z38" i="63"/>
  <c r="X38" i="63"/>
  <c r="N38" i="63"/>
  <c r="L38" i="63"/>
  <c r="J38" i="63"/>
  <c r="F38" i="63"/>
  <c r="B38" i="63"/>
  <c r="X37" i="63"/>
  <c r="Z37" i="63" s="1"/>
  <c r="L37" i="63"/>
  <c r="N37" i="63" s="1"/>
  <c r="F37" i="63"/>
  <c r="B37" i="63"/>
  <c r="Z36" i="63"/>
  <c r="X36" i="63"/>
  <c r="N36" i="63"/>
  <c r="L36" i="63"/>
  <c r="B36" i="63"/>
  <c r="Z35" i="63"/>
  <c r="X35" i="63"/>
  <c r="N35" i="63"/>
  <c r="L35" i="63"/>
  <c r="F35" i="63"/>
  <c r="B35" i="63"/>
  <c r="Z34" i="63"/>
  <c r="X34" i="63"/>
  <c r="N34" i="63"/>
  <c r="L34" i="63"/>
  <c r="J34" i="63"/>
  <c r="F34" i="63"/>
  <c r="B34" i="63"/>
  <c r="X33" i="63"/>
  <c r="Z33" i="63" s="1"/>
  <c r="L33" i="63"/>
  <c r="N33" i="63" s="1"/>
  <c r="F33" i="63"/>
  <c r="B33" i="63"/>
  <c r="Z32" i="63"/>
  <c r="X32" i="63"/>
  <c r="V32" i="63"/>
  <c r="N32" i="63"/>
  <c r="L32" i="63"/>
  <c r="F32" i="63"/>
  <c r="B32" i="63"/>
  <c r="X31" i="63"/>
  <c r="Z31" i="63" s="1"/>
  <c r="R31" i="63"/>
  <c r="L31" i="63"/>
  <c r="N31" i="63" s="1"/>
  <c r="F31" i="63"/>
  <c r="B31" i="63"/>
  <c r="X30" i="63"/>
  <c r="Z30" i="63" s="1"/>
  <c r="V30" i="63"/>
  <c r="N30" i="63"/>
  <c r="L30" i="63"/>
  <c r="F30" i="63"/>
  <c r="B30" i="63"/>
  <c r="X29" i="63"/>
  <c r="T29" i="63"/>
  <c r="Z29" i="63" s="1"/>
  <c r="P29" i="63"/>
  <c r="H29" i="63"/>
  <c r="F29" i="63"/>
  <c r="D29" i="63"/>
  <c r="L29" i="63" s="1"/>
  <c r="B29" i="63"/>
  <c r="X28" i="63"/>
  <c r="Z28" i="63" s="1"/>
  <c r="N28" i="63"/>
  <c r="L28" i="63"/>
  <c r="B28" i="63"/>
  <c r="X27" i="63"/>
  <c r="Z27" i="63" s="1"/>
  <c r="R27" i="63"/>
  <c r="N27" i="63"/>
  <c r="L27" i="63"/>
  <c r="F27" i="63"/>
  <c r="B27" i="63"/>
  <c r="Z26" i="63"/>
  <c r="X26" i="63"/>
  <c r="N26" i="63"/>
  <c r="L26" i="63"/>
  <c r="F26" i="63"/>
  <c r="B26" i="63"/>
  <c r="Z25" i="63"/>
  <c r="X25" i="63"/>
  <c r="N25" i="63"/>
  <c r="L25" i="63"/>
  <c r="J25" i="63"/>
  <c r="F25" i="63"/>
  <c r="B25" i="63"/>
  <c r="X24" i="63"/>
  <c r="Z24" i="63" s="1"/>
  <c r="N24" i="63"/>
  <c r="L24" i="63"/>
  <c r="B24" i="63"/>
  <c r="X23" i="63"/>
  <c r="Z23" i="63" s="1"/>
  <c r="N23" i="63"/>
  <c r="L23" i="63"/>
  <c r="F23" i="63"/>
  <c r="B23" i="63"/>
  <c r="Z22" i="63"/>
  <c r="X22" i="63"/>
  <c r="V22" i="63"/>
  <c r="R22" i="63"/>
  <c r="N22" i="63"/>
  <c r="L22" i="63"/>
  <c r="F22" i="63"/>
  <c r="B22" i="63"/>
  <c r="X21" i="63"/>
  <c r="Z21" i="63" s="1"/>
  <c r="R21" i="63"/>
  <c r="L21" i="63"/>
  <c r="N21" i="63" s="1"/>
  <c r="F21" i="63"/>
  <c r="B21" i="63"/>
  <c r="X20" i="63"/>
  <c r="Z20" i="63" s="1"/>
  <c r="N20" i="63"/>
  <c r="L20" i="63"/>
  <c r="B20" i="63"/>
  <c r="X19" i="63"/>
  <c r="Z19" i="63" s="1"/>
  <c r="T19" i="63"/>
  <c r="P19" i="63"/>
  <c r="H19" i="63"/>
  <c r="D19" i="63"/>
  <c r="L19" i="63" s="1"/>
  <c r="B19" i="63"/>
  <c r="T18" i="63"/>
  <c r="P18" i="63"/>
  <c r="H18" i="63"/>
  <c r="F18" i="63"/>
  <c r="D18" i="63"/>
  <c r="L18" i="63" s="1"/>
  <c r="N18" i="63" s="1"/>
  <c r="V16" i="63"/>
  <c r="J16" i="63"/>
  <c r="F16" i="63"/>
  <c r="T14" i="63"/>
  <c r="Z14" i="63" s="1"/>
  <c r="P14" i="63"/>
  <c r="N14" i="63"/>
  <c r="H14" i="63"/>
  <c r="F14" i="63"/>
  <c r="D14" i="63"/>
  <c r="L14" i="63" s="1"/>
  <c r="T12" i="63"/>
  <c r="V98" i="63" s="1"/>
  <c r="P12" i="63"/>
  <c r="R107" i="63" s="1"/>
  <c r="H12" i="63"/>
  <c r="J73" i="63" s="1"/>
  <c r="D12" i="63"/>
  <c r="F81" i="63" s="1"/>
  <c r="D6" i="63"/>
  <c r="D4" i="63"/>
  <c r="R69" i="61"/>
  <c r="F66" i="61"/>
  <c r="Z64" i="61"/>
  <c r="X64" i="61"/>
  <c r="N64" i="61"/>
  <c r="L64" i="61"/>
  <c r="F62" i="61"/>
  <c r="Z60" i="61"/>
  <c r="T60" i="61"/>
  <c r="P60" i="61"/>
  <c r="X60" i="61" s="1"/>
  <c r="H60" i="61"/>
  <c r="N60" i="61" s="1"/>
  <c r="D60" i="61"/>
  <c r="Z58" i="61"/>
  <c r="X58" i="61"/>
  <c r="R58" i="61"/>
  <c r="L58" i="61"/>
  <c r="N58" i="61" s="1"/>
  <c r="B58" i="61"/>
  <c r="Z57" i="61"/>
  <c r="T57" i="61"/>
  <c r="P57" i="61"/>
  <c r="X57" i="61" s="1"/>
  <c r="H57" i="61"/>
  <c r="N57" i="61" s="1"/>
  <c r="D57" i="61"/>
  <c r="L57" i="61" s="1"/>
  <c r="B57" i="61"/>
  <c r="X56" i="61"/>
  <c r="Z56" i="61" s="1"/>
  <c r="V56" i="61"/>
  <c r="L56" i="61"/>
  <c r="N56" i="61" s="1"/>
  <c r="B56" i="61"/>
  <c r="T55" i="61"/>
  <c r="P55" i="61"/>
  <c r="H55" i="61"/>
  <c r="D55" i="61"/>
  <c r="B55" i="61"/>
  <c r="Z54" i="61"/>
  <c r="X54" i="61"/>
  <c r="L54" i="61"/>
  <c r="N54" i="61" s="1"/>
  <c r="J54" i="61"/>
  <c r="B54" i="61"/>
  <c r="T53" i="61"/>
  <c r="Z53" i="61" s="1"/>
  <c r="P53" i="61"/>
  <c r="X53" i="61" s="1"/>
  <c r="H53" i="61"/>
  <c r="D53" i="61"/>
  <c r="B53" i="61"/>
  <c r="Z52" i="61"/>
  <c r="X52" i="61"/>
  <c r="N52" i="61"/>
  <c r="L52" i="61"/>
  <c r="F52" i="61"/>
  <c r="B52" i="61"/>
  <c r="X51" i="61"/>
  <c r="Z51" i="61" s="1"/>
  <c r="L51" i="61"/>
  <c r="N51" i="61" s="1"/>
  <c r="F51" i="61"/>
  <c r="B51" i="61"/>
  <c r="X50" i="61"/>
  <c r="V50" i="61"/>
  <c r="T50" i="61"/>
  <c r="Z50" i="61" s="1"/>
  <c r="R50" i="61"/>
  <c r="P50" i="61"/>
  <c r="H50" i="61"/>
  <c r="F50" i="61"/>
  <c r="D50" i="61"/>
  <c r="L50" i="61" s="1"/>
  <c r="N50" i="61" s="1"/>
  <c r="B50" i="61"/>
  <c r="X49" i="61"/>
  <c r="Z49" i="61" s="1"/>
  <c r="R49" i="61"/>
  <c r="L49" i="61"/>
  <c r="N49" i="61" s="1"/>
  <c r="F49" i="61"/>
  <c r="B49" i="61"/>
  <c r="T48" i="61"/>
  <c r="R48" i="61"/>
  <c r="P48" i="61"/>
  <c r="X48" i="61" s="1"/>
  <c r="Z48" i="61" s="1"/>
  <c r="H48" i="61"/>
  <c r="F48" i="61"/>
  <c r="D48" i="61"/>
  <c r="L48" i="61" s="1"/>
  <c r="N48" i="61" s="1"/>
  <c r="B48" i="61"/>
  <c r="Z47" i="61"/>
  <c r="X47" i="61"/>
  <c r="R47" i="61"/>
  <c r="N47" i="61"/>
  <c r="L47" i="61"/>
  <c r="B47" i="61"/>
  <c r="Z46" i="61"/>
  <c r="T46" i="61"/>
  <c r="P46" i="61"/>
  <c r="X46" i="61" s="1"/>
  <c r="N46" i="61"/>
  <c r="L46" i="61"/>
  <c r="J46" i="61"/>
  <c r="H46" i="61"/>
  <c r="D46" i="61"/>
  <c r="B46" i="61"/>
  <c r="X45" i="61"/>
  <c r="Z45" i="61" s="1"/>
  <c r="L45" i="61"/>
  <c r="N45" i="61" s="1"/>
  <c r="F45" i="61"/>
  <c r="B45" i="61"/>
  <c r="T44" i="61"/>
  <c r="R44" i="61"/>
  <c r="P44" i="61"/>
  <c r="X44" i="61" s="1"/>
  <c r="L44" i="61"/>
  <c r="J44" i="61"/>
  <c r="H44" i="61"/>
  <c r="N44" i="61" s="1"/>
  <c r="F44" i="61"/>
  <c r="D44" i="61"/>
  <c r="B44" i="61"/>
  <c r="X43" i="61"/>
  <c r="Z43" i="61" s="1"/>
  <c r="R43" i="61"/>
  <c r="N43" i="61"/>
  <c r="L43" i="61"/>
  <c r="F43" i="61"/>
  <c r="B43" i="61"/>
  <c r="T42" i="61"/>
  <c r="R42" i="61"/>
  <c r="P42" i="61"/>
  <c r="X42" i="61" s="1"/>
  <c r="Z42" i="61" s="1"/>
  <c r="H42" i="61"/>
  <c r="F42" i="61"/>
  <c r="D42" i="61"/>
  <c r="L42" i="61" s="1"/>
  <c r="N42" i="61" s="1"/>
  <c r="B42" i="61"/>
  <c r="X41" i="61"/>
  <c r="Z41" i="61" s="1"/>
  <c r="R41" i="61"/>
  <c r="L41" i="61"/>
  <c r="N41" i="61" s="1"/>
  <c r="B41" i="61"/>
  <c r="Z40" i="61"/>
  <c r="X40" i="61"/>
  <c r="V40" i="61"/>
  <c r="T40" i="61"/>
  <c r="P40" i="61"/>
  <c r="H40" i="61"/>
  <c r="D40" i="61"/>
  <c r="L40" i="61" s="1"/>
  <c r="N40" i="61" s="1"/>
  <c r="B40" i="61"/>
  <c r="Z39" i="61"/>
  <c r="X39" i="61"/>
  <c r="N39" i="61"/>
  <c r="L39" i="61"/>
  <c r="F39" i="61"/>
  <c r="B39" i="61"/>
  <c r="Z38" i="61"/>
  <c r="X38" i="61"/>
  <c r="N38" i="61"/>
  <c r="L38" i="61"/>
  <c r="B38" i="61"/>
  <c r="X37" i="61"/>
  <c r="Z37" i="61" s="1"/>
  <c r="N37" i="61"/>
  <c r="L37" i="61"/>
  <c r="F37" i="61"/>
  <c r="B37" i="61"/>
  <c r="Z36" i="61"/>
  <c r="X36" i="61"/>
  <c r="N36" i="61"/>
  <c r="L36" i="61"/>
  <c r="F36" i="61"/>
  <c r="B36" i="61"/>
  <c r="Z35" i="61"/>
  <c r="X35" i="61"/>
  <c r="N35" i="61"/>
  <c r="L35" i="61"/>
  <c r="F35" i="61"/>
  <c r="B35" i="61"/>
  <c r="Z34" i="61"/>
  <c r="X34" i="61"/>
  <c r="V34" i="61"/>
  <c r="N34" i="61"/>
  <c r="L34" i="61"/>
  <c r="B34" i="61"/>
  <c r="X33" i="61"/>
  <c r="Z33" i="61" s="1"/>
  <c r="L33" i="61"/>
  <c r="N33" i="61" s="1"/>
  <c r="F33" i="61"/>
  <c r="B33" i="61"/>
  <c r="Z32" i="61"/>
  <c r="X32" i="61"/>
  <c r="N32" i="61"/>
  <c r="L32" i="61"/>
  <c r="F32" i="61"/>
  <c r="B32" i="61"/>
  <c r="Z31" i="61"/>
  <c r="X31" i="61"/>
  <c r="N31" i="61"/>
  <c r="L31" i="61"/>
  <c r="F31" i="61"/>
  <c r="B31" i="61"/>
  <c r="X30" i="61"/>
  <c r="Z30" i="61" s="1"/>
  <c r="N30" i="61"/>
  <c r="L30" i="61"/>
  <c r="B30" i="61"/>
  <c r="T29" i="61"/>
  <c r="P29" i="61"/>
  <c r="X29" i="61" s="1"/>
  <c r="Z29" i="61" s="1"/>
  <c r="L29" i="61"/>
  <c r="H29" i="61"/>
  <c r="N29" i="61" s="1"/>
  <c r="D29" i="61"/>
  <c r="B29" i="61"/>
  <c r="Z28" i="61"/>
  <c r="X28" i="61"/>
  <c r="N28" i="61"/>
  <c r="L28" i="61"/>
  <c r="J28" i="61"/>
  <c r="B28" i="61"/>
  <c r="X27" i="61"/>
  <c r="Z27" i="61" s="1"/>
  <c r="R27" i="61"/>
  <c r="N27" i="61"/>
  <c r="L27" i="61"/>
  <c r="F27" i="61"/>
  <c r="B27" i="61"/>
  <c r="Z26" i="61"/>
  <c r="X26" i="61"/>
  <c r="N26" i="61"/>
  <c r="L26" i="61"/>
  <c r="J26" i="61"/>
  <c r="B26" i="61"/>
  <c r="Z25" i="61"/>
  <c r="X25" i="61"/>
  <c r="R25" i="61"/>
  <c r="N25" i="61"/>
  <c r="L25" i="61"/>
  <c r="F25" i="61"/>
  <c r="B25" i="61"/>
  <c r="Z24" i="61"/>
  <c r="X24" i="61"/>
  <c r="N24" i="61"/>
  <c r="L24" i="61"/>
  <c r="B24" i="61"/>
  <c r="X23" i="61"/>
  <c r="Z23" i="61" s="1"/>
  <c r="R23" i="61"/>
  <c r="N23" i="61"/>
  <c r="L23" i="61"/>
  <c r="F23" i="61"/>
  <c r="B23" i="61"/>
  <c r="Z22" i="61"/>
  <c r="X22" i="61"/>
  <c r="N22" i="61"/>
  <c r="L22" i="61"/>
  <c r="B22" i="61"/>
  <c r="X21" i="61"/>
  <c r="Z21" i="61" s="1"/>
  <c r="R21" i="61"/>
  <c r="L21" i="61"/>
  <c r="N21" i="61" s="1"/>
  <c r="F21" i="61"/>
  <c r="B21" i="61"/>
  <c r="Z20" i="61"/>
  <c r="X20" i="61"/>
  <c r="N20" i="61"/>
  <c r="L20" i="61"/>
  <c r="J20" i="61"/>
  <c r="B20" i="61"/>
  <c r="T19" i="61"/>
  <c r="P19" i="61"/>
  <c r="H19" i="61"/>
  <c r="D19" i="61"/>
  <c r="B19" i="61"/>
  <c r="V18" i="61"/>
  <c r="T18" i="61"/>
  <c r="P18" i="61"/>
  <c r="X18" i="61" s="1"/>
  <c r="Z18" i="61" s="1"/>
  <c r="J18" i="61"/>
  <c r="H18" i="61"/>
  <c r="F18" i="61"/>
  <c r="D18" i="61"/>
  <c r="L18" i="61" s="1"/>
  <c r="N18" i="61" s="1"/>
  <c r="J16" i="61"/>
  <c r="F16" i="61"/>
  <c r="Z14" i="61"/>
  <c r="T14" i="61"/>
  <c r="P14" i="61"/>
  <c r="X14" i="61" s="1"/>
  <c r="N14" i="61"/>
  <c r="H14" i="61"/>
  <c r="F14" i="61"/>
  <c r="D14" i="61"/>
  <c r="D16" i="61" s="1"/>
  <c r="T12" i="61"/>
  <c r="V62" i="61" s="1"/>
  <c r="P12" i="61"/>
  <c r="R46" i="61" s="1"/>
  <c r="H12" i="61"/>
  <c r="D12" i="61"/>
  <c r="D6" i="61"/>
  <c r="D4" i="61"/>
  <c r="R69" i="60"/>
  <c r="J69" i="60"/>
  <c r="F69" i="60"/>
  <c r="R66" i="60"/>
  <c r="J66" i="60"/>
  <c r="F66" i="60"/>
  <c r="Z64" i="60"/>
  <c r="X64" i="60"/>
  <c r="N64" i="60"/>
  <c r="L64" i="60"/>
  <c r="V62" i="60"/>
  <c r="J62" i="60"/>
  <c r="Z60" i="60"/>
  <c r="V60" i="60"/>
  <c r="T60" i="60"/>
  <c r="P60" i="60"/>
  <c r="X60" i="60" s="1"/>
  <c r="N60" i="60"/>
  <c r="J60" i="60"/>
  <c r="H60" i="60"/>
  <c r="D60" i="60"/>
  <c r="L60" i="60" s="1"/>
  <c r="Z58" i="60"/>
  <c r="X58" i="60"/>
  <c r="V58" i="60"/>
  <c r="N58" i="60"/>
  <c r="L58" i="60"/>
  <c r="J58" i="60"/>
  <c r="B58" i="60"/>
  <c r="T57" i="60"/>
  <c r="Z57" i="60" s="1"/>
  <c r="P57" i="60"/>
  <c r="J57" i="60"/>
  <c r="H57" i="60"/>
  <c r="N57" i="60" s="1"/>
  <c r="D57" i="60"/>
  <c r="L57" i="60" s="1"/>
  <c r="B57" i="60"/>
  <c r="X56" i="60"/>
  <c r="Z56" i="60" s="1"/>
  <c r="V56" i="60"/>
  <c r="N56" i="60"/>
  <c r="L56" i="60"/>
  <c r="B56" i="60"/>
  <c r="T55" i="60"/>
  <c r="R55" i="60"/>
  <c r="P55" i="60"/>
  <c r="X55" i="60" s="1"/>
  <c r="Z55" i="60" s="1"/>
  <c r="L55" i="60"/>
  <c r="H55" i="60"/>
  <c r="D55" i="60"/>
  <c r="B55" i="60"/>
  <c r="Z54" i="60"/>
  <c r="X54" i="60"/>
  <c r="R54" i="60"/>
  <c r="N54" i="60"/>
  <c r="L54" i="60"/>
  <c r="J54" i="60"/>
  <c r="B54" i="60"/>
  <c r="X53" i="60"/>
  <c r="Z53" i="60" s="1"/>
  <c r="R53" i="60"/>
  <c r="N53" i="60"/>
  <c r="L53" i="60"/>
  <c r="J53" i="60"/>
  <c r="F53" i="60"/>
  <c r="B53" i="60"/>
  <c r="Z52" i="60"/>
  <c r="T52" i="60"/>
  <c r="X52" i="60" s="1"/>
  <c r="R52" i="60"/>
  <c r="P52" i="60"/>
  <c r="H52" i="60"/>
  <c r="L52" i="60" s="1"/>
  <c r="N52" i="60" s="1"/>
  <c r="F52" i="60"/>
  <c r="D52" i="60"/>
  <c r="B52" i="60"/>
  <c r="Z51" i="60"/>
  <c r="X51" i="60"/>
  <c r="R51" i="60"/>
  <c r="L51" i="60"/>
  <c r="N51" i="60" s="1"/>
  <c r="J51" i="60"/>
  <c r="B51" i="60"/>
  <c r="T50" i="60"/>
  <c r="P50" i="60"/>
  <c r="X50" i="60" s="1"/>
  <c r="Z50" i="60" s="1"/>
  <c r="J50" i="60"/>
  <c r="H50" i="60"/>
  <c r="D50" i="60"/>
  <c r="L50" i="60" s="1"/>
  <c r="N50" i="60" s="1"/>
  <c r="B50" i="60"/>
  <c r="Z49" i="60"/>
  <c r="X49" i="60"/>
  <c r="N49" i="60"/>
  <c r="L49" i="60"/>
  <c r="F49" i="60"/>
  <c r="B49" i="60"/>
  <c r="X48" i="60"/>
  <c r="Z48" i="60" s="1"/>
  <c r="V48" i="60"/>
  <c r="N48" i="60"/>
  <c r="L48" i="60"/>
  <c r="B48" i="60"/>
  <c r="Z47" i="60"/>
  <c r="X47" i="60"/>
  <c r="N47" i="60"/>
  <c r="L47" i="60"/>
  <c r="F47" i="60"/>
  <c r="B47" i="60"/>
  <c r="X46" i="60"/>
  <c r="Z46" i="60" s="1"/>
  <c r="V46" i="60"/>
  <c r="T46" i="60"/>
  <c r="R46" i="60"/>
  <c r="P46" i="60"/>
  <c r="L46" i="60"/>
  <c r="J46" i="60"/>
  <c r="H46" i="60"/>
  <c r="N46" i="60" s="1"/>
  <c r="F46" i="60"/>
  <c r="D46" i="60"/>
  <c r="B46" i="60"/>
  <c r="X45" i="60"/>
  <c r="Z45" i="60" s="1"/>
  <c r="R45" i="60"/>
  <c r="N45" i="60"/>
  <c r="L45" i="60"/>
  <c r="J45" i="60"/>
  <c r="F45" i="60"/>
  <c r="B45" i="60"/>
  <c r="T44" i="60"/>
  <c r="X44" i="60" s="1"/>
  <c r="Z44" i="60" s="1"/>
  <c r="R44" i="60"/>
  <c r="P44" i="60"/>
  <c r="N44" i="60"/>
  <c r="H44" i="60"/>
  <c r="L44" i="60" s="1"/>
  <c r="F44" i="60"/>
  <c r="D44" i="60"/>
  <c r="B44" i="60"/>
  <c r="Z43" i="60"/>
  <c r="X43" i="60"/>
  <c r="R43" i="60"/>
  <c r="L43" i="60"/>
  <c r="N43" i="60" s="1"/>
  <c r="J43" i="60"/>
  <c r="B43" i="60"/>
  <c r="V42" i="60"/>
  <c r="T42" i="60"/>
  <c r="P42" i="60"/>
  <c r="X42" i="60" s="1"/>
  <c r="Z42" i="60" s="1"/>
  <c r="N42" i="60"/>
  <c r="J42" i="60"/>
  <c r="H42" i="60"/>
  <c r="D42" i="60"/>
  <c r="L42" i="60" s="1"/>
  <c r="B42" i="60"/>
  <c r="X41" i="60"/>
  <c r="Z41" i="60" s="1"/>
  <c r="L41" i="60"/>
  <c r="N41" i="60" s="1"/>
  <c r="F41" i="60"/>
  <c r="B41" i="60"/>
  <c r="X40" i="60"/>
  <c r="T40" i="60"/>
  <c r="Z40" i="60" s="1"/>
  <c r="R40" i="60"/>
  <c r="P40" i="60"/>
  <c r="L40" i="60"/>
  <c r="N40" i="60" s="1"/>
  <c r="J40" i="60"/>
  <c r="H40" i="60"/>
  <c r="F40" i="60"/>
  <c r="D40" i="60"/>
  <c r="B40" i="60"/>
  <c r="Z39" i="60"/>
  <c r="X39" i="60"/>
  <c r="R39" i="60"/>
  <c r="N39" i="60"/>
  <c r="L39" i="60"/>
  <c r="J39" i="60"/>
  <c r="F39" i="60"/>
  <c r="B39" i="60"/>
  <c r="Z38" i="60"/>
  <c r="X38" i="60"/>
  <c r="R38" i="60"/>
  <c r="N38" i="60"/>
  <c r="L38" i="60"/>
  <c r="J38" i="60"/>
  <c r="B38" i="60"/>
  <c r="Z37" i="60"/>
  <c r="X37" i="60"/>
  <c r="R37" i="60"/>
  <c r="N37" i="60"/>
  <c r="L37" i="60"/>
  <c r="J37" i="60"/>
  <c r="F37" i="60"/>
  <c r="B37" i="60"/>
  <c r="Z36" i="60"/>
  <c r="X36" i="60"/>
  <c r="R36" i="60"/>
  <c r="N36" i="60"/>
  <c r="L36" i="60"/>
  <c r="J36" i="60"/>
  <c r="B36" i="60"/>
  <c r="Z35" i="60"/>
  <c r="X35" i="60"/>
  <c r="R35" i="60"/>
  <c r="N35" i="60"/>
  <c r="L35" i="60"/>
  <c r="J35" i="60"/>
  <c r="F35" i="60"/>
  <c r="B35" i="60"/>
  <c r="Z34" i="60"/>
  <c r="X34" i="60"/>
  <c r="R34" i="60"/>
  <c r="N34" i="60"/>
  <c r="L34" i="60"/>
  <c r="J34" i="60"/>
  <c r="B34" i="60"/>
  <c r="Z33" i="60"/>
  <c r="X33" i="60"/>
  <c r="R33" i="60"/>
  <c r="N33" i="60"/>
  <c r="L33" i="60"/>
  <c r="J33" i="60"/>
  <c r="F33" i="60"/>
  <c r="B33" i="60"/>
  <c r="Z32" i="60"/>
  <c r="X32" i="60"/>
  <c r="R32" i="60"/>
  <c r="N32" i="60"/>
  <c r="L32" i="60"/>
  <c r="J32" i="60"/>
  <c r="B32" i="60"/>
  <c r="X31" i="60"/>
  <c r="Z31" i="60" s="1"/>
  <c r="R31" i="60"/>
  <c r="L31" i="60"/>
  <c r="N31" i="60" s="1"/>
  <c r="J31" i="60"/>
  <c r="F31" i="60"/>
  <c r="B31" i="60"/>
  <c r="Z30" i="60"/>
  <c r="X30" i="60"/>
  <c r="R30" i="60"/>
  <c r="N30" i="60"/>
  <c r="L30" i="60"/>
  <c r="J30" i="60"/>
  <c r="B30" i="60"/>
  <c r="X29" i="60"/>
  <c r="T29" i="60"/>
  <c r="R29" i="60"/>
  <c r="P29" i="60"/>
  <c r="H29" i="60"/>
  <c r="D29" i="60"/>
  <c r="B29" i="60"/>
  <c r="Z28" i="60"/>
  <c r="X28" i="60"/>
  <c r="V28" i="60"/>
  <c r="R28" i="60"/>
  <c r="L28" i="60"/>
  <c r="N28" i="60" s="1"/>
  <c r="J28" i="60"/>
  <c r="B28" i="60"/>
  <c r="X27" i="60"/>
  <c r="Z27" i="60" s="1"/>
  <c r="R27" i="60"/>
  <c r="L27" i="60"/>
  <c r="N27" i="60" s="1"/>
  <c r="J27" i="60"/>
  <c r="B27" i="60"/>
  <c r="Z26" i="60"/>
  <c r="X26" i="60"/>
  <c r="V26" i="60"/>
  <c r="L26" i="60"/>
  <c r="N26" i="60" s="1"/>
  <c r="J26" i="60"/>
  <c r="B26" i="60"/>
  <c r="Z25" i="60"/>
  <c r="X25" i="60"/>
  <c r="R25" i="60"/>
  <c r="N25" i="60"/>
  <c r="L25" i="60"/>
  <c r="B25" i="60"/>
  <c r="Z24" i="60"/>
  <c r="X24" i="60"/>
  <c r="V24" i="60"/>
  <c r="R24" i="60"/>
  <c r="L24" i="60"/>
  <c r="N24" i="60" s="1"/>
  <c r="J24" i="60"/>
  <c r="B24" i="60"/>
  <c r="X23" i="60"/>
  <c r="Z23" i="60" s="1"/>
  <c r="R23" i="60"/>
  <c r="L23" i="60"/>
  <c r="N23" i="60" s="1"/>
  <c r="J23" i="60"/>
  <c r="B23" i="60"/>
  <c r="Z22" i="60"/>
  <c r="X22" i="60"/>
  <c r="V22" i="60"/>
  <c r="L22" i="60"/>
  <c r="N22" i="60" s="1"/>
  <c r="J22" i="60"/>
  <c r="B22" i="60"/>
  <c r="Z21" i="60"/>
  <c r="X21" i="60"/>
  <c r="R21" i="60"/>
  <c r="L21" i="60"/>
  <c r="N21" i="60" s="1"/>
  <c r="B21" i="60"/>
  <c r="Z20" i="60"/>
  <c r="X20" i="60"/>
  <c r="V20" i="60"/>
  <c r="R20" i="60"/>
  <c r="L20" i="60"/>
  <c r="N20" i="60" s="1"/>
  <c r="J20" i="60"/>
  <c r="B20" i="60"/>
  <c r="T19" i="60"/>
  <c r="P19" i="60"/>
  <c r="X19" i="60" s="1"/>
  <c r="J19" i="60"/>
  <c r="H19" i="60"/>
  <c r="D19" i="60"/>
  <c r="B19" i="60"/>
  <c r="X18" i="60"/>
  <c r="V18" i="60"/>
  <c r="T18" i="60"/>
  <c r="Z18" i="60" s="1"/>
  <c r="R18" i="60"/>
  <c r="P18" i="60"/>
  <c r="L18" i="60"/>
  <c r="J18" i="60"/>
  <c r="H18" i="60"/>
  <c r="N18" i="60" s="1"/>
  <c r="F18" i="60"/>
  <c r="D18" i="60"/>
  <c r="V16" i="60"/>
  <c r="R16" i="60"/>
  <c r="J16" i="60"/>
  <c r="F16" i="60"/>
  <c r="X14" i="60"/>
  <c r="V14" i="60"/>
  <c r="T14" i="60"/>
  <c r="Z14" i="60" s="1"/>
  <c r="R14" i="60"/>
  <c r="P14" i="60"/>
  <c r="P16" i="60" s="1"/>
  <c r="L14" i="60"/>
  <c r="J14" i="60"/>
  <c r="H14" i="60"/>
  <c r="N14" i="60" s="1"/>
  <c r="F14" i="60"/>
  <c r="D14" i="60"/>
  <c r="T12" i="60"/>
  <c r="P12" i="60"/>
  <c r="R58" i="60" s="1"/>
  <c r="N12" i="60"/>
  <c r="H12" i="60"/>
  <c r="J55" i="60" s="1"/>
  <c r="D12" i="60"/>
  <c r="F54" i="60" s="1"/>
  <c r="D6" i="60"/>
  <c r="D4" i="60"/>
  <c r="R81" i="59"/>
  <c r="R78" i="59"/>
  <c r="F78" i="59"/>
  <c r="Z76" i="59"/>
  <c r="X76" i="59"/>
  <c r="N76" i="59"/>
  <c r="L76" i="59"/>
  <c r="J76" i="59"/>
  <c r="R74" i="59"/>
  <c r="F74" i="59"/>
  <c r="X72" i="59"/>
  <c r="V72" i="59"/>
  <c r="T72" i="59"/>
  <c r="Z72" i="59" s="1"/>
  <c r="R72" i="59"/>
  <c r="P72" i="59"/>
  <c r="L72" i="59"/>
  <c r="J72" i="59"/>
  <c r="H72" i="59"/>
  <c r="N72" i="59" s="1"/>
  <c r="F72" i="59"/>
  <c r="D72" i="59"/>
  <c r="Z70" i="59"/>
  <c r="X70" i="59"/>
  <c r="N70" i="59"/>
  <c r="L70" i="59"/>
  <c r="B70" i="59"/>
  <c r="X69" i="59"/>
  <c r="Z69" i="59" s="1"/>
  <c r="N69" i="59"/>
  <c r="L69" i="59"/>
  <c r="F69" i="59"/>
  <c r="B69" i="59"/>
  <c r="X68" i="59"/>
  <c r="T68" i="59"/>
  <c r="Z68" i="59" s="1"/>
  <c r="R68" i="59"/>
  <c r="P68" i="59"/>
  <c r="L68" i="59"/>
  <c r="H68" i="59"/>
  <c r="N68" i="59" s="1"/>
  <c r="D68" i="59"/>
  <c r="B68" i="59"/>
  <c r="X67" i="59"/>
  <c r="Z67" i="59" s="1"/>
  <c r="R67" i="59"/>
  <c r="N67" i="59"/>
  <c r="L67" i="59"/>
  <c r="B67" i="59"/>
  <c r="Z66" i="59"/>
  <c r="T66" i="59"/>
  <c r="X66" i="59" s="1"/>
  <c r="R66" i="59"/>
  <c r="P66" i="59"/>
  <c r="H66" i="59"/>
  <c r="L66" i="59" s="1"/>
  <c r="N66" i="59" s="1"/>
  <c r="F66" i="59"/>
  <c r="D66" i="59"/>
  <c r="B66" i="59"/>
  <c r="Z65" i="59"/>
  <c r="X65" i="59"/>
  <c r="R65" i="59"/>
  <c r="L65" i="59"/>
  <c r="N65" i="59" s="1"/>
  <c r="B65" i="59"/>
  <c r="Z64" i="59"/>
  <c r="X64" i="59"/>
  <c r="V64" i="59"/>
  <c r="L64" i="59"/>
  <c r="N64" i="59" s="1"/>
  <c r="J64" i="59"/>
  <c r="B64" i="59"/>
  <c r="T63" i="59"/>
  <c r="P63" i="59"/>
  <c r="X63" i="59" s="1"/>
  <c r="H63" i="59"/>
  <c r="D63" i="59"/>
  <c r="L63" i="59" s="1"/>
  <c r="B63" i="59"/>
  <c r="X62" i="59"/>
  <c r="Z62" i="59" s="1"/>
  <c r="V62" i="59"/>
  <c r="N62" i="59"/>
  <c r="L62" i="59"/>
  <c r="B62" i="59"/>
  <c r="X61" i="59"/>
  <c r="Z61" i="59" s="1"/>
  <c r="L61" i="59"/>
  <c r="N61" i="59" s="1"/>
  <c r="F61" i="59"/>
  <c r="B61" i="59"/>
  <c r="X60" i="59"/>
  <c r="V60" i="59"/>
  <c r="T60" i="59"/>
  <c r="Z60" i="59" s="1"/>
  <c r="R60" i="59"/>
  <c r="P60" i="59"/>
  <c r="L60" i="59"/>
  <c r="J60" i="59"/>
  <c r="H60" i="59"/>
  <c r="N60" i="59" s="1"/>
  <c r="F60" i="59"/>
  <c r="D60" i="59"/>
  <c r="B60" i="59"/>
  <c r="X59" i="59"/>
  <c r="Z59" i="59" s="1"/>
  <c r="R59" i="59"/>
  <c r="N59" i="59"/>
  <c r="L59" i="59"/>
  <c r="F59" i="59"/>
  <c r="B59" i="59"/>
  <c r="T58" i="59"/>
  <c r="X58" i="59" s="1"/>
  <c r="Z58" i="59" s="1"/>
  <c r="R58" i="59"/>
  <c r="P58" i="59"/>
  <c r="N58" i="59"/>
  <c r="H58" i="59"/>
  <c r="L58" i="59" s="1"/>
  <c r="F58" i="59"/>
  <c r="D58" i="59"/>
  <c r="B58" i="59"/>
  <c r="Z57" i="59"/>
  <c r="X57" i="59"/>
  <c r="R57" i="59"/>
  <c r="N57" i="59"/>
  <c r="L57" i="59"/>
  <c r="B57" i="59"/>
  <c r="Z56" i="59"/>
  <c r="X56" i="59"/>
  <c r="L56" i="59"/>
  <c r="N56" i="59" s="1"/>
  <c r="B56" i="59"/>
  <c r="Z55" i="59"/>
  <c r="X55" i="59"/>
  <c r="R55" i="59"/>
  <c r="L55" i="59"/>
  <c r="N55" i="59" s="1"/>
  <c r="B55" i="59"/>
  <c r="Z54" i="59"/>
  <c r="X54" i="59"/>
  <c r="V54" i="59"/>
  <c r="L54" i="59"/>
  <c r="N54" i="59" s="1"/>
  <c r="J54" i="59"/>
  <c r="B54" i="59"/>
  <c r="T53" i="59"/>
  <c r="P53" i="59"/>
  <c r="H53" i="59"/>
  <c r="D53" i="59"/>
  <c r="L53" i="59" s="1"/>
  <c r="B53" i="59"/>
  <c r="X52" i="59"/>
  <c r="Z52" i="59" s="1"/>
  <c r="V52" i="59"/>
  <c r="N52" i="59"/>
  <c r="L52" i="59"/>
  <c r="B52" i="59"/>
  <c r="T51" i="59"/>
  <c r="P51" i="59"/>
  <c r="X51" i="59" s="1"/>
  <c r="Z51" i="59" s="1"/>
  <c r="H51" i="59"/>
  <c r="D51" i="59"/>
  <c r="L51" i="59" s="1"/>
  <c r="N51" i="59" s="1"/>
  <c r="B51" i="59"/>
  <c r="Z50" i="59"/>
  <c r="X50" i="59"/>
  <c r="N50" i="59"/>
  <c r="L50" i="59"/>
  <c r="B50" i="59"/>
  <c r="T49" i="59"/>
  <c r="P49" i="59"/>
  <c r="H49" i="59"/>
  <c r="D49" i="59"/>
  <c r="B49" i="59"/>
  <c r="Z48" i="59"/>
  <c r="X48" i="59"/>
  <c r="V48" i="59"/>
  <c r="L48" i="59"/>
  <c r="N48" i="59" s="1"/>
  <c r="J48" i="59"/>
  <c r="B48" i="59"/>
  <c r="T47" i="59"/>
  <c r="P47" i="59"/>
  <c r="H47" i="59"/>
  <c r="D47" i="59"/>
  <c r="L47" i="59" s="1"/>
  <c r="B47" i="59"/>
  <c r="X46" i="59"/>
  <c r="Z46" i="59" s="1"/>
  <c r="V46" i="59"/>
  <c r="N46" i="59"/>
  <c r="L46" i="59"/>
  <c r="B46" i="59"/>
  <c r="X45" i="59"/>
  <c r="Z45" i="59" s="1"/>
  <c r="L45" i="59"/>
  <c r="N45" i="59" s="1"/>
  <c r="F45" i="59"/>
  <c r="B45" i="59"/>
  <c r="X44" i="59"/>
  <c r="V44" i="59"/>
  <c r="T44" i="59"/>
  <c r="Z44" i="59" s="1"/>
  <c r="R44" i="59"/>
  <c r="P44" i="59"/>
  <c r="L44" i="59"/>
  <c r="J44" i="59"/>
  <c r="H44" i="59"/>
  <c r="N44" i="59" s="1"/>
  <c r="F44" i="59"/>
  <c r="D44" i="59"/>
  <c r="B44" i="59"/>
  <c r="Z43" i="59"/>
  <c r="X43" i="59"/>
  <c r="R43" i="59"/>
  <c r="N43" i="59"/>
  <c r="L43" i="59"/>
  <c r="F43" i="59"/>
  <c r="B43" i="59"/>
  <c r="Z42" i="59"/>
  <c r="T42" i="59"/>
  <c r="X42" i="59" s="1"/>
  <c r="R42" i="59"/>
  <c r="P42" i="59"/>
  <c r="N42" i="59"/>
  <c r="H42" i="59"/>
  <c r="L42" i="59" s="1"/>
  <c r="F42" i="59"/>
  <c r="D42" i="59"/>
  <c r="B42" i="59"/>
  <c r="Z41" i="59"/>
  <c r="X41" i="59"/>
  <c r="R41" i="59"/>
  <c r="N41" i="59"/>
  <c r="L41" i="59"/>
  <c r="B41" i="59"/>
  <c r="Z40" i="59"/>
  <c r="X40" i="59"/>
  <c r="N40" i="59"/>
  <c r="L40" i="59"/>
  <c r="B40" i="59"/>
  <c r="Z39" i="59"/>
  <c r="X39" i="59"/>
  <c r="R39" i="59"/>
  <c r="N39" i="59"/>
  <c r="L39" i="59"/>
  <c r="B39" i="59"/>
  <c r="Z38" i="59"/>
  <c r="X38" i="59"/>
  <c r="L38" i="59"/>
  <c r="N38" i="59" s="1"/>
  <c r="B38" i="59"/>
  <c r="Z37" i="59"/>
  <c r="X37" i="59"/>
  <c r="R37" i="59"/>
  <c r="N37" i="59"/>
  <c r="L37" i="59"/>
  <c r="B37" i="59"/>
  <c r="Z36" i="59"/>
  <c r="X36" i="59"/>
  <c r="N36" i="59"/>
  <c r="L36" i="59"/>
  <c r="J36" i="59"/>
  <c r="B36" i="59"/>
  <c r="Z35" i="59"/>
  <c r="X35" i="59"/>
  <c r="R35" i="59"/>
  <c r="L35" i="59"/>
  <c r="N35" i="59" s="1"/>
  <c r="B35" i="59"/>
  <c r="Z34" i="59"/>
  <c r="X34" i="59"/>
  <c r="N34" i="59"/>
  <c r="L34" i="59"/>
  <c r="J34" i="59"/>
  <c r="B34" i="59"/>
  <c r="Z33" i="59"/>
  <c r="X33" i="59"/>
  <c r="R33" i="59"/>
  <c r="L33" i="59"/>
  <c r="N33" i="59" s="1"/>
  <c r="B33" i="59"/>
  <c r="Z32" i="59"/>
  <c r="X32" i="59"/>
  <c r="N32" i="59"/>
  <c r="L32" i="59"/>
  <c r="J32" i="59"/>
  <c r="B32" i="59"/>
  <c r="T31" i="59"/>
  <c r="P31" i="59"/>
  <c r="X31" i="59" s="1"/>
  <c r="H31" i="59"/>
  <c r="D31" i="59"/>
  <c r="L31" i="59" s="1"/>
  <c r="B31" i="59"/>
  <c r="Z30" i="59"/>
  <c r="X30" i="59"/>
  <c r="N30" i="59"/>
  <c r="L30" i="59"/>
  <c r="B30" i="59"/>
  <c r="X29" i="59"/>
  <c r="Z29" i="59" s="1"/>
  <c r="L29" i="59"/>
  <c r="N29" i="59" s="1"/>
  <c r="F29" i="59"/>
  <c r="B29" i="59"/>
  <c r="X28" i="59"/>
  <c r="Z28" i="59" s="1"/>
  <c r="N28" i="59"/>
  <c r="L28" i="59"/>
  <c r="B28" i="59"/>
  <c r="Z27" i="59"/>
  <c r="X27" i="59"/>
  <c r="N27" i="59"/>
  <c r="L27" i="59"/>
  <c r="F27" i="59"/>
  <c r="B27" i="59"/>
  <c r="Z26" i="59"/>
  <c r="X26" i="59"/>
  <c r="N26" i="59"/>
  <c r="L26" i="59"/>
  <c r="B26" i="59"/>
  <c r="X25" i="59"/>
  <c r="Z25" i="59" s="1"/>
  <c r="L25" i="59"/>
  <c r="N25" i="59" s="1"/>
  <c r="F25" i="59"/>
  <c r="B25" i="59"/>
  <c r="X24" i="59"/>
  <c r="Z24" i="59" s="1"/>
  <c r="V24" i="59"/>
  <c r="N24" i="59"/>
  <c r="L24" i="59"/>
  <c r="B24" i="59"/>
  <c r="X23" i="59"/>
  <c r="Z23" i="59" s="1"/>
  <c r="L23" i="59"/>
  <c r="N23" i="59" s="1"/>
  <c r="F23" i="59"/>
  <c r="B23" i="59"/>
  <c r="X22" i="59"/>
  <c r="Z22" i="59" s="1"/>
  <c r="V22" i="59"/>
  <c r="N22" i="59"/>
  <c r="L22" i="59"/>
  <c r="B22" i="59"/>
  <c r="X21" i="59"/>
  <c r="Z21" i="59" s="1"/>
  <c r="L21" i="59"/>
  <c r="N21" i="59" s="1"/>
  <c r="B21" i="59"/>
  <c r="X20" i="59"/>
  <c r="T20" i="59"/>
  <c r="Z20" i="59" s="1"/>
  <c r="R20" i="59"/>
  <c r="P20" i="59"/>
  <c r="L20" i="59"/>
  <c r="J20" i="59"/>
  <c r="H20" i="59"/>
  <c r="N20" i="59" s="1"/>
  <c r="F20" i="59"/>
  <c r="D20" i="59"/>
  <c r="B20" i="59"/>
  <c r="X19" i="59"/>
  <c r="T19" i="59"/>
  <c r="R19" i="59"/>
  <c r="P19" i="59"/>
  <c r="H19" i="59"/>
  <c r="D19" i="59"/>
  <c r="T17" i="59"/>
  <c r="R17" i="59"/>
  <c r="X15" i="59"/>
  <c r="T15" i="59"/>
  <c r="Z15" i="59" s="1"/>
  <c r="R15" i="59"/>
  <c r="P15" i="59"/>
  <c r="H15" i="59"/>
  <c r="N15" i="59" s="1"/>
  <c r="D15" i="59"/>
  <c r="X13" i="59"/>
  <c r="Z13" i="59" s="1"/>
  <c r="P13" i="59"/>
  <c r="N13" i="59"/>
  <c r="L13" i="59"/>
  <c r="D13" i="59"/>
  <c r="D12" i="59" s="1"/>
  <c r="B13" i="59"/>
  <c r="T12" i="59"/>
  <c r="P12" i="59"/>
  <c r="R64" i="59" s="1"/>
  <c r="H12" i="59"/>
  <c r="J74" i="59" s="1"/>
  <c r="D6" i="59"/>
  <c r="D4" i="59"/>
  <c r="R84" i="58"/>
  <c r="J84" i="58"/>
  <c r="F84" i="58"/>
  <c r="R81" i="58"/>
  <c r="J81" i="58"/>
  <c r="Z79" i="58"/>
  <c r="X79" i="58"/>
  <c r="N79" i="58"/>
  <c r="L79" i="58"/>
  <c r="J77" i="58"/>
  <c r="Z75" i="58"/>
  <c r="T75" i="58"/>
  <c r="P75" i="58"/>
  <c r="X75" i="58" s="1"/>
  <c r="N75" i="58"/>
  <c r="J75" i="58"/>
  <c r="H75" i="58"/>
  <c r="D75" i="58"/>
  <c r="L75" i="58" s="1"/>
  <c r="Z73" i="58"/>
  <c r="X73" i="58"/>
  <c r="V73" i="58"/>
  <c r="N73" i="58"/>
  <c r="L73" i="58"/>
  <c r="J73" i="58"/>
  <c r="B73" i="58"/>
  <c r="T72" i="58"/>
  <c r="P72" i="58"/>
  <c r="J72" i="58"/>
  <c r="H72" i="58"/>
  <c r="N72" i="58" s="1"/>
  <c r="D72" i="58"/>
  <c r="B72" i="58"/>
  <c r="X71" i="58"/>
  <c r="Z71" i="58" s="1"/>
  <c r="V71" i="58"/>
  <c r="N71" i="58"/>
  <c r="L71" i="58"/>
  <c r="B71" i="58"/>
  <c r="T70" i="58"/>
  <c r="R70" i="58"/>
  <c r="P70" i="58"/>
  <c r="X70" i="58" s="1"/>
  <c r="L70" i="58"/>
  <c r="J70" i="58"/>
  <c r="H70" i="58"/>
  <c r="N70" i="58" s="1"/>
  <c r="D70" i="58"/>
  <c r="B70" i="58"/>
  <c r="Z69" i="58"/>
  <c r="X69" i="58"/>
  <c r="R69" i="58"/>
  <c r="N69" i="58"/>
  <c r="L69" i="58"/>
  <c r="J69" i="58"/>
  <c r="B69" i="58"/>
  <c r="X68" i="58"/>
  <c r="T68" i="58"/>
  <c r="P68" i="58"/>
  <c r="H68" i="58"/>
  <c r="D68" i="58"/>
  <c r="B68" i="58"/>
  <c r="Z67" i="58"/>
  <c r="X67" i="58"/>
  <c r="N67" i="58"/>
  <c r="L67" i="58"/>
  <c r="J67" i="58"/>
  <c r="B67" i="58"/>
  <c r="Z66" i="58"/>
  <c r="X66" i="58"/>
  <c r="V66" i="58"/>
  <c r="R66" i="58"/>
  <c r="L66" i="58"/>
  <c r="N66" i="58" s="1"/>
  <c r="J66" i="58"/>
  <c r="B66" i="58"/>
  <c r="Z65" i="58"/>
  <c r="X65" i="58"/>
  <c r="L65" i="58"/>
  <c r="N65" i="58" s="1"/>
  <c r="J65" i="58"/>
  <c r="B65" i="58"/>
  <c r="T64" i="58"/>
  <c r="P64" i="58"/>
  <c r="J64" i="58"/>
  <c r="H64" i="58"/>
  <c r="D64" i="58"/>
  <c r="B64" i="58"/>
  <c r="X63" i="58"/>
  <c r="Z63" i="58" s="1"/>
  <c r="N63" i="58"/>
  <c r="L63" i="58"/>
  <c r="B63" i="58"/>
  <c r="X62" i="58"/>
  <c r="T62" i="58"/>
  <c r="R62" i="58"/>
  <c r="P62" i="58"/>
  <c r="J62" i="58"/>
  <c r="H62" i="58"/>
  <c r="N62" i="58" s="1"/>
  <c r="D62" i="58"/>
  <c r="L62" i="58" s="1"/>
  <c r="B62" i="58"/>
  <c r="Z61" i="58"/>
  <c r="X61" i="58"/>
  <c r="R61" i="58"/>
  <c r="N61" i="58"/>
  <c r="L61" i="58"/>
  <c r="J61" i="58"/>
  <c r="B61" i="58"/>
  <c r="Z60" i="58"/>
  <c r="X60" i="58"/>
  <c r="R60" i="58"/>
  <c r="N60" i="58"/>
  <c r="L60" i="58"/>
  <c r="J60" i="58"/>
  <c r="B60" i="58"/>
  <c r="T59" i="58"/>
  <c r="R59" i="58"/>
  <c r="P59" i="58"/>
  <c r="N59" i="58"/>
  <c r="H59" i="58"/>
  <c r="L59" i="58" s="1"/>
  <c r="D59" i="58"/>
  <c r="B59" i="58"/>
  <c r="Z58" i="58"/>
  <c r="X58" i="58"/>
  <c r="V58" i="58"/>
  <c r="R58" i="58"/>
  <c r="N58" i="58"/>
  <c r="L58" i="58"/>
  <c r="J58" i="58"/>
  <c r="B58" i="58"/>
  <c r="Z57" i="58"/>
  <c r="X57" i="58"/>
  <c r="V57" i="58"/>
  <c r="R57" i="58"/>
  <c r="L57" i="58"/>
  <c r="N57" i="58" s="1"/>
  <c r="J57" i="58"/>
  <c r="B57" i="58"/>
  <c r="Z56" i="58"/>
  <c r="X56" i="58"/>
  <c r="R56" i="58"/>
  <c r="N56" i="58"/>
  <c r="L56" i="58"/>
  <c r="J56" i="58"/>
  <c r="B56" i="58"/>
  <c r="T55" i="58"/>
  <c r="P55" i="58"/>
  <c r="X55" i="58" s="1"/>
  <c r="Z55" i="58" s="1"/>
  <c r="J55" i="58"/>
  <c r="H55" i="58"/>
  <c r="D55" i="58"/>
  <c r="L55" i="58" s="1"/>
  <c r="N55" i="58" s="1"/>
  <c r="B55" i="58"/>
  <c r="X54" i="58"/>
  <c r="Z54" i="58" s="1"/>
  <c r="L54" i="58"/>
  <c r="N54" i="58" s="1"/>
  <c r="B54" i="58"/>
  <c r="X53" i="58"/>
  <c r="V53" i="58"/>
  <c r="T53" i="58"/>
  <c r="R53" i="58"/>
  <c r="P53" i="58"/>
  <c r="L53" i="58"/>
  <c r="J53" i="58"/>
  <c r="H53" i="58"/>
  <c r="D53" i="58"/>
  <c r="B53" i="58"/>
  <c r="Z52" i="58"/>
  <c r="X52" i="58"/>
  <c r="R52" i="58"/>
  <c r="N52" i="58"/>
  <c r="L52" i="58"/>
  <c r="J52" i="58"/>
  <c r="B52" i="58"/>
  <c r="T51" i="58"/>
  <c r="X51" i="58" s="1"/>
  <c r="R51" i="58"/>
  <c r="P51" i="58"/>
  <c r="N51" i="58"/>
  <c r="H51" i="58"/>
  <c r="L51" i="58" s="1"/>
  <c r="F51" i="58"/>
  <c r="D51" i="58"/>
  <c r="B51" i="58"/>
  <c r="Z50" i="58"/>
  <c r="X50" i="58"/>
  <c r="R50" i="58"/>
  <c r="L50" i="58"/>
  <c r="N50" i="58" s="1"/>
  <c r="J50" i="58"/>
  <c r="B50" i="58"/>
  <c r="Z49" i="58"/>
  <c r="T49" i="58"/>
  <c r="P49" i="58"/>
  <c r="X49" i="58" s="1"/>
  <c r="N49" i="58"/>
  <c r="J49" i="58"/>
  <c r="H49" i="58"/>
  <c r="D49" i="58"/>
  <c r="L49" i="58" s="1"/>
  <c r="B49" i="58"/>
  <c r="X48" i="58"/>
  <c r="Z48" i="58" s="1"/>
  <c r="N48" i="58"/>
  <c r="L48" i="58"/>
  <c r="B48" i="58"/>
  <c r="X47" i="58"/>
  <c r="T47" i="58"/>
  <c r="R47" i="58"/>
  <c r="P47" i="58"/>
  <c r="L47" i="58"/>
  <c r="N47" i="58" s="1"/>
  <c r="J47" i="58"/>
  <c r="H47" i="58"/>
  <c r="F47" i="58"/>
  <c r="D47" i="58"/>
  <c r="B47" i="58"/>
  <c r="X46" i="58"/>
  <c r="Z46" i="58" s="1"/>
  <c r="R46" i="58"/>
  <c r="N46" i="58"/>
  <c r="L46" i="58"/>
  <c r="J46" i="58"/>
  <c r="B46" i="58"/>
  <c r="X45" i="58"/>
  <c r="Z45" i="58" s="1"/>
  <c r="T45" i="58"/>
  <c r="R45" i="58"/>
  <c r="P45" i="58"/>
  <c r="N45" i="58"/>
  <c r="H45" i="58"/>
  <c r="L45" i="58" s="1"/>
  <c r="F45" i="58"/>
  <c r="D45" i="58"/>
  <c r="B45" i="58"/>
  <c r="Z44" i="58"/>
  <c r="X44" i="58"/>
  <c r="R44" i="58"/>
  <c r="L44" i="58"/>
  <c r="N44" i="58" s="1"/>
  <c r="J44" i="58"/>
  <c r="B44" i="58"/>
  <c r="T43" i="58"/>
  <c r="P43" i="58"/>
  <c r="J43" i="58"/>
  <c r="H43" i="58"/>
  <c r="D43" i="58"/>
  <c r="L43" i="58" s="1"/>
  <c r="N43" i="58" s="1"/>
  <c r="B43" i="58"/>
  <c r="X42" i="58"/>
  <c r="Z42" i="58" s="1"/>
  <c r="L42" i="58"/>
  <c r="N42" i="58" s="1"/>
  <c r="B42" i="58"/>
  <c r="T41" i="58"/>
  <c r="R41" i="58"/>
  <c r="P41" i="58"/>
  <c r="X41" i="58" s="1"/>
  <c r="J41" i="58"/>
  <c r="H41" i="58"/>
  <c r="D41" i="58"/>
  <c r="L41" i="58" s="1"/>
  <c r="B41" i="58"/>
  <c r="Z40" i="58"/>
  <c r="X40" i="58"/>
  <c r="R40" i="58"/>
  <c r="N40" i="58"/>
  <c r="L40" i="58"/>
  <c r="J40" i="58"/>
  <c r="F40" i="58"/>
  <c r="B40" i="58"/>
  <c r="Z39" i="58"/>
  <c r="X39" i="58"/>
  <c r="R39" i="58"/>
  <c r="N39" i="58"/>
  <c r="L39" i="58"/>
  <c r="J39" i="58"/>
  <c r="B39" i="58"/>
  <c r="Z38" i="58"/>
  <c r="X38" i="58"/>
  <c r="R38" i="58"/>
  <c r="N38" i="58"/>
  <c r="L38" i="58"/>
  <c r="J38" i="58"/>
  <c r="F38" i="58"/>
  <c r="B38" i="58"/>
  <c r="Z37" i="58"/>
  <c r="X37" i="58"/>
  <c r="R37" i="58"/>
  <c r="N37" i="58"/>
  <c r="L37" i="58"/>
  <c r="J37" i="58"/>
  <c r="F37" i="58"/>
  <c r="B37" i="58"/>
  <c r="Z36" i="58"/>
  <c r="X36" i="58"/>
  <c r="R36" i="58"/>
  <c r="N36" i="58"/>
  <c r="L36" i="58"/>
  <c r="J36" i="58"/>
  <c r="B36" i="58"/>
  <c r="X35" i="58"/>
  <c r="Z35" i="58" s="1"/>
  <c r="R35" i="58"/>
  <c r="N35" i="58"/>
  <c r="L35" i="58"/>
  <c r="J35" i="58"/>
  <c r="F35" i="58"/>
  <c r="B35" i="58"/>
  <c r="Z34" i="58"/>
  <c r="X34" i="58"/>
  <c r="R34" i="58"/>
  <c r="N34" i="58"/>
  <c r="L34" i="58"/>
  <c r="J34" i="58"/>
  <c r="F34" i="58"/>
  <c r="B34" i="58"/>
  <c r="Z33" i="58"/>
  <c r="X33" i="58"/>
  <c r="R33" i="58"/>
  <c r="N33" i="58"/>
  <c r="L33" i="58"/>
  <c r="J33" i="58"/>
  <c r="B33" i="58"/>
  <c r="Z32" i="58"/>
  <c r="X32" i="58"/>
  <c r="R32" i="58"/>
  <c r="N32" i="58"/>
  <c r="L32" i="58"/>
  <c r="J32" i="58"/>
  <c r="F32" i="58"/>
  <c r="B32" i="58"/>
  <c r="Z31" i="58"/>
  <c r="X31" i="58"/>
  <c r="R31" i="58"/>
  <c r="N31" i="58"/>
  <c r="L31" i="58"/>
  <c r="J31" i="58"/>
  <c r="F31" i="58"/>
  <c r="B31" i="58"/>
  <c r="T30" i="58"/>
  <c r="R30" i="58"/>
  <c r="P30" i="58"/>
  <c r="H30" i="58"/>
  <c r="D30" i="58"/>
  <c r="B30" i="58"/>
  <c r="Z29" i="58"/>
  <c r="X29" i="58"/>
  <c r="R29" i="58"/>
  <c r="L29" i="58"/>
  <c r="N29" i="58" s="1"/>
  <c r="J29" i="58"/>
  <c r="B29" i="58"/>
  <c r="Z28" i="58"/>
  <c r="X28" i="58"/>
  <c r="R28" i="58"/>
  <c r="L28" i="58"/>
  <c r="N28" i="58" s="1"/>
  <c r="J28" i="58"/>
  <c r="B28" i="58"/>
  <c r="Z27" i="58"/>
  <c r="X27" i="58"/>
  <c r="R27" i="58"/>
  <c r="L27" i="58"/>
  <c r="N27" i="58" s="1"/>
  <c r="J27" i="58"/>
  <c r="B27" i="58"/>
  <c r="Z26" i="58"/>
  <c r="X26" i="58"/>
  <c r="V26" i="58"/>
  <c r="R26" i="58"/>
  <c r="N26" i="58"/>
  <c r="L26" i="58"/>
  <c r="J26" i="58"/>
  <c r="B26" i="58"/>
  <c r="Z25" i="58"/>
  <c r="X25" i="58"/>
  <c r="R25" i="58"/>
  <c r="L25" i="58"/>
  <c r="N25" i="58" s="1"/>
  <c r="J25" i="58"/>
  <c r="B25" i="58"/>
  <c r="Z24" i="58"/>
  <c r="X24" i="58"/>
  <c r="R24" i="58"/>
  <c r="L24" i="58"/>
  <c r="N24" i="58" s="1"/>
  <c r="J24" i="58"/>
  <c r="B24" i="58"/>
  <c r="Z23" i="58"/>
  <c r="X23" i="58"/>
  <c r="R23" i="58"/>
  <c r="L23" i="58"/>
  <c r="N23" i="58" s="1"/>
  <c r="J23" i="58"/>
  <c r="B23" i="58"/>
  <c r="Z22" i="58"/>
  <c r="X22" i="58"/>
  <c r="R22" i="58"/>
  <c r="L22" i="58"/>
  <c r="N22" i="58" s="1"/>
  <c r="J22" i="58"/>
  <c r="B22" i="58"/>
  <c r="Z21" i="58"/>
  <c r="X21" i="58"/>
  <c r="V21" i="58"/>
  <c r="R21" i="58"/>
  <c r="L21" i="58"/>
  <c r="N21" i="58" s="1"/>
  <c r="J21" i="58"/>
  <c r="B21" i="58"/>
  <c r="Z20" i="58"/>
  <c r="X20" i="58"/>
  <c r="R20" i="58"/>
  <c r="L20" i="58"/>
  <c r="N20" i="58" s="1"/>
  <c r="J20" i="58"/>
  <c r="B20" i="58"/>
  <c r="T19" i="58"/>
  <c r="P19" i="58"/>
  <c r="J19" i="58"/>
  <c r="H19" i="58"/>
  <c r="D19" i="58"/>
  <c r="B19" i="58"/>
  <c r="X18" i="58"/>
  <c r="T18" i="58"/>
  <c r="Z18" i="58" s="1"/>
  <c r="R18" i="58"/>
  <c r="P18" i="58"/>
  <c r="J18" i="58"/>
  <c r="H18" i="58"/>
  <c r="D18" i="58"/>
  <c r="L18" i="58" s="1"/>
  <c r="R16" i="58"/>
  <c r="J16" i="58"/>
  <c r="F16" i="58"/>
  <c r="V14" i="58"/>
  <c r="T14" i="58"/>
  <c r="Z14" i="58" s="1"/>
  <c r="R14" i="58"/>
  <c r="P14" i="58"/>
  <c r="P16" i="58" s="1"/>
  <c r="J14" i="58"/>
  <c r="H14" i="58"/>
  <c r="N14" i="58" s="1"/>
  <c r="F14" i="58"/>
  <c r="D14" i="58"/>
  <c r="T12" i="58"/>
  <c r="V77" i="58" s="1"/>
  <c r="P12" i="58"/>
  <c r="R68" i="58" s="1"/>
  <c r="N12" i="58"/>
  <c r="H12" i="58"/>
  <c r="J79" i="58" s="1"/>
  <c r="D12" i="58"/>
  <c r="F81" i="58" s="1"/>
  <c r="D6" i="58"/>
  <c r="D4" i="58"/>
  <c r="Z80" i="57"/>
  <c r="X80" i="57"/>
  <c r="R80" i="57"/>
  <c r="N80" i="57"/>
  <c r="L80" i="57"/>
  <c r="V76" i="57"/>
  <c r="T76" i="57"/>
  <c r="Z76" i="57" s="1"/>
  <c r="P76" i="57"/>
  <c r="X76" i="57" s="1"/>
  <c r="H76" i="57"/>
  <c r="N76" i="57" s="1"/>
  <c r="D76" i="57"/>
  <c r="L76" i="57" s="1"/>
  <c r="X74" i="57"/>
  <c r="Z74" i="57" s="1"/>
  <c r="V74" i="57"/>
  <c r="L74" i="57"/>
  <c r="N74" i="57" s="1"/>
  <c r="B74" i="57"/>
  <c r="X73" i="57"/>
  <c r="Z73" i="57" s="1"/>
  <c r="T73" i="57"/>
  <c r="R73" i="57"/>
  <c r="P73" i="57"/>
  <c r="H73" i="57"/>
  <c r="D73" i="57"/>
  <c r="L73" i="57" s="1"/>
  <c r="N73" i="57" s="1"/>
  <c r="B73" i="57"/>
  <c r="X72" i="57"/>
  <c r="Z72" i="57" s="1"/>
  <c r="N72" i="57"/>
  <c r="L72" i="57"/>
  <c r="B72" i="57"/>
  <c r="Z71" i="57"/>
  <c r="T71" i="57"/>
  <c r="X71" i="57" s="1"/>
  <c r="P71" i="57"/>
  <c r="H71" i="57"/>
  <c r="F71" i="57"/>
  <c r="D71" i="57"/>
  <c r="B71" i="57"/>
  <c r="Z70" i="57"/>
  <c r="X70" i="57"/>
  <c r="R70" i="57"/>
  <c r="N70" i="57"/>
  <c r="L70" i="57"/>
  <c r="B70" i="57"/>
  <c r="Z69" i="57"/>
  <c r="X69" i="57"/>
  <c r="L69" i="57"/>
  <c r="N69" i="57" s="1"/>
  <c r="J69" i="57"/>
  <c r="B69" i="57"/>
  <c r="Z68" i="57"/>
  <c r="T68" i="57"/>
  <c r="X68" i="57" s="1"/>
  <c r="P68" i="57"/>
  <c r="J68" i="57"/>
  <c r="H68" i="57"/>
  <c r="D68" i="57"/>
  <c r="L68" i="57" s="1"/>
  <c r="N68" i="57" s="1"/>
  <c r="B68" i="57"/>
  <c r="Z67" i="57"/>
  <c r="X67" i="57"/>
  <c r="V67" i="57"/>
  <c r="N67" i="57"/>
  <c r="L67" i="57"/>
  <c r="B67" i="57"/>
  <c r="X66" i="57"/>
  <c r="V66" i="57"/>
  <c r="T66" i="57"/>
  <c r="Z66" i="57" s="1"/>
  <c r="P66" i="57"/>
  <c r="H66" i="57"/>
  <c r="D66" i="57"/>
  <c r="B66" i="57"/>
  <c r="X65" i="57"/>
  <c r="Z65" i="57" s="1"/>
  <c r="V65" i="57"/>
  <c r="N65" i="57"/>
  <c r="L65" i="57"/>
  <c r="J65" i="57"/>
  <c r="B65" i="57"/>
  <c r="T64" i="57"/>
  <c r="P64" i="57"/>
  <c r="X64" i="57" s="1"/>
  <c r="H64" i="57"/>
  <c r="D64" i="57"/>
  <c r="L64" i="57" s="1"/>
  <c r="N64" i="57" s="1"/>
  <c r="B64" i="57"/>
  <c r="Z63" i="57"/>
  <c r="X63" i="57"/>
  <c r="N63" i="57"/>
  <c r="L63" i="57"/>
  <c r="J63" i="57"/>
  <c r="B63" i="57"/>
  <c r="Z62" i="57"/>
  <c r="X62" i="57"/>
  <c r="V62" i="57"/>
  <c r="L62" i="57"/>
  <c r="N62" i="57" s="1"/>
  <c r="B62" i="57"/>
  <c r="Z61" i="57"/>
  <c r="X61" i="57"/>
  <c r="V61" i="57"/>
  <c r="N61" i="57"/>
  <c r="L61" i="57"/>
  <c r="J61" i="57"/>
  <c r="B61" i="57"/>
  <c r="T60" i="57"/>
  <c r="X60" i="57" s="1"/>
  <c r="Z60" i="57" s="1"/>
  <c r="P60" i="57"/>
  <c r="L60" i="57"/>
  <c r="H60" i="57"/>
  <c r="D60" i="57"/>
  <c r="B60" i="57"/>
  <c r="X59" i="57"/>
  <c r="Z59" i="57" s="1"/>
  <c r="L59" i="57"/>
  <c r="N59" i="57" s="1"/>
  <c r="B59" i="57"/>
  <c r="X58" i="57"/>
  <c r="T58" i="57"/>
  <c r="R58" i="57"/>
  <c r="P58" i="57"/>
  <c r="L58" i="57"/>
  <c r="H58" i="57"/>
  <c r="D58" i="57"/>
  <c r="B58" i="57"/>
  <c r="Z57" i="57"/>
  <c r="X57" i="57"/>
  <c r="N57" i="57"/>
  <c r="L57" i="57"/>
  <c r="J57" i="57"/>
  <c r="B57" i="57"/>
  <c r="Z56" i="57"/>
  <c r="X56" i="57"/>
  <c r="N56" i="57"/>
  <c r="L56" i="57"/>
  <c r="B56" i="57"/>
  <c r="Z55" i="57"/>
  <c r="X55" i="57"/>
  <c r="N55" i="57"/>
  <c r="L55" i="57"/>
  <c r="F55" i="57"/>
  <c r="B55" i="57"/>
  <c r="T54" i="57"/>
  <c r="Z54" i="57" s="1"/>
  <c r="P54" i="57"/>
  <c r="H54" i="57"/>
  <c r="N54" i="57" s="1"/>
  <c r="D54" i="57"/>
  <c r="L54" i="57" s="1"/>
  <c r="B54" i="57"/>
  <c r="Z53" i="57"/>
  <c r="X53" i="57"/>
  <c r="R53" i="57"/>
  <c r="L53" i="57"/>
  <c r="N53" i="57" s="1"/>
  <c r="B53" i="57"/>
  <c r="T52" i="57"/>
  <c r="P52" i="57"/>
  <c r="J52" i="57"/>
  <c r="H52" i="57"/>
  <c r="D52" i="57"/>
  <c r="L52" i="57" s="1"/>
  <c r="N52" i="57" s="1"/>
  <c r="B52" i="57"/>
  <c r="X51" i="57"/>
  <c r="Z51" i="57" s="1"/>
  <c r="L51" i="57"/>
  <c r="N51" i="57" s="1"/>
  <c r="B51" i="57"/>
  <c r="X50" i="57"/>
  <c r="T50" i="57"/>
  <c r="P50" i="57"/>
  <c r="L50" i="57"/>
  <c r="H50" i="57"/>
  <c r="F50" i="57"/>
  <c r="D50" i="57"/>
  <c r="B50" i="57"/>
  <c r="X49" i="57"/>
  <c r="Z49" i="57" s="1"/>
  <c r="R49" i="57"/>
  <c r="N49" i="57"/>
  <c r="L49" i="57"/>
  <c r="B49" i="57"/>
  <c r="Z48" i="57"/>
  <c r="X48" i="57"/>
  <c r="T48" i="57"/>
  <c r="R48" i="57"/>
  <c r="P48" i="57"/>
  <c r="N48" i="57"/>
  <c r="L48" i="57"/>
  <c r="H48" i="57"/>
  <c r="D48" i="57"/>
  <c r="B48" i="57"/>
  <c r="Z47" i="57"/>
  <c r="X47" i="57"/>
  <c r="N47" i="57"/>
  <c r="L47" i="57"/>
  <c r="J47" i="57"/>
  <c r="B47" i="57"/>
  <c r="T46" i="57"/>
  <c r="R46" i="57"/>
  <c r="P46" i="57"/>
  <c r="J46" i="57"/>
  <c r="H46" i="57"/>
  <c r="D46" i="57"/>
  <c r="L46" i="57" s="1"/>
  <c r="N46" i="57" s="1"/>
  <c r="B46" i="57"/>
  <c r="X45" i="57"/>
  <c r="Z45" i="57" s="1"/>
  <c r="R45" i="57"/>
  <c r="N45" i="57"/>
  <c r="L45" i="57"/>
  <c r="B45" i="57"/>
  <c r="X44" i="57"/>
  <c r="T44" i="57"/>
  <c r="R44" i="57"/>
  <c r="P44" i="57"/>
  <c r="L44" i="57"/>
  <c r="H44" i="57"/>
  <c r="D44" i="57"/>
  <c r="B44" i="57"/>
  <c r="Z43" i="57"/>
  <c r="X43" i="57"/>
  <c r="R43" i="57"/>
  <c r="L43" i="57"/>
  <c r="N43" i="57" s="1"/>
  <c r="J43" i="57"/>
  <c r="B43" i="57"/>
  <c r="X42" i="57"/>
  <c r="T42" i="57"/>
  <c r="P42" i="57"/>
  <c r="H42" i="57"/>
  <c r="D42" i="57"/>
  <c r="B42" i="57"/>
  <c r="Z41" i="57"/>
  <c r="X41" i="57"/>
  <c r="V41" i="57"/>
  <c r="N41" i="57"/>
  <c r="L41" i="57"/>
  <c r="B41" i="57"/>
  <c r="T40" i="57"/>
  <c r="P40" i="57"/>
  <c r="N40" i="57"/>
  <c r="H40" i="57"/>
  <c r="D40" i="57"/>
  <c r="L40" i="57" s="1"/>
  <c r="B40" i="57"/>
  <c r="Z39" i="57"/>
  <c r="X39" i="57"/>
  <c r="V39" i="57"/>
  <c r="N39" i="57"/>
  <c r="L39" i="57"/>
  <c r="B39" i="57"/>
  <c r="Z38" i="57"/>
  <c r="X38" i="57"/>
  <c r="R38" i="57"/>
  <c r="N38" i="57"/>
  <c r="L38" i="57"/>
  <c r="F38" i="57"/>
  <c r="B38" i="57"/>
  <c r="X37" i="57"/>
  <c r="Z37" i="57" s="1"/>
  <c r="R37" i="57"/>
  <c r="N37" i="57"/>
  <c r="L37" i="57"/>
  <c r="B37" i="57"/>
  <c r="X36" i="57"/>
  <c r="Z36" i="57" s="1"/>
  <c r="N36" i="57"/>
  <c r="L36" i="57"/>
  <c r="F36" i="57"/>
  <c r="B36" i="57"/>
  <c r="Z35" i="57"/>
  <c r="X35" i="57"/>
  <c r="V35" i="57"/>
  <c r="N35" i="57"/>
  <c r="L35" i="57"/>
  <c r="B35" i="57"/>
  <c r="Z34" i="57"/>
  <c r="X34" i="57"/>
  <c r="R34" i="57"/>
  <c r="N34" i="57"/>
  <c r="L34" i="57"/>
  <c r="F34" i="57"/>
  <c r="B34" i="57"/>
  <c r="X33" i="57"/>
  <c r="Z33" i="57" s="1"/>
  <c r="R33" i="57"/>
  <c r="N33" i="57"/>
  <c r="L33" i="57"/>
  <c r="B33" i="57"/>
  <c r="Z32" i="57"/>
  <c r="X32" i="57"/>
  <c r="N32" i="57"/>
  <c r="L32" i="57"/>
  <c r="F32" i="57"/>
  <c r="B32" i="57"/>
  <c r="Z31" i="57"/>
  <c r="X31" i="57"/>
  <c r="V31" i="57"/>
  <c r="N31" i="57"/>
  <c r="L31" i="57"/>
  <c r="B31" i="57"/>
  <c r="X30" i="57"/>
  <c r="Z30" i="57" s="1"/>
  <c r="R30" i="57"/>
  <c r="L30" i="57"/>
  <c r="N30" i="57" s="1"/>
  <c r="F30" i="57"/>
  <c r="B30" i="57"/>
  <c r="T29" i="57"/>
  <c r="R29" i="57"/>
  <c r="P29" i="57"/>
  <c r="J29" i="57"/>
  <c r="H29" i="57"/>
  <c r="F29" i="57"/>
  <c r="D29" i="57"/>
  <c r="L29" i="57" s="1"/>
  <c r="N29" i="57" s="1"/>
  <c r="B29" i="57"/>
  <c r="Z28" i="57"/>
  <c r="X28" i="57"/>
  <c r="R28" i="57"/>
  <c r="L28" i="57"/>
  <c r="N28" i="57" s="1"/>
  <c r="F28" i="57"/>
  <c r="B28" i="57"/>
  <c r="Z27" i="57"/>
  <c r="X27" i="57"/>
  <c r="R27" i="57"/>
  <c r="L27" i="57"/>
  <c r="N27" i="57" s="1"/>
  <c r="J27" i="57"/>
  <c r="B27" i="57"/>
  <c r="X26" i="57"/>
  <c r="Z26" i="57" s="1"/>
  <c r="R26" i="57"/>
  <c r="N26" i="57"/>
  <c r="L26" i="57"/>
  <c r="B26" i="57"/>
  <c r="Z25" i="57"/>
  <c r="X25" i="57"/>
  <c r="V25" i="57"/>
  <c r="N25" i="57"/>
  <c r="L25" i="57"/>
  <c r="J25" i="57"/>
  <c r="B25" i="57"/>
  <c r="Z24" i="57"/>
  <c r="X24" i="57"/>
  <c r="R24" i="57"/>
  <c r="L24" i="57"/>
  <c r="N24" i="57" s="1"/>
  <c r="F24" i="57"/>
  <c r="B24" i="57"/>
  <c r="Z23" i="57"/>
  <c r="X23" i="57"/>
  <c r="R23" i="57"/>
  <c r="L23" i="57"/>
  <c r="N23" i="57" s="1"/>
  <c r="J23" i="57"/>
  <c r="B23" i="57"/>
  <c r="X22" i="57"/>
  <c r="Z22" i="57" s="1"/>
  <c r="R22" i="57"/>
  <c r="N22" i="57"/>
  <c r="L22" i="57"/>
  <c r="J22" i="57"/>
  <c r="B22" i="57"/>
  <c r="Z21" i="57"/>
  <c r="X21" i="57"/>
  <c r="V21" i="57"/>
  <c r="N21" i="57"/>
  <c r="L21" i="57"/>
  <c r="J21" i="57"/>
  <c r="B21" i="57"/>
  <c r="Z20" i="57"/>
  <c r="X20" i="57"/>
  <c r="R20" i="57"/>
  <c r="L20" i="57"/>
  <c r="N20" i="57" s="1"/>
  <c r="F20" i="57"/>
  <c r="B20" i="57"/>
  <c r="Z19" i="57"/>
  <c r="T19" i="57"/>
  <c r="P19" i="57"/>
  <c r="X19" i="57" s="1"/>
  <c r="N19" i="57"/>
  <c r="L19" i="57"/>
  <c r="J19" i="57"/>
  <c r="H19" i="57"/>
  <c r="F19" i="57"/>
  <c r="D19" i="57"/>
  <c r="B19" i="57"/>
  <c r="T18" i="57"/>
  <c r="R18" i="57"/>
  <c r="P18" i="57"/>
  <c r="X18" i="57" s="1"/>
  <c r="Z18" i="57" s="1"/>
  <c r="H18" i="57"/>
  <c r="D18" i="57"/>
  <c r="R16" i="57"/>
  <c r="H16" i="57"/>
  <c r="Z14" i="57"/>
  <c r="T14" i="57"/>
  <c r="R14" i="57"/>
  <c r="P14" i="57"/>
  <c r="X14" i="57" s="1"/>
  <c r="H14" i="57"/>
  <c r="N14" i="57" s="1"/>
  <c r="D14" i="57"/>
  <c r="L14" i="57" s="1"/>
  <c r="T12" i="57"/>
  <c r="V78" i="57" s="1"/>
  <c r="P12" i="57"/>
  <c r="R78" i="57" s="1"/>
  <c r="N12" i="57"/>
  <c r="L12" i="57"/>
  <c r="H12" i="57"/>
  <c r="J78" i="57" s="1"/>
  <c r="D12" i="57"/>
  <c r="F78" i="57" s="1"/>
  <c r="D6" i="57"/>
  <c r="D4" i="57"/>
  <c r="Z84" i="56"/>
  <c r="X84" i="56"/>
  <c r="N84" i="56"/>
  <c r="L84" i="56"/>
  <c r="F84" i="56"/>
  <c r="T80" i="56"/>
  <c r="Z80" i="56" s="1"/>
  <c r="P80" i="56"/>
  <c r="X80" i="56" s="1"/>
  <c r="N80" i="56"/>
  <c r="H80" i="56"/>
  <c r="D80" i="56"/>
  <c r="L80" i="56" s="1"/>
  <c r="X78" i="56"/>
  <c r="Z78" i="56" s="1"/>
  <c r="R78" i="56"/>
  <c r="N78" i="56"/>
  <c r="L78" i="56"/>
  <c r="B78" i="56"/>
  <c r="X77" i="56"/>
  <c r="Z77" i="56" s="1"/>
  <c r="V77" i="56"/>
  <c r="N77" i="56"/>
  <c r="L77" i="56"/>
  <c r="J77" i="56"/>
  <c r="B77" i="56"/>
  <c r="T76" i="56"/>
  <c r="P76" i="56"/>
  <c r="X76" i="56" s="1"/>
  <c r="Z76" i="56" s="1"/>
  <c r="H76" i="56"/>
  <c r="D76" i="56"/>
  <c r="B76" i="56"/>
  <c r="X75" i="56"/>
  <c r="Z75" i="56" s="1"/>
  <c r="N75" i="56"/>
  <c r="L75" i="56"/>
  <c r="B75" i="56"/>
  <c r="X74" i="56"/>
  <c r="T74" i="56"/>
  <c r="Z74" i="56" s="1"/>
  <c r="P74" i="56"/>
  <c r="H74" i="56"/>
  <c r="N74" i="56" s="1"/>
  <c r="D74" i="56"/>
  <c r="L74" i="56" s="1"/>
  <c r="B74" i="56"/>
  <c r="Z73" i="56"/>
  <c r="X73" i="56"/>
  <c r="L73" i="56"/>
  <c r="N73" i="56" s="1"/>
  <c r="J73" i="56"/>
  <c r="B73" i="56"/>
  <c r="T72" i="56"/>
  <c r="P72" i="56"/>
  <c r="H72" i="56"/>
  <c r="D72" i="56"/>
  <c r="B72" i="56"/>
  <c r="Z71" i="56"/>
  <c r="X71" i="56"/>
  <c r="V71" i="56"/>
  <c r="N71" i="56"/>
  <c r="L71" i="56"/>
  <c r="B71" i="56"/>
  <c r="Z70" i="56"/>
  <c r="X70" i="56"/>
  <c r="N70" i="56"/>
  <c r="L70" i="56"/>
  <c r="B70" i="56"/>
  <c r="Z69" i="56"/>
  <c r="X69" i="56"/>
  <c r="V69" i="56"/>
  <c r="N69" i="56"/>
  <c r="L69" i="56"/>
  <c r="J69" i="56"/>
  <c r="B69" i="56"/>
  <c r="Z68" i="56"/>
  <c r="X68" i="56"/>
  <c r="L68" i="56"/>
  <c r="N68" i="56" s="1"/>
  <c r="B68" i="56"/>
  <c r="Z67" i="56"/>
  <c r="V67" i="56"/>
  <c r="T67" i="56"/>
  <c r="P67" i="56"/>
  <c r="X67" i="56" s="1"/>
  <c r="L67" i="56"/>
  <c r="J67" i="56"/>
  <c r="H67" i="56"/>
  <c r="N67" i="56" s="1"/>
  <c r="D67" i="56"/>
  <c r="B67" i="56"/>
  <c r="X66" i="56"/>
  <c r="Z66" i="56" s="1"/>
  <c r="N66" i="56"/>
  <c r="L66" i="56"/>
  <c r="F66" i="56"/>
  <c r="B66" i="56"/>
  <c r="V65" i="56"/>
  <c r="T65" i="56"/>
  <c r="P65" i="56"/>
  <c r="X65" i="56" s="1"/>
  <c r="Z65" i="56" s="1"/>
  <c r="L65" i="56"/>
  <c r="H65" i="56"/>
  <c r="N65" i="56" s="1"/>
  <c r="F65" i="56"/>
  <c r="D65" i="56"/>
  <c r="B65" i="56"/>
  <c r="Z64" i="56"/>
  <c r="X64" i="56"/>
  <c r="N64" i="56"/>
  <c r="L64" i="56"/>
  <c r="B64" i="56"/>
  <c r="Z63" i="56"/>
  <c r="X63" i="56"/>
  <c r="N63" i="56"/>
  <c r="L63" i="56"/>
  <c r="J63" i="56"/>
  <c r="B63" i="56"/>
  <c r="Z62" i="56"/>
  <c r="X62" i="56"/>
  <c r="N62" i="56"/>
  <c r="L62" i="56"/>
  <c r="B62" i="56"/>
  <c r="T61" i="56"/>
  <c r="P61" i="56"/>
  <c r="X61" i="56" s="1"/>
  <c r="Z61" i="56" s="1"/>
  <c r="N61" i="56"/>
  <c r="L61" i="56"/>
  <c r="J61" i="56"/>
  <c r="H61" i="56"/>
  <c r="D61" i="56"/>
  <c r="B61" i="56"/>
  <c r="Z60" i="56"/>
  <c r="X60" i="56"/>
  <c r="N60" i="56"/>
  <c r="L60" i="56"/>
  <c r="B60" i="56"/>
  <c r="Z59" i="56"/>
  <c r="X59" i="56"/>
  <c r="V59" i="56"/>
  <c r="N59" i="56"/>
  <c r="L59" i="56"/>
  <c r="B59" i="56"/>
  <c r="X58" i="56"/>
  <c r="Z58" i="56" s="1"/>
  <c r="N58" i="56"/>
  <c r="L58" i="56"/>
  <c r="B58" i="56"/>
  <c r="X57" i="56"/>
  <c r="V57" i="56"/>
  <c r="T57" i="56"/>
  <c r="Z57" i="56" s="1"/>
  <c r="P57" i="56"/>
  <c r="N57" i="56"/>
  <c r="J57" i="56"/>
  <c r="H57" i="56"/>
  <c r="D57" i="56"/>
  <c r="L57" i="56" s="1"/>
  <c r="B57" i="56"/>
  <c r="X56" i="56"/>
  <c r="Z56" i="56" s="1"/>
  <c r="L56" i="56"/>
  <c r="N56" i="56" s="1"/>
  <c r="F56" i="56"/>
  <c r="B56" i="56"/>
  <c r="X55" i="56"/>
  <c r="T55" i="56"/>
  <c r="Z55" i="56" s="1"/>
  <c r="P55" i="56"/>
  <c r="J55" i="56"/>
  <c r="H55" i="56"/>
  <c r="F55" i="56"/>
  <c r="D55" i="56"/>
  <c r="L55" i="56" s="1"/>
  <c r="N55" i="56" s="1"/>
  <c r="B55" i="56"/>
  <c r="Z54" i="56"/>
  <c r="X54" i="56"/>
  <c r="N54" i="56"/>
  <c r="L54" i="56"/>
  <c r="B54" i="56"/>
  <c r="T53" i="56"/>
  <c r="P53" i="56"/>
  <c r="X53" i="56" s="1"/>
  <c r="Z53" i="56" s="1"/>
  <c r="N53" i="56"/>
  <c r="L53" i="56"/>
  <c r="J53" i="56"/>
  <c r="H53" i="56"/>
  <c r="F53" i="56"/>
  <c r="D53" i="56"/>
  <c r="B53" i="56"/>
  <c r="Z52" i="56"/>
  <c r="X52" i="56"/>
  <c r="N52" i="56"/>
  <c r="L52" i="56"/>
  <c r="B52" i="56"/>
  <c r="Z51" i="56"/>
  <c r="V51" i="56"/>
  <c r="T51" i="56"/>
  <c r="P51" i="56"/>
  <c r="X51" i="56" s="1"/>
  <c r="L51" i="56"/>
  <c r="J51" i="56"/>
  <c r="H51" i="56"/>
  <c r="N51" i="56" s="1"/>
  <c r="D51" i="56"/>
  <c r="B51" i="56"/>
  <c r="X50" i="56"/>
  <c r="Z50" i="56" s="1"/>
  <c r="N50" i="56"/>
  <c r="L50" i="56"/>
  <c r="J50" i="56"/>
  <c r="F50" i="56"/>
  <c r="B50" i="56"/>
  <c r="V49" i="56"/>
  <c r="T49" i="56"/>
  <c r="P49" i="56"/>
  <c r="X49" i="56" s="1"/>
  <c r="Z49" i="56" s="1"/>
  <c r="L49" i="56"/>
  <c r="H49" i="56"/>
  <c r="N49" i="56" s="1"/>
  <c r="D49" i="56"/>
  <c r="B49" i="56"/>
  <c r="X48" i="56"/>
  <c r="Z48" i="56" s="1"/>
  <c r="N48" i="56"/>
  <c r="L48" i="56"/>
  <c r="J48" i="56"/>
  <c r="B48" i="56"/>
  <c r="Z47" i="56"/>
  <c r="X47" i="56"/>
  <c r="T47" i="56"/>
  <c r="P47" i="56"/>
  <c r="N47" i="56"/>
  <c r="H47" i="56"/>
  <c r="D47" i="56"/>
  <c r="L47" i="56" s="1"/>
  <c r="B47" i="56"/>
  <c r="X46" i="56"/>
  <c r="Z46" i="56" s="1"/>
  <c r="L46" i="56"/>
  <c r="N46" i="56" s="1"/>
  <c r="B46" i="56"/>
  <c r="X45" i="56"/>
  <c r="Z45" i="56" s="1"/>
  <c r="V45" i="56"/>
  <c r="N45" i="56"/>
  <c r="L45" i="56"/>
  <c r="J45" i="56"/>
  <c r="B45" i="56"/>
  <c r="T44" i="56"/>
  <c r="P44" i="56"/>
  <c r="X44" i="56" s="1"/>
  <c r="Z44" i="56" s="1"/>
  <c r="H44" i="56"/>
  <c r="D44" i="56"/>
  <c r="L44" i="56" s="1"/>
  <c r="B44" i="56"/>
  <c r="X43" i="56"/>
  <c r="Z43" i="56" s="1"/>
  <c r="N43" i="56"/>
  <c r="L43" i="56"/>
  <c r="J43" i="56"/>
  <c r="B43" i="56"/>
  <c r="X42" i="56"/>
  <c r="T42" i="56"/>
  <c r="P42" i="56"/>
  <c r="J42" i="56"/>
  <c r="H42" i="56"/>
  <c r="D42" i="56"/>
  <c r="L42" i="56" s="1"/>
  <c r="B42" i="56"/>
  <c r="Z41" i="56"/>
  <c r="X41" i="56"/>
  <c r="L41" i="56"/>
  <c r="N41" i="56" s="1"/>
  <c r="J41" i="56"/>
  <c r="B41" i="56"/>
  <c r="T40" i="56"/>
  <c r="P40" i="56"/>
  <c r="J40" i="56"/>
  <c r="H40" i="56"/>
  <c r="D40" i="56"/>
  <c r="B40" i="56"/>
  <c r="Z39" i="56"/>
  <c r="X39" i="56"/>
  <c r="V39" i="56"/>
  <c r="N39" i="56"/>
  <c r="L39" i="56"/>
  <c r="B39" i="56"/>
  <c r="Z38" i="56"/>
  <c r="X38" i="56"/>
  <c r="N38" i="56"/>
  <c r="L38" i="56"/>
  <c r="B38" i="56"/>
  <c r="Z37" i="56"/>
  <c r="X37" i="56"/>
  <c r="V37" i="56"/>
  <c r="N37" i="56"/>
  <c r="L37" i="56"/>
  <c r="J37" i="56"/>
  <c r="B37" i="56"/>
  <c r="Z36" i="56"/>
  <c r="X36" i="56"/>
  <c r="N36" i="56"/>
  <c r="L36" i="56"/>
  <c r="J36" i="56"/>
  <c r="B36" i="56"/>
  <c r="Z35" i="56"/>
  <c r="X35" i="56"/>
  <c r="V35" i="56"/>
  <c r="N35" i="56"/>
  <c r="L35" i="56"/>
  <c r="B35" i="56"/>
  <c r="Z34" i="56"/>
  <c r="X34" i="56"/>
  <c r="N34" i="56"/>
  <c r="L34" i="56"/>
  <c r="B34" i="56"/>
  <c r="Z33" i="56"/>
  <c r="X33" i="56"/>
  <c r="V33" i="56"/>
  <c r="N33" i="56"/>
  <c r="L33" i="56"/>
  <c r="J33" i="56"/>
  <c r="B33" i="56"/>
  <c r="Z32" i="56"/>
  <c r="X32" i="56"/>
  <c r="N32" i="56"/>
  <c r="L32" i="56"/>
  <c r="J32" i="56"/>
  <c r="B32" i="56"/>
  <c r="Z31" i="56"/>
  <c r="X31" i="56"/>
  <c r="V31" i="56"/>
  <c r="L31" i="56"/>
  <c r="N31" i="56" s="1"/>
  <c r="B31" i="56"/>
  <c r="X30" i="56"/>
  <c r="Z30" i="56" s="1"/>
  <c r="L30" i="56"/>
  <c r="N30" i="56" s="1"/>
  <c r="J30" i="56"/>
  <c r="B30" i="56"/>
  <c r="X29" i="56"/>
  <c r="V29" i="56"/>
  <c r="T29" i="56"/>
  <c r="Z29" i="56" s="1"/>
  <c r="P29" i="56"/>
  <c r="N29" i="56"/>
  <c r="J29" i="56"/>
  <c r="H29" i="56"/>
  <c r="D29" i="56"/>
  <c r="L29" i="56" s="1"/>
  <c r="B29" i="56"/>
  <c r="Z28" i="56"/>
  <c r="X28" i="56"/>
  <c r="N28" i="56"/>
  <c r="L28" i="56"/>
  <c r="F28" i="56"/>
  <c r="B28" i="56"/>
  <c r="X27" i="56"/>
  <c r="Z27" i="56" s="1"/>
  <c r="N27" i="56"/>
  <c r="L27" i="56"/>
  <c r="J27" i="56"/>
  <c r="B27" i="56"/>
  <c r="X26" i="56"/>
  <c r="Z26" i="56" s="1"/>
  <c r="N26" i="56"/>
  <c r="L26" i="56"/>
  <c r="J26" i="56"/>
  <c r="B26" i="56"/>
  <c r="Z25" i="56"/>
  <c r="X25" i="56"/>
  <c r="V25" i="56"/>
  <c r="N25" i="56"/>
  <c r="L25" i="56"/>
  <c r="B25" i="56"/>
  <c r="X24" i="56"/>
  <c r="Z24" i="56" s="1"/>
  <c r="L24" i="56"/>
  <c r="N24" i="56" s="1"/>
  <c r="F24" i="56"/>
  <c r="B24" i="56"/>
  <c r="X23" i="56"/>
  <c r="Z23" i="56" s="1"/>
  <c r="N23" i="56"/>
  <c r="L23" i="56"/>
  <c r="J23" i="56"/>
  <c r="B23" i="56"/>
  <c r="X22" i="56"/>
  <c r="Z22" i="56" s="1"/>
  <c r="N22" i="56"/>
  <c r="L22" i="56"/>
  <c r="J22" i="56"/>
  <c r="F22" i="56"/>
  <c r="B22" i="56"/>
  <c r="Z21" i="56"/>
  <c r="X21" i="56"/>
  <c r="V21" i="56"/>
  <c r="N21" i="56"/>
  <c r="L21" i="56"/>
  <c r="B21" i="56"/>
  <c r="X20" i="56"/>
  <c r="Z20" i="56" s="1"/>
  <c r="L20" i="56"/>
  <c r="N20" i="56" s="1"/>
  <c r="F20" i="56"/>
  <c r="B20" i="56"/>
  <c r="X19" i="56"/>
  <c r="T19" i="56"/>
  <c r="Z19" i="56" s="1"/>
  <c r="P19" i="56"/>
  <c r="J19" i="56"/>
  <c r="H19" i="56"/>
  <c r="F19" i="56"/>
  <c r="D19" i="56"/>
  <c r="L19" i="56" s="1"/>
  <c r="N19" i="56" s="1"/>
  <c r="B19" i="56"/>
  <c r="T18" i="56"/>
  <c r="P18" i="56"/>
  <c r="H18" i="56"/>
  <c r="D18" i="56"/>
  <c r="T16" i="56"/>
  <c r="Z16" i="56" s="1"/>
  <c r="H16" i="56"/>
  <c r="T14" i="56"/>
  <c r="Z14" i="56" s="1"/>
  <c r="P14" i="56"/>
  <c r="X14" i="56" s="1"/>
  <c r="L14" i="56"/>
  <c r="H14" i="56"/>
  <c r="N14" i="56" s="1"/>
  <c r="D14" i="56"/>
  <c r="Z12" i="56"/>
  <c r="T12" i="56"/>
  <c r="V89" i="56" s="1"/>
  <c r="P12" i="56"/>
  <c r="R70" i="56" s="1"/>
  <c r="N12" i="56"/>
  <c r="H12" i="56"/>
  <c r="J78" i="56" s="1"/>
  <c r="D12" i="56"/>
  <c r="F61" i="56" s="1"/>
  <c r="D6" i="56"/>
  <c r="D4" i="56"/>
  <c r="R40" i="55"/>
  <c r="R37" i="55"/>
  <c r="Z35" i="55"/>
  <c r="X35" i="55"/>
  <c r="N35" i="55"/>
  <c r="L35" i="55"/>
  <c r="F35" i="55"/>
  <c r="R33" i="55"/>
  <c r="J33" i="55"/>
  <c r="X31" i="55"/>
  <c r="T31" i="55"/>
  <c r="Z31" i="55" s="1"/>
  <c r="R31" i="55"/>
  <c r="P31" i="55"/>
  <c r="J31" i="55"/>
  <c r="H31" i="55"/>
  <c r="N31" i="55" s="1"/>
  <c r="D31" i="55"/>
  <c r="L31" i="55" s="1"/>
  <c r="X29" i="55"/>
  <c r="Z29" i="55" s="1"/>
  <c r="R29" i="55"/>
  <c r="N29" i="55"/>
  <c r="L29" i="55"/>
  <c r="J29" i="55"/>
  <c r="B29" i="55"/>
  <c r="Z28" i="55"/>
  <c r="X28" i="55"/>
  <c r="N28" i="55"/>
  <c r="L28" i="55"/>
  <c r="J28" i="55"/>
  <c r="B28" i="55"/>
  <c r="T27" i="55"/>
  <c r="R27" i="55"/>
  <c r="P27" i="55"/>
  <c r="X27" i="55" s="1"/>
  <c r="H27" i="55"/>
  <c r="N27" i="55" s="1"/>
  <c r="D27" i="55"/>
  <c r="B27" i="55"/>
  <c r="X26" i="55"/>
  <c r="Z26" i="55" s="1"/>
  <c r="R26" i="55"/>
  <c r="N26" i="55"/>
  <c r="L26" i="55"/>
  <c r="J26" i="55"/>
  <c r="B26" i="55"/>
  <c r="T25" i="55"/>
  <c r="R25" i="55"/>
  <c r="P25" i="55"/>
  <c r="X25" i="55" s="1"/>
  <c r="Z25" i="55" s="1"/>
  <c r="H25" i="55"/>
  <c r="N25" i="55" s="1"/>
  <c r="D25" i="55"/>
  <c r="B25" i="55"/>
  <c r="X24" i="55"/>
  <c r="Z24" i="55" s="1"/>
  <c r="R24" i="55"/>
  <c r="N24" i="55"/>
  <c r="L24" i="55"/>
  <c r="J24" i="55"/>
  <c r="B24" i="55"/>
  <c r="X23" i="55"/>
  <c r="T23" i="55"/>
  <c r="R23" i="55"/>
  <c r="P23" i="55"/>
  <c r="L23" i="55"/>
  <c r="H23" i="55"/>
  <c r="N23" i="55" s="1"/>
  <c r="D23" i="55"/>
  <c r="B23" i="55"/>
  <c r="Z22" i="55"/>
  <c r="X22" i="55"/>
  <c r="R22" i="55"/>
  <c r="L22" i="55"/>
  <c r="N22" i="55" s="1"/>
  <c r="J22" i="55"/>
  <c r="B22" i="55"/>
  <c r="T21" i="55"/>
  <c r="R21" i="55"/>
  <c r="P21" i="55"/>
  <c r="J21" i="55"/>
  <c r="H21" i="55"/>
  <c r="D21" i="55"/>
  <c r="B21" i="55"/>
  <c r="Z20" i="55"/>
  <c r="X20" i="55"/>
  <c r="V20" i="55"/>
  <c r="R20" i="55"/>
  <c r="L20" i="55"/>
  <c r="N20" i="55" s="1"/>
  <c r="B20" i="55"/>
  <c r="T19" i="55"/>
  <c r="P19" i="55"/>
  <c r="X19" i="55" s="1"/>
  <c r="J19" i="55"/>
  <c r="H19" i="55"/>
  <c r="D19" i="55"/>
  <c r="L19" i="55" s="1"/>
  <c r="N19" i="55" s="1"/>
  <c r="B19" i="55"/>
  <c r="V18" i="55"/>
  <c r="T18" i="55"/>
  <c r="R18" i="55"/>
  <c r="P18" i="55"/>
  <c r="X18" i="55" s="1"/>
  <c r="Z18" i="55" s="1"/>
  <c r="H18" i="55"/>
  <c r="N18" i="55" s="1"/>
  <c r="F18" i="55"/>
  <c r="D18" i="55"/>
  <c r="L18" i="55" s="1"/>
  <c r="V16" i="55"/>
  <c r="R16" i="55"/>
  <c r="F16" i="55"/>
  <c r="Z14" i="55"/>
  <c r="V14" i="55"/>
  <c r="T14" i="55"/>
  <c r="R14" i="55"/>
  <c r="P14" i="55"/>
  <c r="P16" i="55" s="1"/>
  <c r="H14" i="55"/>
  <c r="N14" i="55" s="1"/>
  <c r="F14" i="55"/>
  <c r="D14" i="55"/>
  <c r="L14" i="55" s="1"/>
  <c r="T12" i="55"/>
  <c r="V26" i="55" s="1"/>
  <c r="P12" i="55"/>
  <c r="R35" i="55" s="1"/>
  <c r="N12" i="55"/>
  <c r="H12" i="55"/>
  <c r="J20" i="55" s="1"/>
  <c r="D12" i="55"/>
  <c r="F28" i="55" s="1"/>
  <c r="D6" i="55"/>
  <c r="D4" i="55"/>
  <c r="V31" i="54"/>
  <c r="R31" i="54"/>
  <c r="F31" i="54"/>
  <c r="Z29" i="54"/>
  <c r="X29" i="54"/>
  <c r="V29" i="54"/>
  <c r="T29" i="54"/>
  <c r="R29" i="54"/>
  <c r="P29" i="54"/>
  <c r="N29" i="54"/>
  <c r="H29" i="54"/>
  <c r="F29" i="54"/>
  <c r="D29" i="54"/>
  <c r="L29" i="54" s="1"/>
  <c r="Z28" i="54"/>
  <c r="X28" i="54"/>
  <c r="V28" i="54"/>
  <c r="T28" i="54"/>
  <c r="R28" i="54"/>
  <c r="P28" i="54"/>
  <c r="N28" i="54"/>
  <c r="H28" i="54"/>
  <c r="F28" i="54"/>
  <c r="D28" i="54"/>
  <c r="L28" i="54" s="1"/>
  <c r="V26" i="54"/>
  <c r="R26" i="54"/>
  <c r="F26" i="54"/>
  <c r="Z24" i="54"/>
  <c r="X24" i="54"/>
  <c r="V24" i="54"/>
  <c r="N24" i="54"/>
  <c r="L24" i="54"/>
  <c r="J24" i="54"/>
  <c r="F24" i="54"/>
  <c r="R22" i="54"/>
  <c r="J22" i="54"/>
  <c r="F22" i="54"/>
  <c r="T20" i="54"/>
  <c r="Z20" i="54" s="1"/>
  <c r="R20" i="54"/>
  <c r="P20" i="54"/>
  <c r="X20" i="54" s="1"/>
  <c r="N20" i="54"/>
  <c r="J20" i="54"/>
  <c r="H20" i="54"/>
  <c r="F20" i="54"/>
  <c r="D20" i="54"/>
  <c r="L20" i="54" s="1"/>
  <c r="T18" i="54"/>
  <c r="Z18" i="54" s="1"/>
  <c r="R18" i="54"/>
  <c r="P18" i="54"/>
  <c r="X18" i="54" s="1"/>
  <c r="N18" i="54"/>
  <c r="J18" i="54"/>
  <c r="H18" i="54"/>
  <c r="F18" i="54"/>
  <c r="D18" i="54"/>
  <c r="L18" i="54" s="1"/>
  <c r="R16" i="54"/>
  <c r="J16" i="54"/>
  <c r="F16" i="54"/>
  <c r="T14" i="54"/>
  <c r="Z14" i="54" s="1"/>
  <c r="R14" i="54"/>
  <c r="P14" i="54"/>
  <c r="X14" i="54" s="1"/>
  <c r="N14" i="54"/>
  <c r="J14" i="54"/>
  <c r="H14" i="54"/>
  <c r="F14" i="54"/>
  <c r="D14" i="54"/>
  <c r="D16" i="54" s="1"/>
  <c r="Z12" i="54"/>
  <c r="T12" i="54"/>
  <c r="V22" i="54" s="1"/>
  <c r="P12" i="54"/>
  <c r="X12" i="54" s="1"/>
  <c r="N12" i="54"/>
  <c r="H12" i="54"/>
  <c r="J31" i="54" s="1"/>
  <c r="D12" i="54"/>
  <c r="D6" i="54"/>
  <c r="D4" i="54"/>
  <c r="X117" i="51"/>
  <c r="Z117" i="51" s="1"/>
  <c r="N117" i="51"/>
  <c r="L117" i="51"/>
  <c r="J115" i="51"/>
  <c r="Z113" i="51"/>
  <c r="P113" i="51"/>
  <c r="X113" i="51" s="1"/>
  <c r="D113" i="51"/>
  <c r="L113" i="51" s="1"/>
  <c r="N113" i="51" s="1"/>
  <c r="B113" i="51"/>
  <c r="Z112" i="51"/>
  <c r="X112" i="51"/>
  <c r="P112" i="51"/>
  <c r="N112" i="51"/>
  <c r="D112" i="51"/>
  <c r="B112" i="51"/>
  <c r="Z111" i="51"/>
  <c r="P111" i="51"/>
  <c r="N111" i="51"/>
  <c r="D111" i="51"/>
  <c r="L111" i="51" s="1"/>
  <c r="B111" i="51"/>
  <c r="Z110" i="51"/>
  <c r="X110" i="51"/>
  <c r="P110" i="51"/>
  <c r="N110" i="51"/>
  <c r="L110" i="51"/>
  <c r="D110" i="51"/>
  <c r="B110" i="51"/>
  <c r="T109" i="51"/>
  <c r="H109" i="51"/>
  <c r="Z107" i="51"/>
  <c r="X107" i="51"/>
  <c r="N107" i="51"/>
  <c r="L107" i="51"/>
  <c r="B107" i="51"/>
  <c r="T106" i="51"/>
  <c r="Z106" i="51" s="1"/>
  <c r="P106" i="51"/>
  <c r="X106" i="51" s="1"/>
  <c r="H106" i="51"/>
  <c r="N106" i="51" s="1"/>
  <c r="D106" i="51"/>
  <c r="B106" i="51"/>
  <c r="X105" i="51"/>
  <c r="Z105" i="51" s="1"/>
  <c r="V105" i="51"/>
  <c r="N105" i="51"/>
  <c r="L105" i="51"/>
  <c r="B105" i="51"/>
  <c r="V104" i="51"/>
  <c r="T104" i="51"/>
  <c r="P104" i="51"/>
  <c r="X104" i="51" s="1"/>
  <c r="Z104" i="51" s="1"/>
  <c r="L104" i="51"/>
  <c r="H104" i="51"/>
  <c r="D104" i="51"/>
  <c r="B104" i="51"/>
  <c r="Z103" i="51"/>
  <c r="X103" i="51"/>
  <c r="N103" i="51"/>
  <c r="L103" i="51"/>
  <c r="J103" i="51"/>
  <c r="B103" i="51"/>
  <c r="X102" i="51"/>
  <c r="Z102" i="51" s="1"/>
  <c r="N102" i="51"/>
  <c r="L102" i="51"/>
  <c r="B102" i="51"/>
  <c r="T101" i="51"/>
  <c r="P101" i="51"/>
  <c r="X101" i="51" s="1"/>
  <c r="Z101" i="51" s="1"/>
  <c r="L101" i="51"/>
  <c r="H101" i="51"/>
  <c r="D101" i="51"/>
  <c r="B101" i="51"/>
  <c r="Z100" i="51"/>
  <c r="X100" i="51"/>
  <c r="N100" i="51"/>
  <c r="L100" i="51"/>
  <c r="B100" i="51"/>
  <c r="Z99" i="51"/>
  <c r="X99" i="51"/>
  <c r="N99" i="51"/>
  <c r="L99" i="51"/>
  <c r="B99" i="51"/>
  <c r="T98" i="51"/>
  <c r="P98" i="51"/>
  <c r="L98" i="51"/>
  <c r="H98" i="51"/>
  <c r="D98" i="51"/>
  <c r="B98" i="51"/>
  <c r="Z97" i="51"/>
  <c r="X97" i="51"/>
  <c r="V97" i="51"/>
  <c r="N97" i="51"/>
  <c r="L97" i="51"/>
  <c r="B97" i="51"/>
  <c r="Z96" i="51"/>
  <c r="T96" i="51"/>
  <c r="P96" i="51"/>
  <c r="X96" i="51" s="1"/>
  <c r="L96" i="51"/>
  <c r="H96" i="51"/>
  <c r="N96" i="51" s="1"/>
  <c r="D96" i="51"/>
  <c r="B96" i="51"/>
  <c r="Z95" i="51"/>
  <c r="X95" i="51"/>
  <c r="N95" i="51"/>
  <c r="L95" i="51"/>
  <c r="B95" i="51"/>
  <c r="X94" i="51"/>
  <c r="T94" i="51"/>
  <c r="Z94" i="51" s="1"/>
  <c r="P94" i="51"/>
  <c r="H94" i="51"/>
  <c r="N94" i="51" s="1"/>
  <c r="D94" i="51"/>
  <c r="L94" i="51" s="1"/>
  <c r="B94" i="51"/>
  <c r="Z93" i="51"/>
  <c r="X93" i="51"/>
  <c r="N93" i="51"/>
  <c r="L93" i="51"/>
  <c r="B93" i="51"/>
  <c r="T92" i="51"/>
  <c r="Z92" i="51" s="1"/>
  <c r="P92" i="51"/>
  <c r="N92" i="51"/>
  <c r="J92" i="51"/>
  <c r="H92" i="51"/>
  <c r="D92" i="51"/>
  <c r="L92" i="51" s="1"/>
  <c r="B92" i="51"/>
  <c r="Z91" i="51"/>
  <c r="X91" i="51"/>
  <c r="L91" i="51"/>
  <c r="N91" i="51" s="1"/>
  <c r="B91" i="51"/>
  <c r="Z90" i="51"/>
  <c r="T90" i="51"/>
  <c r="P90" i="51"/>
  <c r="X90" i="51" s="1"/>
  <c r="L90" i="51"/>
  <c r="N90" i="51" s="1"/>
  <c r="H90" i="51"/>
  <c r="D90" i="51"/>
  <c r="B90" i="51"/>
  <c r="Z89" i="51"/>
  <c r="X89" i="51"/>
  <c r="N89" i="51"/>
  <c r="L89" i="51"/>
  <c r="B89" i="51"/>
  <c r="X88" i="51"/>
  <c r="Z88" i="51" s="1"/>
  <c r="T88" i="51"/>
  <c r="P88" i="51"/>
  <c r="L88" i="51"/>
  <c r="H88" i="51"/>
  <c r="D88" i="51"/>
  <c r="B88" i="51"/>
  <c r="X87" i="51"/>
  <c r="Z87" i="51" s="1"/>
  <c r="V87" i="51"/>
  <c r="N87" i="51"/>
  <c r="L87" i="51"/>
  <c r="B87" i="51"/>
  <c r="Z86" i="51"/>
  <c r="T86" i="51"/>
  <c r="P86" i="51"/>
  <c r="X86" i="51" s="1"/>
  <c r="L86" i="51"/>
  <c r="H86" i="51"/>
  <c r="D86" i="51"/>
  <c r="B86" i="51"/>
  <c r="Z85" i="51"/>
  <c r="X85" i="51"/>
  <c r="N85" i="51"/>
  <c r="L85" i="51"/>
  <c r="B85" i="51"/>
  <c r="T84" i="51"/>
  <c r="Z84" i="51" s="1"/>
  <c r="P84" i="51"/>
  <c r="X84" i="51" s="1"/>
  <c r="N84" i="51"/>
  <c r="H84" i="51"/>
  <c r="D84" i="51"/>
  <c r="L84" i="51" s="1"/>
  <c r="B84" i="51"/>
  <c r="Z83" i="51"/>
  <c r="X83" i="51"/>
  <c r="V83" i="51"/>
  <c r="N83" i="51"/>
  <c r="L83" i="51"/>
  <c r="B83" i="51"/>
  <c r="T82" i="51"/>
  <c r="P82" i="51"/>
  <c r="X82" i="51" s="1"/>
  <c r="Z82" i="51" s="1"/>
  <c r="L82" i="51"/>
  <c r="N82" i="51" s="1"/>
  <c r="H82" i="51"/>
  <c r="D82" i="51"/>
  <c r="B82" i="51"/>
  <c r="Z81" i="51"/>
  <c r="X81" i="51"/>
  <c r="N81" i="51"/>
  <c r="L81" i="51"/>
  <c r="J81" i="51"/>
  <c r="B81" i="51"/>
  <c r="Z80" i="51"/>
  <c r="X80" i="51"/>
  <c r="N80" i="51"/>
  <c r="L80" i="51"/>
  <c r="B80" i="51"/>
  <c r="Z79" i="51"/>
  <c r="X79" i="51"/>
  <c r="L79" i="51"/>
  <c r="N79" i="51" s="1"/>
  <c r="J79" i="51"/>
  <c r="B79" i="51"/>
  <c r="X78" i="51"/>
  <c r="Z78" i="51" s="1"/>
  <c r="N78" i="51"/>
  <c r="L78" i="51"/>
  <c r="B78" i="51"/>
  <c r="Z77" i="51"/>
  <c r="X77" i="51"/>
  <c r="N77" i="51"/>
  <c r="L77" i="51"/>
  <c r="J77" i="51"/>
  <c r="B77" i="51"/>
  <c r="Z76" i="51"/>
  <c r="X76" i="51"/>
  <c r="N76" i="51"/>
  <c r="L76" i="51"/>
  <c r="B76" i="51"/>
  <c r="Z75" i="51"/>
  <c r="X75" i="51"/>
  <c r="L75" i="51"/>
  <c r="N75" i="51" s="1"/>
  <c r="J75" i="51"/>
  <c r="B75" i="51"/>
  <c r="Z74" i="51"/>
  <c r="X74" i="51"/>
  <c r="N74" i="51"/>
  <c r="L74" i="51"/>
  <c r="B74" i="51"/>
  <c r="Z73" i="51"/>
  <c r="X73" i="51"/>
  <c r="N73" i="51"/>
  <c r="L73" i="51"/>
  <c r="J73" i="51"/>
  <c r="B73" i="51"/>
  <c r="Z72" i="51"/>
  <c r="X72" i="51"/>
  <c r="L72" i="51"/>
  <c r="N72" i="51" s="1"/>
  <c r="B72" i="51"/>
  <c r="T71" i="51"/>
  <c r="P71" i="51"/>
  <c r="X71" i="51" s="1"/>
  <c r="Z71" i="51" s="1"/>
  <c r="H71" i="51"/>
  <c r="L71" i="51" s="1"/>
  <c r="N71" i="51" s="1"/>
  <c r="D71" i="51"/>
  <c r="B71" i="51"/>
  <c r="Z70" i="51"/>
  <c r="X70" i="51"/>
  <c r="N70" i="51"/>
  <c r="L70" i="51"/>
  <c r="B70" i="51"/>
  <c r="Z69" i="51"/>
  <c r="X69" i="51"/>
  <c r="V69" i="51"/>
  <c r="L69" i="51"/>
  <c r="N69" i="51" s="1"/>
  <c r="B69" i="51"/>
  <c r="X68" i="51"/>
  <c r="Z68" i="51" s="1"/>
  <c r="L68" i="51"/>
  <c r="N68" i="51" s="1"/>
  <c r="B68" i="51"/>
  <c r="Z67" i="51"/>
  <c r="X67" i="51"/>
  <c r="V67" i="51"/>
  <c r="N67" i="51"/>
  <c r="L67" i="51"/>
  <c r="J67" i="51"/>
  <c r="B67" i="51"/>
  <c r="Z66" i="51"/>
  <c r="X66" i="51"/>
  <c r="N66" i="51"/>
  <c r="L66" i="51"/>
  <c r="B66" i="51"/>
  <c r="Z65" i="51"/>
  <c r="X65" i="51"/>
  <c r="V65" i="51"/>
  <c r="L65" i="51"/>
  <c r="N65" i="51" s="1"/>
  <c r="B65" i="51"/>
  <c r="X64" i="51"/>
  <c r="Z64" i="51" s="1"/>
  <c r="L64" i="51"/>
  <c r="N64" i="51" s="1"/>
  <c r="B64" i="51"/>
  <c r="X63" i="51"/>
  <c r="Z63" i="51" s="1"/>
  <c r="V63" i="51"/>
  <c r="N63" i="51"/>
  <c r="L63" i="51"/>
  <c r="J63" i="51"/>
  <c r="B63" i="51"/>
  <c r="Z62" i="51"/>
  <c r="X62" i="51"/>
  <c r="L62" i="51"/>
  <c r="N62" i="51" s="1"/>
  <c r="B62" i="51"/>
  <c r="Z61" i="51"/>
  <c r="X61" i="51"/>
  <c r="V61" i="51"/>
  <c r="L61" i="51"/>
  <c r="N61" i="51" s="1"/>
  <c r="B61" i="51"/>
  <c r="T60" i="51"/>
  <c r="P60" i="51"/>
  <c r="H60" i="51"/>
  <c r="D60" i="51"/>
  <c r="L60" i="51" s="1"/>
  <c r="N60" i="51" s="1"/>
  <c r="B60" i="51"/>
  <c r="Z59" i="51"/>
  <c r="X59" i="51"/>
  <c r="V59" i="51"/>
  <c r="T59" i="51"/>
  <c r="P59" i="51"/>
  <c r="H59" i="51"/>
  <c r="D59" i="51"/>
  <c r="H57" i="51"/>
  <c r="H115" i="51" s="1"/>
  <c r="Z55" i="51"/>
  <c r="X55" i="51"/>
  <c r="V55" i="51"/>
  <c r="N55" i="51"/>
  <c r="L55" i="51"/>
  <c r="B55" i="51"/>
  <c r="Z54" i="51"/>
  <c r="X54" i="51"/>
  <c r="N54" i="51"/>
  <c r="L54" i="51"/>
  <c r="B54" i="51"/>
  <c r="Z53" i="51"/>
  <c r="X53" i="51"/>
  <c r="N53" i="51"/>
  <c r="L53" i="51"/>
  <c r="B53" i="51"/>
  <c r="Z52" i="51"/>
  <c r="X52" i="51"/>
  <c r="N52" i="51"/>
  <c r="L52" i="51"/>
  <c r="J52" i="51"/>
  <c r="B52" i="51"/>
  <c r="Z51" i="51"/>
  <c r="X51" i="51"/>
  <c r="V51" i="51"/>
  <c r="N51" i="51"/>
  <c r="L51" i="51"/>
  <c r="B51" i="51"/>
  <c r="Z50" i="51"/>
  <c r="X50" i="51"/>
  <c r="N50" i="51"/>
  <c r="L50" i="51"/>
  <c r="B50" i="51"/>
  <c r="Z49" i="51"/>
  <c r="X49" i="51"/>
  <c r="N49" i="51"/>
  <c r="L49" i="51"/>
  <c r="B49" i="51"/>
  <c r="Z48" i="51"/>
  <c r="X48" i="51"/>
  <c r="N48" i="51"/>
  <c r="L48" i="51"/>
  <c r="J48" i="51"/>
  <c r="B48" i="51"/>
  <c r="Z47" i="51"/>
  <c r="X47" i="51"/>
  <c r="V47" i="51"/>
  <c r="N47" i="51"/>
  <c r="L47" i="51"/>
  <c r="B47" i="51"/>
  <c r="Z46" i="51"/>
  <c r="X46" i="51"/>
  <c r="N46" i="51"/>
  <c r="L46" i="51"/>
  <c r="B46" i="51"/>
  <c r="Z45" i="51"/>
  <c r="X45" i="51"/>
  <c r="N45" i="51"/>
  <c r="L45" i="51"/>
  <c r="B45" i="51"/>
  <c r="Z44" i="51"/>
  <c r="X44" i="51"/>
  <c r="N44" i="51"/>
  <c r="L44" i="51"/>
  <c r="J44" i="51"/>
  <c r="B44" i="51"/>
  <c r="Z43" i="51"/>
  <c r="X43" i="51"/>
  <c r="V43" i="51"/>
  <c r="N43" i="51"/>
  <c r="L43" i="51"/>
  <c r="B43" i="51"/>
  <c r="Z42" i="51"/>
  <c r="X42" i="51"/>
  <c r="N42" i="51"/>
  <c r="L42" i="51"/>
  <c r="B42" i="51"/>
  <c r="X41" i="51"/>
  <c r="Z41" i="51" s="1"/>
  <c r="N41" i="51"/>
  <c r="L41" i="51"/>
  <c r="B41" i="51"/>
  <c r="X40" i="51"/>
  <c r="Z40" i="51" s="1"/>
  <c r="T40" i="51"/>
  <c r="P40" i="51"/>
  <c r="H40" i="51"/>
  <c r="D40" i="51"/>
  <c r="L40" i="51" s="1"/>
  <c r="N40" i="51" s="1"/>
  <c r="Z38" i="51"/>
  <c r="X38" i="51"/>
  <c r="P38" i="51"/>
  <c r="N38" i="51"/>
  <c r="L38" i="51"/>
  <c r="D38" i="51"/>
  <c r="B38" i="51"/>
  <c r="Z37" i="51"/>
  <c r="X37" i="51"/>
  <c r="P37" i="51"/>
  <c r="N37" i="51"/>
  <c r="L37" i="51"/>
  <c r="D37" i="51"/>
  <c r="B37" i="51"/>
  <c r="Z36" i="51"/>
  <c r="P36" i="51"/>
  <c r="X36" i="51" s="1"/>
  <c r="N36" i="51"/>
  <c r="D36" i="51"/>
  <c r="L36" i="51" s="1"/>
  <c r="B36" i="51"/>
  <c r="Z35" i="51"/>
  <c r="P35" i="51"/>
  <c r="X35" i="51" s="1"/>
  <c r="N35" i="51"/>
  <c r="L35" i="51"/>
  <c r="D35" i="51"/>
  <c r="B35" i="51"/>
  <c r="Z34" i="51"/>
  <c r="P34" i="51"/>
  <c r="X34" i="51" s="1"/>
  <c r="N34" i="51"/>
  <c r="L34" i="51"/>
  <c r="D34" i="51"/>
  <c r="B34" i="51"/>
  <c r="Z33" i="51"/>
  <c r="P33" i="51"/>
  <c r="X33" i="51" s="1"/>
  <c r="N33" i="51"/>
  <c r="D33" i="51"/>
  <c r="L33" i="51" s="1"/>
  <c r="B33" i="51"/>
  <c r="Z32" i="51"/>
  <c r="X32" i="51"/>
  <c r="P32" i="51"/>
  <c r="N32" i="51"/>
  <c r="D32" i="51"/>
  <c r="L32" i="51" s="1"/>
  <c r="B32" i="51"/>
  <c r="Z31" i="51"/>
  <c r="X31" i="51"/>
  <c r="P31" i="51"/>
  <c r="N31" i="51"/>
  <c r="D31" i="51"/>
  <c r="L31" i="51" s="1"/>
  <c r="B31" i="51"/>
  <c r="Z30" i="51"/>
  <c r="X30" i="51"/>
  <c r="P30" i="51"/>
  <c r="N30" i="51"/>
  <c r="D30" i="51"/>
  <c r="L30" i="51" s="1"/>
  <c r="B30" i="51"/>
  <c r="Z29" i="51"/>
  <c r="X29" i="51"/>
  <c r="P29" i="51"/>
  <c r="N29" i="51"/>
  <c r="L29" i="51"/>
  <c r="D29" i="51"/>
  <c r="B29" i="51"/>
  <c r="Z28" i="51"/>
  <c r="X28" i="51"/>
  <c r="P28" i="51"/>
  <c r="N28" i="51"/>
  <c r="L28" i="51"/>
  <c r="D28" i="51"/>
  <c r="B28" i="51"/>
  <c r="Z27" i="51"/>
  <c r="P27" i="51"/>
  <c r="X27" i="51" s="1"/>
  <c r="N27" i="51"/>
  <c r="L27" i="51"/>
  <c r="D27" i="51"/>
  <c r="B27" i="51"/>
  <c r="Z26" i="51"/>
  <c r="X26" i="51"/>
  <c r="P26" i="51"/>
  <c r="N26" i="51"/>
  <c r="L26" i="51"/>
  <c r="D26" i="51"/>
  <c r="B26" i="51"/>
  <c r="Z25" i="51"/>
  <c r="P25" i="51"/>
  <c r="X25" i="51" s="1"/>
  <c r="N25" i="51"/>
  <c r="L25" i="51"/>
  <c r="D25" i="51"/>
  <c r="B25" i="51"/>
  <c r="Z24" i="51"/>
  <c r="P24" i="51"/>
  <c r="X24" i="51" s="1"/>
  <c r="N24" i="51"/>
  <c r="D24" i="51"/>
  <c r="L24" i="51" s="1"/>
  <c r="B24" i="51"/>
  <c r="Z23" i="51"/>
  <c r="P23" i="51"/>
  <c r="X23" i="51" s="1"/>
  <c r="N23" i="51"/>
  <c r="L23" i="51"/>
  <c r="D23" i="51"/>
  <c r="B23" i="51"/>
  <c r="Z22" i="51"/>
  <c r="P22" i="51"/>
  <c r="X22" i="51" s="1"/>
  <c r="N22" i="51"/>
  <c r="L22" i="51"/>
  <c r="D22" i="51"/>
  <c r="B22" i="51"/>
  <c r="Z21" i="51"/>
  <c r="P21" i="51"/>
  <c r="X21" i="51" s="1"/>
  <c r="D21" i="51"/>
  <c r="L21" i="51" s="1"/>
  <c r="N21" i="51" s="1"/>
  <c r="B21" i="51"/>
  <c r="Z20" i="51"/>
  <c r="X20" i="51"/>
  <c r="P20" i="51"/>
  <c r="N20" i="51"/>
  <c r="D20" i="51"/>
  <c r="L20" i="51" s="1"/>
  <c r="B20" i="51"/>
  <c r="Z19" i="51"/>
  <c r="X19" i="51"/>
  <c r="P19" i="51"/>
  <c r="N19" i="51"/>
  <c r="D19" i="51"/>
  <c r="L19" i="51" s="1"/>
  <c r="B19" i="51"/>
  <c r="Z18" i="51"/>
  <c r="X18" i="51"/>
  <c r="P18" i="51"/>
  <c r="N18" i="51"/>
  <c r="D18" i="51"/>
  <c r="B18" i="51"/>
  <c r="Z17" i="51"/>
  <c r="X17" i="51"/>
  <c r="P17" i="51"/>
  <c r="N17" i="51"/>
  <c r="L17" i="51"/>
  <c r="D17" i="51"/>
  <c r="B17" i="51"/>
  <c r="Z16" i="51"/>
  <c r="X16" i="51"/>
  <c r="P16" i="51"/>
  <c r="N16" i="51"/>
  <c r="L16" i="51"/>
  <c r="D16" i="51"/>
  <c r="B16" i="51"/>
  <c r="Z15" i="51"/>
  <c r="P15" i="51"/>
  <c r="X15" i="51" s="1"/>
  <c r="N15" i="51"/>
  <c r="L15" i="51"/>
  <c r="D15" i="51"/>
  <c r="B15" i="51"/>
  <c r="Z14" i="51"/>
  <c r="X14" i="51"/>
  <c r="P14" i="51"/>
  <c r="N14" i="51"/>
  <c r="L14" i="51"/>
  <c r="D14" i="51"/>
  <c r="B14" i="51"/>
  <c r="P13" i="51"/>
  <c r="L13" i="51"/>
  <c r="N13" i="51" s="1"/>
  <c r="D13" i="51"/>
  <c r="B13" i="51"/>
  <c r="T12" i="51"/>
  <c r="V109" i="51" s="1"/>
  <c r="H12" i="51"/>
  <c r="J71" i="51" s="1"/>
  <c r="D4" i="51"/>
  <c r="Z78" i="48"/>
  <c r="X78" i="48"/>
  <c r="L78" i="48"/>
  <c r="N78" i="48" s="1"/>
  <c r="J78" i="48"/>
  <c r="V74" i="48"/>
  <c r="P74" i="48"/>
  <c r="X74" i="48" s="1"/>
  <c r="Z74" i="48" s="1"/>
  <c r="D74" i="48"/>
  <c r="L74" i="48" s="1"/>
  <c r="N74" i="48" s="1"/>
  <c r="B74" i="48"/>
  <c r="T73" i="48"/>
  <c r="H73" i="48"/>
  <c r="D73" i="48"/>
  <c r="L73" i="48" s="1"/>
  <c r="N73" i="48" s="1"/>
  <c r="X71" i="48"/>
  <c r="Z71" i="48" s="1"/>
  <c r="R71" i="48"/>
  <c r="N71" i="48"/>
  <c r="L71" i="48"/>
  <c r="B71" i="48"/>
  <c r="X70" i="48"/>
  <c r="V70" i="48"/>
  <c r="T70" i="48"/>
  <c r="Z70" i="48" s="1"/>
  <c r="P70" i="48"/>
  <c r="N70" i="48"/>
  <c r="J70" i="48"/>
  <c r="H70" i="48"/>
  <c r="D70" i="48"/>
  <c r="L70" i="48" s="1"/>
  <c r="B70" i="48"/>
  <c r="X69" i="48"/>
  <c r="Z69" i="48" s="1"/>
  <c r="L69" i="48"/>
  <c r="N69" i="48" s="1"/>
  <c r="B69" i="48"/>
  <c r="X68" i="48"/>
  <c r="T68" i="48"/>
  <c r="Z68" i="48" s="1"/>
  <c r="R68" i="48"/>
  <c r="P68" i="48"/>
  <c r="J68" i="48"/>
  <c r="H68" i="48"/>
  <c r="D68" i="48"/>
  <c r="L68" i="48" s="1"/>
  <c r="N68" i="48" s="1"/>
  <c r="B68" i="48"/>
  <c r="Z67" i="48"/>
  <c r="X67" i="48"/>
  <c r="R67" i="48"/>
  <c r="N67" i="48"/>
  <c r="L67" i="48"/>
  <c r="B67" i="48"/>
  <c r="Z66" i="48"/>
  <c r="X66" i="48"/>
  <c r="N66" i="48"/>
  <c r="L66" i="48"/>
  <c r="J66" i="48"/>
  <c r="B66" i="48"/>
  <c r="X65" i="48"/>
  <c r="Z65" i="48" s="1"/>
  <c r="R65" i="48"/>
  <c r="N65" i="48"/>
  <c r="L65" i="48"/>
  <c r="B65" i="48"/>
  <c r="Z64" i="48"/>
  <c r="X64" i="48"/>
  <c r="T64" i="48"/>
  <c r="R64" i="48"/>
  <c r="P64" i="48"/>
  <c r="H64" i="48"/>
  <c r="D64" i="48"/>
  <c r="L64" i="48" s="1"/>
  <c r="N64" i="48" s="1"/>
  <c r="B64" i="48"/>
  <c r="X63" i="48"/>
  <c r="Z63" i="48" s="1"/>
  <c r="R63" i="48"/>
  <c r="N63" i="48"/>
  <c r="L63" i="48"/>
  <c r="B63" i="48"/>
  <c r="X62" i="48"/>
  <c r="V62" i="48"/>
  <c r="T62" i="48"/>
  <c r="Z62" i="48" s="1"/>
  <c r="P62" i="48"/>
  <c r="N62" i="48"/>
  <c r="J62" i="48"/>
  <c r="H62" i="48"/>
  <c r="D62" i="48"/>
  <c r="L62" i="48" s="1"/>
  <c r="B62" i="48"/>
  <c r="Z61" i="48"/>
  <c r="X61" i="48"/>
  <c r="N61" i="48"/>
  <c r="L61" i="48"/>
  <c r="B61" i="48"/>
  <c r="Z60" i="48"/>
  <c r="X60" i="48"/>
  <c r="N60" i="48"/>
  <c r="L60" i="48"/>
  <c r="B60" i="48"/>
  <c r="X59" i="48"/>
  <c r="Z59" i="48" s="1"/>
  <c r="N59" i="48"/>
  <c r="L59" i="48"/>
  <c r="B59" i="48"/>
  <c r="Z58" i="48"/>
  <c r="X58" i="48"/>
  <c r="V58" i="48"/>
  <c r="N58" i="48"/>
  <c r="L58" i="48"/>
  <c r="B58" i="48"/>
  <c r="X57" i="48"/>
  <c r="Z57" i="48" s="1"/>
  <c r="T57" i="48"/>
  <c r="P57" i="48"/>
  <c r="L57" i="48"/>
  <c r="N57" i="48" s="1"/>
  <c r="H57" i="48"/>
  <c r="D57" i="48"/>
  <c r="B57" i="48"/>
  <c r="Z56" i="48"/>
  <c r="X56" i="48"/>
  <c r="N56" i="48"/>
  <c r="L56" i="48"/>
  <c r="J56" i="48"/>
  <c r="B56" i="48"/>
  <c r="T55" i="48"/>
  <c r="P55" i="48"/>
  <c r="H55" i="48"/>
  <c r="D55" i="48"/>
  <c r="B55" i="48"/>
  <c r="X54" i="48"/>
  <c r="Z54" i="48" s="1"/>
  <c r="V54" i="48"/>
  <c r="N54" i="48"/>
  <c r="L54" i="48"/>
  <c r="J54" i="48"/>
  <c r="B54" i="48"/>
  <c r="T53" i="48"/>
  <c r="P53" i="48"/>
  <c r="X53" i="48" s="1"/>
  <c r="Z53" i="48" s="1"/>
  <c r="H53" i="48"/>
  <c r="D53" i="48"/>
  <c r="L53" i="48" s="1"/>
  <c r="B53" i="48"/>
  <c r="X52" i="48"/>
  <c r="Z52" i="48" s="1"/>
  <c r="N52" i="48"/>
  <c r="L52" i="48"/>
  <c r="B52" i="48"/>
  <c r="X51" i="48"/>
  <c r="T51" i="48"/>
  <c r="Z51" i="48" s="1"/>
  <c r="P51" i="48"/>
  <c r="H51" i="48"/>
  <c r="D51" i="48"/>
  <c r="L51" i="48" s="1"/>
  <c r="N51" i="48" s="1"/>
  <c r="B51" i="48"/>
  <c r="Z50" i="48"/>
  <c r="X50" i="48"/>
  <c r="L50" i="48"/>
  <c r="N50" i="48" s="1"/>
  <c r="J50" i="48"/>
  <c r="B50" i="48"/>
  <c r="T49" i="48"/>
  <c r="P49" i="48"/>
  <c r="H49" i="48"/>
  <c r="D49" i="48"/>
  <c r="B49" i="48"/>
  <c r="Z48" i="48"/>
  <c r="X48" i="48"/>
  <c r="V48" i="48"/>
  <c r="L48" i="48"/>
  <c r="N48" i="48" s="1"/>
  <c r="B48" i="48"/>
  <c r="T47" i="48"/>
  <c r="P47" i="48"/>
  <c r="X47" i="48" s="1"/>
  <c r="H47" i="48"/>
  <c r="D47" i="48"/>
  <c r="L47" i="48" s="1"/>
  <c r="N47" i="48" s="1"/>
  <c r="B47" i="48"/>
  <c r="Z46" i="48"/>
  <c r="X46" i="48"/>
  <c r="V46" i="48"/>
  <c r="N46" i="48"/>
  <c r="L46" i="48"/>
  <c r="B46" i="48"/>
  <c r="T45" i="48"/>
  <c r="P45" i="48"/>
  <c r="X45" i="48" s="1"/>
  <c r="Z45" i="48" s="1"/>
  <c r="L45" i="48"/>
  <c r="H45" i="48"/>
  <c r="D45" i="48"/>
  <c r="B45" i="48"/>
  <c r="Z44" i="48"/>
  <c r="X44" i="48"/>
  <c r="N44" i="48"/>
  <c r="L44" i="48"/>
  <c r="J44" i="48"/>
  <c r="B44" i="48"/>
  <c r="T43" i="48"/>
  <c r="P43" i="48"/>
  <c r="X43" i="48" s="1"/>
  <c r="L43" i="48"/>
  <c r="H43" i="48"/>
  <c r="D43" i="48"/>
  <c r="B43" i="48"/>
  <c r="X42" i="48"/>
  <c r="Z42" i="48" s="1"/>
  <c r="V42" i="48"/>
  <c r="N42" i="48"/>
  <c r="L42" i="48"/>
  <c r="J42" i="48"/>
  <c r="B42" i="48"/>
  <c r="T41" i="48"/>
  <c r="P41" i="48"/>
  <c r="X41" i="48" s="1"/>
  <c r="Z41" i="48" s="1"/>
  <c r="H41" i="48"/>
  <c r="D41" i="48"/>
  <c r="B41" i="48"/>
  <c r="Z40" i="48"/>
  <c r="X40" i="48"/>
  <c r="N40" i="48"/>
  <c r="L40" i="48"/>
  <c r="B40" i="48"/>
  <c r="Z39" i="48"/>
  <c r="X39" i="48"/>
  <c r="N39" i="48"/>
  <c r="L39" i="48"/>
  <c r="B39" i="48"/>
  <c r="Z38" i="48"/>
  <c r="X38" i="48"/>
  <c r="V38" i="48"/>
  <c r="N38" i="48"/>
  <c r="L38" i="48"/>
  <c r="B38" i="48"/>
  <c r="X37" i="48"/>
  <c r="Z37" i="48" s="1"/>
  <c r="N37" i="48"/>
  <c r="L37" i="48"/>
  <c r="B37" i="48"/>
  <c r="Z36" i="48"/>
  <c r="X36" i="48"/>
  <c r="N36" i="48"/>
  <c r="L36" i="48"/>
  <c r="B36" i="48"/>
  <c r="Z35" i="48"/>
  <c r="X35" i="48"/>
  <c r="N35" i="48"/>
  <c r="L35" i="48"/>
  <c r="B35" i="48"/>
  <c r="Z34" i="48"/>
  <c r="X34" i="48"/>
  <c r="V34" i="48"/>
  <c r="N34" i="48"/>
  <c r="L34" i="48"/>
  <c r="B34" i="48"/>
  <c r="Z33" i="48"/>
  <c r="X33" i="48"/>
  <c r="N33" i="48"/>
  <c r="L33" i="48"/>
  <c r="B33" i="48"/>
  <c r="X32" i="48"/>
  <c r="Z32" i="48" s="1"/>
  <c r="N32" i="48"/>
  <c r="L32" i="48"/>
  <c r="B32" i="48"/>
  <c r="Z31" i="48"/>
  <c r="X31" i="48"/>
  <c r="V31" i="48"/>
  <c r="N31" i="48"/>
  <c r="L31" i="48"/>
  <c r="B31" i="48"/>
  <c r="V30" i="48"/>
  <c r="T30" i="48"/>
  <c r="R30" i="48"/>
  <c r="P30" i="48"/>
  <c r="X30" i="48" s="1"/>
  <c r="Z30" i="48" s="1"/>
  <c r="L30" i="48"/>
  <c r="H30" i="48"/>
  <c r="N30" i="48" s="1"/>
  <c r="D30" i="48"/>
  <c r="B30" i="48"/>
  <c r="X29" i="48"/>
  <c r="Z29" i="48" s="1"/>
  <c r="R29" i="48"/>
  <c r="N29" i="48"/>
  <c r="L29" i="48"/>
  <c r="J29" i="48"/>
  <c r="B29" i="48"/>
  <c r="Z28" i="48"/>
  <c r="X28" i="48"/>
  <c r="N28" i="48"/>
  <c r="L28" i="48"/>
  <c r="J28" i="48"/>
  <c r="B28" i="48"/>
  <c r="Z27" i="48"/>
  <c r="X27" i="48"/>
  <c r="R27" i="48"/>
  <c r="L27" i="48"/>
  <c r="N27" i="48" s="1"/>
  <c r="B27" i="48"/>
  <c r="Z26" i="48"/>
  <c r="X26" i="48"/>
  <c r="N26" i="48"/>
  <c r="L26" i="48"/>
  <c r="J26" i="48"/>
  <c r="B26" i="48"/>
  <c r="X25" i="48"/>
  <c r="Z25" i="48" s="1"/>
  <c r="R25" i="48"/>
  <c r="N25" i="48"/>
  <c r="L25" i="48"/>
  <c r="J25" i="48"/>
  <c r="B25" i="48"/>
  <c r="Z24" i="48"/>
  <c r="X24" i="48"/>
  <c r="N24" i="48"/>
  <c r="L24" i="48"/>
  <c r="J24" i="48"/>
  <c r="B24" i="48"/>
  <c r="Z23" i="48"/>
  <c r="X23" i="48"/>
  <c r="R23" i="48"/>
  <c r="L23" i="48"/>
  <c r="N23" i="48" s="1"/>
  <c r="B23" i="48"/>
  <c r="Z22" i="48"/>
  <c r="X22" i="48"/>
  <c r="L22" i="48"/>
  <c r="N22" i="48" s="1"/>
  <c r="J22" i="48"/>
  <c r="B22" i="48"/>
  <c r="X21" i="48"/>
  <c r="Z21" i="48" s="1"/>
  <c r="R21" i="48"/>
  <c r="N21" i="48"/>
  <c r="L21" i="48"/>
  <c r="J21" i="48"/>
  <c r="B21" i="48"/>
  <c r="Z20" i="48"/>
  <c r="X20" i="48"/>
  <c r="T20" i="48"/>
  <c r="R20" i="48"/>
  <c r="P20" i="48"/>
  <c r="N20" i="48"/>
  <c r="L20" i="48"/>
  <c r="H20" i="48"/>
  <c r="D20" i="48"/>
  <c r="B20" i="48"/>
  <c r="T19" i="48"/>
  <c r="P19" i="48"/>
  <c r="X19" i="48" s="1"/>
  <c r="J19" i="48"/>
  <c r="H19" i="48"/>
  <c r="D19" i="48"/>
  <c r="L19" i="48" s="1"/>
  <c r="N19" i="48" s="1"/>
  <c r="T17" i="48"/>
  <c r="P17" i="48"/>
  <c r="T15" i="48"/>
  <c r="Z15" i="48" s="1"/>
  <c r="P15" i="48"/>
  <c r="X15" i="48" s="1"/>
  <c r="N15" i="48"/>
  <c r="J15" i="48"/>
  <c r="H15" i="48"/>
  <c r="H17" i="48" s="1"/>
  <c r="D15" i="48"/>
  <c r="L15" i="48" s="1"/>
  <c r="X13" i="48"/>
  <c r="Z13" i="48" s="1"/>
  <c r="P13" i="48"/>
  <c r="D13" i="48"/>
  <c r="B13" i="48"/>
  <c r="X12" i="48"/>
  <c r="T12" i="48"/>
  <c r="V59" i="48" s="1"/>
  <c r="P12" i="48"/>
  <c r="R49" i="48" s="1"/>
  <c r="H12" i="48"/>
  <c r="J71" i="48" s="1"/>
  <c r="D4" i="48"/>
  <c r="Z108" i="45"/>
  <c r="X108" i="45"/>
  <c r="L108" i="45"/>
  <c r="N108" i="45" s="1"/>
  <c r="X104" i="45"/>
  <c r="T104" i="45"/>
  <c r="Z104" i="45" s="1"/>
  <c r="P104" i="45"/>
  <c r="H104" i="45"/>
  <c r="D104" i="45"/>
  <c r="X102" i="45"/>
  <c r="Z102" i="45" s="1"/>
  <c r="N102" i="45"/>
  <c r="L102" i="45"/>
  <c r="B102" i="45"/>
  <c r="Z101" i="45"/>
  <c r="X101" i="45"/>
  <c r="N101" i="45"/>
  <c r="L101" i="45"/>
  <c r="B101" i="45"/>
  <c r="T100" i="45"/>
  <c r="P100" i="45"/>
  <c r="H100" i="45"/>
  <c r="D100" i="45"/>
  <c r="B100" i="45"/>
  <c r="X99" i="45"/>
  <c r="Z99" i="45" s="1"/>
  <c r="V99" i="45"/>
  <c r="N99" i="45"/>
  <c r="L99" i="45"/>
  <c r="B99" i="45"/>
  <c r="T98" i="45"/>
  <c r="P98" i="45"/>
  <c r="X98" i="45" s="1"/>
  <c r="Z98" i="45" s="1"/>
  <c r="H98" i="45"/>
  <c r="D98" i="45"/>
  <c r="L98" i="45" s="1"/>
  <c r="B98" i="45"/>
  <c r="X97" i="45"/>
  <c r="Z97" i="45" s="1"/>
  <c r="N97" i="45"/>
  <c r="L97" i="45"/>
  <c r="B97" i="45"/>
  <c r="X96" i="45"/>
  <c r="T96" i="45"/>
  <c r="Z96" i="45" s="1"/>
  <c r="P96" i="45"/>
  <c r="L96" i="45"/>
  <c r="N96" i="45" s="1"/>
  <c r="H96" i="45"/>
  <c r="D96" i="45"/>
  <c r="B96" i="45"/>
  <c r="Z95" i="45"/>
  <c r="X95" i="45"/>
  <c r="L95" i="45"/>
  <c r="N95" i="45" s="1"/>
  <c r="B95" i="45"/>
  <c r="X94" i="45"/>
  <c r="Z94" i="45" s="1"/>
  <c r="N94" i="45"/>
  <c r="L94" i="45"/>
  <c r="B94" i="45"/>
  <c r="Z93" i="45"/>
  <c r="X93" i="45"/>
  <c r="N93" i="45"/>
  <c r="L93" i="45"/>
  <c r="B93" i="45"/>
  <c r="Z92" i="45"/>
  <c r="X92" i="45"/>
  <c r="L92" i="45"/>
  <c r="N92" i="45" s="1"/>
  <c r="B92" i="45"/>
  <c r="Z91" i="45"/>
  <c r="X91" i="45"/>
  <c r="L91" i="45"/>
  <c r="N91" i="45" s="1"/>
  <c r="B91" i="45"/>
  <c r="X90" i="45"/>
  <c r="Z90" i="45" s="1"/>
  <c r="N90" i="45"/>
  <c r="L90" i="45"/>
  <c r="B90" i="45"/>
  <c r="Z89" i="45"/>
  <c r="X89" i="45"/>
  <c r="N89" i="45"/>
  <c r="L89" i="45"/>
  <c r="B89" i="45"/>
  <c r="Z88" i="45"/>
  <c r="X88" i="45"/>
  <c r="L88" i="45"/>
  <c r="N88" i="45" s="1"/>
  <c r="B88" i="45"/>
  <c r="Z87" i="45"/>
  <c r="X87" i="45"/>
  <c r="N87" i="45"/>
  <c r="L87" i="45"/>
  <c r="B87" i="45"/>
  <c r="X86" i="45"/>
  <c r="Z86" i="45" s="1"/>
  <c r="N86" i="45"/>
  <c r="L86" i="45"/>
  <c r="B86" i="45"/>
  <c r="Z85" i="45"/>
  <c r="T85" i="45"/>
  <c r="P85" i="45"/>
  <c r="X85" i="45" s="1"/>
  <c r="N85" i="45"/>
  <c r="L85" i="45"/>
  <c r="H85" i="45"/>
  <c r="D85" i="45"/>
  <c r="B85" i="45"/>
  <c r="X84" i="45"/>
  <c r="Z84" i="45" s="1"/>
  <c r="L84" i="45"/>
  <c r="N84" i="45" s="1"/>
  <c r="B84" i="45"/>
  <c r="X83" i="45"/>
  <c r="Z83" i="45" s="1"/>
  <c r="V83" i="45"/>
  <c r="N83" i="45"/>
  <c r="L83" i="45"/>
  <c r="B83" i="45"/>
  <c r="Z82" i="45"/>
  <c r="X82" i="45"/>
  <c r="L82" i="45"/>
  <c r="N82" i="45" s="1"/>
  <c r="B82" i="45"/>
  <c r="Z81" i="45"/>
  <c r="X81" i="45"/>
  <c r="V81" i="45"/>
  <c r="L81" i="45"/>
  <c r="N81" i="45" s="1"/>
  <c r="B81" i="45"/>
  <c r="T80" i="45"/>
  <c r="P80" i="45"/>
  <c r="H80" i="45"/>
  <c r="D80" i="45"/>
  <c r="L80" i="45" s="1"/>
  <c r="N80" i="45" s="1"/>
  <c r="B80" i="45"/>
  <c r="Z79" i="45"/>
  <c r="X79" i="45"/>
  <c r="N79" i="45"/>
  <c r="L79" i="45"/>
  <c r="B79" i="45"/>
  <c r="X78" i="45"/>
  <c r="Z78" i="45" s="1"/>
  <c r="L78" i="45"/>
  <c r="N78" i="45" s="1"/>
  <c r="B78" i="45"/>
  <c r="X77" i="45"/>
  <c r="Z77" i="45" s="1"/>
  <c r="N77" i="45"/>
  <c r="L77" i="45"/>
  <c r="B77" i="45"/>
  <c r="X76" i="45"/>
  <c r="Z76" i="45" s="1"/>
  <c r="N76" i="45"/>
  <c r="L76" i="45"/>
  <c r="B76" i="45"/>
  <c r="T75" i="45"/>
  <c r="P75" i="45"/>
  <c r="X75" i="45" s="1"/>
  <c r="Z75" i="45" s="1"/>
  <c r="H75" i="45"/>
  <c r="D75" i="45"/>
  <c r="B75" i="45"/>
  <c r="X74" i="45"/>
  <c r="Z74" i="45" s="1"/>
  <c r="N74" i="45"/>
  <c r="L74" i="45"/>
  <c r="B74" i="45"/>
  <c r="Z73" i="45"/>
  <c r="X73" i="45"/>
  <c r="T73" i="45"/>
  <c r="P73" i="45"/>
  <c r="N73" i="45"/>
  <c r="L73" i="45"/>
  <c r="H73" i="45"/>
  <c r="D73" i="45"/>
  <c r="B73" i="45"/>
  <c r="X72" i="45"/>
  <c r="Z72" i="45" s="1"/>
  <c r="L72" i="45"/>
  <c r="N72" i="45" s="1"/>
  <c r="B72" i="45"/>
  <c r="X71" i="45"/>
  <c r="Z71" i="45" s="1"/>
  <c r="V71" i="45"/>
  <c r="T71" i="45"/>
  <c r="P71" i="45"/>
  <c r="H71" i="45"/>
  <c r="D71" i="45"/>
  <c r="L71" i="45" s="1"/>
  <c r="N71" i="45" s="1"/>
  <c r="B71" i="45"/>
  <c r="X70" i="45"/>
  <c r="Z70" i="45" s="1"/>
  <c r="L70" i="45"/>
  <c r="N70" i="45" s="1"/>
  <c r="B70" i="45"/>
  <c r="T69" i="45"/>
  <c r="P69" i="45"/>
  <c r="H69" i="45"/>
  <c r="D69" i="45"/>
  <c r="L69" i="45" s="1"/>
  <c r="N69" i="45" s="1"/>
  <c r="B69" i="45"/>
  <c r="Z68" i="45"/>
  <c r="X68" i="45"/>
  <c r="L68" i="45"/>
  <c r="N68" i="45" s="1"/>
  <c r="B68" i="45"/>
  <c r="Z67" i="45"/>
  <c r="X67" i="45"/>
  <c r="T67" i="45"/>
  <c r="P67" i="45"/>
  <c r="N67" i="45"/>
  <c r="H67" i="45"/>
  <c r="D67" i="45"/>
  <c r="L67" i="45" s="1"/>
  <c r="B67" i="45"/>
  <c r="Z66" i="45"/>
  <c r="X66" i="45"/>
  <c r="L66" i="45"/>
  <c r="N66" i="45" s="1"/>
  <c r="B66" i="45"/>
  <c r="T65" i="45"/>
  <c r="P65" i="45"/>
  <c r="X65" i="45" s="1"/>
  <c r="Z65" i="45" s="1"/>
  <c r="L65" i="45"/>
  <c r="N65" i="45" s="1"/>
  <c r="H65" i="45"/>
  <c r="D65" i="45"/>
  <c r="B65" i="45"/>
  <c r="X64" i="45"/>
  <c r="Z64" i="45" s="1"/>
  <c r="N64" i="45"/>
  <c r="L64" i="45"/>
  <c r="B64" i="45"/>
  <c r="V63" i="45"/>
  <c r="T63" i="45"/>
  <c r="P63" i="45"/>
  <c r="X63" i="45" s="1"/>
  <c r="Z63" i="45" s="1"/>
  <c r="L63" i="45"/>
  <c r="H63" i="45"/>
  <c r="N63" i="45" s="1"/>
  <c r="D63" i="45"/>
  <c r="B63" i="45"/>
  <c r="X62" i="45"/>
  <c r="Z62" i="45" s="1"/>
  <c r="N62" i="45"/>
  <c r="L62" i="45"/>
  <c r="B62" i="45"/>
  <c r="Z61" i="45"/>
  <c r="X61" i="45"/>
  <c r="N61" i="45"/>
  <c r="L61" i="45"/>
  <c r="B61" i="45"/>
  <c r="T60" i="45"/>
  <c r="P60" i="45"/>
  <c r="H60" i="45"/>
  <c r="D60" i="45"/>
  <c r="B60" i="45"/>
  <c r="Z59" i="45"/>
  <c r="X59" i="45"/>
  <c r="N59" i="45"/>
  <c r="L59" i="45"/>
  <c r="B59" i="45"/>
  <c r="Z58" i="45"/>
  <c r="T58" i="45"/>
  <c r="P58" i="45"/>
  <c r="X58" i="45" s="1"/>
  <c r="H58" i="45"/>
  <c r="N58" i="45" s="1"/>
  <c r="D58" i="45"/>
  <c r="L58" i="45" s="1"/>
  <c r="B58" i="45"/>
  <c r="X57" i="45"/>
  <c r="Z57" i="45" s="1"/>
  <c r="N57" i="45"/>
  <c r="L57" i="45"/>
  <c r="B57" i="45"/>
  <c r="X56" i="45"/>
  <c r="Z56" i="45" s="1"/>
  <c r="T56" i="45"/>
  <c r="P56" i="45"/>
  <c r="H56" i="45"/>
  <c r="D56" i="45"/>
  <c r="L56" i="45" s="1"/>
  <c r="N56" i="45" s="1"/>
  <c r="B56" i="45"/>
  <c r="Z55" i="45"/>
  <c r="X55" i="45"/>
  <c r="L55" i="45"/>
  <c r="N55" i="45" s="1"/>
  <c r="B55" i="45"/>
  <c r="X54" i="45"/>
  <c r="Z54" i="45" s="1"/>
  <c r="N54" i="45"/>
  <c r="L54" i="45"/>
  <c r="B54" i="45"/>
  <c r="Z53" i="45"/>
  <c r="X53" i="45"/>
  <c r="T53" i="45"/>
  <c r="P53" i="45"/>
  <c r="N53" i="45"/>
  <c r="L53" i="45"/>
  <c r="H53" i="45"/>
  <c r="D53" i="45"/>
  <c r="B53" i="45"/>
  <c r="X52" i="45"/>
  <c r="Z52" i="45" s="1"/>
  <c r="L52" i="45"/>
  <c r="N52" i="45" s="1"/>
  <c r="B52" i="45"/>
  <c r="X51" i="45"/>
  <c r="Z51" i="45" s="1"/>
  <c r="T51" i="45"/>
  <c r="P51" i="45"/>
  <c r="N51" i="45"/>
  <c r="H51" i="45"/>
  <c r="D51" i="45"/>
  <c r="L51" i="45" s="1"/>
  <c r="B51" i="45"/>
  <c r="Z50" i="45"/>
  <c r="X50" i="45"/>
  <c r="N50" i="45"/>
  <c r="L50" i="45"/>
  <c r="B50" i="45"/>
  <c r="Z49" i="45"/>
  <c r="X49" i="45"/>
  <c r="N49" i="45"/>
  <c r="L49" i="45"/>
  <c r="B49" i="45"/>
  <c r="X48" i="45"/>
  <c r="Z48" i="45" s="1"/>
  <c r="N48" i="45"/>
  <c r="L48" i="45"/>
  <c r="B48" i="45"/>
  <c r="Z47" i="45"/>
  <c r="X47" i="45"/>
  <c r="N47" i="45"/>
  <c r="L47" i="45"/>
  <c r="B47" i="45"/>
  <c r="Z46" i="45"/>
  <c r="X46" i="45"/>
  <c r="N46" i="45"/>
  <c r="L46" i="45"/>
  <c r="F46" i="45"/>
  <c r="B46" i="45"/>
  <c r="X45" i="45"/>
  <c r="Z45" i="45" s="1"/>
  <c r="N45" i="45"/>
  <c r="L45" i="45"/>
  <c r="B45" i="45"/>
  <c r="X44" i="45"/>
  <c r="Z44" i="45" s="1"/>
  <c r="N44" i="45"/>
  <c r="L44" i="45"/>
  <c r="B44" i="45"/>
  <c r="Z43" i="45"/>
  <c r="X43" i="45"/>
  <c r="N43" i="45"/>
  <c r="L43" i="45"/>
  <c r="B43" i="45"/>
  <c r="X42" i="45"/>
  <c r="Z42" i="45" s="1"/>
  <c r="L42" i="45"/>
  <c r="N42" i="45" s="1"/>
  <c r="B42" i="45"/>
  <c r="Z41" i="45"/>
  <c r="X41" i="45"/>
  <c r="N41" i="45"/>
  <c r="L41" i="45"/>
  <c r="B41" i="45"/>
  <c r="X40" i="45"/>
  <c r="Z40" i="45" s="1"/>
  <c r="T40" i="45"/>
  <c r="P40" i="45"/>
  <c r="L40" i="45"/>
  <c r="N40" i="45" s="1"/>
  <c r="H40" i="45"/>
  <c r="D40" i="45"/>
  <c r="B40" i="45"/>
  <c r="Z39" i="45"/>
  <c r="X39" i="45"/>
  <c r="N39" i="45"/>
  <c r="L39" i="45"/>
  <c r="B39" i="45"/>
  <c r="X38" i="45"/>
  <c r="Z38" i="45" s="1"/>
  <c r="N38" i="45"/>
  <c r="L38" i="45"/>
  <c r="B38" i="45"/>
  <c r="Z37" i="45"/>
  <c r="X37" i="45"/>
  <c r="N37" i="45"/>
  <c r="L37" i="45"/>
  <c r="B37" i="45"/>
  <c r="Z36" i="45"/>
  <c r="X36" i="45"/>
  <c r="N36" i="45"/>
  <c r="L36" i="45"/>
  <c r="B36" i="45"/>
  <c r="Z35" i="45"/>
  <c r="X35" i="45"/>
  <c r="N35" i="45"/>
  <c r="L35" i="45"/>
  <c r="B35" i="45"/>
  <c r="X34" i="45"/>
  <c r="Z34" i="45" s="1"/>
  <c r="N34" i="45"/>
  <c r="L34" i="45"/>
  <c r="B34" i="45"/>
  <c r="Z33" i="45"/>
  <c r="X33" i="45"/>
  <c r="N33" i="45"/>
  <c r="L33" i="45"/>
  <c r="B33" i="45"/>
  <c r="X32" i="45"/>
  <c r="Z32" i="45" s="1"/>
  <c r="L32" i="45"/>
  <c r="N32" i="45" s="1"/>
  <c r="B32" i="45"/>
  <c r="Z31" i="45"/>
  <c r="X31" i="45"/>
  <c r="L31" i="45"/>
  <c r="N31" i="45" s="1"/>
  <c r="B31" i="45"/>
  <c r="X30" i="45"/>
  <c r="Z30" i="45" s="1"/>
  <c r="N30" i="45"/>
  <c r="L30" i="45"/>
  <c r="B30" i="45"/>
  <c r="Z29" i="45"/>
  <c r="X29" i="45"/>
  <c r="T29" i="45"/>
  <c r="P29" i="45"/>
  <c r="H29" i="45"/>
  <c r="D29" i="45"/>
  <c r="L29" i="45" s="1"/>
  <c r="N29" i="45" s="1"/>
  <c r="B29" i="45"/>
  <c r="T28" i="45"/>
  <c r="P28" i="45"/>
  <c r="H28" i="45"/>
  <c r="D28" i="45"/>
  <c r="L28" i="45" s="1"/>
  <c r="Z24" i="45"/>
  <c r="X24" i="45"/>
  <c r="N24" i="45"/>
  <c r="L24" i="45"/>
  <c r="B24" i="45"/>
  <c r="Z23" i="45"/>
  <c r="X23" i="45"/>
  <c r="N23" i="45"/>
  <c r="L23" i="45"/>
  <c r="B23" i="45"/>
  <c r="Z22" i="45"/>
  <c r="X22" i="45"/>
  <c r="N22" i="45"/>
  <c r="L22" i="45"/>
  <c r="B22" i="45"/>
  <c r="Z21" i="45"/>
  <c r="V21" i="45"/>
  <c r="T21" i="45"/>
  <c r="P21" i="45"/>
  <c r="X21" i="45" s="1"/>
  <c r="L21" i="45"/>
  <c r="N21" i="45" s="1"/>
  <c r="H21" i="45"/>
  <c r="D21" i="45"/>
  <c r="Z19" i="45"/>
  <c r="P19" i="45"/>
  <c r="X19" i="45" s="1"/>
  <c r="N19" i="45"/>
  <c r="D19" i="45"/>
  <c r="L19" i="45" s="1"/>
  <c r="B19" i="45"/>
  <c r="Z18" i="45"/>
  <c r="X18" i="45"/>
  <c r="P18" i="45"/>
  <c r="N18" i="45"/>
  <c r="D18" i="45"/>
  <c r="L18" i="45" s="1"/>
  <c r="B18" i="45"/>
  <c r="Z17" i="45"/>
  <c r="X17" i="45"/>
  <c r="P17" i="45"/>
  <c r="N17" i="45"/>
  <c r="D17" i="45"/>
  <c r="L17" i="45" s="1"/>
  <c r="B17" i="45"/>
  <c r="Z16" i="45"/>
  <c r="X16" i="45"/>
  <c r="P16" i="45"/>
  <c r="N16" i="45"/>
  <c r="D16" i="45"/>
  <c r="L16" i="45" s="1"/>
  <c r="B16" i="45"/>
  <c r="P15" i="45"/>
  <c r="X15" i="45" s="1"/>
  <c r="Z15" i="45" s="1"/>
  <c r="N15" i="45"/>
  <c r="L15" i="45"/>
  <c r="D15" i="45"/>
  <c r="B15" i="45"/>
  <c r="Z14" i="45"/>
  <c r="X14" i="45"/>
  <c r="P14" i="45"/>
  <c r="N14" i="45"/>
  <c r="L14" i="45"/>
  <c r="D14" i="45"/>
  <c r="B14" i="45"/>
  <c r="Z13" i="45"/>
  <c r="X13" i="45"/>
  <c r="P13" i="45"/>
  <c r="N13" i="45"/>
  <c r="L13" i="45"/>
  <c r="D13" i="45"/>
  <c r="B13" i="45"/>
  <c r="T12" i="45"/>
  <c r="V65" i="45" s="1"/>
  <c r="H12" i="45"/>
  <c r="J33" i="45" s="1"/>
  <c r="D12" i="45"/>
  <c r="F69" i="45" s="1"/>
  <c r="D4" i="45"/>
  <c r="X139" i="42"/>
  <c r="Z139" i="42" s="1"/>
  <c r="V139" i="42"/>
  <c r="L139" i="42"/>
  <c r="N139" i="42" s="1"/>
  <c r="Z135" i="42"/>
  <c r="X135" i="42"/>
  <c r="P135" i="42"/>
  <c r="N135" i="42"/>
  <c r="L135" i="42"/>
  <c r="D135" i="42"/>
  <c r="B135" i="42"/>
  <c r="Z134" i="42"/>
  <c r="X134" i="42"/>
  <c r="V134" i="42"/>
  <c r="P134" i="42"/>
  <c r="N134" i="42"/>
  <c r="D134" i="42"/>
  <c r="L134" i="42" s="1"/>
  <c r="B134" i="42"/>
  <c r="X133" i="42"/>
  <c r="Z133" i="42" s="1"/>
  <c r="V133" i="42"/>
  <c r="P133" i="42"/>
  <c r="D133" i="42"/>
  <c r="L133" i="42" s="1"/>
  <c r="N133" i="42" s="1"/>
  <c r="B133" i="42"/>
  <c r="P132" i="42"/>
  <c r="X132" i="42" s="1"/>
  <c r="Z132" i="42" s="1"/>
  <c r="D132" i="42"/>
  <c r="L132" i="42" s="1"/>
  <c r="N132" i="42" s="1"/>
  <c r="B132" i="42"/>
  <c r="T131" i="42"/>
  <c r="Z131" i="42" s="1"/>
  <c r="P131" i="42"/>
  <c r="X131" i="42" s="1"/>
  <c r="H131" i="42"/>
  <c r="D131" i="42"/>
  <c r="L131" i="42" s="1"/>
  <c r="N131" i="42" s="1"/>
  <c r="Z129" i="42"/>
  <c r="X129" i="42"/>
  <c r="L129" i="42"/>
  <c r="N129" i="42" s="1"/>
  <c r="B129" i="42"/>
  <c r="X128" i="42"/>
  <c r="V128" i="42"/>
  <c r="T128" i="42"/>
  <c r="Z128" i="42" s="1"/>
  <c r="P128" i="42"/>
  <c r="L128" i="42"/>
  <c r="N128" i="42" s="1"/>
  <c r="H128" i="42"/>
  <c r="D128" i="42"/>
  <c r="B128" i="42"/>
  <c r="Z127" i="42"/>
  <c r="X127" i="42"/>
  <c r="N127" i="42"/>
  <c r="L127" i="42"/>
  <c r="B127" i="42"/>
  <c r="Z126" i="42"/>
  <c r="X126" i="42"/>
  <c r="N126" i="42"/>
  <c r="L126" i="42"/>
  <c r="B126" i="42"/>
  <c r="X125" i="42"/>
  <c r="Z125" i="42" s="1"/>
  <c r="N125" i="42"/>
  <c r="L125" i="42"/>
  <c r="B125" i="42"/>
  <c r="T124" i="42"/>
  <c r="P124" i="42"/>
  <c r="H124" i="42"/>
  <c r="N124" i="42" s="1"/>
  <c r="D124" i="42"/>
  <c r="L124" i="42" s="1"/>
  <c r="B124" i="42"/>
  <c r="X123" i="42"/>
  <c r="Z123" i="42" s="1"/>
  <c r="V123" i="42"/>
  <c r="N123" i="42"/>
  <c r="L123" i="42"/>
  <c r="B123" i="42"/>
  <c r="T122" i="42"/>
  <c r="P122" i="42"/>
  <c r="X122" i="42" s="1"/>
  <c r="Z122" i="42" s="1"/>
  <c r="N122" i="42"/>
  <c r="H122" i="42"/>
  <c r="D122" i="42"/>
  <c r="L122" i="42" s="1"/>
  <c r="B122" i="42"/>
  <c r="Z121" i="42"/>
  <c r="X121" i="42"/>
  <c r="N121" i="42"/>
  <c r="L121" i="42"/>
  <c r="B121" i="42"/>
  <c r="X120" i="42"/>
  <c r="Z120" i="42" s="1"/>
  <c r="V120" i="42"/>
  <c r="L120" i="42"/>
  <c r="N120" i="42" s="1"/>
  <c r="B120" i="42"/>
  <c r="T119" i="42"/>
  <c r="P119" i="42"/>
  <c r="X119" i="42" s="1"/>
  <c r="Z119" i="42" s="1"/>
  <c r="H119" i="42"/>
  <c r="D119" i="42"/>
  <c r="L119" i="42" s="1"/>
  <c r="B119" i="42"/>
  <c r="Z118" i="42"/>
  <c r="X118" i="42"/>
  <c r="N118" i="42"/>
  <c r="L118" i="42"/>
  <c r="B118" i="42"/>
  <c r="X117" i="42"/>
  <c r="Z117" i="42" s="1"/>
  <c r="N117" i="42"/>
  <c r="L117" i="42"/>
  <c r="B117" i="42"/>
  <c r="X116" i="42"/>
  <c r="Z116" i="42" s="1"/>
  <c r="N116" i="42"/>
  <c r="L116" i="42"/>
  <c r="B116" i="42"/>
  <c r="X115" i="42"/>
  <c r="Z115" i="42" s="1"/>
  <c r="L115" i="42"/>
  <c r="N115" i="42" s="1"/>
  <c r="B115" i="42"/>
  <c r="Z114" i="42"/>
  <c r="X114" i="42"/>
  <c r="N114" i="42"/>
  <c r="L114" i="42"/>
  <c r="B114" i="42"/>
  <c r="X113" i="42"/>
  <c r="Z113" i="42" s="1"/>
  <c r="N113" i="42"/>
  <c r="L113" i="42"/>
  <c r="B113" i="42"/>
  <c r="X112" i="42"/>
  <c r="Z112" i="42" s="1"/>
  <c r="N112" i="42"/>
  <c r="L112" i="42"/>
  <c r="B112" i="42"/>
  <c r="X111" i="42"/>
  <c r="Z111" i="42" s="1"/>
  <c r="L111" i="42"/>
  <c r="N111" i="42" s="1"/>
  <c r="B111" i="42"/>
  <c r="Z110" i="42"/>
  <c r="X110" i="42"/>
  <c r="N110" i="42"/>
  <c r="L110" i="42"/>
  <c r="B110" i="42"/>
  <c r="Z109" i="42"/>
  <c r="X109" i="42"/>
  <c r="N109" i="42"/>
  <c r="L109" i="42"/>
  <c r="B109" i="42"/>
  <c r="X108" i="42"/>
  <c r="Z108" i="42" s="1"/>
  <c r="N108" i="42"/>
  <c r="L108" i="42"/>
  <c r="B108" i="42"/>
  <c r="X107" i="42"/>
  <c r="Z107" i="42" s="1"/>
  <c r="T107" i="42"/>
  <c r="P107" i="42"/>
  <c r="N107" i="42"/>
  <c r="L107" i="42"/>
  <c r="H107" i="42"/>
  <c r="D107" i="42"/>
  <c r="B107" i="42"/>
  <c r="Z106" i="42"/>
  <c r="X106" i="42"/>
  <c r="L106" i="42"/>
  <c r="N106" i="42" s="1"/>
  <c r="J106" i="42"/>
  <c r="B106" i="42"/>
  <c r="Z105" i="42"/>
  <c r="X105" i="42"/>
  <c r="N105" i="42"/>
  <c r="L105" i="42"/>
  <c r="B105" i="42"/>
  <c r="Z104" i="42"/>
  <c r="T104" i="42"/>
  <c r="P104" i="42"/>
  <c r="X104" i="42" s="1"/>
  <c r="H104" i="42"/>
  <c r="D104" i="42"/>
  <c r="L104" i="42" s="1"/>
  <c r="N104" i="42" s="1"/>
  <c r="B104" i="42"/>
  <c r="Z103" i="42"/>
  <c r="X103" i="42"/>
  <c r="L103" i="42"/>
  <c r="N103" i="42" s="1"/>
  <c r="B103" i="42"/>
  <c r="X102" i="42"/>
  <c r="Z102" i="42" s="1"/>
  <c r="V102" i="42"/>
  <c r="N102" i="42"/>
  <c r="L102" i="42"/>
  <c r="B102" i="42"/>
  <c r="Z101" i="42"/>
  <c r="X101" i="42"/>
  <c r="N101" i="42"/>
  <c r="L101" i="42"/>
  <c r="B101" i="42"/>
  <c r="X100" i="42"/>
  <c r="Z100" i="42" s="1"/>
  <c r="V100" i="42"/>
  <c r="L100" i="42"/>
  <c r="N100" i="42" s="1"/>
  <c r="B100" i="42"/>
  <c r="Z99" i="42"/>
  <c r="X99" i="42"/>
  <c r="L99" i="42"/>
  <c r="N99" i="42" s="1"/>
  <c r="B99" i="42"/>
  <c r="X98" i="42"/>
  <c r="Z98" i="42" s="1"/>
  <c r="V98" i="42"/>
  <c r="T98" i="42"/>
  <c r="P98" i="42"/>
  <c r="L98" i="42"/>
  <c r="H98" i="42"/>
  <c r="N98" i="42" s="1"/>
  <c r="D98" i="42"/>
  <c r="B98" i="42"/>
  <c r="X97" i="42"/>
  <c r="Z97" i="42" s="1"/>
  <c r="N97" i="42"/>
  <c r="L97" i="42"/>
  <c r="B97" i="42"/>
  <c r="X96" i="42"/>
  <c r="Z96" i="42" s="1"/>
  <c r="N96" i="42"/>
  <c r="L96" i="42"/>
  <c r="B96" i="42"/>
  <c r="X95" i="42"/>
  <c r="Z95" i="42" s="1"/>
  <c r="L95" i="42"/>
  <c r="N95" i="42" s="1"/>
  <c r="B95" i="42"/>
  <c r="Z94" i="42"/>
  <c r="X94" i="42"/>
  <c r="N94" i="42"/>
  <c r="L94" i="42"/>
  <c r="B94" i="42"/>
  <c r="X93" i="42"/>
  <c r="Z93" i="42" s="1"/>
  <c r="T93" i="42"/>
  <c r="P93" i="42"/>
  <c r="L93" i="42"/>
  <c r="N93" i="42" s="1"/>
  <c r="H93" i="42"/>
  <c r="D93" i="42"/>
  <c r="B93" i="42"/>
  <c r="Z92" i="42"/>
  <c r="X92" i="42"/>
  <c r="L92" i="42"/>
  <c r="N92" i="42" s="1"/>
  <c r="B92" i="42"/>
  <c r="X91" i="42"/>
  <c r="Z91" i="42" s="1"/>
  <c r="V91" i="42"/>
  <c r="N91" i="42"/>
  <c r="L91" i="42"/>
  <c r="B91" i="42"/>
  <c r="Z90" i="42"/>
  <c r="X90" i="42"/>
  <c r="N90" i="42"/>
  <c r="L90" i="42"/>
  <c r="B90" i="42"/>
  <c r="Z89" i="42"/>
  <c r="X89" i="42"/>
  <c r="N89" i="42"/>
  <c r="L89" i="42"/>
  <c r="B89" i="42"/>
  <c r="Z88" i="42"/>
  <c r="T88" i="42"/>
  <c r="P88" i="42"/>
  <c r="X88" i="42" s="1"/>
  <c r="N88" i="42"/>
  <c r="H88" i="42"/>
  <c r="D88" i="42"/>
  <c r="L88" i="42" s="1"/>
  <c r="B88" i="42"/>
  <c r="Z87" i="42"/>
  <c r="X87" i="42"/>
  <c r="L87" i="42"/>
  <c r="N87" i="42" s="1"/>
  <c r="B87" i="42"/>
  <c r="X86" i="42"/>
  <c r="Z86" i="42" s="1"/>
  <c r="V86" i="42"/>
  <c r="T86" i="42"/>
  <c r="P86" i="42"/>
  <c r="L86" i="42"/>
  <c r="H86" i="42"/>
  <c r="N86" i="42" s="1"/>
  <c r="D86" i="42"/>
  <c r="B86" i="42"/>
  <c r="Z85" i="42"/>
  <c r="X85" i="42"/>
  <c r="N85" i="42"/>
  <c r="L85" i="42"/>
  <c r="B85" i="42"/>
  <c r="T84" i="42"/>
  <c r="P84" i="42"/>
  <c r="H84" i="42"/>
  <c r="N84" i="42" s="1"/>
  <c r="D84" i="42"/>
  <c r="L84" i="42" s="1"/>
  <c r="B84" i="42"/>
  <c r="X83" i="42"/>
  <c r="Z83" i="42" s="1"/>
  <c r="V83" i="42"/>
  <c r="N83" i="42"/>
  <c r="L83" i="42"/>
  <c r="B83" i="42"/>
  <c r="Z82" i="42"/>
  <c r="T82" i="42"/>
  <c r="P82" i="42"/>
  <c r="X82" i="42" s="1"/>
  <c r="N82" i="42"/>
  <c r="H82" i="42"/>
  <c r="D82" i="42"/>
  <c r="L82" i="42" s="1"/>
  <c r="B82" i="42"/>
  <c r="Z81" i="42"/>
  <c r="X81" i="42"/>
  <c r="L81" i="42"/>
  <c r="N81" i="42" s="1"/>
  <c r="B81" i="42"/>
  <c r="X80" i="42"/>
  <c r="V80" i="42"/>
  <c r="T80" i="42"/>
  <c r="Z80" i="42" s="1"/>
  <c r="P80" i="42"/>
  <c r="L80" i="42"/>
  <c r="N80" i="42" s="1"/>
  <c r="H80" i="42"/>
  <c r="D80" i="42"/>
  <c r="B80" i="42"/>
  <c r="X79" i="42"/>
  <c r="Z79" i="42" s="1"/>
  <c r="L79" i="42"/>
  <c r="N79" i="42" s="1"/>
  <c r="B79" i="42"/>
  <c r="Z78" i="42"/>
  <c r="X78" i="42"/>
  <c r="L78" i="42"/>
  <c r="N78" i="42" s="1"/>
  <c r="B78" i="42"/>
  <c r="T77" i="42"/>
  <c r="P77" i="42"/>
  <c r="H77" i="42"/>
  <c r="D77" i="42"/>
  <c r="L77" i="42" s="1"/>
  <c r="N77" i="42" s="1"/>
  <c r="B77" i="42"/>
  <c r="Z76" i="42"/>
  <c r="X76" i="42"/>
  <c r="N76" i="42"/>
  <c r="L76" i="42"/>
  <c r="B76" i="42"/>
  <c r="T75" i="42"/>
  <c r="P75" i="42"/>
  <c r="H75" i="42"/>
  <c r="N75" i="42" s="1"/>
  <c r="D75" i="42"/>
  <c r="B75" i="42"/>
  <c r="X74" i="42"/>
  <c r="Z74" i="42" s="1"/>
  <c r="V74" i="42"/>
  <c r="N74" i="42"/>
  <c r="L74" i="42"/>
  <c r="B74" i="42"/>
  <c r="T73" i="42"/>
  <c r="P73" i="42"/>
  <c r="X73" i="42" s="1"/>
  <c r="H73" i="42"/>
  <c r="D73" i="42"/>
  <c r="L73" i="42" s="1"/>
  <c r="N73" i="42" s="1"/>
  <c r="B73" i="42"/>
  <c r="X72" i="42"/>
  <c r="Z72" i="42" s="1"/>
  <c r="V72" i="42"/>
  <c r="N72" i="42"/>
  <c r="L72" i="42"/>
  <c r="B72" i="42"/>
  <c r="X71" i="42"/>
  <c r="Z71" i="42" s="1"/>
  <c r="T71" i="42"/>
  <c r="P71" i="42"/>
  <c r="L71" i="42"/>
  <c r="N71" i="42" s="1"/>
  <c r="H71" i="42"/>
  <c r="D71" i="42"/>
  <c r="B71" i="42"/>
  <c r="Z70" i="42"/>
  <c r="X70" i="42"/>
  <c r="L70" i="42"/>
  <c r="N70" i="42" s="1"/>
  <c r="B70" i="42"/>
  <c r="T69" i="42"/>
  <c r="P69" i="42"/>
  <c r="X69" i="42" s="1"/>
  <c r="H69" i="42"/>
  <c r="D69" i="42"/>
  <c r="B69" i="42"/>
  <c r="Z68" i="42"/>
  <c r="X68" i="42"/>
  <c r="V68" i="42"/>
  <c r="N68" i="42"/>
  <c r="L68" i="42"/>
  <c r="B68" i="42"/>
  <c r="Z67" i="42"/>
  <c r="T67" i="42"/>
  <c r="P67" i="42"/>
  <c r="X67" i="42" s="1"/>
  <c r="H67" i="42"/>
  <c r="N67" i="42" s="1"/>
  <c r="D67" i="42"/>
  <c r="L67" i="42" s="1"/>
  <c r="B67" i="42"/>
  <c r="Z66" i="42"/>
  <c r="X66" i="42"/>
  <c r="N66" i="42"/>
  <c r="L66" i="42"/>
  <c r="B66" i="42"/>
  <c r="Z65" i="42"/>
  <c r="X65" i="42"/>
  <c r="N65" i="42"/>
  <c r="L65" i="42"/>
  <c r="B65" i="42"/>
  <c r="X64" i="42"/>
  <c r="Z64" i="42" s="1"/>
  <c r="V64" i="42"/>
  <c r="N64" i="42"/>
  <c r="L64" i="42"/>
  <c r="B64" i="42"/>
  <c r="X63" i="42"/>
  <c r="Z63" i="42" s="1"/>
  <c r="L63" i="42"/>
  <c r="N63" i="42" s="1"/>
  <c r="J63" i="42"/>
  <c r="B63" i="42"/>
  <c r="T62" i="42"/>
  <c r="Z62" i="42" s="1"/>
  <c r="P62" i="42"/>
  <c r="X62" i="42" s="1"/>
  <c r="H62" i="42"/>
  <c r="D62" i="42"/>
  <c r="B62" i="42"/>
  <c r="X61" i="42"/>
  <c r="Z61" i="42" s="1"/>
  <c r="V61" i="42"/>
  <c r="N61" i="42"/>
  <c r="L61" i="42"/>
  <c r="B61" i="42"/>
  <c r="Z60" i="42"/>
  <c r="T60" i="42"/>
  <c r="P60" i="42"/>
  <c r="X60" i="42" s="1"/>
  <c r="H60" i="42"/>
  <c r="D60" i="42"/>
  <c r="L60" i="42" s="1"/>
  <c r="N60" i="42" s="1"/>
  <c r="B60" i="42"/>
  <c r="Z59" i="42"/>
  <c r="X59" i="42"/>
  <c r="L59" i="42"/>
  <c r="N59" i="42" s="1"/>
  <c r="B59" i="42"/>
  <c r="X58" i="42"/>
  <c r="Z58" i="42" s="1"/>
  <c r="V58" i="42"/>
  <c r="T58" i="42"/>
  <c r="P58" i="42"/>
  <c r="L58" i="42"/>
  <c r="J58" i="42"/>
  <c r="H58" i="42"/>
  <c r="N58" i="42" s="1"/>
  <c r="D58" i="42"/>
  <c r="B58" i="42"/>
  <c r="Z57" i="42"/>
  <c r="X57" i="42"/>
  <c r="N57" i="42"/>
  <c r="L57" i="42"/>
  <c r="B57" i="42"/>
  <c r="T56" i="42"/>
  <c r="P56" i="42"/>
  <c r="H56" i="42"/>
  <c r="N56" i="42" s="1"/>
  <c r="D56" i="42"/>
  <c r="L56" i="42" s="1"/>
  <c r="B56" i="42"/>
  <c r="Z55" i="42"/>
  <c r="X55" i="42"/>
  <c r="V55" i="42"/>
  <c r="N55" i="42"/>
  <c r="L55" i="42"/>
  <c r="B55" i="42"/>
  <c r="Z54" i="42"/>
  <c r="X54" i="42"/>
  <c r="N54" i="42"/>
  <c r="L54" i="42"/>
  <c r="J54" i="42"/>
  <c r="B54" i="42"/>
  <c r="Z53" i="42"/>
  <c r="X53" i="42"/>
  <c r="V53" i="42"/>
  <c r="N53" i="42"/>
  <c r="L53" i="42"/>
  <c r="B53" i="42"/>
  <c r="Z52" i="42"/>
  <c r="X52" i="42"/>
  <c r="L52" i="42"/>
  <c r="N52" i="42" s="1"/>
  <c r="J52" i="42"/>
  <c r="B52" i="42"/>
  <c r="Z51" i="42"/>
  <c r="X51" i="42"/>
  <c r="V51" i="42"/>
  <c r="N51" i="42"/>
  <c r="L51" i="42"/>
  <c r="B51" i="42"/>
  <c r="Z50" i="42"/>
  <c r="X50" i="42"/>
  <c r="L50" i="42"/>
  <c r="N50" i="42" s="1"/>
  <c r="J50" i="42"/>
  <c r="B50" i="42"/>
  <c r="X49" i="42"/>
  <c r="Z49" i="42" s="1"/>
  <c r="V49" i="42"/>
  <c r="N49" i="42"/>
  <c r="L49" i="42"/>
  <c r="B49" i="42"/>
  <c r="Z48" i="42"/>
  <c r="X48" i="42"/>
  <c r="N48" i="42"/>
  <c r="L48" i="42"/>
  <c r="J48" i="42"/>
  <c r="B48" i="42"/>
  <c r="X47" i="42"/>
  <c r="Z47" i="42" s="1"/>
  <c r="V47" i="42"/>
  <c r="N47" i="42"/>
  <c r="L47" i="42"/>
  <c r="B47" i="42"/>
  <c r="Z46" i="42"/>
  <c r="X46" i="42"/>
  <c r="L46" i="42"/>
  <c r="N46" i="42" s="1"/>
  <c r="B46" i="42"/>
  <c r="T45" i="42"/>
  <c r="P45" i="42"/>
  <c r="X45" i="42" s="1"/>
  <c r="H45" i="42"/>
  <c r="D45" i="42"/>
  <c r="B45" i="42"/>
  <c r="X44" i="42"/>
  <c r="Z44" i="42" s="1"/>
  <c r="V44" i="42"/>
  <c r="L44" i="42"/>
  <c r="N44" i="42" s="1"/>
  <c r="B44" i="42"/>
  <c r="X43" i="42"/>
  <c r="Z43" i="42" s="1"/>
  <c r="L43" i="42"/>
  <c r="N43" i="42" s="1"/>
  <c r="B43" i="42"/>
  <c r="X42" i="42"/>
  <c r="Z42" i="42" s="1"/>
  <c r="V42" i="42"/>
  <c r="N42" i="42"/>
  <c r="L42" i="42"/>
  <c r="B42" i="42"/>
  <c r="Z41" i="42"/>
  <c r="X41" i="42"/>
  <c r="V41" i="42"/>
  <c r="N41" i="42"/>
  <c r="L41" i="42"/>
  <c r="B41" i="42"/>
  <c r="X40" i="42"/>
  <c r="Z40" i="42" s="1"/>
  <c r="V40" i="42"/>
  <c r="L40" i="42"/>
  <c r="N40" i="42" s="1"/>
  <c r="B40" i="42"/>
  <c r="X39" i="42"/>
  <c r="Z39" i="42" s="1"/>
  <c r="L39" i="42"/>
  <c r="N39" i="42" s="1"/>
  <c r="B39" i="42"/>
  <c r="X38" i="42"/>
  <c r="Z38" i="42" s="1"/>
  <c r="V38" i="42"/>
  <c r="N38" i="42"/>
  <c r="L38" i="42"/>
  <c r="B38" i="42"/>
  <c r="Z37" i="42"/>
  <c r="X37" i="42"/>
  <c r="V37" i="42"/>
  <c r="N37" i="42"/>
  <c r="L37" i="42"/>
  <c r="B37" i="42"/>
  <c r="X36" i="42"/>
  <c r="Z36" i="42" s="1"/>
  <c r="V36" i="42"/>
  <c r="L36" i="42"/>
  <c r="N36" i="42" s="1"/>
  <c r="B36" i="42"/>
  <c r="X35" i="42"/>
  <c r="Z35" i="42" s="1"/>
  <c r="L35" i="42"/>
  <c r="N35" i="42" s="1"/>
  <c r="B35" i="42"/>
  <c r="X34" i="42"/>
  <c r="Z34" i="42" s="1"/>
  <c r="V34" i="42"/>
  <c r="T34" i="42"/>
  <c r="P34" i="42"/>
  <c r="L34" i="42"/>
  <c r="J34" i="42"/>
  <c r="H34" i="42"/>
  <c r="N34" i="42" s="1"/>
  <c r="D34" i="42"/>
  <c r="B34" i="42"/>
  <c r="T33" i="42"/>
  <c r="V33" i="42" s="1"/>
  <c r="P33" i="42"/>
  <c r="X33" i="42" s="1"/>
  <c r="Z33" i="42" s="1"/>
  <c r="H33" i="42"/>
  <c r="D33" i="42"/>
  <c r="L33" i="42" s="1"/>
  <c r="N33" i="42" s="1"/>
  <c r="T31" i="42"/>
  <c r="V31" i="42" s="1"/>
  <c r="Z29" i="42"/>
  <c r="X29" i="42"/>
  <c r="V29" i="42"/>
  <c r="N29" i="42"/>
  <c r="L29" i="42"/>
  <c r="B29" i="42"/>
  <c r="Z28" i="42"/>
  <c r="X28" i="42"/>
  <c r="V28" i="42"/>
  <c r="N28" i="42"/>
  <c r="L28" i="42"/>
  <c r="J28" i="42"/>
  <c r="B28" i="42"/>
  <c r="X27" i="42"/>
  <c r="Z27" i="42" s="1"/>
  <c r="V27" i="42"/>
  <c r="L27" i="42"/>
  <c r="N27" i="42" s="1"/>
  <c r="J27" i="42"/>
  <c r="B27" i="42"/>
  <c r="T26" i="42"/>
  <c r="P26" i="42"/>
  <c r="X26" i="42" s="1"/>
  <c r="Z26" i="42" s="1"/>
  <c r="H26" i="42"/>
  <c r="D26" i="42"/>
  <c r="Z24" i="42"/>
  <c r="P24" i="42"/>
  <c r="X24" i="42" s="1"/>
  <c r="N24" i="42"/>
  <c r="L24" i="42"/>
  <c r="D24" i="42"/>
  <c r="B24" i="42"/>
  <c r="Z23" i="42"/>
  <c r="P23" i="42"/>
  <c r="X23" i="42" s="1"/>
  <c r="N23" i="42"/>
  <c r="D23" i="42"/>
  <c r="L23" i="42" s="1"/>
  <c r="B23" i="42"/>
  <c r="Z22" i="42"/>
  <c r="P22" i="42"/>
  <c r="X22" i="42" s="1"/>
  <c r="N22" i="42"/>
  <c r="L22" i="42"/>
  <c r="D22" i="42"/>
  <c r="B22" i="42"/>
  <c r="Z21" i="42"/>
  <c r="X21" i="42"/>
  <c r="P21" i="42"/>
  <c r="N21" i="42"/>
  <c r="D21" i="42"/>
  <c r="L21" i="42" s="1"/>
  <c r="B21" i="42"/>
  <c r="Z20" i="42"/>
  <c r="P20" i="42"/>
  <c r="X20" i="42" s="1"/>
  <c r="N20" i="42"/>
  <c r="L20" i="42"/>
  <c r="D20" i="42"/>
  <c r="B20" i="42"/>
  <c r="X19" i="42"/>
  <c r="Z19" i="42" s="1"/>
  <c r="P19" i="42"/>
  <c r="D19" i="42"/>
  <c r="L19" i="42" s="1"/>
  <c r="N19" i="42" s="1"/>
  <c r="B19" i="42"/>
  <c r="Z18" i="42"/>
  <c r="P18" i="42"/>
  <c r="X18" i="42" s="1"/>
  <c r="N18" i="42"/>
  <c r="L18" i="42"/>
  <c r="D18" i="42"/>
  <c r="B18" i="42"/>
  <c r="Z17" i="42"/>
  <c r="P17" i="42"/>
  <c r="X17" i="42" s="1"/>
  <c r="N17" i="42"/>
  <c r="D17" i="42"/>
  <c r="L17" i="42" s="1"/>
  <c r="B17" i="42"/>
  <c r="Z16" i="42"/>
  <c r="P16" i="42"/>
  <c r="X16" i="42" s="1"/>
  <c r="N16" i="42"/>
  <c r="L16" i="42"/>
  <c r="D16" i="42"/>
  <c r="B16" i="42"/>
  <c r="Z15" i="42"/>
  <c r="X15" i="42"/>
  <c r="P15" i="42"/>
  <c r="N15" i="42"/>
  <c r="D15" i="42"/>
  <c r="L15" i="42" s="1"/>
  <c r="B15" i="42"/>
  <c r="Z14" i="42"/>
  <c r="P14" i="42"/>
  <c r="N14" i="42"/>
  <c r="D14" i="42"/>
  <c r="L14" i="42" s="1"/>
  <c r="B14" i="42"/>
  <c r="X13" i="42"/>
  <c r="Z13" i="42" s="1"/>
  <c r="P13" i="42"/>
  <c r="D13" i="42"/>
  <c r="B13" i="42"/>
  <c r="T12" i="42"/>
  <c r="H12" i="42"/>
  <c r="D4" i="42"/>
  <c r="X150" i="39"/>
  <c r="Z150" i="39" s="1"/>
  <c r="L150" i="39"/>
  <c r="N150" i="39" s="1"/>
  <c r="Z146" i="39"/>
  <c r="X146" i="39"/>
  <c r="P146" i="39"/>
  <c r="N146" i="39"/>
  <c r="D146" i="39"/>
  <c r="L146" i="39" s="1"/>
  <c r="B146" i="39"/>
  <c r="Z145" i="39"/>
  <c r="P145" i="39"/>
  <c r="X145" i="39" s="1"/>
  <c r="N145" i="39"/>
  <c r="L145" i="39"/>
  <c r="D145" i="39"/>
  <c r="D142" i="39" s="1"/>
  <c r="B145" i="39"/>
  <c r="X144" i="39"/>
  <c r="Z144" i="39" s="1"/>
  <c r="P144" i="39"/>
  <c r="N144" i="39"/>
  <c r="L144" i="39"/>
  <c r="D144" i="39"/>
  <c r="B144" i="39"/>
  <c r="P143" i="39"/>
  <c r="L143" i="39"/>
  <c r="N143" i="39" s="1"/>
  <c r="D143" i="39"/>
  <c r="B143" i="39"/>
  <c r="T142" i="39"/>
  <c r="L142" i="39"/>
  <c r="H142" i="39"/>
  <c r="N142" i="39" s="1"/>
  <c r="X140" i="39"/>
  <c r="Z140" i="39" s="1"/>
  <c r="L140" i="39"/>
  <c r="N140" i="39" s="1"/>
  <c r="B140" i="39"/>
  <c r="Z139" i="39"/>
  <c r="T139" i="39"/>
  <c r="P139" i="39"/>
  <c r="X139" i="39" s="1"/>
  <c r="N139" i="39"/>
  <c r="H139" i="39"/>
  <c r="D139" i="39"/>
  <c r="L139" i="39" s="1"/>
  <c r="B139" i="39"/>
  <c r="Z138" i="39"/>
  <c r="X138" i="39"/>
  <c r="N138" i="39"/>
  <c r="L138" i="39"/>
  <c r="B138" i="39"/>
  <c r="Z137" i="39"/>
  <c r="X137" i="39"/>
  <c r="N137" i="39"/>
  <c r="L137" i="39"/>
  <c r="B137" i="39"/>
  <c r="X136" i="39"/>
  <c r="Z136" i="39" s="1"/>
  <c r="N136" i="39"/>
  <c r="L136" i="39"/>
  <c r="B136" i="39"/>
  <c r="Z135" i="39"/>
  <c r="T135" i="39"/>
  <c r="P135" i="39"/>
  <c r="X135" i="39" s="1"/>
  <c r="N135" i="39"/>
  <c r="H135" i="39"/>
  <c r="D135" i="39"/>
  <c r="L135" i="39" s="1"/>
  <c r="B135" i="39"/>
  <c r="X134" i="39"/>
  <c r="Z134" i="39" s="1"/>
  <c r="N134" i="39"/>
  <c r="L134" i="39"/>
  <c r="B134" i="39"/>
  <c r="X133" i="39"/>
  <c r="T133" i="39"/>
  <c r="Z133" i="39" s="1"/>
  <c r="P133" i="39"/>
  <c r="N133" i="39"/>
  <c r="L133" i="39"/>
  <c r="H133" i="39"/>
  <c r="D133" i="39"/>
  <c r="B133" i="39"/>
  <c r="X132" i="39"/>
  <c r="Z132" i="39" s="1"/>
  <c r="L132" i="39"/>
  <c r="N132" i="39" s="1"/>
  <c r="B132" i="39"/>
  <c r="Z131" i="39"/>
  <c r="X131" i="39"/>
  <c r="N131" i="39"/>
  <c r="L131" i="39"/>
  <c r="J131" i="39"/>
  <c r="B131" i="39"/>
  <c r="T130" i="39"/>
  <c r="P130" i="39"/>
  <c r="H130" i="39"/>
  <c r="D130" i="39"/>
  <c r="L130" i="39" s="1"/>
  <c r="B130" i="39"/>
  <c r="Z129" i="39"/>
  <c r="X129" i="39"/>
  <c r="L129" i="39"/>
  <c r="N129" i="39" s="1"/>
  <c r="B129" i="39"/>
  <c r="X128" i="39"/>
  <c r="Z128" i="39" s="1"/>
  <c r="L128" i="39"/>
  <c r="N128" i="39" s="1"/>
  <c r="B128" i="39"/>
  <c r="Z127" i="39"/>
  <c r="X127" i="39"/>
  <c r="N127" i="39"/>
  <c r="L127" i="39"/>
  <c r="B127" i="39"/>
  <c r="X126" i="39"/>
  <c r="Z126" i="39" s="1"/>
  <c r="L126" i="39"/>
  <c r="N126" i="39" s="1"/>
  <c r="B126" i="39"/>
  <c r="Z125" i="39"/>
  <c r="X125" i="39"/>
  <c r="L125" i="39"/>
  <c r="N125" i="39" s="1"/>
  <c r="B125" i="39"/>
  <c r="X124" i="39"/>
  <c r="Z124" i="39" s="1"/>
  <c r="L124" i="39"/>
  <c r="N124" i="39" s="1"/>
  <c r="B124" i="39"/>
  <c r="Z123" i="39"/>
  <c r="X123" i="39"/>
  <c r="L123" i="39"/>
  <c r="N123" i="39" s="1"/>
  <c r="B123" i="39"/>
  <c r="X122" i="39"/>
  <c r="Z122" i="39" s="1"/>
  <c r="L122" i="39"/>
  <c r="N122" i="39" s="1"/>
  <c r="B122" i="39"/>
  <c r="Z121" i="39"/>
  <c r="X121" i="39"/>
  <c r="L121" i="39"/>
  <c r="N121" i="39" s="1"/>
  <c r="B121" i="39"/>
  <c r="Z120" i="39"/>
  <c r="X120" i="39"/>
  <c r="N120" i="39"/>
  <c r="L120" i="39"/>
  <c r="B120" i="39"/>
  <c r="Z119" i="39"/>
  <c r="X119" i="39"/>
  <c r="L119" i="39"/>
  <c r="N119" i="39" s="1"/>
  <c r="B119" i="39"/>
  <c r="T118" i="39"/>
  <c r="P118" i="39"/>
  <c r="H118" i="39"/>
  <c r="D118" i="39"/>
  <c r="B118" i="39"/>
  <c r="X117" i="39"/>
  <c r="Z117" i="39" s="1"/>
  <c r="N117" i="39"/>
  <c r="L117" i="39"/>
  <c r="B117" i="39"/>
  <c r="X116" i="39"/>
  <c r="Z116" i="39" s="1"/>
  <c r="N116" i="39"/>
  <c r="L116" i="39"/>
  <c r="B116" i="39"/>
  <c r="X115" i="39"/>
  <c r="Z115" i="39" s="1"/>
  <c r="T115" i="39"/>
  <c r="P115" i="39"/>
  <c r="L115" i="39"/>
  <c r="H115" i="39"/>
  <c r="N115" i="39" s="1"/>
  <c r="D115" i="39"/>
  <c r="B115" i="39"/>
  <c r="X114" i="39"/>
  <c r="Z114" i="39" s="1"/>
  <c r="L114" i="39"/>
  <c r="N114" i="39" s="1"/>
  <c r="B114" i="39"/>
  <c r="Z113" i="39"/>
  <c r="X113" i="39"/>
  <c r="N113" i="39"/>
  <c r="L113" i="39"/>
  <c r="B113" i="39"/>
  <c r="Z112" i="39"/>
  <c r="X112" i="39"/>
  <c r="L112" i="39"/>
  <c r="N112" i="39" s="1"/>
  <c r="J112" i="39"/>
  <c r="B112" i="39"/>
  <c r="Z111" i="39"/>
  <c r="X111" i="39"/>
  <c r="N111" i="39"/>
  <c r="L111" i="39"/>
  <c r="B111" i="39"/>
  <c r="Z110" i="39"/>
  <c r="X110" i="39"/>
  <c r="L110" i="39"/>
  <c r="N110" i="39" s="1"/>
  <c r="B110" i="39"/>
  <c r="Z109" i="39"/>
  <c r="X109" i="39"/>
  <c r="N109" i="39"/>
  <c r="L109" i="39"/>
  <c r="B109" i="39"/>
  <c r="T108" i="39"/>
  <c r="P108" i="39"/>
  <c r="X108" i="39" s="1"/>
  <c r="Z108" i="39" s="1"/>
  <c r="H108" i="39"/>
  <c r="D108" i="39"/>
  <c r="B108" i="39"/>
  <c r="Z107" i="39"/>
  <c r="X107" i="39"/>
  <c r="L107" i="39"/>
  <c r="N107" i="39" s="1"/>
  <c r="B107" i="39"/>
  <c r="X106" i="39"/>
  <c r="Z106" i="39" s="1"/>
  <c r="N106" i="39"/>
  <c r="L106" i="39"/>
  <c r="B106" i="39"/>
  <c r="Z105" i="39"/>
  <c r="X105" i="39"/>
  <c r="L105" i="39"/>
  <c r="N105" i="39" s="1"/>
  <c r="B105" i="39"/>
  <c r="X104" i="39"/>
  <c r="Z104" i="39" s="1"/>
  <c r="L104" i="39"/>
  <c r="N104" i="39" s="1"/>
  <c r="B104" i="39"/>
  <c r="Z103" i="39"/>
  <c r="T103" i="39"/>
  <c r="P103" i="39"/>
  <c r="X103" i="39" s="1"/>
  <c r="N103" i="39"/>
  <c r="H103" i="39"/>
  <c r="D103" i="39"/>
  <c r="L103" i="39" s="1"/>
  <c r="B103" i="39"/>
  <c r="X102" i="39"/>
  <c r="Z102" i="39" s="1"/>
  <c r="L102" i="39"/>
  <c r="N102" i="39" s="1"/>
  <c r="B102" i="39"/>
  <c r="X101" i="39"/>
  <c r="Z101" i="39" s="1"/>
  <c r="N101" i="39"/>
  <c r="L101" i="39"/>
  <c r="B101" i="39"/>
  <c r="X100" i="39"/>
  <c r="Z100" i="39" s="1"/>
  <c r="N100" i="39"/>
  <c r="L100" i="39"/>
  <c r="B100" i="39"/>
  <c r="X99" i="39"/>
  <c r="Z99" i="39" s="1"/>
  <c r="N99" i="39"/>
  <c r="L99" i="39"/>
  <c r="B99" i="39"/>
  <c r="X98" i="39"/>
  <c r="T98" i="39"/>
  <c r="P98" i="39"/>
  <c r="L98" i="39"/>
  <c r="N98" i="39" s="1"/>
  <c r="H98" i="39"/>
  <c r="D98" i="39"/>
  <c r="B98" i="39"/>
  <c r="Z97" i="39"/>
  <c r="X97" i="39"/>
  <c r="N97" i="39"/>
  <c r="L97" i="39"/>
  <c r="B97" i="39"/>
  <c r="X96" i="39"/>
  <c r="T96" i="39"/>
  <c r="Z96" i="39" s="1"/>
  <c r="P96" i="39"/>
  <c r="L96" i="39"/>
  <c r="N96" i="39" s="1"/>
  <c r="H96" i="39"/>
  <c r="D96" i="39"/>
  <c r="B96" i="39"/>
  <c r="Z95" i="39"/>
  <c r="X95" i="39"/>
  <c r="N95" i="39"/>
  <c r="L95" i="39"/>
  <c r="B95" i="39"/>
  <c r="T94" i="39"/>
  <c r="Z94" i="39" s="1"/>
  <c r="P94" i="39"/>
  <c r="H94" i="39"/>
  <c r="D94" i="39"/>
  <c r="B94" i="39"/>
  <c r="Z93" i="39"/>
  <c r="X93" i="39"/>
  <c r="N93" i="39"/>
  <c r="L93" i="39"/>
  <c r="B93" i="39"/>
  <c r="Z92" i="39"/>
  <c r="X92" i="39"/>
  <c r="T92" i="39"/>
  <c r="P92" i="39"/>
  <c r="L92" i="39"/>
  <c r="H92" i="39"/>
  <c r="N92" i="39" s="1"/>
  <c r="D92" i="39"/>
  <c r="B92" i="39"/>
  <c r="Z91" i="39"/>
  <c r="X91" i="39"/>
  <c r="N91" i="39"/>
  <c r="L91" i="39"/>
  <c r="J91" i="39"/>
  <c r="B91" i="39"/>
  <c r="T90" i="39"/>
  <c r="X90" i="39" s="1"/>
  <c r="Z90" i="39" s="1"/>
  <c r="P90" i="39"/>
  <c r="H90" i="39"/>
  <c r="D90" i="39"/>
  <c r="L90" i="39" s="1"/>
  <c r="N90" i="39" s="1"/>
  <c r="B90" i="39"/>
  <c r="Z89" i="39"/>
  <c r="X89" i="39"/>
  <c r="L89" i="39"/>
  <c r="N89" i="39" s="1"/>
  <c r="B89" i="39"/>
  <c r="X88" i="39"/>
  <c r="T88" i="39"/>
  <c r="P88" i="39"/>
  <c r="H88" i="39"/>
  <c r="D88" i="39"/>
  <c r="B88" i="39"/>
  <c r="X87" i="39"/>
  <c r="Z87" i="39" s="1"/>
  <c r="N87" i="39"/>
  <c r="L87" i="39"/>
  <c r="B87" i="39"/>
  <c r="X86" i="39"/>
  <c r="Z86" i="39" s="1"/>
  <c r="N86" i="39"/>
  <c r="L86" i="39"/>
  <c r="B86" i="39"/>
  <c r="X85" i="39"/>
  <c r="T85" i="39"/>
  <c r="P85" i="39"/>
  <c r="L85" i="39"/>
  <c r="N85" i="39" s="1"/>
  <c r="H85" i="39"/>
  <c r="D85" i="39"/>
  <c r="B85" i="39"/>
  <c r="Z84" i="39"/>
  <c r="X84" i="39"/>
  <c r="N84" i="39"/>
  <c r="L84" i="39"/>
  <c r="B84" i="39"/>
  <c r="Z83" i="39"/>
  <c r="X83" i="39"/>
  <c r="N83" i="39"/>
  <c r="L83" i="39"/>
  <c r="B83" i="39"/>
  <c r="Z82" i="39"/>
  <c r="X82" i="39"/>
  <c r="T82" i="39"/>
  <c r="P82" i="39"/>
  <c r="H82" i="39"/>
  <c r="N82" i="39" s="1"/>
  <c r="D82" i="39"/>
  <c r="L82" i="39" s="1"/>
  <c r="B82" i="39"/>
  <c r="Z81" i="39"/>
  <c r="X81" i="39"/>
  <c r="L81" i="39"/>
  <c r="N81" i="39" s="1"/>
  <c r="B81" i="39"/>
  <c r="T80" i="39"/>
  <c r="P80" i="39"/>
  <c r="H80" i="39"/>
  <c r="D80" i="39"/>
  <c r="L80" i="39" s="1"/>
  <c r="B80" i="39"/>
  <c r="X79" i="39"/>
  <c r="Z79" i="39" s="1"/>
  <c r="N79" i="39"/>
  <c r="L79" i="39"/>
  <c r="B79" i="39"/>
  <c r="T78" i="39"/>
  <c r="P78" i="39"/>
  <c r="X78" i="39" s="1"/>
  <c r="H78" i="39"/>
  <c r="D78" i="39"/>
  <c r="L78" i="39" s="1"/>
  <c r="N78" i="39" s="1"/>
  <c r="B78" i="39"/>
  <c r="Z77" i="39"/>
  <c r="X77" i="39"/>
  <c r="N77" i="39"/>
  <c r="L77" i="39"/>
  <c r="B77" i="39"/>
  <c r="T76" i="39"/>
  <c r="P76" i="39"/>
  <c r="H76" i="39"/>
  <c r="L76" i="39" s="1"/>
  <c r="N76" i="39" s="1"/>
  <c r="D76" i="39"/>
  <c r="B76" i="39"/>
  <c r="Z75" i="39"/>
  <c r="X75" i="39"/>
  <c r="N75" i="39"/>
  <c r="L75" i="39"/>
  <c r="B75" i="39"/>
  <c r="T74" i="39"/>
  <c r="Z74" i="39" s="1"/>
  <c r="P74" i="39"/>
  <c r="X74" i="39" s="1"/>
  <c r="H74" i="39"/>
  <c r="N74" i="39" s="1"/>
  <c r="D74" i="39"/>
  <c r="L74" i="39" s="1"/>
  <c r="B74" i="39"/>
  <c r="X73" i="39"/>
  <c r="Z73" i="39" s="1"/>
  <c r="L73" i="39"/>
  <c r="N73" i="39" s="1"/>
  <c r="B73" i="39"/>
  <c r="Z72" i="39"/>
  <c r="X72" i="39"/>
  <c r="N72" i="39"/>
  <c r="L72" i="39"/>
  <c r="J72" i="39"/>
  <c r="B72" i="39"/>
  <c r="X71" i="39"/>
  <c r="Z71" i="39" s="1"/>
  <c r="N71" i="39"/>
  <c r="L71" i="39"/>
  <c r="B71" i="39"/>
  <c r="X70" i="39"/>
  <c r="Z70" i="39" s="1"/>
  <c r="L70" i="39"/>
  <c r="N70" i="39" s="1"/>
  <c r="B70" i="39"/>
  <c r="T69" i="39"/>
  <c r="P69" i="39"/>
  <c r="X69" i="39" s="1"/>
  <c r="H69" i="39"/>
  <c r="D69" i="39"/>
  <c r="B69" i="39"/>
  <c r="Z68" i="39"/>
  <c r="X68" i="39"/>
  <c r="N68" i="39"/>
  <c r="L68" i="39"/>
  <c r="J68" i="39"/>
  <c r="B68" i="39"/>
  <c r="T67" i="39"/>
  <c r="Z67" i="39" s="1"/>
  <c r="P67" i="39"/>
  <c r="X67" i="39" s="1"/>
  <c r="H67" i="39"/>
  <c r="D67" i="39"/>
  <c r="L67" i="39" s="1"/>
  <c r="B67" i="39"/>
  <c r="X66" i="39"/>
  <c r="Z66" i="39" s="1"/>
  <c r="L66" i="39"/>
  <c r="N66" i="39" s="1"/>
  <c r="B66" i="39"/>
  <c r="Z65" i="39"/>
  <c r="T65" i="39"/>
  <c r="P65" i="39"/>
  <c r="X65" i="39" s="1"/>
  <c r="H65" i="39"/>
  <c r="N65" i="39" s="1"/>
  <c r="D65" i="39"/>
  <c r="L65" i="39" s="1"/>
  <c r="B65" i="39"/>
  <c r="Z64" i="39"/>
  <c r="X64" i="39"/>
  <c r="N64" i="39"/>
  <c r="L64" i="39"/>
  <c r="J64" i="39"/>
  <c r="B64" i="39"/>
  <c r="X63" i="39"/>
  <c r="Z63" i="39" s="1"/>
  <c r="T63" i="39"/>
  <c r="P63" i="39"/>
  <c r="L63" i="39"/>
  <c r="H63" i="39"/>
  <c r="D63" i="39"/>
  <c r="B63" i="39"/>
  <c r="Z62" i="39"/>
  <c r="X62" i="39"/>
  <c r="N62" i="39"/>
  <c r="L62" i="39"/>
  <c r="B62" i="39"/>
  <c r="Z61" i="39"/>
  <c r="X61" i="39"/>
  <c r="N61" i="39"/>
  <c r="L61" i="39"/>
  <c r="B61" i="39"/>
  <c r="Z60" i="39"/>
  <c r="X60" i="39"/>
  <c r="N60" i="39"/>
  <c r="L60" i="39"/>
  <c r="B60" i="39"/>
  <c r="Z59" i="39"/>
  <c r="X59" i="39"/>
  <c r="N59" i="39"/>
  <c r="L59" i="39"/>
  <c r="J59" i="39"/>
  <c r="B59" i="39"/>
  <c r="Z58" i="39"/>
  <c r="X58" i="39"/>
  <c r="N58" i="39"/>
  <c r="L58" i="39"/>
  <c r="B58" i="39"/>
  <c r="Z57" i="39"/>
  <c r="X57" i="39"/>
  <c r="L57" i="39"/>
  <c r="N57" i="39" s="1"/>
  <c r="B57" i="39"/>
  <c r="Z56" i="39"/>
  <c r="X56" i="39"/>
  <c r="N56" i="39"/>
  <c r="L56" i="39"/>
  <c r="B56" i="39"/>
  <c r="Z55" i="39"/>
  <c r="X55" i="39"/>
  <c r="N55" i="39"/>
  <c r="L55" i="39"/>
  <c r="J55" i="39"/>
  <c r="B55" i="39"/>
  <c r="X54" i="39"/>
  <c r="Z54" i="39" s="1"/>
  <c r="L54" i="39"/>
  <c r="N54" i="39" s="1"/>
  <c r="B54" i="39"/>
  <c r="X53" i="39"/>
  <c r="Z53" i="39" s="1"/>
  <c r="L53" i="39"/>
  <c r="N53" i="39" s="1"/>
  <c r="B53" i="39"/>
  <c r="T52" i="39"/>
  <c r="P52" i="39"/>
  <c r="X52" i="39" s="1"/>
  <c r="Z52" i="39" s="1"/>
  <c r="H52" i="39"/>
  <c r="D52" i="39"/>
  <c r="B52" i="39"/>
  <c r="X51" i="39"/>
  <c r="Z51" i="39" s="1"/>
  <c r="L51" i="39"/>
  <c r="N51" i="39" s="1"/>
  <c r="B51" i="39"/>
  <c r="X50" i="39"/>
  <c r="Z50" i="39" s="1"/>
  <c r="L50" i="39"/>
  <c r="N50" i="39" s="1"/>
  <c r="B50" i="39"/>
  <c r="Z49" i="39"/>
  <c r="X49" i="39"/>
  <c r="L49" i="39"/>
  <c r="N49" i="39" s="1"/>
  <c r="B49" i="39"/>
  <c r="Z48" i="39"/>
  <c r="X48" i="39"/>
  <c r="N48" i="39"/>
  <c r="L48" i="39"/>
  <c r="B48" i="39"/>
  <c r="X47" i="39"/>
  <c r="Z47" i="39" s="1"/>
  <c r="L47" i="39"/>
  <c r="N47" i="39" s="1"/>
  <c r="B47" i="39"/>
  <c r="X46" i="39"/>
  <c r="Z46" i="39" s="1"/>
  <c r="L46" i="39"/>
  <c r="N46" i="39" s="1"/>
  <c r="B46" i="39"/>
  <c r="Z45" i="39"/>
  <c r="X45" i="39"/>
  <c r="L45" i="39"/>
  <c r="N45" i="39" s="1"/>
  <c r="B45" i="39"/>
  <c r="Z44" i="39"/>
  <c r="X44" i="39"/>
  <c r="N44" i="39"/>
  <c r="L44" i="39"/>
  <c r="B44" i="39"/>
  <c r="Z43" i="39"/>
  <c r="X43" i="39"/>
  <c r="N43" i="39"/>
  <c r="L43" i="39"/>
  <c r="B43" i="39"/>
  <c r="X42" i="39"/>
  <c r="Z42" i="39" s="1"/>
  <c r="N42" i="39"/>
  <c r="L42" i="39"/>
  <c r="J42" i="39"/>
  <c r="B42" i="39"/>
  <c r="T41" i="39"/>
  <c r="P41" i="39"/>
  <c r="X41" i="39" s="1"/>
  <c r="Z41" i="39" s="1"/>
  <c r="H41" i="39"/>
  <c r="D41" i="39"/>
  <c r="B41" i="39"/>
  <c r="X40" i="39"/>
  <c r="Z40" i="39" s="1"/>
  <c r="T40" i="39"/>
  <c r="P40" i="39"/>
  <c r="N40" i="39"/>
  <c r="J40" i="39"/>
  <c r="H40" i="39"/>
  <c r="D40" i="39"/>
  <c r="L40" i="39" s="1"/>
  <c r="Z36" i="39"/>
  <c r="X36" i="39"/>
  <c r="N36" i="39"/>
  <c r="L36" i="39"/>
  <c r="J36" i="39"/>
  <c r="B36" i="39"/>
  <c r="Z35" i="39"/>
  <c r="X35" i="39"/>
  <c r="N35" i="39"/>
  <c r="L35" i="39"/>
  <c r="B35" i="39"/>
  <c r="Z34" i="39"/>
  <c r="X34" i="39"/>
  <c r="N34" i="39"/>
  <c r="L34" i="39"/>
  <c r="B34" i="39"/>
  <c r="T33" i="39"/>
  <c r="P33" i="39"/>
  <c r="X33" i="39" s="1"/>
  <c r="L33" i="39"/>
  <c r="N33" i="39" s="1"/>
  <c r="H33" i="39"/>
  <c r="D33" i="39"/>
  <c r="Z31" i="39"/>
  <c r="P31" i="39"/>
  <c r="X31" i="39" s="1"/>
  <c r="N31" i="39"/>
  <c r="D31" i="39"/>
  <c r="L31" i="39" s="1"/>
  <c r="B31" i="39"/>
  <c r="Z30" i="39"/>
  <c r="X30" i="39"/>
  <c r="P30" i="39"/>
  <c r="N30" i="39"/>
  <c r="L30" i="39"/>
  <c r="D30" i="39"/>
  <c r="B30" i="39"/>
  <c r="Z29" i="39"/>
  <c r="X29" i="39"/>
  <c r="P29" i="39"/>
  <c r="N29" i="39"/>
  <c r="D29" i="39"/>
  <c r="L29" i="39" s="1"/>
  <c r="B29" i="39"/>
  <c r="Z28" i="39"/>
  <c r="P28" i="39"/>
  <c r="X28" i="39" s="1"/>
  <c r="N28" i="39"/>
  <c r="D28" i="39"/>
  <c r="L28" i="39" s="1"/>
  <c r="B28" i="39"/>
  <c r="Z27" i="39"/>
  <c r="X27" i="39"/>
  <c r="P27" i="39"/>
  <c r="N27" i="39"/>
  <c r="L27" i="39"/>
  <c r="D27" i="39"/>
  <c r="B27" i="39"/>
  <c r="Z26" i="39"/>
  <c r="P26" i="39"/>
  <c r="X26" i="39" s="1"/>
  <c r="N26" i="39"/>
  <c r="L26" i="39"/>
  <c r="D26" i="39"/>
  <c r="B26" i="39"/>
  <c r="Z25" i="39"/>
  <c r="X25" i="39"/>
  <c r="P25" i="39"/>
  <c r="N25" i="39"/>
  <c r="D25" i="39"/>
  <c r="L25" i="39" s="1"/>
  <c r="B25" i="39"/>
  <c r="Z24" i="39"/>
  <c r="P24" i="39"/>
  <c r="X24" i="39" s="1"/>
  <c r="N24" i="39"/>
  <c r="L24" i="39"/>
  <c r="D24" i="39"/>
  <c r="B24" i="39"/>
  <c r="Z23" i="39"/>
  <c r="P23" i="39"/>
  <c r="X23" i="39" s="1"/>
  <c r="N23" i="39"/>
  <c r="D23" i="39"/>
  <c r="L23" i="39" s="1"/>
  <c r="B23" i="39"/>
  <c r="Z22" i="39"/>
  <c r="P22" i="39"/>
  <c r="X22" i="39" s="1"/>
  <c r="N22" i="39"/>
  <c r="L22" i="39"/>
  <c r="D22" i="39"/>
  <c r="B22" i="39"/>
  <c r="X21" i="39"/>
  <c r="Z21" i="39" s="1"/>
  <c r="P21" i="39"/>
  <c r="D21" i="39"/>
  <c r="L21" i="39" s="1"/>
  <c r="N21" i="39" s="1"/>
  <c r="B21" i="39"/>
  <c r="Z20" i="39"/>
  <c r="P20" i="39"/>
  <c r="X20" i="39" s="1"/>
  <c r="N20" i="39"/>
  <c r="D20" i="39"/>
  <c r="L20" i="39" s="1"/>
  <c r="B20" i="39"/>
  <c r="Z19" i="39"/>
  <c r="P19" i="39"/>
  <c r="X19" i="39" s="1"/>
  <c r="N19" i="39"/>
  <c r="D19" i="39"/>
  <c r="L19" i="39" s="1"/>
  <c r="B19" i="39"/>
  <c r="Z18" i="39"/>
  <c r="X18" i="39"/>
  <c r="P18" i="39"/>
  <c r="N18" i="39"/>
  <c r="L18" i="39"/>
  <c r="D18" i="39"/>
  <c r="B18" i="39"/>
  <c r="Z17" i="39"/>
  <c r="X17" i="39"/>
  <c r="P17" i="39"/>
  <c r="N17" i="39"/>
  <c r="D17" i="39"/>
  <c r="L17" i="39" s="1"/>
  <c r="B17" i="39"/>
  <c r="Z16" i="39"/>
  <c r="P16" i="39"/>
  <c r="X16" i="39" s="1"/>
  <c r="N16" i="39"/>
  <c r="D16" i="39"/>
  <c r="L16" i="39" s="1"/>
  <c r="B16" i="39"/>
  <c r="Z15" i="39"/>
  <c r="X15" i="39"/>
  <c r="P15" i="39"/>
  <c r="N15" i="39"/>
  <c r="L15" i="39"/>
  <c r="D15" i="39"/>
  <c r="B15" i="39"/>
  <c r="Z14" i="39"/>
  <c r="P14" i="39"/>
  <c r="X14" i="39" s="1"/>
  <c r="N14" i="39"/>
  <c r="L14" i="39"/>
  <c r="D14" i="39"/>
  <c r="B14" i="39"/>
  <c r="X13" i="39"/>
  <c r="Z13" i="39" s="1"/>
  <c r="P13" i="39"/>
  <c r="D13" i="39"/>
  <c r="B13" i="39"/>
  <c r="T12" i="39"/>
  <c r="V60" i="39" s="1"/>
  <c r="H12" i="39"/>
  <c r="D4" i="39"/>
  <c r="X144" i="36"/>
  <c r="Z144" i="36" s="1"/>
  <c r="L144" i="36"/>
  <c r="N144" i="36" s="1"/>
  <c r="Z140" i="36"/>
  <c r="X140" i="36"/>
  <c r="P140" i="36"/>
  <c r="N140" i="36"/>
  <c r="J140" i="36"/>
  <c r="D140" i="36"/>
  <c r="L140" i="36" s="1"/>
  <c r="B140" i="36"/>
  <c r="Z139" i="36"/>
  <c r="P139" i="36"/>
  <c r="X139" i="36" s="1"/>
  <c r="N139" i="36"/>
  <c r="L139" i="36"/>
  <c r="D139" i="36"/>
  <c r="B139" i="36"/>
  <c r="X138" i="36"/>
  <c r="Z138" i="36" s="1"/>
  <c r="P138" i="36"/>
  <c r="P136" i="36" s="1"/>
  <c r="X136" i="36" s="1"/>
  <c r="D138" i="36"/>
  <c r="L138" i="36" s="1"/>
  <c r="N138" i="36" s="1"/>
  <c r="B138" i="36"/>
  <c r="Z137" i="36"/>
  <c r="X137" i="36"/>
  <c r="V137" i="36"/>
  <c r="P137" i="36"/>
  <c r="L137" i="36"/>
  <c r="N137" i="36" s="1"/>
  <c r="D137" i="36"/>
  <c r="B137" i="36"/>
  <c r="T136" i="36"/>
  <c r="H136" i="36"/>
  <c r="D136" i="36"/>
  <c r="L136" i="36" s="1"/>
  <c r="N136" i="36" s="1"/>
  <c r="X134" i="36"/>
  <c r="Z134" i="36" s="1"/>
  <c r="N134" i="36"/>
  <c r="L134" i="36"/>
  <c r="B134" i="36"/>
  <c r="V133" i="36"/>
  <c r="T133" i="36"/>
  <c r="P133" i="36"/>
  <c r="X133" i="36" s="1"/>
  <c r="Z133" i="36" s="1"/>
  <c r="H133" i="36"/>
  <c r="L133" i="36" s="1"/>
  <c r="N133" i="36" s="1"/>
  <c r="D133" i="36"/>
  <c r="B133" i="36"/>
  <c r="X132" i="36"/>
  <c r="Z132" i="36" s="1"/>
  <c r="L132" i="36"/>
  <c r="N132" i="36" s="1"/>
  <c r="B132" i="36"/>
  <c r="Z131" i="36"/>
  <c r="X131" i="36"/>
  <c r="N131" i="36"/>
  <c r="L131" i="36"/>
  <c r="J131" i="36"/>
  <c r="B131" i="36"/>
  <c r="Z130" i="36"/>
  <c r="X130" i="36"/>
  <c r="L130" i="36"/>
  <c r="N130" i="36" s="1"/>
  <c r="B130" i="36"/>
  <c r="Z129" i="36"/>
  <c r="X129" i="36"/>
  <c r="V129" i="36"/>
  <c r="T129" i="36"/>
  <c r="P129" i="36"/>
  <c r="H129" i="36"/>
  <c r="D129" i="36"/>
  <c r="L129" i="36" s="1"/>
  <c r="N129" i="36" s="1"/>
  <c r="B129" i="36"/>
  <c r="X128" i="36"/>
  <c r="Z128" i="36" s="1"/>
  <c r="L128" i="36"/>
  <c r="N128" i="36" s="1"/>
  <c r="B128" i="36"/>
  <c r="V127" i="36"/>
  <c r="T127" i="36"/>
  <c r="P127" i="36"/>
  <c r="X127" i="36" s="1"/>
  <c r="Z127" i="36" s="1"/>
  <c r="J127" i="36"/>
  <c r="H127" i="36"/>
  <c r="D127" i="36"/>
  <c r="L127" i="36" s="1"/>
  <c r="N127" i="36" s="1"/>
  <c r="B127" i="36"/>
  <c r="X126" i="36"/>
  <c r="Z126" i="36" s="1"/>
  <c r="V126" i="36"/>
  <c r="N126" i="36"/>
  <c r="L126" i="36"/>
  <c r="B126" i="36"/>
  <c r="X125" i="36"/>
  <c r="Z125" i="36" s="1"/>
  <c r="V125" i="36"/>
  <c r="N125" i="36"/>
  <c r="L125" i="36"/>
  <c r="J125" i="36"/>
  <c r="B125" i="36"/>
  <c r="T124" i="36"/>
  <c r="P124" i="36"/>
  <c r="X124" i="36" s="1"/>
  <c r="Z124" i="36" s="1"/>
  <c r="L124" i="36"/>
  <c r="H124" i="36"/>
  <c r="D124" i="36"/>
  <c r="B124" i="36"/>
  <c r="Z123" i="36"/>
  <c r="X123" i="36"/>
  <c r="N123" i="36"/>
  <c r="L123" i="36"/>
  <c r="J123" i="36"/>
  <c r="B123" i="36"/>
  <c r="X122" i="36"/>
  <c r="Z122" i="36" s="1"/>
  <c r="L122" i="36"/>
  <c r="N122" i="36" s="1"/>
  <c r="B122" i="36"/>
  <c r="Z121" i="36"/>
  <c r="X121" i="36"/>
  <c r="V121" i="36"/>
  <c r="N121" i="36"/>
  <c r="L121" i="36"/>
  <c r="J121" i="36"/>
  <c r="B121" i="36"/>
  <c r="X120" i="36"/>
  <c r="Z120" i="36" s="1"/>
  <c r="L120" i="36"/>
  <c r="N120" i="36" s="1"/>
  <c r="B120" i="36"/>
  <c r="Z119" i="36"/>
  <c r="X119" i="36"/>
  <c r="N119" i="36"/>
  <c r="L119" i="36"/>
  <c r="J119" i="36"/>
  <c r="B119" i="36"/>
  <c r="X118" i="36"/>
  <c r="Z118" i="36" s="1"/>
  <c r="L118" i="36"/>
  <c r="N118" i="36" s="1"/>
  <c r="B118" i="36"/>
  <c r="Z117" i="36"/>
  <c r="X117" i="36"/>
  <c r="V117" i="36"/>
  <c r="L117" i="36"/>
  <c r="N117" i="36" s="1"/>
  <c r="J117" i="36"/>
  <c r="B117" i="36"/>
  <c r="X116" i="36"/>
  <c r="Z116" i="36" s="1"/>
  <c r="L116" i="36"/>
  <c r="N116" i="36" s="1"/>
  <c r="B116" i="36"/>
  <c r="Z115" i="36"/>
  <c r="X115" i="36"/>
  <c r="N115" i="36"/>
  <c r="L115" i="36"/>
  <c r="J115" i="36"/>
  <c r="B115" i="36"/>
  <c r="Z114" i="36"/>
  <c r="X114" i="36"/>
  <c r="N114" i="36"/>
  <c r="L114" i="36"/>
  <c r="B114" i="36"/>
  <c r="Z113" i="36"/>
  <c r="X113" i="36"/>
  <c r="V113" i="36"/>
  <c r="L113" i="36"/>
  <c r="N113" i="36" s="1"/>
  <c r="J113" i="36"/>
  <c r="B113" i="36"/>
  <c r="T112" i="36"/>
  <c r="P112" i="36"/>
  <c r="X112" i="36" s="1"/>
  <c r="H112" i="36"/>
  <c r="D112" i="36"/>
  <c r="L112" i="36" s="1"/>
  <c r="B112" i="36"/>
  <c r="Z111" i="36"/>
  <c r="X111" i="36"/>
  <c r="V111" i="36"/>
  <c r="N111" i="36"/>
  <c r="L111" i="36"/>
  <c r="B111" i="36"/>
  <c r="X110" i="36"/>
  <c r="Z110" i="36" s="1"/>
  <c r="N110" i="36"/>
  <c r="L110" i="36"/>
  <c r="J110" i="36"/>
  <c r="B110" i="36"/>
  <c r="V109" i="36"/>
  <c r="T109" i="36"/>
  <c r="P109" i="36"/>
  <c r="X109" i="36" s="1"/>
  <c r="Z109" i="36" s="1"/>
  <c r="J109" i="36"/>
  <c r="H109" i="36"/>
  <c r="L109" i="36" s="1"/>
  <c r="N109" i="36" s="1"/>
  <c r="D109" i="36"/>
  <c r="B109" i="36"/>
  <c r="X108" i="36"/>
  <c r="Z108" i="36" s="1"/>
  <c r="L108" i="36"/>
  <c r="N108" i="36" s="1"/>
  <c r="B108" i="36"/>
  <c r="Z107" i="36"/>
  <c r="X107" i="36"/>
  <c r="N107" i="36"/>
  <c r="L107" i="36"/>
  <c r="B107" i="36"/>
  <c r="X106" i="36"/>
  <c r="Z106" i="36" s="1"/>
  <c r="V106" i="36"/>
  <c r="L106" i="36"/>
  <c r="N106" i="36" s="1"/>
  <c r="B106" i="36"/>
  <c r="X105" i="36"/>
  <c r="Z105" i="36" s="1"/>
  <c r="V105" i="36"/>
  <c r="N105" i="36"/>
  <c r="L105" i="36"/>
  <c r="J105" i="36"/>
  <c r="B105" i="36"/>
  <c r="X104" i="36"/>
  <c r="Z104" i="36" s="1"/>
  <c r="L104" i="36"/>
  <c r="N104" i="36" s="1"/>
  <c r="B104" i="36"/>
  <c r="Z103" i="36"/>
  <c r="T103" i="36"/>
  <c r="X103" i="36" s="1"/>
  <c r="P103" i="36"/>
  <c r="J103" i="36"/>
  <c r="H103" i="36"/>
  <c r="D103" i="36"/>
  <c r="L103" i="36" s="1"/>
  <c r="N103" i="36" s="1"/>
  <c r="B103" i="36"/>
  <c r="X102" i="36"/>
  <c r="Z102" i="36" s="1"/>
  <c r="L102" i="36"/>
  <c r="N102" i="36" s="1"/>
  <c r="J102" i="36"/>
  <c r="B102" i="36"/>
  <c r="Z101" i="36"/>
  <c r="X101" i="36"/>
  <c r="V101" i="36"/>
  <c r="N101" i="36"/>
  <c r="L101" i="36"/>
  <c r="J101" i="36"/>
  <c r="B101" i="36"/>
  <c r="X100" i="36"/>
  <c r="Z100" i="36" s="1"/>
  <c r="L100" i="36"/>
  <c r="N100" i="36" s="1"/>
  <c r="B100" i="36"/>
  <c r="Z99" i="36"/>
  <c r="X99" i="36"/>
  <c r="N99" i="36"/>
  <c r="L99" i="36"/>
  <c r="J99" i="36"/>
  <c r="B99" i="36"/>
  <c r="T98" i="36"/>
  <c r="P98" i="36"/>
  <c r="X98" i="36" s="1"/>
  <c r="H98" i="36"/>
  <c r="D98" i="36"/>
  <c r="L98" i="36" s="1"/>
  <c r="B98" i="36"/>
  <c r="X97" i="36"/>
  <c r="Z97" i="36" s="1"/>
  <c r="V97" i="36"/>
  <c r="L97" i="36"/>
  <c r="N97" i="36" s="1"/>
  <c r="J97" i="36"/>
  <c r="B97" i="36"/>
  <c r="X96" i="36"/>
  <c r="Z96" i="36" s="1"/>
  <c r="L96" i="36"/>
  <c r="N96" i="36" s="1"/>
  <c r="B96" i="36"/>
  <c r="Z95" i="36"/>
  <c r="X95" i="36"/>
  <c r="V95" i="36"/>
  <c r="N95" i="36"/>
  <c r="L95" i="36"/>
  <c r="B95" i="36"/>
  <c r="X94" i="36"/>
  <c r="Z94" i="36" s="1"/>
  <c r="V94" i="36"/>
  <c r="L94" i="36"/>
  <c r="N94" i="36" s="1"/>
  <c r="J94" i="36"/>
  <c r="B94" i="36"/>
  <c r="V93" i="36"/>
  <c r="T93" i="36"/>
  <c r="P93" i="36"/>
  <c r="X93" i="36" s="1"/>
  <c r="Z93" i="36" s="1"/>
  <c r="J93" i="36"/>
  <c r="H93" i="36"/>
  <c r="D93" i="36"/>
  <c r="L93" i="36" s="1"/>
  <c r="N93" i="36" s="1"/>
  <c r="B93" i="36"/>
  <c r="X92" i="36"/>
  <c r="Z92" i="36" s="1"/>
  <c r="L92" i="36"/>
  <c r="N92" i="36" s="1"/>
  <c r="B92" i="36"/>
  <c r="T91" i="36"/>
  <c r="X91" i="36" s="1"/>
  <c r="Z91" i="36" s="1"/>
  <c r="P91" i="36"/>
  <c r="J91" i="36"/>
  <c r="H91" i="36"/>
  <c r="D91" i="36"/>
  <c r="L91" i="36" s="1"/>
  <c r="N91" i="36" s="1"/>
  <c r="B91" i="36"/>
  <c r="Z90" i="36"/>
  <c r="X90" i="36"/>
  <c r="L90" i="36"/>
  <c r="N90" i="36" s="1"/>
  <c r="J90" i="36"/>
  <c r="B90" i="36"/>
  <c r="Z89" i="36"/>
  <c r="X89" i="36"/>
  <c r="V89" i="36"/>
  <c r="T89" i="36"/>
  <c r="P89" i="36"/>
  <c r="H89" i="36"/>
  <c r="D89" i="36"/>
  <c r="L89" i="36" s="1"/>
  <c r="N89" i="36" s="1"/>
  <c r="B89" i="36"/>
  <c r="Z88" i="36"/>
  <c r="X88" i="36"/>
  <c r="N88" i="36"/>
  <c r="L88" i="36"/>
  <c r="B88" i="36"/>
  <c r="Z87" i="36"/>
  <c r="V87" i="36"/>
  <c r="T87" i="36"/>
  <c r="P87" i="36"/>
  <c r="X87" i="36" s="1"/>
  <c r="N87" i="36"/>
  <c r="J87" i="36"/>
  <c r="H87" i="36"/>
  <c r="D87" i="36"/>
  <c r="L87" i="36" s="1"/>
  <c r="B87" i="36"/>
  <c r="X86" i="36"/>
  <c r="Z86" i="36" s="1"/>
  <c r="V86" i="36"/>
  <c r="N86" i="36"/>
  <c r="L86" i="36"/>
  <c r="B86" i="36"/>
  <c r="V85" i="36"/>
  <c r="T85" i="36"/>
  <c r="Z85" i="36" s="1"/>
  <c r="P85" i="36"/>
  <c r="X85" i="36" s="1"/>
  <c r="H85" i="36"/>
  <c r="L85" i="36" s="1"/>
  <c r="N85" i="36" s="1"/>
  <c r="D85" i="36"/>
  <c r="B85" i="36"/>
  <c r="X84" i="36"/>
  <c r="Z84" i="36" s="1"/>
  <c r="L84" i="36"/>
  <c r="N84" i="36" s="1"/>
  <c r="B84" i="36"/>
  <c r="T83" i="36"/>
  <c r="P83" i="36"/>
  <c r="X83" i="36" s="1"/>
  <c r="Z83" i="36" s="1"/>
  <c r="N83" i="36"/>
  <c r="L83" i="36"/>
  <c r="J83" i="36"/>
  <c r="H83" i="36"/>
  <c r="D83" i="36"/>
  <c r="B83" i="36"/>
  <c r="X82" i="36"/>
  <c r="Z82" i="36" s="1"/>
  <c r="V82" i="36"/>
  <c r="L82" i="36"/>
  <c r="N82" i="36" s="1"/>
  <c r="J82" i="36"/>
  <c r="B82" i="36"/>
  <c r="X81" i="36"/>
  <c r="Z81" i="36" s="1"/>
  <c r="V81" i="36"/>
  <c r="L81" i="36"/>
  <c r="N81" i="36" s="1"/>
  <c r="J81" i="36"/>
  <c r="B81" i="36"/>
  <c r="T80" i="36"/>
  <c r="P80" i="36"/>
  <c r="X80" i="36" s="1"/>
  <c r="Z80" i="36" s="1"/>
  <c r="H80" i="36"/>
  <c r="D80" i="36"/>
  <c r="B80" i="36"/>
  <c r="Z79" i="36"/>
  <c r="X79" i="36"/>
  <c r="N79" i="36"/>
  <c r="L79" i="36"/>
  <c r="B79" i="36"/>
  <c r="T78" i="36"/>
  <c r="P78" i="36"/>
  <c r="H78" i="36"/>
  <c r="D78" i="36"/>
  <c r="L78" i="36" s="1"/>
  <c r="N78" i="36" s="1"/>
  <c r="B78" i="36"/>
  <c r="Z77" i="36"/>
  <c r="X77" i="36"/>
  <c r="V77" i="36"/>
  <c r="L77" i="36"/>
  <c r="N77" i="36" s="1"/>
  <c r="J77" i="36"/>
  <c r="B77" i="36"/>
  <c r="T76" i="36"/>
  <c r="P76" i="36"/>
  <c r="X76" i="36" s="1"/>
  <c r="H76" i="36"/>
  <c r="N76" i="36" s="1"/>
  <c r="D76" i="36"/>
  <c r="L76" i="36" s="1"/>
  <c r="B76" i="36"/>
  <c r="Z75" i="36"/>
  <c r="X75" i="36"/>
  <c r="V75" i="36"/>
  <c r="N75" i="36"/>
  <c r="L75" i="36"/>
  <c r="B75" i="36"/>
  <c r="T74" i="36"/>
  <c r="P74" i="36"/>
  <c r="X74" i="36" s="1"/>
  <c r="L74" i="36"/>
  <c r="N74" i="36" s="1"/>
  <c r="H74" i="36"/>
  <c r="D74" i="36"/>
  <c r="B74" i="36"/>
  <c r="X73" i="36"/>
  <c r="Z73" i="36" s="1"/>
  <c r="V73" i="36"/>
  <c r="N73" i="36"/>
  <c r="L73" i="36"/>
  <c r="J73" i="36"/>
  <c r="B73" i="36"/>
  <c r="X72" i="36"/>
  <c r="Z72" i="36" s="1"/>
  <c r="L72" i="36"/>
  <c r="N72" i="36" s="1"/>
  <c r="B72" i="36"/>
  <c r="T71" i="36"/>
  <c r="X71" i="36" s="1"/>
  <c r="Z71" i="36" s="1"/>
  <c r="P71" i="36"/>
  <c r="J71" i="36"/>
  <c r="H71" i="36"/>
  <c r="D71" i="36"/>
  <c r="L71" i="36" s="1"/>
  <c r="N71" i="36" s="1"/>
  <c r="B71" i="36"/>
  <c r="Z70" i="36"/>
  <c r="X70" i="36"/>
  <c r="N70" i="36"/>
  <c r="L70" i="36"/>
  <c r="J70" i="36"/>
  <c r="B70" i="36"/>
  <c r="Z69" i="36"/>
  <c r="X69" i="36"/>
  <c r="V69" i="36"/>
  <c r="T69" i="36"/>
  <c r="P69" i="36"/>
  <c r="N69" i="36"/>
  <c r="H69" i="36"/>
  <c r="D69" i="36"/>
  <c r="L69" i="36" s="1"/>
  <c r="B69" i="36"/>
  <c r="X68" i="36"/>
  <c r="Z68" i="36" s="1"/>
  <c r="L68" i="36"/>
  <c r="N68" i="36" s="1"/>
  <c r="B68" i="36"/>
  <c r="Z67" i="36"/>
  <c r="X67" i="36"/>
  <c r="V67" i="36"/>
  <c r="N67" i="36"/>
  <c r="L67" i="36"/>
  <c r="B67" i="36"/>
  <c r="X66" i="36"/>
  <c r="Z66" i="36" s="1"/>
  <c r="V66" i="36"/>
  <c r="L66" i="36"/>
  <c r="N66" i="36" s="1"/>
  <c r="J66" i="36"/>
  <c r="B66" i="36"/>
  <c r="X65" i="36"/>
  <c r="Z65" i="36" s="1"/>
  <c r="V65" i="36"/>
  <c r="L65" i="36"/>
  <c r="N65" i="36" s="1"/>
  <c r="J65" i="36"/>
  <c r="B65" i="36"/>
  <c r="X64" i="36"/>
  <c r="Z64" i="36" s="1"/>
  <c r="T64" i="36"/>
  <c r="P64" i="36"/>
  <c r="H64" i="36"/>
  <c r="D64" i="36"/>
  <c r="B64" i="36"/>
  <c r="Z63" i="36"/>
  <c r="X63" i="36"/>
  <c r="N63" i="36"/>
  <c r="L63" i="36"/>
  <c r="B63" i="36"/>
  <c r="T62" i="36"/>
  <c r="P62" i="36"/>
  <c r="H62" i="36"/>
  <c r="D62" i="36"/>
  <c r="L62" i="36" s="1"/>
  <c r="N62" i="36" s="1"/>
  <c r="B62" i="36"/>
  <c r="Z61" i="36"/>
  <c r="X61" i="36"/>
  <c r="V61" i="36"/>
  <c r="L61" i="36"/>
  <c r="N61" i="36" s="1"/>
  <c r="J61" i="36"/>
  <c r="B61" i="36"/>
  <c r="X60" i="36"/>
  <c r="Z60" i="36" s="1"/>
  <c r="L60" i="36"/>
  <c r="N60" i="36" s="1"/>
  <c r="B60" i="36"/>
  <c r="T59" i="36"/>
  <c r="P59" i="36"/>
  <c r="X59" i="36" s="1"/>
  <c r="Z59" i="36" s="1"/>
  <c r="N59" i="36"/>
  <c r="L59" i="36"/>
  <c r="J59" i="36"/>
  <c r="H59" i="36"/>
  <c r="D59" i="36"/>
  <c r="B59" i="36"/>
  <c r="X58" i="36"/>
  <c r="Z58" i="36" s="1"/>
  <c r="V58" i="36"/>
  <c r="L58" i="36"/>
  <c r="N58" i="36" s="1"/>
  <c r="J58" i="36"/>
  <c r="B58" i="36"/>
  <c r="V57" i="36"/>
  <c r="T57" i="36"/>
  <c r="P57" i="36"/>
  <c r="X57" i="36" s="1"/>
  <c r="Z57" i="36" s="1"/>
  <c r="N57" i="36"/>
  <c r="J57" i="36"/>
  <c r="H57" i="36"/>
  <c r="D57" i="36"/>
  <c r="L57" i="36" s="1"/>
  <c r="B57" i="36"/>
  <c r="Z56" i="36"/>
  <c r="X56" i="36"/>
  <c r="N56" i="36"/>
  <c r="L56" i="36"/>
  <c r="B56" i="36"/>
  <c r="Z55" i="36"/>
  <c r="X55" i="36"/>
  <c r="N55" i="36"/>
  <c r="L55" i="36"/>
  <c r="B55" i="36"/>
  <c r="X54" i="36"/>
  <c r="Z54" i="36" s="1"/>
  <c r="V54" i="36"/>
  <c r="N54" i="36"/>
  <c r="L54" i="36"/>
  <c r="J54" i="36"/>
  <c r="B54" i="36"/>
  <c r="X53" i="36"/>
  <c r="Z53" i="36" s="1"/>
  <c r="V53" i="36"/>
  <c r="N53" i="36"/>
  <c r="L53" i="36"/>
  <c r="J53" i="36"/>
  <c r="B53" i="36"/>
  <c r="Z52" i="36"/>
  <c r="X52" i="36"/>
  <c r="N52" i="36"/>
  <c r="L52" i="36"/>
  <c r="B52" i="36"/>
  <c r="Z51" i="36"/>
  <c r="X51" i="36"/>
  <c r="N51" i="36"/>
  <c r="L51" i="36"/>
  <c r="B51" i="36"/>
  <c r="X50" i="36"/>
  <c r="Z50" i="36" s="1"/>
  <c r="V50" i="36"/>
  <c r="N50" i="36"/>
  <c r="L50" i="36"/>
  <c r="J50" i="36"/>
  <c r="B50" i="36"/>
  <c r="Z49" i="36"/>
  <c r="X49" i="36"/>
  <c r="V49" i="36"/>
  <c r="N49" i="36"/>
  <c r="L49" i="36"/>
  <c r="J49" i="36"/>
  <c r="B49" i="36"/>
  <c r="X48" i="36"/>
  <c r="Z48" i="36" s="1"/>
  <c r="L48" i="36"/>
  <c r="N48" i="36" s="1"/>
  <c r="B48" i="36"/>
  <c r="Z47" i="36"/>
  <c r="X47" i="36"/>
  <c r="N47" i="36"/>
  <c r="L47" i="36"/>
  <c r="B47" i="36"/>
  <c r="T46" i="36"/>
  <c r="P46" i="36"/>
  <c r="H46" i="36"/>
  <c r="D46" i="36"/>
  <c r="L46" i="36" s="1"/>
  <c r="N46" i="36" s="1"/>
  <c r="B46" i="36"/>
  <c r="Z45" i="36"/>
  <c r="X45" i="36"/>
  <c r="V45" i="36"/>
  <c r="L45" i="36"/>
  <c r="N45" i="36" s="1"/>
  <c r="J45" i="36"/>
  <c r="B45" i="36"/>
  <c r="X44" i="36"/>
  <c r="Z44" i="36" s="1"/>
  <c r="L44" i="36"/>
  <c r="N44" i="36" s="1"/>
  <c r="B44" i="36"/>
  <c r="Z43" i="36"/>
  <c r="X43" i="36"/>
  <c r="N43" i="36"/>
  <c r="L43" i="36"/>
  <c r="J43" i="36"/>
  <c r="B43" i="36"/>
  <c r="Z42" i="36"/>
  <c r="X42" i="36"/>
  <c r="V42" i="36"/>
  <c r="N42" i="36"/>
  <c r="L42" i="36"/>
  <c r="J42" i="36"/>
  <c r="B42" i="36"/>
  <c r="Z41" i="36"/>
  <c r="X41" i="36"/>
  <c r="V41" i="36"/>
  <c r="L41" i="36"/>
  <c r="N41" i="36" s="1"/>
  <c r="J41" i="36"/>
  <c r="B41" i="36"/>
  <c r="X40" i="36"/>
  <c r="Z40" i="36" s="1"/>
  <c r="L40" i="36"/>
  <c r="N40" i="36" s="1"/>
  <c r="B40" i="36"/>
  <c r="Z39" i="36"/>
  <c r="X39" i="36"/>
  <c r="N39" i="36"/>
  <c r="L39" i="36"/>
  <c r="J39" i="36"/>
  <c r="B39" i="36"/>
  <c r="Z38" i="36"/>
  <c r="X38" i="36"/>
  <c r="V38" i="36"/>
  <c r="L38" i="36"/>
  <c r="N38" i="36" s="1"/>
  <c r="J38" i="36"/>
  <c r="B38" i="36"/>
  <c r="Z37" i="36"/>
  <c r="X37" i="36"/>
  <c r="V37" i="36"/>
  <c r="L37" i="36"/>
  <c r="N37" i="36" s="1"/>
  <c r="J37" i="36"/>
  <c r="B37" i="36"/>
  <c r="X36" i="36"/>
  <c r="Z36" i="36" s="1"/>
  <c r="L36" i="36"/>
  <c r="N36" i="36" s="1"/>
  <c r="B36" i="36"/>
  <c r="T35" i="36"/>
  <c r="P35" i="36"/>
  <c r="X35" i="36" s="1"/>
  <c r="Z35" i="36" s="1"/>
  <c r="N35" i="36"/>
  <c r="L35" i="36"/>
  <c r="J35" i="36"/>
  <c r="H35" i="36"/>
  <c r="D35" i="36"/>
  <c r="B35" i="36"/>
  <c r="T34" i="36"/>
  <c r="P34" i="36"/>
  <c r="H34" i="36"/>
  <c r="H142" i="36" s="1"/>
  <c r="D34" i="36"/>
  <c r="L34" i="36" s="1"/>
  <c r="N34" i="36" s="1"/>
  <c r="T32" i="36"/>
  <c r="H32" i="36"/>
  <c r="Z30" i="36"/>
  <c r="X30" i="36"/>
  <c r="V30" i="36"/>
  <c r="N30" i="36"/>
  <c r="L30" i="36"/>
  <c r="J30" i="36"/>
  <c r="B30" i="36"/>
  <c r="Z29" i="36"/>
  <c r="X29" i="36"/>
  <c r="V29" i="36"/>
  <c r="N29" i="36"/>
  <c r="L29" i="36"/>
  <c r="J29" i="36"/>
  <c r="B29" i="36"/>
  <c r="X28" i="36"/>
  <c r="Z28" i="36" s="1"/>
  <c r="L28" i="36"/>
  <c r="N28" i="36" s="1"/>
  <c r="B28" i="36"/>
  <c r="Z27" i="36"/>
  <c r="V27" i="36"/>
  <c r="T27" i="36"/>
  <c r="P27" i="36"/>
  <c r="X27" i="36" s="1"/>
  <c r="J27" i="36"/>
  <c r="H27" i="36"/>
  <c r="D27" i="36"/>
  <c r="L27" i="36" s="1"/>
  <c r="N27" i="36" s="1"/>
  <c r="Z25" i="36"/>
  <c r="P25" i="36"/>
  <c r="X25" i="36" s="1"/>
  <c r="N25" i="36"/>
  <c r="L25" i="36"/>
  <c r="D25" i="36"/>
  <c r="B25" i="36"/>
  <c r="Z24" i="36"/>
  <c r="X24" i="36"/>
  <c r="P24" i="36"/>
  <c r="N24" i="36"/>
  <c r="D24" i="36"/>
  <c r="B24" i="36"/>
  <c r="Z23" i="36"/>
  <c r="P23" i="36"/>
  <c r="X23" i="36" s="1"/>
  <c r="N23" i="36"/>
  <c r="D23" i="36"/>
  <c r="L23" i="36" s="1"/>
  <c r="B23" i="36"/>
  <c r="Z22" i="36"/>
  <c r="P22" i="36"/>
  <c r="X22" i="36" s="1"/>
  <c r="N22" i="36"/>
  <c r="D22" i="36"/>
  <c r="L22" i="36" s="1"/>
  <c r="B22" i="36"/>
  <c r="Z21" i="36"/>
  <c r="P21" i="36"/>
  <c r="X21" i="36" s="1"/>
  <c r="N21" i="36"/>
  <c r="L21" i="36"/>
  <c r="D21" i="36"/>
  <c r="B21" i="36"/>
  <c r="Z20" i="36"/>
  <c r="X20" i="36"/>
  <c r="P20" i="36"/>
  <c r="N20" i="36"/>
  <c r="D20" i="36"/>
  <c r="L20" i="36" s="1"/>
  <c r="B20" i="36"/>
  <c r="P19" i="36"/>
  <c r="X19" i="36" s="1"/>
  <c r="Z19" i="36" s="1"/>
  <c r="D19" i="36"/>
  <c r="L19" i="36" s="1"/>
  <c r="N19" i="36" s="1"/>
  <c r="B19" i="36"/>
  <c r="Z18" i="36"/>
  <c r="X18" i="36"/>
  <c r="P18" i="36"/>
  <c r="N18" i="36"/>
  <c r="D18" i="36"/>
  <c r="L18" i="36" s="1"/>
  <c r="B18" i="36"/>
  <c r="Z17" i="36"/>
  <c r="P17" i="36"/>
  <c r="X17" i="36" s="1"/>
  <c r="N17" i="36"/>
  <c r="L17" i="36"/>
  <c r="D17" i="36"/>
  <c r="B17" i="36"/>
  <c r="Z16" i="36"/>
  <c r="X16" i="36"/>
  <c r="P16" i="36"/>
  <c r="N16" i="36"/>
  <c r="D16" i="36"/>
  <c r="L16" i="36" s="1"/>
  <c r="B16" i="36"/>
  <c r="Z15" i="36"/>
  <c r="P15" i="36"/>
  <c r="X15" i="36" s="1"/>
  <c r="N15" i="36"/>
  <c r="L15" i="36"/>
  <c r="D15" i="36"/>
  <c r="B15" i="36"/>
  <c r="Z14" i="36"/>
  <c r="P14" i="36"/>
  <c r="X14" i="36" s="1"/>
  <c r="N14" i="36"/>
  <c r="D14" i="36"/>
  <c r="L14" i="36" s="1"/>
  <c r="B14" i="36"/>
  <c r="P13" i="36"/>
  <c r="L13" i="36"/>
  <c r="N13" i="36" s="1"/>
  <c r="D13" i="36"/>
  <c r="B13" i="36"/>
  <c r="T12" i="36"/>
  <c r="V136" i="36" s="1"/>
  <c r="H12" i="36"/>
  <c r="J144" i="36" s="1"/>
  <c r="D4" i="36"/>
  <c r="X112" i="33"/>
  <c r="Z112" i="33" s="1"/>
  <c r="L112" i="33"/>
  <c r="N112" i="33" s="1"/>
  <c r="J112" i="33"/>
  <c r="Z108" i="33"/>
  <c r="X108" i="33"/>
  <c r="P108" i="33"/>
  <c r="N108" i="33"/>
  <c r="L108" i="33"/>
  <c r="D108" i="33"/>
  <c r="B108" i="33"/>
  <c r="X107" i="33"/>
  <c r="Z107" i="33" s="1"/>
  <c r="P107" i="33"/>
  <c r="L107" i="33"/>
  <c r="N107" i="33" s="1"/>
  <c r="J107" i="33"/>
  <c r="D107" i="33"/>
  <c r="B107" i="33"/>
  <c r="P106" i="33"/>
  <c r="X106" i="33" s="1"/>
  <c r="Z106" i="33" s="1"/>
  <c r="L106" i="33"/>
  <c r="N106" i="33" s="1"/>
  <c r="D106" i="33"/>
  <c r="B106" i="33"/>
  <c r="X105" i="33"/>
  <c r="Z105" i="33" s="1"/>
  <c r="P105" i="33"/>
  <c r="N105" i="33"/>
  <c r="D105" i="33"/>
  <c r="L105" i="33" s="1"/>
  <c r="B105" i="33"/>
  <c r="Z104" i="33"/>
  <c r="P104" i="33"/>
  <c r="X104" i="33" s="1"/>
  <c r="N104" i="33"/>
  <c r="L104" i="33"/>
  <c r="D104" i="33"/>
  <c r="D101" i="33" s="1"/>
  <c r="L101" i="33" s="1"/>
  <c r="B104" i="33"/>
  <c r="Z103" i="33"/>
  <c r="X103" i="33"/>
  <c r="P103" i="33"/>
  <c r="N103" i="33"/>
  <c r="L103" i="33"/>
  <c r="J103" i="33"/>
  <c r="D103" i="33"/>
  <c r="B103" i="33"/>
  <c r="Z102" i="33"/>
  <c r="P102" i="33"/>
  <c r="N102" i="33"/>
  <c r="L102" i="33"/>
  <c r="D102" i="33"/>
  <c r="B102" i="33"/>
  <c r="T101" i="33"/>
  <c r="H101" i="33"/>
  <c r="Z99" i="33"/>
  <c r="X99" i="33"/>
  <c r="N99" i="33"/>
  <c r="L99" i="33"/>
  <c r="B99" i="33"/>
  <c r="Z98" i="33"/>
  <c r="T98" i="33"/>
  <c r="P98" i="33"/>
  <c r="X98" i="33" s="1"/>
  <c r="N98" i="33"/>
  <c r="J98" i="33"/>
  <c r="H98" i="33"/>
  <c r="D98" i="33"/>
  <c r="L98" i="33" s="1"/>
  <c r="B98" i="33"/>
  <c r="Z97" i="33"/>
  <c r="X97" i="33"/>
  <c r="N97" i="33"/>
  <c r="L97" i="33"/>
  <c r="B97" i="33"/>
  <c r="Z96" i="33"/>
  <c r="X96" i="33"/>
  <c r="V96" i="33"/>
  <c r="L96" i="33"/>
  <c r="N96" i="33" s="1"/>
  <c r="J96" i="33"/>
  <c r="B96" i="33"/>
  <c r="T95" i="33"/>
  <c r="P95" i="33"/>
  <c r="X95" i="33" s="1"/>
  <c r="H95" i="33"/>
  <c r="D95" i="33"/>
  <c r="L95" i="33" s="1"/>
  <c r="B95" i="33"/>
  <c r="Z94" i="33"/>
  <c r="X94" i="33"/>
  <c r="V94" i="33"/>
  <c r="N94" i="33"/>
  <c r="L94" i="33"/>
  <c r="B94" i="33"/>
  <c r="Z93" i="33"/>
  <c r="X93" i="33"/>
  <c r="N93" i="33"/>
  <c r="L93" i="33"/>
  <c r="B93" i="33"/>
  <c r="X92" i="33"/>
  <c r="Z92" i="33" s="1"/>
  <c r="L92" i="33"/>
  <c r="N92" i="33" s="1"/>
  <c r="J92" i="33"/>
  <c r="B92" i="33"/>
  <c r="Z91" i="33"/>
  <c r="X91" i="33"/>
  <c r="N91" i="33"/>
  <c r="L91" i="33"/>
  <c r="B91" i="33"/>
  <c r="Z90" i="33"/>
  <c r="X90" i="33"/>
  <c r="N90" i="33"/>
  <c r="L90" i="33"/>
  <c r="B90" i="33"/>
  <c r="T89" i="33"/>
  <c r="P89" i="33"/>
  <c r="X89" i="33" s="1"/>
  <c r="L89" i="33"/>
  <c r="N89" i="33" s="1"/>
  <c r="H89" i="33"/>
  <c r="D89" i="33"/>
  <c r="B89" i="33"/>
  <c r="Z88" i="33"/>
  <c r="X88" i="33"/>
  <c r="N88" i="33"/>
  <c r="L88" i="33"/>
  <c r="J88" i="33"/>
  <c r="B88" i="33"/>
  <c r="X87" i="33"/>
  <c r="Z87" i="33" s="1"/>
  <c r="L87" i="33"/>
  <c r="N87" i="33" s="1"/>
  <c r="B87" i="33"/>
  <c r="Z86" i="33"/>
  <c r="T86" i="33"/>
  <c r="P86" i="33"/>
  <c r="X86" i="33" s="1"/>
  <c r="J86" i="33"/>
  <c r="H86" i="33"/>
  <c r="D86" i="33"/>
  <c r="L86" i="33" s="1"/>
  <c r="N86" i="33" s="1"/>
  <c r="B86" i="33"/>
  <c r="Z85" i="33"/>
  <c r="X85" i="33"/>
  <c r="N85" i="33"/>
  <c r="L85" i="33"/>
  <c r="B85" i="33"/>
  <c r="Z84" i="33"/>
  <c r="X84" i="33"/>
  <c r="L84" i="33"/>
  <c r="N84" i="33" s="1"/>
  <c r="J84" i="33"/>
  <c r="B84" i="33"/>
  <c r="X83" i="33"/>
  <c r="T83" i="33"/>
  <c r="P83" i="33"/>
  <c r="H83" i="33"/>
  <c r="D83" i="33"/>
  <c r="L83" i="33" s="1"/>
  <c r="B83" i="33"/>
  <c r="Z82" i="33"/>
  <c r="X82" i="33"/>
  <c r="N82" i="33"/>
  <c r="L82" i="33"/>
  <c r="B82" i="33"/>
  <c r="T81" i="33"/>
  <c r="P81" i="33"/>
  <c r="L81" i="33"/>
  <c r="N81" i="33" s="1"/>
  <c r="H81" i="33"/>
  <c r="D81" i="33"/>
  <c r="B81" i="33"/>
  <c r="X80" i="33"/>
  <c r="Z80" i="33" s="1"/>
  <c r="N80" i="33"/>
  <c r="L80" i="33"/>
  <c r="J80" i="33"/>
  <c r="B80" i="33"/>
  <c r="T79" i="33"/>
  <c r="P79" i="33"/>
  <c r="X79" i="33" s="1"/>
  <c r="Z79" i="33" s="1"/>
  <c r="H79" i="33"/>
  <c r="D79" i="33"/>
  <c r="B79" i="33"/>
  <c r="Z78" i="33"/>
  <c r="X78" i="33"/>
  <c r="N78" i="33"/>
  <c r="L78" i="33"/>
  <c r="J78" i="33"/>
  <c r="B78" i="33"/>
  <c r="X77" i="33"/>
  <c r="Z77" i="33" s="1"/>
  <c r="L77" i="33"/>
  <c r="N77" i="33" s="1"/>
  <c r="B77" i="33"/>
  <c r="Z76" i="33"/>
  <c r="V76" i="33"/>
  <c r="T76" i="33"/>
  <c r="P76" i="33"/>
  <c r="X76" i="33" s="1"/>
  <c r="H76" i="33"/>
  <c r="D76" i="33"/>
  <c r="L76" i="33" s="1"/>
  <c r="N76" i="33" s="1"/>
  <c r="B76" i="33"/>
  <c r="X75" i="33"/>
  <c r="Z75" i="33" s="1"/>
  <c r="L75" i="33"/>
  <c r="N75" i="33" s="1"/>
  <c r="B75" i="33"/>
  <c r="T74" i="33"/>
  <c r="X74" i="33" s="1"/>
  <c r="Z74" i="33" s="1"/>
  <c r="P74" i="33"/>
  <c r="L74" i="33"/>
  <c r="N74" i="33" s="1"/>
  <c r="J74" i="33"/>
  <c r="H74" i="33"/>
  <c r="D74" i="33"/>
  <c r="B74" i="33"/>
  <c r="X73" i="33"/>
  <c r="Z73" i="33" s="1"/>
  <c r="N73" i="33"/>
  <c r="L73" i="33"/>
  <c r="J73" i="33"/>
  <c r="B73" i="33"/>
  <c r="T72" i="33"/>
  <c r="P72" i="33"/>
  <c r="X72" i="33" s="1"/>
  <c r="N72" i="33"/>
  <c r="H72" i="33"/>
  <c r="D72" i="33"/>
  <c r="L72" i="33" s="1"/>
  <c r="B72" i="33"/>
  <c r="X71" i="33"/>
  <c r="Z71" i="33" s="1"/>
  <c r="L71" i="33"/>
  <c r="N71" i="33" s="1"/>
  <c r="B71" i="33"/>
  <c r="T70" i="33"/>
  <c r="P70" i="33"/>
  <c r="X70" i="33" s="1"/>
  <c r="Z70" i="33" s="1"/>
  <c r="N70" i="33"/>
  <c r="J70" i="33"/>
  <c r="H70" i="33"/>
  <c r="D70" i="33"/>
  <c r="L70" i="33" s="1"/>
  <c r="B70" i="33"/>
  <c r="Z69" i="33"/>
  <c r="X69" i="33"/>
  <c r="N69" i="33"/>
  <c r="L69" i="33"/>
  <c r="B69" i="33"/>
  <c r="X68" i="33"/>
  <c r="T68" i="33"/>
  <c r="Z68" i="33" s="1"/>
  <c r="P68" i="33"/>
  <c r="N68" i="33"/>
  <c r="J68" i="33"/>
  <c r="H68" i="33"/>
  <c r="D68" i="33"/>
  <c r="L68" i="33" s="1"/>
  <c r="B68" i="33"/>
  <c r="X67" i="33"/>
  <c r="Z67" i="33" s="1"/>
  <c r="L67" i="33"/>
  <c r="N67" i="33" s="1"/>
  <c r="B67" i="33"/>
  <c r="T66" i="33"/>
  <c r="X66" i="33" s="1"/>
  <c r="Z66" i="33" s="1"/>
  <c r="P66" i="33"/>
  <c r="J66" i="33"/>
  <c r="H66" i="33"/>
  <c r="D66" i="33"/>
  <c r="L66" i="33" s="1"/>
  <c r="B66" i="33"/>
  <c r="Z65" i="33"/>
  <c r="X65" i="33"/>
  <c r="N65" i="33"/>
  <c r="L65" i="33"/>
  <c r="B65" i="33"/>
  <c r="Z64" i="33"/>
  <c r="X64" i="33"/>
  <c r="N64" i="33"/>
  <c r="L64" i="33"/>
  <c r="J64" i="33"/>
  <c r="B64" i="33"/>
  <c r="X63" i="33"/>
  <c r="Z63" i="33" s="1"/>
  <c r="L63" i="33"/>
  <c r="N63" i="33" s="1"/>
  <c r="B63" i="33"/>
  <c r="Z62" i="33"/>
  <c r="X62" i="33"/>
  <c r="N62" i="33"/>
  <c r="L62" i="33"/>
  <c r="J62" i="33"/>
  <c r="B62" i="33"/>
  <c r="Z61" i="33"/>
  <c r="X61" i="33"/>
  <c r="N61" i="33"/>
  <c r="L61" i="33"/>
  <c r="B61" i="33"/>
  <c r="Z60" i="33"/>
  <c r="X60" i="33"/>
  <c r="N60" i="33"/>
  <c r="L60" i="33"/>
  <c r="J60" i="33"/>
  <c r="B60" i="33"/>
  <c r="X59" i="33"/>
  <c r="Z59" i="33" s="1"/>
  <c r="L59" i="33"/>
  <c r="N59" i="33" s="1"/>
  <c r="B59" i="33"/>
  <c r="Z58" i="33"/>
  <c r="X58" i="33"/>
  <c r="N58" i="33"/>
  <c r="L58" i="33"/>
  <c r="J58" i="33"/>
  <c r="B58" i="33"/>
  <c r="X57" i="33"/>
  <c r="Z57" i="33" s="1"/>
  <c r="L57" i="33"/>
  <c r="N57" i="33" s="1"/>
  <c r="B57" i="33"/>
  <c r="Z56" i="33"/>
  <c r="X56" i="33"/>
  <c r="L56" i="33"/>
  <c r="N56" i="33" s="1"/>
  <c r="J56" i="33"/>
  <c r="B56" i="33"/>
  <c r="X55" i="33"/>
  <c r="T55" i="33"/>
  <c r="P55" i="33"/>
  <c r="H55" i="33"/>
  <c r="D55" i="33"/>
  <c r="B55" i="33"/>
  <c r="Z54" i="33"/>
  <c r="X54" i="33"/>
  <c r="N54" i="33"/>
  <c r="L54" i="33"/>
  <c r="B54" i="33"/>
  <c r="X53" i="33"/>
  <c r="Z53" i="33" s="1"/>
  <c r="L53" i="33"/>
  <c r="N53" i="33" s="1"/>
  <c r="J53" i="33"/>
  <c r="B53" i="33"/>
  <c r="X52" i="33"/>
  <c r="Z52" i="33" s="1"/>
  <c r="V52" i="33"/>
  <c r="L52" i="33"/>
  <c r="N52" i="33" s="1"/>
  <c r="J52" i="33"/>
  <c r="B52" i="33"/>
  <c r="Z51" i="33"/>
  <c r="X51" i="33"/>
  <c r="N51" i="33"/>
  <c r="L51" i="33"/>
  <c r="B51" i="33"/>
  <c r="Z50" i="33"/>
  <c r="X50" i="33"/>
  <c r="N50" i="33"/>
  <c r="L50" i="33"/>
  <c r="B50" i="33"/>
  <c r="X49" i="33"/>
  <c r="Z49" i="33" s="1"/>
  <c r="L49" i="33"/>
  <c r="N49" i="33" s="1"/>
  <c r="J49" i="33"/>
  <c r="B49" i="33"/>
  <c r="X48" i="33"/>
  <c r="Z48" i="33" s="1"/>
  <c r="L48" i="33"/>
  <c r="N48" i="33" s="1"/>
  <c r="J48" i="33"/>
  <c r="B48" i="33"/>
  <c r="X47" i="33"/>
  <c r="Z47" i="33" s="1"/>
  <c r="L47" i="33"/>
  <c r="N47" i="33" s="1"/>
  <c r="B47" i="33"/>
  <c r="Z46" i="33"/>
  <c r="X46" i="33"/>
  <c r="V46" i="33"/>
  <c r="N46" i="33"/>
  <c r="L46" i="33"/>
  <c r="B46" i="33"/>
  <c r="T45" i="33"/>
  <c r="P45" i="33"/>
  <c r="X45" i="33" s="1"/>
  <c r="L45" i="33"/>
  <c r="N45" i="33" s="1"/>
  <c r="H45" i="33"/>
  <c r="D45" i="33"/>
  <c r="B45" i="33"/>
  <c r="V44" i="33"/>
  <c r="T44" i="33"/>
  <c r="Z44" i="33" s="1"/>
  <c r="P44" i="33"/>
  <c r="X44" i="33" s="1"/>
  <c r="H44" i="33"/>
  <c r="D44" i="33"/>
  <c r="L44" i="33" s="1"/>
  <c r="N44" i="33" s="1"/>
  <c r="H42" i="33"/>
  <c r="H110" i="33" s="1"/>
  <c r="Z40" i="33"/>
  <c r="X40" i="33"/>
  <c r="N40" i="33"/>
  <c r="L40" i="33"/>
  <c r="J40" i="33"/>
  <c r="B40" i="33"/>
  <c r="Z39" i="33"/>
  <c r="X39" i="33"/>
  <c r="N39" i="33"/>
  <c r="L39" i="33"/>
  <c r="B39" i="33"/>
  <c r="Z38" i="33"/>
  <c r="X38" i="33"/>
  <c r="N38" i="33"/>
  <c r="L38" i="33"/>
  <c r="B38" i="33"/>
  <c r="Z37" i="33"/>
  <c r="X37" i="33"/>
  <c r="N37" i="33"/>
  <c r="L37" i="33"/>
  <c r="J37" i="33"/>
  <c r="B37" i="33"/>
  <c r="Z36" i="33"/>
  <c r="X36" i="33"/>
  <c r="N36" i="33"/>
  <c r="L36" i="33"/>
  <c r="J36" i="33"/>
  <c r="B36" i="33"/>
  <c r="X35" i="33"/>
  <c r="Z35" i="33" s="1"/>
  <c r="L35" i="33"/>
  <c r="N35" i="33" s="1"/>
  <c r="B35" i="33"/>
  <c r="Z34" i="33"/>
  <c r="T34" i="33"/>
  <c r="P34" i="33"/>
  <c r="X34" i="33" s="1"/>
  <c r="J34" i="33"/>
  <c r="H34" i="33"/>
  <c r="N34" i="33" s="1"/>
  <c r="D34" i="33"/>
  <c r="L34" i="33" s="1"/>
  <c r="Z32" i="33"/>
  <c r="P32" i="33"/>
  <c r="X32" i="33" s="1"/>
  <c r="N32" i="33"/>
  <c r="L32" i="33"/>
  <c r="D32" i="33"/>
  <c r="B32" i="33"/>
  <c r="Z31" i="33"/>
  <c r="X31" i="33"/>
  <c r="P31" i="33"/>
  <c r="N31" i="33"/>
  <c r="D31" i="33"/>
  <c r="L31" i="33" s="1"/>
  <c r="B31" i="33"/>
  <c r="Z30" i="33"/>
  <c r="P30" i="33"/>
  <c r="X30" i="33" s="1"/>
  <c r="N30" i="33"/>
  <c r="D30" i="33"/>
  <c r="L30" i="33" s="1"/>
  <c r="B30" i="33"/>
  <c r="Z29" i="33"/>
  <c r="X29" i="33"/>
  <c r="P29" i="33"/>
  <c r="N29" i="33"/>
  <c r="D29" i="33"/>
  <c r="L29" i="33" s="1"/>
  <c r="B29" i="33"/>
  <c r="Z28" i="33"/>
  <c r="X28" i="33"/>
  <c r="P28" i="33"/>
  <c r="N28" i="33"/>
  <c r="L28" i="33"/>
  <c r="D28" i="33"/>
  <c r="B28" i="33"/>
  <c r="Z27" i="33"/>
  <c r="X27" i="33"/>
  <c r="P27" i="33"/>
  <c r="N27" i="33"/>
  <c r="D27" i="33"/>
  <c r="L27" i="33" s="1"/>
  <c r="B27" i="33"/>
  <c r="Z26" i="33"/>
  <c r="P26" i="33"/>
  <c r="X26" i="33" s="1"/>
  <c r="N26" i="33"/>
  <c r="L26" i="33"/>
  <c r="D26" i="33"/>
  <c r="B26" i="33"/>
  <c r="Z25" i="33"/>
  <c r="P25" i="33"/>
  <c r="X25" i="33" s="1"/>
  <c r="N25" i="33"/>
  <c r="L25" i="33"/>
  <c r="D25" i="33"/>
  <c r="B25" i="33"/>
  <c r="Z24" i="33"/>
  <c r="P24" i="33"/>
  <c r="X24" i="33" s="1"/>
  <c r="N24" i="33"/>
  <c r="L24" i="33"/>
  <c r="D24" i="33"/>
  <c r="B24" i="33"/>
  <c r="Z23" i="33"/>
  <c r="X23" i="33"/>
  <c r="P23" i="33"/>
  <c r="N23" i="33"/>
  <c r="D23" i="33"/>
  <c r="L23" i="33" s="1"/>
  <c r="B23" i="33"/>
  <c r="Z22" i="33"/>
  <c r="P22" i="33"/>
  <c r="X22" i="33" s="1"/>
  <c r="N22" i="33"/>
  <c r="D22" i="33"/>
  <c r="L22" i="33" s="1"/>
  <c r="B22" i="33"/>
  <c r="P21" i="33"/>
  <c r="X21" i="33" s="1"/>
  <c r="Z21" i="33" s="1"/>
  <c r="D21" i="33"/>
  <c r="L21" i="33" s="1"/>
  <c r="N21" i="33" s="1"/>
  <c r="B21" i="33"/>
  <c r="Z20" i="33"/>
  <c r="P20" i="33"/>
  <c r="X20" i="33" s="1"/>
  <c r="N20" i="33"/>
  <c r="L20" i="33"/>
  <c r="D20" i="33"/>
  <c r="B20" i="33"/>
  <c r="Z19" i="33"/>
  <c r="X19" i="33"/>
  <c r="P19" i="33"/>
  <c r="N19" i="33"/>
  <c r="D19" i="33"/>
  <c r="L19" i="33" s="1"/>
  <c r="B19" i="33"/>
  <c r="Z18" i="33"/>
  <c r="P18" i="33"/>
  <c r="X18" i="33" s="1"/>
  <c r="N18" i="33"/>
  <c r="D18" i="33"/>
  <c r="L18" i="33" s="1"/>
  <c r="B18" i="33"/>
  <c r="Z17" i="33"/>
  <c r="X17" i="33"/>
  <c r="P17" i="33"/>
  <c r="N17" i="33"/>
  <c r="L17" i="33"/>
  <c r="D17" i="33"/>
  <c r="B17" i="33"/>
  <c r="Z16" i="33"/>
  <c r="X16" i="33"/>
  <c r="P16" i="33"/>
  <c r="N16" i="33"/>
  <c r="L16" i="33"/>
  <c r="D16" i="33"/>
  <c r="B16" i="33"/>
  <c r="Z15" i="33"/>
  <c r="X15" i="33"/>
  <c r="P15" i="33"/>
  <c r="N15" i="33"/>
  <c r="D15" i="33"/>
  <c r="B15" i="33"/>
  <c r="Z14" i="33"/>
  <c r="P14" i="33"/>
  <c r="X14" i="33" s="1"/>
  <c r="N14" i="33"/>
  <c r="L14" i="33"/>
  <c r="D14" i="33"/>
  <c r="B14" i="33"/>
  <c r="P13" i="33"/>
  <c r="P12" i="33" s="1"/>
  <c r="R44" i="33" s="1"/>
  <c r="N13" i="33"/>
  <c r="L13" i="33"/>
  <c r="D13" i="33"/>
  <c r="B13" i="33"/>
  <c r="T12" i="33"/>
  <c r="V90" i="33" s="1"/>
  <c r="H12" i="33"/>
  <c r="J102" i="33" s="1"/>
  <c r="D4" i="33"/>
  <c r="X159" i="30"/>
  <c r="Z159" i="30" s="1"/>
  <c r="L159" i="30"/>
  <c r="N159" i="30" s="1"/>
  <c r="X155" i="30"/>
  <c r="Z155" i="30" s="1"/>
  <c r="P155" i="30"/>
  <c r="N155" i="30"/>
  <c r="D155" i="30"/>
  <c r="L155" i="30" s="1"/>
  <c r="B155" i="30"/>
  <c r="X154" i="30"/>
  <c r="Z154" i="30" s="1"/>
  <c r="P154" i="30"/>
  <c r="L154" i="30"/>
  <c r="N154" i="30" s="1"/>
  <c r="D154" i="30"/>
  <c r="B154" i="30"/>
  <c r="X153" i="30"/>
  <c r="Z153" i="30" s="1"/>
  <c r="P153" i="30"/>
  <c r="D153" i="30"/>
  <c r="B153" i="30"/>
  <c r="T152" i="30"/>
  <c r="X152" i="30" s="1"/>
  <c r="Z152" i="30" s="1"/>
  <c r="P152" i="30"/>
  <c r="H152" i="30"/>
  <c r="Z150" i="30"/>
  <c r="X150" i="30"/>
  <c r="N150" i="30"/>
  <c r="L150" i="30"/>
  <c r="B150" i="30"/>
  <c r="T149" i="30"/>
  <c r="P149" i="30"/>
  <c r="H149" i="30"/>
  <c r="D149" i="30"/>
  <c r="L149" i="30" s="1"/>
  <c r="N149" i="30" s="1"/>
  <c r="B149" i="30"/>
  <c r="Z148" i="30"/>
  <c r="X148" i="30"/>
  <c r="L148" i="30"/>
  <c r="N148" i="30" s="1"/>
  <c r="B148" i="30"/>
  <c r="Z147" i="30"/>
  <c r="X147" i="30"/>
  <c r="N147" i="30"/>
  <c r="L147" i="30"/>
  <c r="B147" i="30"/>
  <c r="Z146" i="30"/>
  <c r="T146" i="30"/>
  <c r="P146" i="30"/>
  <c r="X146" i="30" s="1"/>
  <c r="H146" i="30"/>
  <c r="D146" i="30"/>
  <c r="L146" i="30" s="1"/>
  <c r="N146" i="30" s="1"/>
  <c r="B146" i="30"/>
  <c r="X145" i="30"/>
  <c r="Z145" i="30" s="1"/>
  <c r="N145" i="30"/>
  <c r="L145" i="30"/>
  <c r="B145" i="30"/>
  <c r="X144" i="30"/>
  <c r="T144" i="30"/>
  <c r="Z144" i="30" s="1"/>
  <c r="P144" i="30"/>
  <c r="N144" i="30"/>
  <c r="H144" i="30"/>
  <c r="D144" i="30"/>
  <c r="L144" i="30" s="1"/>
  <c r="B144" i="30"/>
  <c r="Z143" i="30"/>
  <c r="X143" i="30"/>
  <c r="L143" i="30"/>
  <c r="N143" i="30" s="1"/>
  <c r="B143" i="30"/>
  <c r="Z142" i="30"/>
  <c r="X142" i="30"/>
  <c r="N142" i="30"/>
  <c r="L142" i="30"/>
  <c r="B142" i="30"/>
  <c r="T141" i="30"/>
  <c r="P141" i="30"/>
  <c r="H141" i="30"/>
  <c r="D141" i="30"/>
  <c r="L141" i="30" s="1"/>
  <c r="N141" i="30" s="1"/>
  <c r="B141" i="30"/>
  <c r="Z140" i="30"/>
  <c r="X140" i="30"/>
  <c r="V140" i="30"/>
  <c r="N140" i="30"/>
  <c r="L140" i="30"/>
  <c r="B140" i="30"/>
  <c r="X139" i="30"/>
  <c r="Z139" i="30" s="1"/>
  <c r="L139" i="30"/>
  <c r="N139" i="30" s="1"/>
  <c r="B139" i="30"/>
  <c r="Z138" i="30"/>
  <c r="X138" i="30"/>
  <c r="N138" i="30"/>
  <c r="L138" i="30"/>
  <c r="J138" i="30"/>
  <c r="B138" i="30"/>
  <c r="Z137" i="30"/>
  <c r="X137" i="30"/>
  <c r="L137" i="30"/>
  <c r="N137" i="30" s="1"/>
  <c r="B137" i="30"/>
  <c r="Z136" i="30"/>
  <c r="X136" i="30"/>
  <c r="V136" i="30"/>
  <c r="L136" i="30"/>
  <c r="N136" i="30" s="1"/>
  <c r="B136" i="30"/>
  <c r="X135" i="30"/>
  <c r="Z135" i="30" s="1"/>
  <c r="L135" i="30"/>
  <c r="N135" i="30" s="1"/>
  <c r="B135" i="30"/>
  <c r="Z134" i="30"/>
  <c r="T134" i="30"/>
  <c r="P134" i="30"/>
  <c r="X134" i="30" s="1"/>
  <c r="H134" i="30"/>
  <c r="D134" i="30"/>
  <c r="L134" i="30" s="1"/>
  <c r="N134" i="30" s="1"/>
  <c r="B134" i="30"/>
  <c r="X133" i="30"/>
  <c r="Z133" i="30" s="1"/>
  <c r="L133" i="30"/>
  <c r="N133" i="30" s="1"/>
  <c r="B133" i="30"/>
  <c r="X132" i="30"/>
  <c r="Z132" i="30" s="1"/>
  <c r="N132" i="30"/>
  <c r="L132" i="30"/>
  <c r="B132" i="30"/>
  <c r="T131" i="30"/>
  <c r="P131" i="30"/>
  <c r="X131" i="30" s="1"/>
  <c r="Z131" i="30" s="1"/>
  <c r="H131" i="30"/>
  <c r="D131" i="30"/>
  <c r="B131" i="30"/>
  <c r="Z130" i="30"/>
  <c r="X130" i="30"/>
  <c r="N130" i="30"/>
  <c r="L130" i="30"/>
  <c r="B130" i="30"/>
  <c r="X129" i="30"/>
  <c r="Z129" i="30" s="1"/>
  <c r="N129" i="30"/>
  <c r="L129" i="30"/>
  <c r="B129" i="30"/>
  <c r="Z128" i="30"/>
  <c r="X128" i="30"/>
  <c r="N128" i="30"/>
  <c r="L128" i="30"/>
  <c r="B128" i="30"/>
  <c r="X127" i="30"/>
  <c r="Z127" i="30" s="1"/>
  <c r="T127" i="30"/>
  <c r="P127" i="30"/>
  <c r="H127" i="30"/>
  <c r="D127" i="30"/>
  <c r="B127" i="30"/>
  <c r="Z126" i="30"/>
  <c r="X126" i="30"/>
  <c r="N126" i="30"/>
  <c r="L126" i="30"/>
  <c r="B126" i="30"/>
  <c r="X125" i="30"/>
  <c r="Z125" i="30" s="1"/>
  <c r="L125" i="30"/>
  <c r="N125" i="30" s="1"/>
  <c r="B125" i="30"/>
  <c r="Z124" i="30"/>
  <c r="X124" i="30"/>
  <c r="L124" i="30"/>
  <c r="N124" i="30" s="1"/>
  <c r="B124" i="30"/>
  <c r="X123" i="30"/>
  <c r="T123" i="30"/>
  <c r="P123" i="30"/>
  <c r="H123" i="30"/>
  <c r="D123" i="30"/>
  <c r="B123" i="30"/>
  <c r="Z122" i="30"/>
  <c r="X122" i="30"/>
  <c r="N122" i="30"/>
  <c r="L122" i="30"/>
  <c r="B122" i="30"/>
  <c r="X121" i="30"/>
  <c r="Z121" i="30" s="1"/>
  <c r="N121" i="30"/>
  <c r="L121" i="30"/>
  <c r="B121" i="30"/>
  <c r="X120" i="30"/>
  <c r="Z120" i="30" s="1"/>
  <c r="T120" i="30"/>
  <c r="P120" i="30"/>
  <c r="H120" i="30"/>
  <c r="D120" i="30"/>
  <c r="L120" i="30" s="1"/>
  <c r="N120" i="30" s="1"/>
  <c r="B120" i="30"/>
  <c r="Z119" i="30"/>
  <c r="X119" i="30"/>
  <c r="L119" i="30"/>
  <c r="N119" i="30" s="1"/>
  <c r="B119" i="30"/>
  <c r="Z118" i="30"/>
  <c r="T118" i="30"/>
  <c r="X118" i="30" s="1"/>
  <c r="P118" i="30"/>
  <c r="H118" i="30"/>
  <c r="D118" i="30"/>
  <c r="L118" i="30" s="1"/>
  <c r="N118" i="30" s="1"/>
  <c r="B118" i="30"/>
  <c r="X117" i="30"/>
  <c r="Z117" i="30" s="1"/>
  <c r="N117" i="30"/>
  <c r="L117" i="30"/>
  <c r="B117" i="30"/>
  <c r="Z116" i="30"/>
  <c r="V116" i="30"/>
  <c r="T116" i="30"/>
  <c r="P116" i="30"/>
  <c r="X116" i="30" s="1"/>
  <c r="N116" i="30"/>
  <c r="H116" i="30"/>
  <c r="D116" i="30"/>
  <c r="L116" i="30" s="1"/>
  <c r="B116" i="30"/>
  <c r="X115" i="30"/>
  <c r="Z115" i="30" s="1"/>
  <c r="L115" i="30"/>
  <c r="N115" i="30" s="1"/>
  <c r="B115" i="30"/>
  <c r="T114" i="30"/>
  <c r="X114" i="30" s="1"/>
  <c r="Z114" i="30" s="1"/>
  <c r="P114" i="30"/>
  <c r="L114" i="30"/>
  <c r="N114" i="30" s="1"/>
  <c r="H114" i="30"/>
  <c r="D114" i="30"/>
  <c r="B114" i="30"/>
  <c r="X113" i="30"/>
  <c r="Z113" i="30" s="1"/>
  <c r="L113" i="30"/>
  <c r="N113" i="30" s="1"/>
  <c r="B113" i="30"/>
  <c r="T112" i="30"/>
  <c r="P112" i="30"/>
  <c r="X112" i="30" s="1"/>
  <c r="H112" i="30"/>
  <c r="D112" i="30"/>
  <c r="L112" i="30" s="1"/>
  <c r="N112" i="30" s="1"/>
  <c r="B112" i="30"/>
  <c r="X111" i="30"/>
  <c r="Z111" i="30" s="1"/>
  <c r="N111" i="30"/>
  <c r="L111" i="30"/>
  <c r="B111" i="30"/>
  <c r="Z110" i="30"/>
  <c r="T110" i="30"/>
  <c r="P110" i="30"/>
  <c r="X110" i="30" s="1"/>
  <c r="N110" i="30"/>
  <c r="H110" i="30"/>
  <c r="D110" i="30"/>
  <c r="L110" i="30" s="1"/>
  <c r="B110" i="30"/>
  <c r="Z109" i="30"/>
  <c r="X109" i="30"/>
  <c r="N109" i="30"/>
  <c r="L109" i="30"/>
  <c r="B109" i="30"/>
  <c r="X108" i="30"/>
  <c r="Z108" i="30" s="1"/>
  <c r="V108" i="30"/>
  <c r="L108" i="30"/>
  <c r="N108" i="30" s="1"/>
  <c r="B108" i="30"/>
  <c r="T107" i="30"/>
  <c r="P107" i="30"/>
  <c r="X107" i="30" s="1"/>
  <c r="Z107" i="30" s="1"/>
  <c r="H107" i="30"/>
  <c r="D107" i="30"/>
  <c r="B107" i="30"/>
  <c r="Z106" i="30"/>
  <c r="X106" i="30"/>
  <c r="N106" i="30"/>
  <c r="L106" i="30"/>
  <c r="B106" i="30"/>
  <c r="T105" i="30"/>
  <c r="P105" i="30"/>
  <c r="N105" i="30"/>
  <c r="L105" i="30"/>
  <c r="H105" i="30"/>
  <c r="D105" i="30"/>
  <c r="B105" i="30"/>
  <c r="Z104" i="30"/>
  <c r="X104" i="30"/>
  <c r="V104" i="30"/>
  <c r="L104" i="30"/>
  <c r="N104" i="30" s="1"/>
  <c r="B104" i="30"/>
  <c r="T103" i="30"/>
  <c r="P103" i="30"/>
  <c r="X103" i="30" s="1"/>
  <c r="H103" i="30"/>
  <c r="D103" i="30"/>
  <c r="L103" i="30" s="1"/>
  <c r="B103" i="30"/>
  <c r="Z102" i="30"/>
  <c r="X102" i="30"/>
  <c r="N102" i="30"/>
  <c r="L102" i="30"/>
  <c r="B102" i="30"/>
  <c r="X101" i="30"/>
  <c r="Z101" i="30" s="1"/>
  <c r="L101" i="30"/>
  <c r="N101" i="30" s="1"/>
  <c r="B101" i="30"/>
  <c r="X100" i="30"/>
  <c r="V100" i="30"/>
  <c r="T100" i="30"/>
  <c r="P100" i="30"/>
  <c r="N100" i="30"/>
  <c r="H100" i="30"/>
  <c r="D100" i="30"/>
  <c r="L100" i="30" s="1"/>
  <c r="B100" i="30"/>
  <c r="X99" i="30"/>
  <c r="Z99" i="30" s="1"/>
  <c r="L99" i="30"/>
  <c r="N99" i="30" s="1"/>
  <c r="B99" i="30"/>
  <c r="T98" i="30"/>
  <c r="X98" i="30" s="1"/>
  <c r="P98" i="30"/>
  <c r="H98" i="30"/>
  <c r="D98" i="30"/>
  <c r="L98" i="30" s="1"/>
  <c r="N98" i="30" s="1"/>
  <c r="B98" i="30"/>
  <c r="Z97" i="30"/>
  <c r="X97" i="30"/>
  <c r="L97" i="30"/>
  <c r="N97" i="30" s="1"/>
  <c r="B97" i="30"/>
  <c r="Z96" i="30"/>
  <c r="X96" i="30"/>
  <c r="N96" i="30"/>
  <c r="L96" i="30"/>
  <c r="B96" i="30"/>
  <c r="T95" i="30"/>
  <c r="P95" i="30"/>
  <c r="X95" i="30" s="1"/>
  <c r="H95" i="30"/>
  <c r="D95" i="30"/>
  <c r="B95" i="30"/>
  <c r="Z94" i="30"/>
  <c r="X94" i="30"/>
  <c r="V94" i="30"/>
  <c r="N94" i="30"/>
  <c r="L94" i="30"/>
  <c r="B94" i="30"/>
  <c r="T93" i="30"/>
  <c r="P93" i="30"/>
  <c r="X93" i="30" s="1"/>
  <c r="L93" i="30"/>
  <c r="N93" i="30" s="1"/>
  <c r="H93" i="30"/>
  <c r="D93" i="30"/>
  <c r="B93" i="30"/>
  <c r="Z92" i="30"/>
  <c r="X92" i="30"/>
  <c r="V92" i="30"/>
  <c r="N92" i="30"/>
  <c r="L92" i="30"/>
  <c r="B92" i="30"/>
  <c r="Z91" i="30"/>
  <c r="X91" i="30"/>
  <c r="N91" i="30"/>
  <c r="L91" i="30"/>
  <c r="B91" i="30"/>
  <c r="Z90" i="30"/>
  <c r="X90" i="30"/>
  <c r="N90" i="30"/>
  <c r="L90" i="30"/>
  <c r="B90" i="30"/>
  <c r="X89" i="30"/>
  <c r="Z89" i="30" s="1"/>
  <c r="N89" i="30"/>
  <c r="L89" i="30"/>
  <c r="B89" i="30"/>
  <c r="Z88" i="30"/>
  <c r="X88" i="30"/>
  <c r="N88" i="30"/>
  <c r="L88" i="30"/>
  <c r="B88" i="30"/>
  <c r="Z87" i="30"/>
  <c r="X87" i="30"/>
  <c r="N87" i="30"/>
  <c r="L87" i="30"/>
  <c r="B87" i="30"/>
  <c r="Z86" i="30"/>
  <c r="X86" i="30"/>
  <c r="N86" i="30"/>
  <c r="L86" i="30"/>
  <c r="B86" i="30"/>
  <c r="Z85" i="30"/>
  <c r="X85" i="30"/>
  <c r="N85" i="30"/>
  <c r="L85" i="30"/>
  <c r="B85" i="30"/>
  <c r="X84" i="30"/>
  <c r="Z84" i="30" s="1"/>
  <c r="N84" i="30"/>
  <c r="L84" i="30"/>
  <c r="B84" i="30"/>
  <c r="Z83" i="30"/>
  <c r="X83" i="30"/>
  <c r="N83" i="30"/>
  <c r="L83" i="30"/>
  <c r="B83" i="30"/>
  <c r="T82" i="30"/>
  <c r="Z82" i="30" s="1"/>
  <c r="P82" i="30"/>
  <c r="X82" i="30" s="1"/>
  <c r="H82" i="30"/>
  <c r="D82" i="30"/>
  <c r="L82" i="30" s="1"/>
  <c r="B82" i="30"/>
  <c r="Z81" i="30"/>
  <c r="X81" i="30"/>
  <c r="N81" i="30"/>
  <c r="L81" i="30"/>
  <c r="B81" i="30"/>
  <c r="Z80" i="30"/>
  <c r="X80" i="30"/>
  <c r="V80" i="30"/>
  <c r="L80" i="30"/>
  <c r="N80" i="30" s="1"/>
  <c r="B80" i="30"/>
  <c r="X79" i="30"/>
  <c r="Z79" i="30" s="1"/>
  <c r="L79" i="30"/>
  <c r="N79" i="30" s="1"/>
  <c r="B79" i="30"/>
  <c r="Z78" i="30"/>
  <c r="X78" i="30"/>
  <c r="N78" i="30"/>
  <c r="L78" i="30"/>
  <c r="B78" i="30"/>
  <c r="X77" i="30"/>
  <c r="Z77" i="30" s="1"/>
  <c r="N77" i="30"/>
  <c r="L77" i="30"/>
  <c r="B77" i="30"/>
  <c r="Z76" i="30"/>
  <c r="X76" i="30"/>
  <c r="V76" i="30"/>
  <c r="L76" i="30"/>
  <c r="N76" i="30" s="1"/>
  <c r="B76" i="30"/>
  <c r="X75" i="30"/>
  <c r="Z75" i="30" s="1"/>
  <c r="L75" i="30"/>
  <c r="N75" i="30" s="1"/>
  <c r="B75" i="30"/>
  <c r="Z74" i="30"/>
  <c r="X74" i="30"/>
  <c r="N74" i="30"/>
  <c r="L74" i="30"/>
  <c r="B74" i="30"/>
  <c r="X73" i="30"/>
  <c r="Z73" i="30" s="1"/>
  <c r="V73" i="30"/>
  <c r="L73" i="30"/>
  <c r="N73" i="30" s="1"/>
  <c r="B73" i="30"/>
  <c r="Z72" i="30"/>
  <c r="V72" i="30"/>
  <c r="T72" i="30"/>
  <c r="P72" i="30"/>
  <c r="X72" i="30" s="1"/>
  <c r="H72" i="30"/>
  <c r="D72" i="30"/>
  <c r="L72" i="30" s="1"/>
  <c r="N72" i="30" s="1"/>
  <c r="B72" i="30"/>
  <c r="T71" i="30"/>
  <c r="P71" i="30"/>
  <c r="X71" i="30" s="1"/>
  <c r="H71" i="30"/>
  <c r="D71" i="30"/>
  <c r="Z67" i="30"/>
  <c r="X67" i="30"/>
  <c r="N67" i="30"/>
  <c r="L67" i="30"/>
  <c r="B67" i="30"/>
  <c r="Z66" i="30"/>
  <c r="X66" i="30"/>
  <c r="N66" i="30"/>
  <c r="L66" i="30"/>
  <c r="B66" i="30"/>
  <c r="Z65" i="30"/>
  <c r="X65" i="30"/>
  <c r="N65" i="30"/>
  <c r="L65" i="30"/>
  <c r="B65" i="30"/>
  <c r="Z64" i="30"/>
  <c r="X64" i="30"/>
  <c r="V64" i="30"/>
  <c r="N64" i="30"/>
  <c r="L64" i="30"/>
  <c r="B64" i="30"/>
  <c r="Z63" i="30"/>
  <c r="X63" i="30"/>
  <c r="N63" i="30"/>
  <c r="L63" i="30"/>
  <c r="B63" i="30"/>
  <c r="Z62" i="30"/>
  <c r="X62" i="30"/>
  <c r="V62" i="30"/>
  <c r="N62" i="30"/>
  <c r="L62" i="30"/>
  <c r="B62" i="30"/>
  <c r="Z61" i="30"/>
  <c r="X61" i="30"/>
  <c r="N61" i="30"/>
  <c r="L61" i="30"/>
  <c r="B61" i="30"/>
  <c r="Z60" i="30"/>
  <c r="X60" i="30"/>
  <c r="V60" i="30"/>
  <c r="N60" i="30"/>
  <c r="L60" i="30"/>
  <c r="B60" i="30"/>
  <c r="Z59" i="30"/>
  <c r="X59" i="30"/>
  <c r="N59" i="30"/>
  <c r="L59" i="30"/>
  <c r="B59" i="30"/>
  <c r="Z58" i="30"/>
  <c r="X58" i="30"/>
  <c r="V58" i="30"/>
  <c r="N58" i="30"/>
  <c r="L58" i="30"/>
  <c r="B58" i="30"/>
  <c r="Z57" i="30"/>
  <c r="X57" i="30"/>
  <c r="N57" i="30"/>
  <c r="L57" i="30"/>
  <c r="B57" i="30"/>
  <c r="Z56" i="30"/>
  <c r="X56" i="30"/>
  <c r="N56" i="30"/>
  <c r="L56" i="30"/>
  <c r="B56" i="30"/>
  <c r="Z55" i="30"/>
  <c r="X55" i="30"/>
  <c r="N55" i="30"/>
  <c r="L55" i="30"/>
  <c r="B55" i="30"/>
  <c r="Z54" i="30"/>
  <c r="X54" i="30"/>
  <c r="N54" i="30"/>
  <c r="L54" i="30"/>
  <c r="B54" i="30"/>
  <c r="Z53" i="30"/>
  <c r="X53" i="30"/>
  <c r="N53" i="30"/>
  <c r="L53" i="30"/>
  <c r="B53" i="30"/>
  <c r="Z52" i="30"/>
  <c r="X52" i="30"/>
  <c r="V52" i="30"/>
  <c r="N52" i="30"/>
  <c r="L52" i="30"/>
  <c r="B52" i="30"/>
  <c r="Z51" i="30"/>
  <c r="X51" i="30"/>
  <c r="N51" i="30"/>
  <c r="L51" i="30"/>
  <c r="B51" i="30"/>
  <c r="Z50" i="30"/>
  <c r="X50" i="30"/>
  <c r="V50" i="30"/>
  <c r="N50" i="30"/>
  <c r="L50" i="30"/>
  <c r="B50" i="30"/>
  <c r="Z49" i="30"/>
  <c r="X49" i="30"/>
  <c r="N49" i="30"/>
  <c r="L49" i="30"/>
  <c r="B49" i="30"/>
  <c r="Z48" i="30"/>
  <c r="X48" i="30"/>
  <c r="V48" i="30"/>
  <c r="N48" i="30"/>
  <c r="L48" i="30"/>
  <c r="B48" i="30"/>
  <c r="Z47" i="30"/>
  <c r="X47" i="30"/>
  <c r="N47" i="30"/>
  <c r="L47" i="30"/>
  <c r="B47" i="30"/>
  <c r="Z46" i="30"/>
  <c r="X46" i="30"/>
  <c r="V46" i="30"/>
  <c r="N46" i="30"/>
  <c r="L46" i="30"/>
  <c r="B46" i="30"/>
  <c r="X45" i="30"/>
  <c r="Z45" i="30" s="1"/>
  <c r="L45" i="30"/>
  <c r="N45" i="30" s="1"/>
  <c r="B45" i="30"/>
  <c r="X44" i="30"/>
  <c r="Z44" i="30" s="1"/>
  <c r="V44" i="30"/>
  <c r="T44" i="30"/>
  <c r="P44" i="30"/>
  <c r="H44" i="30"/>
  <c r="D44" i="30"/>
  <c r="L44" i="30" s="1"/>
  <c r="N44" i="30" s="1"/>
  <c r="Z42" i="30"/>
  <c r="P42" i="30"/>
  <c r="X42" i="30" s="1"/>
  <c r="N42" i="30"/>
  <c r="D42" i="30"/>
  <c r="L42" i="30" s="1"/>
  <c r="B42" i="30"/>
  <c r="Z41" i="30"/>
  <c r="X41" i="30"/>
  <c r="P41" i="30"/>
  <c r="N41" i="30"/>
  <c r="D41" i="30"/>
  <c r="L41" i="30" s="1"/>
  <c r="B41" i="30"/>
  <c r="Z40" i="30"/>
  <c r="X40" i="30"/>
  <c r="P40" i="30"/>
  <c r="N40" i="30"/>
  <c r="L40" i="30"/>
  <c r="D40" i="30"/>
  <c r="B40" i="30"/>
  <c r="Z39" i="30"/>
  <c r="X39" i="30"/>
  <c r="P39" i="30"/>
  <c r="N39" i="30"/>
  <c r="L39" i="30"/>
  <c r="D39" i="30"/>
  <c r="B39" i="30"/>
  <c r="Z38" i="30"/>
  <c r="P38" i="30"/>
  <c r="X38" i="30" s="1"/>
  <c r="N38" i="30"/>
  <c r="L38" i="30"/>
  <c r="D38" i="30"/>
  <c r="B38" i="30"/>
  <c r="Z37" i="30"/>
  <c r="P37" i="30"/>
  <c r="X37" i="30" s="1"/>
  <c r="N37" i="30"/>
  <c r="L37" i="30"/>
  <c r="D37" i="30"/>
  <c r="B37" i="30"/>
  <c r="Z36" i="30"/>
  <c r="P36" i="30"/>
  <c r="X36" i="30" s="1"/>
  <c r="N36" i="30"/>
  <c r="L36" i="30"/>
  <c r="D36" i="30"/>
  <c r="B36" i="30"/>
  <c r="Z35" i="30"/>
  <c r="X35" i="30"/>
  <c r="P35" i="30"/>
  <c r="N35" i="30"/>
  <c r="D35" i="30"/>
  <c r="L35" i="30" s="1"/>
  <c r="B35" i="30"/>
  <c r="Z34" i="30"/>
  <c r="P34" i="30"/>
  <c r="X34" i="30" s="1"/>
  <c r="N34" i="30"/>
  <c r="D34" i="30"/>
  <c r="L34" i="30" s="1"/>
  <c r="B34" i="30"/>
  <c r="Z33" i="30"/>
  <c r="P33" i="30"/>
  <c r="X33" i="30" s="1"/>
  <c r="N33" i="30"/>
  <c r="D33" i="30"/>
  <c r="L33" i="30" s="1"/>
  <c r="B33" i="30"/>
  <c r="Z32" i="30"/>
  <c r="P32" i="30"/>
  <c r="X32" i="30" s="1"/>
  <c r="N32" i="30"/>
  <c r="L32" i="30"/>
  <c r="D32" i="30"/>
  <c r="B32" i="30"/>
  <c r="Z31" i="30"/>
  <c r="X31" i="30"/>
  <c r="P31" i="30"/>
  <c r="N31" i="30"/>
  <c r="D31" i="30"/>
  <c r="L31" i="30" s="1"/>
  <c r="B31" i="30"/>
  <c r="Z30" i="30"/>
  <c r="P30" i="30"/>
  <c r="X30" i="30" s="1"/>
  <c r="N30" i="30"/>
  <c r="D30" i="30"/>
  <c r="L30" i="30" s="1"/>
  <c r="B30" i="30"/>
  <c r="Z29" i="30"/>
  <c r="X29" i="30"/>
  <c r="P29" i="30"/>
  <c r="N29" i="30"/>
  <c r="D29" i="30"/>
  <c r="L29" i="30" s="1"/>
  <c r="B29" i="30"/>
  <c r="Z28" i="30"/>
  <c r="X28" i="30"/>
  <c r="P28" i="30"/>
  <c r="N28" i="30"/>
  <c r="L28" i="30"/>
  <c r="D28" i="30"/>
  <c r="B28" i="30"/>
  <c r="Z27" i="30"/>
  <c r="X27" i="30"/>
  <c r="P27" i="30"/>
  <c r="N27" i="30"/>
  <c r="L27" i="30"/>
  <c r="D27" i="30"/>
  <c r="B27" i="30"/>
  <c r="Z26" i="30"/>
  <c r="P26" i="30"/>
  <c r="X26" i="30" s="1"/>
  <c r="N26" i="30"/>
  <c r="L26" i="30"/>
  <c r="D26" i="30"/>
  <c r="B26" i="30"/>
  <c r="Z25" i="30"/>
  <c r="P25" i="30"/>
  <c r="X25" i="30" s="1"/>
  <c r="N25" i="30"/>
  <c r="L25" i="30"/>
  <c r="D25" i="30"/>
  <c r="B25" i="30"/>
  <c r="Z24" i="30"/>
  <c r="P24" i="30"/>
  <c r="X24" i="30" s="1"/>
  <c r="N24" i="30"/>
  <c r="L24" i="30"/>
  <c r="D24" i="30"/>
  <c r="B24" i="30"/>
  <c r="Z23" i="30"/>
  <c r="X23" i="30"/>
  <c r="P23" i="30"/>
  <c r="N23" i="30"/>
  <c r="D23" i="30"/>
  <c r="L23" i="30" s="1"/>
  <c r="B23" i="30"/>
  <c r="Z22" i="30"/>
  <c r="P22" i="30"/>
  <c r="X22" i="30" s="1"/>
  <c r="N22" i="30"/>
  <c r="L22" i="30"/>
  <c r="D22" i="30"/>
  <c r="B22" i="30"/>
  <c r="Z21" i="30"/>
  <c r="P21" i="30"/>
  <c r="X21" i="30" s="1"/>
  <c r="N21" i="30"/>
  <c r="D21" i="30"/>
  <c r="L21" i="30" s="1"/>
  <c r="B21" i="30"/>
  <c r="Z20" i="30"/>
  <c r="P20" i="30"/>
  <c r="X20" i="30" s="1"/>
  <c r="N20" i="30"/>
  <c r="L20" i="30"/>
  <c r="D20" i="30"/>
  <c r="B20" i="30"/>
  <c r="Z19" i="30"/>
  <c r="X19" i="30"/>
  <c r="P19" i="30"/>
  <c r="N19" i="30"/>
  <c r="D19" i="30"/>
  <c r="B19" i="30"/>
  <c r="Z18" i="30"/>
  <c r="P18" i="30"/>
  <c r="X18" i="30" s="1"/>
  <c r="N18" i="30"/>
  <c r="D18" i="30"/>
  <c r="L18" i="30" s="1"/>
  <c r="B18" i="30"/>
  <c r="Z17" i="30"/>
  <c r="X17" i="30"/>
  <c r="P17" i="30"/>
  <c r="N17" i="30"/>
  <c r="L17" i="30"/>
  <c r="D17" i="30"/>
  <c r="B17" i="30"/>
  <c r="Z16" i="30"/>
  <c r="P16" i="30"/>
  <c r="X16" i="30" s="1"/>
  <c r="N16" i="30"/>
  <c r="L16" i="30"/>
  <c r="D16" i="30"/>
  <c r="B16" i="30"/>
  <c r="Z15" i="30"/>
  <c r="X15" i="30"/>
  <c r="P15" i="30"/>
  <c r="N15" i="30"/>
  <c r="L15" i="30"/>
  <c r="D15" i="30"/>
  <c r="B15" i="30"/>
  <c r="Z14" i="30"/>
  <c r="X14" i="30"/>
  <c r="P14" i="30"/>
  <c r="N14" i="30"/>
  <c r="L14" i="30"/>
  <c r="D14" i="30"/>
  <c r="B14" i="30"/>
  <c r="X13" i="30"/>
  <c r="Z13" i="30" s="1"/>
  <c r="P13" i="30"/>
  <c r="L13" i="30"/>
  <c r="N13" i="30" s="1"/>
  <c r="D13" i="30"/>
  <c r="B13" i="30"/>
  <c r="T12" i="30"/>
  <c r="V132" i="30" s="1"/>
  <c r="H12" i="30"/>
  <c r="J118" i="30" s="1"/>
  <c r="D4" i="30"/>
  <c r="Z133" i="27"/>
  <c r="X133" i="27"/>
  <c r="N133" i="27"/>
  <c r="L133" i="27"/>
  <c r="X129" i="27"/>
  <c r="Z129" i="27" s="1"/>
  <c r="P129" i="27"/>
  <c r="D129" i="27"/>
  <c r="L129" i="27" s="1"/>
  <c r="N129" i="27" s="1"/>
  <c r="B129" i="27"/>
  <c r="Z128" i="27"/>
  <c r="V128" i="27"/>
  <c r="P128" i="27"/>
  <c r="X128" i="27" s="1"/>
  <c r="N128" i="27"/>
  <c r="D128" i="27"/>
  <c r="L128" i="27" s="1"/>
  <c r="B128" i="27"/>
  <c r="Z127" i="27"/>
  <c r="X127" i="27"/>
  <c r="V127" i="27"/>
  <c r="P127" i="27"/>
  <c r="N127" i="27"/>
  <c r="D127" i="27"/>
  <c r="L127" i="27" s="1"/>
  <c r="B127" i="27"/>
  <c r="Z126" i="27"/>
  <c r="P126" i="27"/>
  <c r="N126" i="27"/>
  <c r="L126" i="27"/>
  <c r="D126" i="27"/>
  <c r="B126" i="27"/>
  <c r="T125" i="27"/>
  <c r="H125" i="27"/>
  <c r="Z123" i="27"/>
  <c r="X123" i="27"/>
  <c r="N123" i="27"/>
  <c r="L123" i="27"/>
  <c r="B123" i="27"/>
  <c r="Z122" i="27"/>
  <c r="X122" i="27"/>
  <c r="N122" i="27"/>
  <c r="L122" i="27"/>
  <c r="B122" i="27"/>
  <c r="X121" i="27"/>
  <c r="T121" i="27"/>
  <c r="Z121" i="27" s="1"/>
  <c r="P121" i="27"/>
  <c r="N121" i="27"/>
  <c r="H121" i="27"/>
  <c r="D121" i="27"/>
  <c r="L121" i="27" s="1"/>
  <c r="B121" i="27"/>
  <c r="Z120" i="27"/>
  <c r="X120" i="27"/>
  <c r="N120" i="27"/>
  <c r="L120" i="27"/>
  <c r="J120" i="27"/>
  <c r="B120" i="27"/>
  <c r="T119" i="27"/>
  <c r="X119" i="27" s="1"/>
  <c r="P119" i="27"/>
  <c r="J119" i="27"/>
  <c r="H119" i="27"/>
  <c r="N119" i="27" s="1"/>
  <c r="D119" i="27"/>
  <c r="B119" i="27"/>
  <c r="Z118" i="27"/>
  <c r="X118" i="27"/>
  <c r="V118" i="27"/>
  <c r="L118" i="27"/>
  <c r="N118" i="27" s="1"/>
  <c r="B118" i="27"/>
  <c r="X117" i="27"/>
  <c r="Z117" i="27" s="1"/>
  <c r="V117" i="27"/>
  <c r="L117" i="27"/>
  <c r="N117" i="27" s="1"/>
  <c r="B117" i="27"/>
  <c r="V116" i="27"/>
  <c r="T116" i="27"/>
  <c r="P116" i="27"/>
  <c r="X116" i="27" s="1"/>
  <c r="Z116" i="27" s="1"/>
  <c r="J116" i="27"/>
  <c r="H116" i="27"/>
  <c r="D116" i="27"/>
  <c r="L116" i="27" s="1"/>
  <c r="N116" i="27" s="1"/>
  <c r="B116" i="27"/>
  <c r="Z115" i="27"/>
  <c r="X115" i="27"/>
  <c r="L115" i="27"/>
  <c r="N115" i="27" s="1"/>
  <c r="B115" i="27"/>
  <c r="X114" i="27"/>
  <c r="Z114" i="27" s="1"/>
  <c r="N114" i="27"/>
  <c r="L114" i="27"/>
  <c r="B114" i="27"/>
  <c r="X113" i="27"/>
  <c r="Z113" i="27" s="1"/>
  <c r="L113" i="27"/>
  <c r="N113" i="27" s="1"/>
  <c r="J113" i="27"/>
  <c r="B113" i="27"/>
  <c r="X112" i="27"/>
  <c r="Z112" i="27" s="1"/>
  <c r="V112" i="27"/>
  <c r="T112" i="27"/>
  <c r="P112" i="27"/>
  <c r="H112" i="27"/>
  <c r="N112" i="27" s="1"/>
  <c r="D112" i="27"/>
  <c r="L112" i="27" s="1"/>
  <c r="B112" i="27"/>
  <c r="Z111" i="27"/>
  <c r="X111" i="27"/>
  <c r="N111" i="27"/>
  <c r="L111" i="27"/>
  <c r="B111" i="27"/>
  <c r="Z110" i="27"/>
  <c r="X110" i="27"/>
  <c r="N110" i="27"/>
  <c r="L110" i="27"/>
  <c r="J110" i="27"/>
  <c r="B110" i="27"/>
  <c r="V109" i="27"/>
  <c r="T109" i="27"/>
  <c r="P109" i="27"/>
  <c r="N109" i="27"/>
  <c r="L109" i="27"/>
  <c r="H109" i="27"/>
  <c r="D109" i="27"/>
  <c r="B109" i="27"/>
  <c r="X108" i="27"/>
  <c r="Z108" i="27" s="1"/>
  <c r="V108" i="27"/>
  <c r="L108" i="27"/>
  <c r="N108" i="27" s="1"/>
  <c r="J108" i="27"/>
  <c r="B108" i="27"/>
  <c r="X107" i="27"/>
  <c r="Z107" i="27" s="1"/>
  <c r="N107" i="27"/>
  <c r="L107" i="27"/>
  <c r="B107" i="27"/>
  <c r="Z106" i="27"/>
  <c r="X106" i="27"/>
  <c r="V106" i="27"/>
  <c r="N106" i="27"/>
  <c r="L106" i="27"/>
  <c r="B106" i="27"/>
  <c r="X105" i="27"/>
  <c r="Z105" i="27" s="1"/>
  <c r="V105" i="27"/>
  <c r="L105" i="27"/>
  <c r="N105" i="27" s="1"/>
  <c r="B105" i="27"/>
  <c r="V104" i="27"/>
  <c r="T104" i="27"/>
  <c r="P104" i="27"/>
  <c r="X104" i="27" s="1"/>
  <c r="Z104" i="27" s="1"/>
  <c r="J104" i="27"/>
  <c r="H104" i="27"/>
  <c r="D104" i="27"/>
  <c r="L104" i="27" s="1"/>
  <c r="N104" i="27" s="1"/>
  <c r="B104" i="27"/>
  <c r="Z103" i="27"/>
  <c r="X103" i="27"/>
  <c r="L103" i="27"/>
  <c r="N103" i="27" s="1"/>
  <c r="B103" i="27"/>
  <c r="T102" i="27"/>
  <c r="P102" i="27"/>
  <c r="L102" i="27"/>
  <c r="N102" i="27" s="1"/>
  <c r="J102" i="27"/>
  <c r="H102" i="27"/>
  <c r="D102" i="27"/>
  <c r="B102" i="27"/>
  <c r="X101" i="27"/>
  <c r="Z101" i="27" s="1"/>
  <c r="V101" i="27"/>
  <c r="N101" i="27"/>
  <c r="L101" i="27"/>
  <c r="J101" i="27"/>
  <c r="B101" i="27"/>
  <c r="Z100" i="27"/>
  <c r="T100" i="27"/>
  <c r="P100" i="27"/>
  <c r="X100" i="27" s="1"/>
  <c r="H100" i="27"/>
  <c r="N100" i="27" s="1"/>
  <c r="D100" i="27"/>
  <c r="B100" i="27"/>
  <c r="Z99" i="27"/>
  <c r="X99" i="27"/>
  <c r="N99" i="27"/>
  <c r="L99" i="27"/>
  <c r="B99" i="27"/>
  <c r="Z98" i="27"/>
  <c r="X98" i="27"/>
  <c r="V98" i="27"/>
  <c r="L98" i="27"/>
  <c r="N98" i="27" s="1"/>
  <c r="B98" i="27"/>
  <c r="T97" i="27"/>
  <c r="P97" i="27"/>
  <c r="H97" i="27"/>
  <c r="D97" i="27"/>
  <c r="L97" i="27" s="1"/>
  <c r="B97" i="27"/>
  <c r="X96" i="27"/>
  <c r="Z96" i="27" s="1"/>
  <c r="V96" i="27"/>
  <c r="N96" i="27"/>
  <c r="L96" i="27"/>
  <c r="B96" i="27"/>
  <c r="T95" i="27"/>
  <c r="P95" i="27"/>
  <c r="X95" i="27" s="1"/>
  <c r="Z95" i="27" s="1"/>
  <c r="L95" i="27"/>
  <c r="H95" i="27"/>
  <c r="D95" i="27"/>
  <c r="B95" i="27"/>
  <c r="Z94" i="27"/>
  <c r="X94" i="27"/>
  <c r="N94" i="27"/>
  <c r="L94" i="27"/>
  <c r="J94" i="27"/>
  <c r="B94" i="27"/>
  <c r="V93" i="27"/>
  <c r="T93" i="27"/>
  <c r="P93" i="27"/>
  <c r="H93" i="27"/>
  <c r="D93" i="27"/>
  <c r="B93" i="27"/>
  <c r="Z92" i="27"/>
  <c r="X92" i="27"/>
  <c r="V92" i="27"/>
  <c r="N92" i="27"/>
  <c r="L92" i="27"/>
  <c r="J92" i="27"/>
  <c r="B92" i="27"/>
  <c r="X91" i="27"/>
  <c r="Z91" i="27" s="1"/>
  <c r="N91" i="27"/>
  <c r="L91" i="27"/>
  <c r="B91" i="27"/>
  <c r="Z90" i="27"/>
  <c r="V90" i="27"/>
  <c r="T90" i="27"/>
  <c r="P90" i="27"/>
  <c r="X90" i="27" s="1"/>
  <c r="J90" i="27"/>
  <c r="H90" i="27"/>
  <c r="D90" i="27"/>
  <c r="L90" i="27" s="1"/>
  <c r="N90" i="27" s="1"/>
  <c r="B90" i="27"/>
  <c r="X89" i="27"/>
  <c r="Z89" i="27" s="1"/>
  <c r="L89" i="27"/>
  <c r="N89" i="27" s="1"/>
  <c r="J89" i="27"/>
  <c r="B89" i="27"/>
  <c r="X88" i="27"/>
  <c r="V88" i="27"/>
  <c r="T88" i="27"/>
  <c r="Z88" i="27" s="1"/>
  <c r="P88" i="27"/>
  <c r="H88" i="27"/>
  <c r="N88" i="27" s="1"/>
  <c r="D88" i="27"/>
  <c r="L88" i="27" s="1"/>
  <c r="B88" i="27"/>
  <c r="Z87" i="27"/>
  <c r="X87" i="27"/>
  <c r="N87" i="27"/>
  <c r="L87" i="27"/>
  <c r="B87" i="27"/>
  <c r="Z86" i="27"/>
  <c r="X86" i="27"/>
  <c r="N86" i="27"/>
  <c r="L86" i="27"/>
  <c r="J86" i="27"/>
  <c r="B86" i="27"/>
  <c r="X85" i="27"/>
  <c r="Z85" i="27" s="1"/>
  <c r="V85" i="27"/>
  <c r="L85" i="27"/>
  <c r="N85" i="27" s="1"/>
  <c r="J85" i="27"/>
  <c r="B85" i="27"/>
  <c r="Z84" i="27"/>
  <c r="X84" i="27"/>
  <c r="L84" i="27"/>
  <c r="N84" i="27" s="1"/>
  <c r="J84" i="27"/>
  <c r="B84" i="27"/>
  <c r="Z83" i="27"/>
  <c r="X83" i="27"/>
  <c r="N83" i="27"/>
  <c r="L83" i="27"/>
  <c r="B83" i="27"/>
  <c r="Z82" i="27"/>
  <c r="X82" i="27"/>
  <c r="N82" i="27"/>
  <c r="L82" i="27"/>
  <c r="J82" i="27"/>
  <c r="B82" i="27"/>
  <c r="X81" i="27"/>
  <c r="Z81" i="27" s="1"/>
  <c r="V81" i="27"/>
  <c r="L81" i="27"/>
  <c r="N81" i="27" s="1"/>
  <c r="J81" i="27"/>
  <c r="B81" i="27"/>
  <c r="Z80" i="27"/>
  <c r="X80" i="27"/>
  <c r="N80" i="27"/>
  <c r="L80" i="27"/>
  <c r="J80" i="27"/>
  <c r="B80" i="27"/>
  <c r="X79" i="27"/>
  <c r="Z79" i="27" s="1"/>
  <c r="L79" i="27"/>
  <c r="N79" i="27" s="1"/>
  <c r="B79" i="27"/>
  <c r="Z78" i="27"/>
  <c r="X78" i="27"/>
  <c r="N78" i="27"/>
  <c r="L78" i="27"/>
  <c r="J78" i="27"/>
  <c r="B78" i="27"/>
  <c r="V77" i="27"/>
  <c r="T77" i="27"/>
  <c r="P77" i="27"/>
  <c r="X77" i="27" s="1"/>
  <c r="N77" i="27"/>
  <c r="H77" i="27"/>
  <c r="L77" i="27" s="1"/>
  <c r="D77" i="27"/>
  <c r="B77" i="27"/>
  <c r="X76" i="27"/>
  <c r="Z76" i="27" s="1"/>
  <c r="V76" i="27"/>
  <c r="L76" i="27"/>
  <c r="N76" i="27" s="1"/>
  <c r="J76" i="27"/>
  <c r="B76" i="27"/>
  <c r="X75" i="27"/>
  <c r="Z75" i="27" s="1"/>
  <c r="N75" i="27"/>
  <c r="L75" i="27"/>
  <c r="B75" i="27"/>
  <c r="Z74" i="27"/>
  <c r="X74" i="27"/>
  <c r="V74" i="27"/>
  <c r="L74" i="27"/>
  <c r="N74" i="27" s="1"/>
  <c r="B74" i="27"/>
  <c r="Z73" i="27"/>
  <c r="X73" i="27"/>
  <c r="V73" i="27"/>
  <c r="N73" i="27"/>
  <c r="L73" i="27"/>
  <c r="B73" i="27"/>
  <c r="Z72" i="27"/>
  <c r="X72" i="27"/>
  <c r="V72" i="27"/>
  <c r="N72" i="27"/>
  <c r="L72" i="27"/>
  <c r="J72" i="27"/>
  <c r="B72" i="27"/>
  <c r="X71" i="27"/>
  <c r="Z71" i="27" s="1"/>
  <c r="N71" i="27"/>
  <c r="L71" i="27"/>
  <c r="B71" i="27"/>
  <c r="Z70" i="27"/>
  <c r="X70" i="27"/>
  <c r="V70" i="27"/>
  <c r="L70" i="27"/>
  <c r="N70" i="27" s="1"/>
  <c r="B70" i="27"/>
  <c r="X69" i="27"/>
  <c r="Z69" i="27" s="1"/>
  <c r="V69" i="27"/>
  <c r="L69" i="27"/>
  <c r="N69" i="27" s="1"/>
  <c r="B69" i="27"/>
  <c r="X68" i="27"/>
  <c r="Z68" i="27" s="1"/>
  <c r="V68" i="27"/>
  <c r="L68" i="27"/>
  <c r="N68" i="27" s="1"/>
  <c r="J68" i="27"/>
  <c r="B68" i="27"/>
  <c r="X67" i="27"/>
  <c r="Z67" i="27" s="1"/>
  <c r="N67" i="27"/>
  <c r="L67" i="27"/>
  <c r="B67" i="27"/>
  <c r="V66" i="27"/>
  <c r="T66" i="27"/>
  <c r="P66" i="27"/>
  <c r="X66" i="27" s="1"/>
  <c r="Z66" i="27" s="1"/>
  <c r="J66" i="27"/>
  <c r="H66" i="27"/>
  <c r="D66" i="27"/>
  <c r="L66" i="27" s="1"/>
  <c r="N66" i="27" s="1"/>
  <c r="B66" i="27"/>
  <c r="X65" i="27"/>
  <c r="T65" i="27"/>
  <c r="Z65" i="27" s="1"/>
  <c r="P65" i="27"/>
  <c r="H65" i="27"/>
  <c r="D65" i="27"/>
  <c r="L65" i="27" s="1"/>
  <c r="N65" i="27" s="1"/>
  <c r="Z61" i="27"/>
  <c r="X61" i="27"/>
  <c r="N61" i="27"/>
  <c r="L61" i="27"/>
  <c r="J61" i="27"/>
  <c r="B61" i="27"/>
  <c r="Z60" i="27"/>
  <c r="X60" i="27"/>
  <c r="V60" i="27"/>
  <c r="N60" i="27"/>
  <c r="L60" i="27"/>
  <c r="J60" i="27"/>
  <c r="B60" i="27"/>
  <c r="Z59" i="27"/>
  <c r="X59" i="27"/>
  <c r="N59" i="27"/>
  <c r="L59" i="27"/>
  <c r="B59" i="27"/>
  <c r="Z58" i="27"/>
  <c r="X58" i="27"/>
  <c r="N58" i="27"/>
  <c r="L58" i="27"/>
  <c r="B58" i="27"/>
  <c r="Z57" i="27"/>
  <c r="X57" i="27"/>
  <c r="N57" i="27"/>
  <c r="L57" i="27"/>
  <c r="J57" i="27"/>
  <c r="B57" i="27"/>
  <c r="Z56" i="27"/>
  <c r="X56" i="27"/>
  <c r="V56" i="27"/>
  <c r="N56" i="27"/>
  <c r="L56" i="27"/>
  <c r="J56" i="27"/>
  <c r="B56" i="27"/>
  <c r="Z55" i="27"/>
  <c r="X55" i="27"/>
  <c r="N55" i="27"/>
  <c r="L55" i="27"/>
  <c r="B55" i="27"/>
  <c r="Z54" i="27"/>
  <c r="X54" i="27"/>
  <c r="N54" i="27"/>
  <c r="L54" i="27"/>
  <c r="B54" i="27"/>
  <c r="Z53" i="27"/>
  <c r="X53" i="27"/>
  <c r="N53" i="27"/>
  <c r="L53" i="27"/>
  <c r="J53" i="27"/>
  <c r="B53" i="27"/>
  <c r="Z52" i="27"/>
  <c r="X52" i="27"/>
  <c r="V52" i="27"/>
  <c r="N52" i="27"/>
  <c r="L52" i="27"/>
  <c r="J52" i="27"/>
  <c r="B52" i="27"/>
  <c r="Z51" i="27"/>
  <c r="X51" i="27"/>
  <c r="N51" i="27"/>
  <c r="L51" i="27"/>
  <c r="B51" i="27"/>
  <c r="Z50" i="27"/>
  <c r="X50" i="27"/>
  <c r="N50" i="27"/>
  <c r="L50" i="27"/>
  <c r="B50" i="27"/>
  <c r="Z49" i="27"/>
  <c r="X49" i="27"/>
  <c r="N49" i="27"/>
  <c r="L49" i="27"/>
  <c r="J49" i="27"/>
  <c r="B49" i="27"/>
  <c r="Z48" i="27"/>
  <c r="X48" i="27"/>
  <c r="V48" i="27"/>
  <c r="N48" i="27"/>
  <c r="L48" i="27"/>
  <c r="J48" i="27"/>
  <c r="B48" i="27"/>
  <c r="Z47" i="27"/>
  <c r="X47" i="27"/>
  <c r="N47" i="27"/>
  <c r="L47" i="27"/>
  <c r="B47" i="27"/>
  <c r="Z46" i="27"/>
  <c r="X46" i="27"/>
  <c r="N46" i="27"/>
  <c r="L46" i="27"/>
  <c r="B46" i="27"/>
  <c r="X45" i="27"/>
  <c r="Z45" i="27" s="1"/>
  <c r="N45" i="27"/>
  <c r="L45" i="27"/>
  <c r="J45" i="27"/>
  <c r="B45" i="27"/>
  <c r="X44" i="27"/>
  <c r="Z44" i="27" s="1"/>
  <c r="V44" i="27"/>
  <c r="T44" i="27"/>
  <c r="P44" i="27"/>
  <c r="H44" i="27"/>
  <c r="D44" i="27"/>
  <c r="Z42" i="27"/>
  <c r="X42" i="27"/>
  <c r="P42" i="27"/>
  <c r="N42" i="27"/>
  <c r="L42" i="27"/>
  <c r="D42" i="27"/>
  <c r="B42" i="27"/>
  <c r="Z41" i="27"/>
  <c r="P41" i="27"/>
  <c r="X41" i="27" s="1"/>
  <c r="N41" i="27"/>
  <c r="L41" i="27"/>
  <c r="D41" i="27"/>
  <c r="B41" i="27"/>
  <c r="Z40" i="27"/>
  <c r="P40" i="27"/>
  <c r="X40" i="27" s="1"/>
  <c r="N40" i="27"/>
  <c r="L40" i="27"/>
  <c r="D40" i="27"/>
  <c r="B40" i="27"/>
  <c r="Z39" i="27"/>
  <c r="X39" i="27"/>
  <c r="P39" i="27"/>
  <c r="N39" i="27"/>
  <c r="D39" i="27"/>
  <c r="L39" i="27" s="1"/>
  <c r="B39" i="27"/>
  <c r="Z38" i="27"/>
  <c r="P38" i="27"/>
  <c r="X38" i="27" s="1"/>
  <c r="N38" i="27"/>
  <c r="D38" i="27"/>
  <c r="L38" i="27" s="1"/>
  <c r="B38" i="27"/>
  <c r="Z37" i="27"/>
  <c r="P37" i="27"/>
  <c r="X37" i="27" s="1"/>
  <c r="N37" i="27"/>
  <c r="D37" i="27"/>
  <c r="L37" i="27" s="1"/>
  <c r="B37" i="27"/>
  <c r="Z36" i="27"/>
  <c r="X36" i="27"/>
  <c r="P36" i="27"/>
  <c r="N36" i="27"/>
  <c r="L36" i="27"/>
  <c r="D36" i="27"/>
  <c r="B36" i="27"/>
  <c r="Z35" i="27"/>
  <c r="X35" i="27"/>
  <c r="P35" i="27"/>
  <c r="N35" i="27"/>
  <c r="D35" i="27"/>
  <c r="L35" i="27" s="1"/>
  <c r="B35" i="27"/>
  <c r="Z34" i="27"/>
  <c r="X34" i="27"/>
  <c r="P34" i="27"/>
  <c r="N34" i="27"/>
  <c r="D34" i="27"/>
  <c r="L34" i="27" s="1"/>
  <c r="B34" i="27"/>
  <c r="Z33" i="27"/>
  <c r="X33" i="27"/>
  <c r="P33" i="27"/>
  <c r="N33" i="27"/>
  <c r="L33" i="27"/>
  <c r="D33" i="27"/>
  <c r="B33" i="27"/>
  <c r="Z32" i="27"/>
  <c r="X32" i="27"/>
  <c r="P32" i="27"/>
  <c r="N32" i="27"/>
  <c r="L32" i="27"/>
  <c r="D32" i="27"/>
  <c r="B32" i="27"/>
  <c r="Z31" i="27"/>
  <c r="X31" i="27"/>
  <c r="P31" i="27"/>
  <c r="N31" i="27"/>
  <c r="L31" i="27"/>
  <c r="D31" i="27"/>
  <c r="B31" i="27"/>
  <c r="Z30" i="27"/>
  <c r="P30" i="27"/>
  <c r="X30" i="27" s="1"/>
  <c r="N30" i="27"/>
  <c r="L30" i="27"/>
  <c r="D30" i="27"/>
  <c r="B30" i="27"/>
  <c r="Z29" i="27"/>
  <c r="P29" i="27"/>
  <c r="X29" i="27" s="1"/>
  <c r="N29" i="27"/>
  <c r="L29" i="27"/>
  <c r="D29" i="27"/>
  <c r="B29" i="27"/>
  <c r="Z28" i="27"/>
  <c r="P28" i="27"/>
  <c r="X28" i="27" s="1"/>
  <c r="N28" i="27"/>
  <c r="L28" i="27"/>
  <c r="D28" i="27"/>
  <c r="B28" i="27"/>
  <c r="Z27" i="27"/>
  <c r="X27" i="27"/>
  <c r="P27" i="27"/>
  <c r="N27" i="27"/>
  <c r="D27" i="27"/>
  <c r="L27" i="27" s="1"/>
  <c r="B27" i="27"/>
  <c r="Z26" i="27"/>
  <c r="P26" i="27"/>
  <c r="X26" i="27" s="1"/>
  <c r="N26" i="27"/>
  <c r="D26" i="27"/>
  <c r="L26" i="27" s="1"/>
  <c r="B26" i="27"/>
  <c r="Z25" i="27"/>
  <c r="P25" i="27"/>
  <c r="X25" i="27" s="1"/>
  <c r="N25" i="27"/>
  <c r="D25" i="27"/>
  <c r="L25" i="27" s="1"/>
  <c r="B25" i="27"/>
  <c r="Z24" i="27"/>
  <c r="X24" i="27"/>
  <c r="P24" i="27"/>
  <c r="N24" i="27"/>
  <c r="L24" i="27"/>
  <c r="D24" i="27"/>
  <c r="B24" i="27"/>
  <c r="Z23" i="27"/>
  <c r="X23" i="27"/>
  <c r="P23" i="27"/>
  <c r="N23" i="27"/>
  <c r="D23" i="27"/>
  <c r="L23" i="27" s="1"/>
  <c r="B23" i="27"/>
  <c r="Z22" i="27"/>
  <c r="X22" i="27"/>
  <c r="P22" i="27"/>
  <c r="N22" i="27"/>
  <c r="D22" i="27"/>
  <c r="L22" i="27" s="1"/>
  <c r="B22" i="27"/>
  <c r="X21" i="27"/>
  <c r="Z21" i="27" s="1"/>
  <c r="P21" i="27"/>
  <c r="N21" i="27"/>
  <c r="L21" i="27"/>
  <c r="D21" i="27"/>
  <c r="B21" i="27"/>
  <c r="Z20" i="27"/>
  <c r="X20" i="27"/>
  <c r="P20" i="27"/>
  <c r="N20" i="27"/>
  <c r="L20" i="27"/>
  <c r="D20" i="27"/>
  <c r="B20" i="27"/>
  <c r="Z19" i="27"/>
  <c r="X19" i="27"/>
  <c r="P19" i="27"/>
  <c r="N19" i="27"/>
  <c r="L19" i="27"/>
  <c r="D19" i="27"/>
  <c r="B19" i="27"/>
  <c r="Z18" i="27"/>
  <c r="P18" i="27"/>
  <c r="X18" i="27" s="1"/>
  <c r="N18" i="27"/>
  <c r="L18" i="27"/>
  <c r="D18" i="27"/>
  <c r="B18" i="27"/>
  <c r="Z17" i="27"/>
  <c r="P17" i="27"/>
  <c r="X17" i="27" s="1"/>
  <c r="N17" i="27"/>
  <c r="L17" i="27"/>
  <c r="D17" i="27"/>
  <c r="B17" i="27"/>
  <c r="Z16" i="27"/>
  <c r="P16" i="27"/>
  <c r="N16" i="27"/>
  <c r="L16" i="27"/>
  <c r="D16" i="27"/>
  <c r="B16" i="27"/>
  <c r="Z15" i="27"/>
  <c r="X15" i="27"/>
  <c r="P15" i="27"/>
  <c r="N15" i="27"/>
  <c r="D15" i="27"/>
  <c r="L15" i="27" s="1"/>
  <c r="B15" i="27"/>
  <c r="Z14" i="27"/>
  <c r="P14" i="27"/>
  <c r="X14" i="27" s="1"/>
  <c r="N14" i="27"/>
  <c r="D14" i="27"/>
  <c r="L14" i="27" s="1"/>
  <c r="B14" i="27"/>
  <c r="Z13" i="27"/>
  <c r="P13" i="27"/>
  <c r="X13" i="27" s="1"/>
  <c r="N13" i="27"/>
  <c r="D13" i="27"/>
  <c r="B13" i="27"/>
  <c r="T12" i="27"/>
  <c r="V121" i="27" s="1"/>
  <c r="H12" i="27"/>
  <c r="J126" i="27" s="1"/>
  <c r="D4" i="27"/>
  <c r="X146" i="24"/>
  <c r="Z146" i="24" s="1"/>
  <c r="N146" i="24"/>
  <c r="L146" i="24"/>
  <c r="Z142" i="24"/>
  <c r="X142" i="24"/>
  <c r="P142" i="24"/>
  <c r="N142" i="24"/>
  <c r="D142" i="24"/>
  <c r="L142" i="24" s="1"/>
  <c r="B142" i="24"/>
  <c r="Z141" i="24"/>
  <c r="X141" i="24"/>
  <c r="V141" i="24"/>
  <c r="T141" i="24"/>
  <c r="P141" i="24"/>
  <c r="H141" i="24"/>
  <c r="N141" i="24" s="1"/>
  <c r="Z139" i="24"/>
  <c r="X139" i="24"/>
  <c r="V139" i="24"/>
  <c r="N139" i="24"/>
  <c r="L139" i="24"/>
  <c r="B139" i="24"/>
  <c r="Z138" i="24"/>
  <c r="T138" i="24"/>
  <c r="P138" i="24"/>
  <c r="X138" i="24" s="1"/>
  <c r="L138" i="24"/>
  <c r="H138" i="24"/>
  <c r="N138" i="24" s="1"/>
  <c r="D138" i="24"/>
  <c r="B138" i="24"/>
  <c r="Z137" i="24"/>
  <c r="X137" i="24"/>
  <c r="N137" i="24"/>
  <c r="L137" i="24"/>
  <c r="J137" i="24"/>
  <c r="B137" i="24"/>
  <c r="V136" i="24"/>
  <c r="T136" i="24"/>
  <c r="Z136" i="24" s="1"/>
  <c r="P136" i="24"/>
  <c r="X136" i="24" s="1"/>
  <c r="H136" i="24"/>
  <c r="D136" i="24"/>
  <c r="B136" i="24"/>
  <c r="X135" i="24"/>
  <c r="Z135" i="24" s="1"/>
  <c r="L135" i="24"/>
  <c r="N135" i="24" s="1"/>
  <c r="J135" i="24"/>
  <c r="B135" i="24"/>
  <c r="T134" i="24"/>
  <c r="Z134" i="24" s="1"/>
  <c r="P134" i="24"/>
  <c r="X134" i="24" s="1"/>
  <c r="H134" i="24"/>
  <c r="D134" i="24"/>
  <c r="L134" i="24" s="1"/>
  <c r="B134" i="24"/>
  <c r="Z133" i="24"/>
  <c r="X133" i="24"/>
  <c r="N133" i="24"/>
  <c r="L133" i="24"/>
  <c r="B133" i="24"/>
  <c r="Z132" i="24"/>
  <c r="X132" i="24"/>
  <c r="N132" i="24"/>
  <c r="L132" i="24"/>
  <c r="J132" i="24"/>
  <c r="B132" i="24"/>
  <c r="X131" i="24"/>
  <c r="Z131" i="24" s="1"/>
  <c r="V131" i="24"/>
  <c r="N131" i="24"/>
  <c r="L131" i="24"/>
  <c r="B131" i="24"/>
  <c r="T130" i="24"/>
  <c r="P130" i="24"/>
  <c r="X130" i="24" s="1"/>
  <c r="Z130" i="24" s="1"/>
  <c r="L130" i="24"/>
  <c r="H130" i="24"/>
  <c r="D130" i="24"/>
  <c r="B130" i="24"/>
  <c r="Z129" i="24"/>
  <c r="X129" i="24"/>
  <c r="N129" i="24"/>
  <c r="L129" i="24"/>
  <c r="J129" i="24"/>
  <c r="B129" i="24"/>
  <c r="V128" i="24"/>
  <c r="T128" i="24"/>
  <c r="Z128" i="24" s="1"/>
  <c r="P128" i="24"/>
  <c r="H128" i="24"/>
  <c r="D128" i="24"/>
  <c r="B128" i="24"/>
  <c r="X127" i="24"/>
  <c r="Z127" i="24" s="1"/>
  <c r="V127" i="24"/>
  <c r="L127" i="24"/>
  <c r="N127" i="24" s="1"/>
  <c r="J127" i="24"/>
  <c r="B127" i="24"/>
  <c r="X126" i="24"/>
  <c r="Z126" i="24" s="1"/>
  <c r="N126" i="24"/>
  <c r="L126" i="24"/>
  <c r="B126" i="24"/>
  <c r="Z125" i="24"/>
  <c r="V125" i="24"/>
  <c r="T125" i="24"/>
  <c r="P125" i="24"/>
  <c r="X125" i="24" s="1"/>
  <c r="J125" i="24"/>
  <c r="H125" i="24"/>
  <c r="D125" i="24"/>
  <c r="L125" i="24" s="1"/>
  <c r="B125" i="24"/>
  <c r="X124" i="24"/>
  <c r="Z124" i="24" s="1"/>
  <c r="L124" i="24"/>
  <c r="N124" i="24" s="1"/>
  <c r="J124" i="24"/>
  <c r="B124" i="24"/>
  <c r="Z123" i="24"/>
  <c r="X123" i="24"/>
  <c r="V123" i="24"/>
  <c r="N123" i="24"/>
  <c r="L123" i="24"/>
  <c r="B123" i="24"/>
  <c r="T122" i="24"/>
  <c r="P122" i="24"/>
  <c r="X122" i="24" s="1"/>
  <c r="Z122" i="24" s="1"/>
  <c r="L122" i="24"/>
  <c r="H122" i="24"/>
  <c r="N122" i="24" s="1"/>
  <c r="D122" i="24"/>
  <c r="B122" i="24"/>
  <c r="Z121" i="24"/>
  <c r="X121" i="24"/>
  <c r="N121" i="24"/>
  <c r="L121" i="24"/>
  <c r="J121" i="24"/>
  <c r="B121" i="24"/>
  <c r="V120" i="24"/>
  <c r="T120" i="24"/>
  <c r="P120" i="24"/>
  <c r="H120" i="24"/>
  <c r="D120" i="24"/>
  <c r="B120" i="24"/>
  <c r="X119" i="24"/>
  <c r="Z119" i="24" s="1"/>
  <c r="V119" i="24"/>
  <c r="L119" i="24"/>
  <c r="N119" i="24" s="1"/>
  <c r="J119" i="24"/>
  <c r="B119" i="24"/>
  <c r="T118" i="24"/>
  <c r="P118" i="24"/>
  <c r="X118" i="24" s="1"/>
  <c r="H118" i="24"/>
  <c r="D118" i="24"/>
  <c r="B118" i="24"/>
  <c r="Z117" i="24"/>
  <c r="X117" i="24"/>
  <c r="N117" i="24"/>
  <c r="L117" i="24"/>
  <c r="B117" i="24"/>
  <c r="X116" i="24"/>
  <c r="T116" i="24"/>
  <c r="Z116" i="24" s="1"/>
  <c r="P116" i="24"/>
  <c r="N116" i="24"/>
  <c r="H116" i="24"/>
  <c r="D116" i="24"/>
  <c r="L116" i="24" s="1"/>
  <c r="B116" i="24"/>
  <c r="Z115" i="24"/>
  <c r="X115" i="24"/>
  <c r="L115" i="24"/>
  <c r="N115" i="24" s="1"/>
  <c r="J115" i="24"/>
  <c r="B115" i="24"/>
  <c r="X114" i="24"/>
  <c r="T114" i="24"/>
  <c r="Z114" i="24" s="1"/>
  <c r="P114" i="24"/>
  <c r="J114" i="24"/>
  <c r="H114" i="24"/>
  <c r="D114" i="24"/>
  <c r="L114" i="24" s="1"/>
  <c r="B114" i="24"/>
  <c r="Z113" i="24"/>
  <c r="X113" i="24"/>
  <c r="V113" i="24"/>
  <c r="N113" i="24"/>
  <c r="L113" i="24"/>
  <c r="B113" i="24"/>
  <c r="X112" i="24"/>
  <c r="Z112" i="24" s="1"/>
  <c r="V112" i="24"/>
  <c r="L112" i="24"/>
  <c r="N112" i="24" s="1"/>
  <c r="B112" i="24"/>
  <c r="X111" i="24"/>
  <c r="V111" i="24"/>
  <c r="T111" i="24"/>
  <c r="Z111" i="24" s="1"/>
  <c r="P111" i="24"/>
  <c r="J111" i="24"/>
  <c r="H111" i="24"/>
  <c r="D111" i="24"/>
  <c r="L111" i="24" s="1"/>
  <c r="N111" i="24" s="1"/>
  <c r="B111" i="24"/>
  <c r="Z110" i="24"/>
  <c r="X110" i="24"/>
  <c r="N110" i="24"/>
  <c r="L110" i="24"/>
  <c r="B110" i="24"/>
  <c r="T109" i="24"/>
  <c r="P109" i="24"/>
  <c r="N109" i="24"/>
  <c r="L109" i="24"/>
  <c r="J109" i="24"/>
  <c r="H109" i="24"/>
  <c r="D109" i="24"/>
  <c r="B109" i="24"/>
  <c r="X108" i="24"/>
  <c r="Z108" i="24" s="1"/>
  <c r="V108" i="24"/>
  <c r="L108" i="24"/>
  <c r="N108" i="24" s="1"/>
  <c r="J108" i="24"/>
  <c r="B108" i="24"/>
  <c r="Z107" i="24"/>
  <c r="T107" i="24"/>
  <c r="P107" i="24"/>
  <c r="X107" i="24" s="1"/>
  <c r="H107" i="24"/>
  <c r="D107" i="24"/>
  <c r="L107" i="24" s="1"/>
  <c r="B107" i="24"/>
  <c r="Z106" i="24"/>
  <c r="X106" i="24"/>
  <c r="N106" i="24"/>
  <c r="L106" i="24"/>
  <c r="B106" i="24"/>
  <c r="Z105" i="24"/>
  <c r="X105" i="24"/>
  <c r="V105" i="24"/>
  <c r="N105" i="24"/>
  <c r="L105" i="24"/>
  <c r="B105" i="24"/>
  <c r="X104" i="24"/>
  <c r="Z104" i="24" s="1"/>
  <c r="V104" i="24"/>
  <c r="L104" i="24"/>
  <c r="N104" i="24" s="1"/>
  <c r="B104" i="24"/>
  <c r="X103" i="24"/>
  <c r="Z103" i="24" s="1"/>
  <c r="V103" i="24"/>
  <c r="N103" i="24"/>
  <c r="L103" i="24"/>
  <c r="J103" i="24"/>
  <c r="B103" i="24"/>
  <c r="Z102" i="24"/>
  <c r="X102" i="24"/>
  <c r="N102" i="24"/>
  <c r="L102" i="24"/>
  <c r="B102" i="24"/>
  <c r="Z101" i="24"/>
  <c r="X101" i="24"/>
  <c r="V101" i="24"/>
  <c r="N101" i="24"/>
  <c r="L101" i="24"/>
  <c r="B101" i="24"/>
  <c r="Z100" i="24"/>
  <c r="X100" i="24"/>
  <c r="V100" i="24"/>
  <c r="N100" i="24"/>
  <c r="L100" i="24"/>
  <c r="B100" i="24"/>
  <c r="Z99" i="24"/>
  <c r="X99" i="24"/>
  <c r="V99" i="24"/>
  <c r="N99" i="24"/>
  <c r="L99" i="24"/>
  <c r="J99" i="24"/>
  <c r="B99" i="24"/>
  <c r="Z98" i="24"/>
  <c r="X98" i="24"/>
  <c r="N98" i="24"/>
  <c r="L98" i="24"/>
  <c r="B98" i="24"/>
  <c r="Z97" i="24"/>
  <c r="X97" i="24"/>
  <c r="V97" i="24"/>
  <c r="L97" i="24"/>
  <c r="N97" i="24" s="1"/>
  <c r="B97" i="24"/>
  <c r="T96" i="24"/>
  <c r="P96" i="24"/>
  <c r="H96" i="24"/>
  <c r="D96" i="24"/>
  <c r="L96" i="24" s="1"/>
  <c r="B96" i="24"/>
  <c r="Z95" i="24"/>
  <c r="X95" i="24"/>
  <c r="V95" i="24"/>
  <c r="N95" i="24"/>
  <c r="L95" i="24"/>
  <c r="B95" i="24"/>
  <c r="Z94" i="24"/>
  <c r="X94" i="24"/>
  <c r="L94" i="24"/>
  <c r="N94" i="24" s="1"/>
  <c r="B94" i="24"/>
  <c r="X93" i="24"/>
  <c r="Z93" i="24" s="1"/>
  <c r="N93" i="24"/>
  <c r="L93" i="24"/>
  <c r="B93" i="24"/>
  <c r="Z92" i="24"/>
  <c r="X92" i="24"/>
  <c r="N92" i="24"/>
  <c r="L92" i="24"/>
  <c r="J92" i="24"/>
  <c r="B92" i="24"/>
  <c r="Z91" i="24"/>
  <c r="X91" i="24"/>
  <c r="V91" i="24"/>
  <c r="N91" i="24"/>
  <c r="L91" i="24"/>
  <c r="B91" i="24"/>
  <c r="Z90" i="24"/>
  <c r="X90" i="24"/>
  <c r="L90" i="24"/>
  <c r="N90" i="24" s="1"/>
  <c r="B90" i="24"/>
  <c r="X89" i="24"/>
  <c r="Z89" i="24" s="1"/>
  <c r="N89" i="24"/>
  <c r="L89" i="24"/>
  <c r="B89" i="24"/>
  <c r="X88" i="24"/>
  <c r="Z88" i="24" s="1"/>
  <c r="L88" i="24"/>
  <c r="N88" i="24" s="1"/>
  <c r="J88" i="24"/>
  <c r="B88" i="24"/>
  <c r="X87" i="24"/>
  <c r="Z87" i="24" s="1"/>
  <c r="V87" i="24"/>
  <c r="N87" i="24"/>
  <c r="L87" i="24"/>
  <c r="B87" i="24"/>
  <c r="Z86" i="24"/>
  <c r="X86" i="24"/>
  <c r="L86" i="24"/>
  <c r="N86" i="24" s="1"/>
  <c r="B86" i="24"/>
  <c r="T85" i="24"/>
  <c r="P85" i="24"/>
  <c r="L85" i="24"/>
  <c r="J85" i="24"/>
  <c r="H85" i="24"/>
  <c r="N85" i="24" s="1"/>
  <c r="D85" i="24"/>
  <c r="B85" i="24"/>
  <c r="V84" i="24"/>
  <c r="T84" i="24"/>
  <c r="Z84" i="24" s="1"/>
  <c r="P84" i="24"/>
  <c r="X84" i="24" s="1"/>
  <c r="L84" i="24"/>
  <c r="H84" i="24"/>
  <c r="N84" i="24" s="1"/>
  <c r="D84" i="24"/>
  <c r="Z80" i="24"/>
  <c r="X80" i="24"/>
  <c r="V80" i="24"/>
  <c r="N80" i="24"/>
  <c r="L80" i="24"/>
  <c r="J80" i="24"/>
  <c r="B80" i="24"/>
  <c r="Z79" i="24"/>
  <c r="X79" i="24"/>
  <c r="N79" i="24"/>
  <c r="L79" i="24"/>
  <c r="J79" i="24"/>
  <c r="B79" i="24"/>
  <c r="Z78" i="24"/>
  <c r="X78" i="24"/>
  <c r="N78" i="24"/>
  <c r="L78" i="24"/>
  <c r="B78" i="24"/>
  <c r="Z77" i="24"/>
  <c r="X77" i="24"/>
  <c r="N77" i="24"/>
  <c r="L77" i="24"/>
  <c r="J77" i="24"/>
  <c r="B77" i="24"/>
  <c r="Z76" i="24"/>
  <c r="X76" i="24"/>
  <c r="V76" i="24"/>
  <c r="N76" i="24"/>
  <c r="L76" i="24"/>
  <c r="J76" i="24"/>
  <c r="B76" i="24"/>
  <c r="Z75" i="24"/>
  <c r="X75" i="24"/>
  <c r="N75" i="24"/>
  <c r="L75" i="24"/>
  <c r="J75" i="24"/>
  <c r="B75" i="24"/>
  <c r="Z74" i="24"/>
  <c r="X74" i="24"/>
  <c r="N74" i="24"/>
  <c r="L74" i="24"/>
  <c r="B74" i="24"/>
  <c r="Z73" i="24"/>
  <c r="X73" i="24"/>
  <c r="N73" i="24"/>
  <c r="L73" i="24"/>
  <c r="J73" i="24"/>
  <c r="B73" i="24"/>
  <c r="Z72" i="24"/>
  <c r="X72" i="24"/>
  <c r="V72" i="24"/>
  <c r="N72" i="24"/>
  <c r="L72" i="24"/>
  <c r="J72" i="24"/>
  <c r="B72" i="24"/>
  <c r="Z71" i="24"/>
  <c r="X71" i="24"/>
  <c r="N71" i="24"/>
  <c r="L71" i="24"/>
  <c r="J71" i="24"/>
  <c r="B71" i="24"/>
  <c r="Z70" i="24"/>
  <c r="X70" i="24"/>
  <c r="N70" i="24"/>
  <c r="L70" i="24"/>
  <c r="B70" i="24"/>
  <c r="Z69" i="24"/>
  <c r="X69" i="24"/>
  <c r="N69" i="24"/>
  <c r="L69" i="24"/>
  <c r="J69" i="24"/>
  <c r="B69" i="24"/>
  <c r="Z68" i="24"/>
  <c r="X68" i="24"/>
  <c r="V68" i="24"/>
  <c r="N68" i="24"/>
  <c r="L68" i="24"/>
  <c r="J68" i="24"/>
  <c r="B68" i="24"/>
  <c r="Z67" i="24"/>
  <c r="X67" i="24"/>
  <c r="N67" i="24"/>
  <c r="L67" i="24"/>
  <c r="J67" i="24"/>
  <c r="B67" i="24"/>
  <c r="Z66" i="24"/>
  <c r="X66" i="24"/>
  <c r="N66" i="24"/>
  <c r="L66" i="24"/>
  <c r="B66" i="24"/>
  <c r="Z65" i="24"/>
  <c r="X65" i="24"/>
  <c r="N65" i="24"/>
  <c r="L65" i="24"/>
  <c r="J65" i="24"/>
  <c r="B65" i="24"/>
  <c r="Z64" i="24"/>
  <c r="X64" i="24"/>
  <c r="V64" i="24"/>
  <c r="N64" i="24"/>
  <c r="L64" i="24"/>
  <c r="J64" i="24"/>
  <c r="B64" i="24"/>
  <c r="Z63" i="24"/>
  <c r="X63" i="24"/>
  <c r="N63" i="24"/>
  <c r="L63" i="24"/>
  <c r="J63" i="24"/>
  <c r="B63" i="24"/>
  <c r="Z62" i="24"/>
  <c r="X62" i="24"/>
  <c r="N62" i="24"/>
  <c r="L62" i="24"/>
  <c r="B62" i="24"/>
  <c r="Z61" i="24"/>
  <c r="X61" i="24"/>
  <c r="N61" i="24"/>
  <c r="L61" i="24"/>
  <c r="J61" i="24"/>
  <c r="B61" i="24"/>
  <c r="Z60" i="24"/>
  <c r="X60" i="24"/>
  <c r="V60" i="24"/>
  <c r="N60" i="24"/>
  <c r="L60" i="24"/>
  <c r="J60" i="24"/>
  <c r="B60" i="24"/>
  <c r="Z59" i="24"/>
  <c r="X59" i="24"/>
  <c r="N59" i="24"/>
  <c r="L59" i="24"/>
  <c r="J59" i="24"/>
  <c r="B59" i="24"/>
  <c r="Z58" i="24"/>
  <c r="X58" i="24"/>
  <c r="N58" i="24"/>
  <c r="L58" i="24"/>
  <c r="B58" i="24"/>
  <c r="Z57" i="24"/>
  <c r="X57" i="24"/>
  <c r="N57" i="24"/>
  <c r="L57" i="24"/>
  <c r="J57" i="24"/>
  <c r="B57" i="24"/>
  <c r="V56" i="24"/>
  <c r="T56" i="24"/>
  <c r="P56" i="24"/>
  <c r="X56" i="24" s="1"/>
  <c r="H56" i="24"/>
  <c r="D56" i="24"/>
  <c r="Z54" i="24"/>
  <c r="P54" i="24"/>
  <c r="X54" i="24" s="1"/>
  <c r="N54" i="24"/>
  <c r="D54" i="24"/>
  <c r="L54" i="24" s="1"/>
  <c r="B54" i="24"/>
  <c r="Z53" i="24"/>
  <c r="P53" i="24"/>
  <c r="X53" i="24" s="1"/>
  <c r="N53" i="24"/>
  <c r="L53" i="24"/>
  <c r="D53" i="24"/>
  <c r="B53" i="24"/>
  <c r="Z52" i="24"/>
  <c r="X52" i="24"/>
  <c r="P52" i="24"/>
  <c r="N52" i="24"/>
  <c r="D52" i="24"/>
  <c r="L52" i="24" s="1"/>
  <c r="B52" i="24"/>
  <c r="Z51" i="24"/>
  <c r="P51" i="24"/>
  <c r="X51" i="24" s="1"/>
  <c r="N51" i="24"/>
  <c r="D51" i="24"/>
  <c r="L51" i="24" s="1"/>
  <c r="B51" i="24"/>
  <c r="Z50" i="24"/>
  <c r="P50" i="24"/>
  <c r="X50" i="24" s="1"/>
  <c r="N50" i="24"/>
  <c r="D50" i="24"/>
  <c r="L50" i="24" s="1"/>
  <c r="B50" i="24"/>
  <c r="Z49" i="24"/>
  <c r="P49" i="24"/>
  <c r="X49" i="24" s="1"/>
  <c r="N49" i="24"/>
  <c r="L49" i="24"/>
  <c r="D49" i="24"/>
  <c r="B49" i="24"/>
  <c r="Z48" i="24"/>
  <c r="X48" i="24"/>
  <c r="P48" i="24"/>
  <c r="N48" i="24"/>
  <c r="D48" i="24"/>
  <c r="L48" i="24" s="1"/>
  <c r="B48" i="24"/>
  <c r="Z47" i="24"/>
  <c r="X47" i="24"/>
  <c r="P47" i="24"/>
  <c r="N47" i="24"/>
  <c r="D47" i="24"/>
  <c r="L47" i="24" s="1"/>
  <c r="B47" i="24"/>
  <c r="Z46" i="24"/>
  <c r="X46" i="24"/>
  <c r="P46" i="24"/>
  <c r="N46" i="24"/>
  <c r="D46" i="24"/>
  <c r="L46" i="24" s="1"/>
  <c r="B46" i="24"/>
  <c r="Z45" i="24"/>
  <c r="P45" i="24"/>
  <c r="X45" i="24" s="1"/>
  <c r="N45" i="24"/>
  <c r="L45" i="24"/>
  <c r="D45" i="24"/>
  <c r="B45" i="24"/>
  <c r="Z44" i="24"/>
  <c r="X44" i="24"/>
  <c r="P44" i="24"/>
  <c r="N44" i="24"/>
  <c r="L44" i="24"/>
  <c r="D44" i="24"/>
  <c r="B44" i="24"/>
  <c r="Z43" i="24"/>
  <c r="P43" i="24"/>
  <c r="X43" i="24" s="1"/>
  <c r="N43" i="24"/>
  <c r="L43" i="24"/>
  <c r="D43" i="24"/>
  <c r="B43" i="24"/>
  <c r="Z42" i="24"/>
  <c r="P42" i="24"/>
  <c r="X42" i="24" s="1"/>
  <c r="N42" i="24"/>
  <c r="D42" i="24"/>
  <c r="L42" i="24" s="1"/>
  <c r="B42" i="24"/>
  <c r="Z41" i="24"/>
  <c r="P41" i="24"/>
  <c r="X41" i="24" s="1"/>
  <c r="N41" i="24"/>
  <c r="L41" i="24"/>
  <c r="D41" i="24"/>
  <c r="B41" i="24"/>
  <c r="Z40" i="24"/>
  <c r="X40" i="24"/>
  <c r="P40" i="24"/>
  <c r="N40" i="24"/>
  <c r="D40" i="24"/>
  <c r="L40" i="24" s="1"/>
  <c r="B40" i="24"/>
  <c r="Z39" i="24"/>
  <c r="P39" i="24"/>
  <c r="X39" i="24" s="1"/>
  <c r="N39" i="24"/>
  <c r="D39" i="24"/>
  <c r="L39" i="24" s="1"/>
  <c r="B39" i="24"/>
  <c r="Z38" i="24"/>
  <c r="P38" i="24"/>
  <c r="X38" i="24" s="1"/>
  <c r="N38" i="24"/>
  <c r="D38" i="24"/>
  <c r="L38" i="24" s="1"/>
  <c r="B38" i="24"/>
  <c r="Z37" i="24"/>
  <c r="P37" i="24"/>
  <c r="X37" i="24" s="1"/>
  <c r="N37" i="24"/>
  <c r="L37" i="24"/>
  <c r="D37" i="24"/>
  <c r="B37" i="24"/>
  <c r="Z36" i="24"/>
  <c r="X36" i="24"/>
  <c r="P36" i="24"/>
  <c r="N36" i="24"/>
  <c r="D36" i="24"/>
  <c r="L36" i="24" s="1"/>
  <c r="B36" i="24"/>
  <c r="Z35" i="24"/>
  <c r="X35" i="24"/>
  <c r="P35" i="24"/>
  <c r="N35" i="24"/>
  <c r="D35" i="24"/>
  <c r="L35" i="24" s="1"/>
  <c r="B35" i="24"/>
  <c r="Z34" i="24"/>
  <c r="X34" i="24"/>
  <c r="P34" i="24"/>
  <c r="N34" i="24"/>
  <c r="D34" i="24"/>
  <c r="L34" i="24" s="1"/>
  <c r="B34" i="24"/>
  <c r="P33" i="24"/>
  <c r="X33" i="24" s="1"/>
  <c r="Z33" i="24" s="1"/>
  <c r="N33" i="24"/>
  <c r="L33" i="24"/>
  <c r="D33" i="24"/>
  <c r="B33" i="24"/>
  <c r="Z32" i="24"/>
  <c r="X32" i="24"/>
  <c r="P32" i="24"/>
  <c r="N32" i="24"/>
  <c r="L32" i="24"/>
  <c r="D32" i="24"/>
  <c r="B32" i="24"/>
  <c r="Z31" i="24"/>
  <c r="X31" i="24"/>
  <c r="P31" i="24"/>
  <c r="N31" i="24"/>
  <c r="L31" i="24"/>
  <c r="D31" i="24"/>
  <c r="B31" i="24"/>
  <c r="Z30" i="24"/>
  <c r="P30" i="24"/>
  <c r="X30" i="24" s="1"/>
  <c r="N30" i="24"/>
  <c r="D30" i="24"/>
  <c r="L30" i="24" s="1"/>
  <c r="B30" i="24"/>
  <c r="Z29" i="24"/>
  <c r="P29" i="24"/>
  <c r="X29" i="24" s="1"/>
  <c r="N29" i="24"/>
  <c r="L29" i="24"/>
  <c r="D29" i="24"/>
  <c r="B29" i="24"/>
  <c r="Z28" i="24"/>
  <c r="X28" i="24"/>
  <c r="P28" i="24"/>
  <c r="N28" i="24"/>
  <c r="L28" i="24"/>
  <c r="D28" i="24"/>
  <c r="B28" i="24"/>
  <c r="Z27" i="24"/>
  <c r="P27" i="24"/>
  <c r="X27" i="24" s="1"/>
  <c r="N27" i="24"/>
  <c r="D27" i="24"/>
  <c r="L27" i="24" s="1"/>
  <c r="B27" i="24"/>
  <c r="Z26" i="24"/>
  <c r="P26" i="24"/>
  <c r="X26" i="24" s="1"/>
  <c r="N26" i="24"/>
  <c r="D26" i="24"/>
  <c r="L26" i="24" s="1"/>
  <c r="B26" i="24"/>
  <c r="Z25" i="24"/>
  <c r="P25" i="24"/>
  <c r="X25" i="24" s="1"/>
  <c r="N25" i="24"/>
  <c r="L25" i="24"/>
  <c r="D25" i="24"/>
  <c r="B25" i="24"/>
  <c r="Z24" i="24"/>
  <c r="X24" i="24"/>
  <c r="P24" i="24"/>
  <c r="N24" i="24"/>
  <c r="D24" i="24"/>
  <c r="L24" i="24" s="1"/>
  <c r="B24" i="24"/>
  <c r="Z23" i="24"/>
  <c r="X23" i="24"/>
  <c r="P23" i="24"/>
  <c r="N23" i="24"/>
  <c r="D23" i="24"/>
  <c r="L23" i="24" s="1"/>
  <c r="B23" i="24"/>
  <c r="Z22" i="24"/>
  <c r="X22" i="24"/>
  <c r="P22" i="24"/>
  <c r="N22" i="24"/>
  <c r="D22" i="24"/>
  <c r="L22" i="24" s="1"/>
  <c r="B22" i="24"/>
  <c r="Z21" i="24"/>
  <c r="P21" i="24"/>
  <c r="X21" i="24" s="1"/>
  <c r="N21" i="24"/>
  <c r="L21" i="24"/>
  <c r="D21" i="24"/>
  <c r="B21" i="24"/>
  <c r="Z20" i="24"/>
  <c r="X20" i="24"/>
  <c r="P20" i="24"/>
  <c r="N20" i="24"/>
  <c r="L20" i="24"/>
  <c r="D20" i="24"/>
  <c r="B20" i="24"/>
  <c r="Z19" i="24"/>
  <c r="X19" i="24"/>
  <c r="P19" i="24"/>
  <c r="N19" i="24"/>
  <c r="L19" i="24"/>
  <c r="D19" i="24"/>
  <c r="B19" i="24"/>
  <c r="Z18" i="24"/>
  <c r="P18" i="24"/>
  <c r="X18" i="24" s="1"/>
  <c r="N18" i="24"/>
  <c r="D18" i="24"/>
  <c r="L18" i="24" s="1"/>
  <c r="B18" i="24"/>
  <c r="Z17" i="24"/>
  <c r="P17" i="24"/>
  <c r="X17" i="24" s="1"/>
  <c r="N17" i="24"/>
  <c r="L17" i="24"/>
  <c r="D17" i="24"/>
  <c r="B17" i="24"/>
  <c r="Z16" i="24"/>
  <c r="X16" i="24"/>
  <c r="P16" i="24"/>
  <c r="N16" i="24"/>
  <c r="L16" i="24"/>
  <c r="D16" i="24"/>
  <c r="B16" i="24"/>
  <c r="Z15" i="24"/>
  <c r="P15" i="24"/>
  <c r="X15" i="24" s="1"/>
  <c r="N15" i="24"/>
  <c r="D15" i="24"/>
  <c r="L15" i="24" s="1"/>
  <c r="B15" i="24"/>
  <c r="Z14" i="24"/>
  <c r="P14" i="24"/>
  <c r="X14" i="24" s="1"/>
  <c r="N14" i="24"/>
  <c r="D14" i="24"/>
  <c r="B14" i="24"/>
  <c r="P13" i="24"/>
  <c r="X13" i="24" s="1"/>
  <c r="Z13" i="24" s="1"/>
  <c r="N13" i="24"/>
  <c r="L13" i="24"/>
  <c r="D13" i="24"/>
  <c r="B13" i="24"/>
  <c r="T12" i="24"/>
  <c r="V132" i="24" s="1"/>
  <c r="H12" i="24"/>
  <c r="J138" i="24" s="1"/>
  <c r="D4" i="24"/>
  <c r="X122" i="21"/>
  <c r="Z122" i="21" s="1"/>
  <c r="V122" i="21"/>
  <c r="N122" i="21"/>
  <c r="L122" i="21"/>
  <c r="X118" i="21"/>
  <c r="T118" i="21"/>
  <c r="Z118" i="21" s="1"/>
  <c r="P118" i="21"/>
  <c r="N118" i="21"/>
  <c r="J118" i="21"/>
  <c r="H118" i="21"/>
  <c r="D118" i="21"/>
  <c r="L118" i="21" s="1"/>
  <c r="X116" i="21"/>
  <c r="Z116" i="21" s="1"/>
  <c r="V116" i="21"/>
  <c r="L116" i="21"/>
  <c r="N116" i="21" s="1"/>
  <c r="B116" i="21"/>
  <c r="T115" i="21"/>
  <c r="Z115" i="21" s="1"/>
  <c r="P115" i="21"/>
  <c r="X115" i="21" s="1"/>
  <c r="H115" i="21"/>
  <c r="D115" i="21"/>
  <c r="L115" i="21" s="1"/>
  <c r="B115" i="21"/>
  <c r="Z114" i="21"/>
  <c r="X114" i="21"/>
  <c r="N114" i="21"/>
  <c r="L114" i="21"/>
  <c r="B114" i="21"/>
  <c r="X113" i="21"/>
  <c r="Z113" i="21" s="1"/>
  <c r="N113" i="21"/>
  <c r="L113" i="21"/>
  <c r="J113" i="21"/>
  <c r="B113" i="21"/>
  <c r="X112" i="21"/>
  <c r="T112" i="21"/>
  <c r="P112" i="21"/>
  <c r="H112" i="21"/>
  <c r="N112" i="21" s="1"/>
  <c r="D112" i="21"/>
  <c r="L112" i="21" s="1"/>
  <c r="B112" i="21"/>
  <c r="Z111" i="21"/>
  <c r="X111" i="21"/>
  <c r="N111" i="21"/>
  <c r="L111" i="21"/>
  <c r="B111" i="21"/>
  <c r="Z110" i="21"/>
  <c r="T110" i="21"/>
  <c r="X110" i="21" s="1"/>
  <c r="P110" i="21"/>
  <c r="N110" i="21"/>
  <c r="H110" i="21"/>
  <c r="D110" i="21"/>
  <c r="L110" i="21" s="1"/>
  <c r="B110" i="21"/>
  <c r="X109" i="21"/>
  <c r="Z109" i="21" s="1"/>
  <c r="V109" i="21"/>
  <c r="L109" i="21"/>
  <c r="N109" i="21" s="1"/>
  <c r="B109" i="21"/>
  <c r="T108" i="21"/>
  <c r="P108" i="21"/>
  <c r="X108" i="21" s="1"/>
  <c r="N108" i="21"/>
  <c r="J108" i="21"/>
  <c r="H108" i="21"/>
  <c r="D108" i="21"/>
  <c r="L108" i="21" s="1"/>
  <c r="B108" i="21"/>
  <c r="Z107" i="21"/>
  <c r="X107" i="21"/>
  <c r="N107" i="21"/>
  <c r="L107" i="21"/>
  <c r="B107" i="21"/>
  <c r="X106" i="21"/>
  <c r="Z106" i="21" s="1"/>
  <c r="N106" i="21"/>
  <c r="L106" i="21"/>
  <c r="B106" i="21"/>
  <c r="Z105" i="21"/>
  <c r="X105" i="21"/>
  <c r="N105" i="21"/>
  <c r="L105" i="21"/>
  <c r="B105" i="21"/>
  <c r="X104" i="21"/>
  <c r="Z104" i="21" s="1"/>
  <c r="V104" i="21"/>
  <c r="N104" i="21"/>
  <c r="L104" i="21"/>
  <c r="B104" i="21"/>
  <c r="Z103" i="21"/>
  <c r="X103" i="21"/>
  <c r="N103" i="21"/>
  <c r="L103" i="21"/>
  <c r="B103" i="21"/>
  <c r="X102" i="21"/>
  <c r="Z102" i="21" s="1"/>
  <c r="N102" i="21"/>
  <c r="L102" i="21"/>
  <c r="B102" i="21"/>
  <c r="Z101" i="21"/>
  <c r="X101" i="21"/>
  <c r="N101" i="21"/>
  <c r="L101" i="21"/>
  <c r="B101" i="21"/>
  <c r="X100" i="21"/>
  <c r="Z100" i="21" s="1"/>
  <c r="V100" i="21"/>
  <c r="N100" i="21"/>
  <c r="L100" i="21"/>
  <c r="B100" i="21"/>
  <c r="Z99" i="21"/>
  <c r="X99" i="21"/>
  <c r="N99" i="21"/>
  <c r="L99" i="21"/>
  <c r="B99" i="21"/>
  <c r="T98" i="21"/>
  <c r="P98" i="21"/>
  <c r="X98" i="21" s="1"/>
  <c r="L98" i="21"/>
  <c r="H98" i="21"/>
  <c r="N98" i="21" s="1"/>
  <c r="D98" i="21"/>
  <c r="B98" i="21"/>
  <c r="X97" i="21"/>
  <c r="Z97" i="21" s="1"/>
  <c r="N97" i="21"/>
  <c r="L97" i="21"/>
  <c r="J97" i="21"/>
  <c r="F97" i="21"/>
  <c r="B97" i="21"/>
  <c r="Z96" i="21"/>
  <c r="T96" i="21"/>
  <c r="P96" i="21"/>
  <c r="X96" i="21" s="1"/>
  <c r="N96" i="21"/>
  <c r="H96" i="21"/>
  <c r="L96" i="21" s="1"/>
  <c r="D96" i="21"/>
  <c r="B96" i="21"/>
  <c r="Z95" i="21"/>
  <c r="X95" i="21"/>
  <c r="N95" i="21"/>
  <c r="L95" i="21"/>
  <c r="B95" i="21"/>
  <c r="Z94" i="21"/>
  <c r="X94" i="21"/>
  <c r="V94" i="21"/>
  <c r="L94" i="21"/>
  <c r="N94" i="21" s="1"/>
  <c r="B94" i="21"/>
  <c r="Z93" i="21"/>
  <c r="X93" i="21"/>
  <c r="V93" i="21"/>
  <c r="L93" i="21"/>
  <c r="N93" i="21" s="1"/>
  <c r="B93" i="21"/>
  <c r="X92" i="21"/>
  <c r="Z92" i="21" s="1"/>
  <c r="L92" i="21"/>
  <c r="N92" i="21" s="1"/>
  <c r="B92" i="21"/>
  <c r="Z91" i="21"/>
  <c r="X91" i="21"/>
  <c r="N91" i="21"/>
  <c r="L91" i="21"/>
  <c r="B91" i="21"/>
  <c r="Z90" i="21"/>
  <c r="V90" i="21"/>
  <c r="T90" i="21"/>
  <c r="P90" i="21"/>
  <c r="X90" i="21" s="1"/>
  <c r="L90" i="21"/>
  <c r="H90" i="21"/>
  <c r="D90" i="21"/>
  <c r="B90" i="21"/>
  <c r="X89" i="21"/>
  <c r="Z89" i="21" s="1"/>
  <c r="N89" i="21"/>
  <c r="L89" i="21"/>
  <c r="B89" i="21"/>
  <c r="Z88" i="21"/>
  <c r="X88" i="21"/>
  <c r="N88" i="21"/>
  <c r="L88" i="21"/>
  <c r="B88" i="21"/>
  <c r="T87" i="21"/>
  <c r="P87" i="21"/>
  <c r="X87" i="21" s="1"/>
  <c r="Z87" i="21" s="1"/>
  <c r="L87" i="21"/>
  <c r="N87" i="21" s="1"/>
  <c r="H87" i="21"/>
  <c r="D87" i="21"/>
  <c r="B87" i="21"/>
  <c r="Z86" i="21"/>
  <c r="X86" i="21"/>
  <c r="N86" i="21"/>
  <c r="L86" i="21"/>
  <c r="J86" i="21"/>
  <c r="B86" i="21"/>
  <c r="Z85" i="21"/>
  <c r="X85" i="21"/>
  <c r="N85" i="21"/>
  <c r="L85" i="21"/>
  <c r="B85" i="21"/>
  <c r="Z84" i="21"/>
  <c r="X84" i="21"/>
  <c r="N84" i="21"/>
  <c r="L84" i="21"/>
  <c r="B84" i="21"/>
  <c r="Z83" i="21"/>
  <c r="X83" i="21"/>
  <c r="T83" i="21"/>
  <c r="P83" i="21"/>
  <c r="H83" i="21"/>
  <c r="D83" i="21"/>
  <c r="B83" i="21"/>
  <c r="Z82" i="21"/>
  <c r="X82" i="21"/>
  <c r="L82" i="21"/>
  <c r="N82" i="21" s="1"/>
  <c r="B82" i="21"/>
  <c r="T81" i="21"/>
  <c r="P81" i="21"/>
  <c r="X81" i="21" s="1"/>
  <c r="H81" i="21"/>
  <c r="D81" i="21"/>
  <c r="L81" i="21" s="1"/>
  <c r="B81" i="21"/>
  <c r="Z80" i="21"/>
  <c r="X80" i="21"/>
  <c r="N80" i="21"/>
  <c r="L80" i="21"/>
  <c r="B80" i="21"/>
  <c r="Z79" i="21"/>
  <c r="T79" i="21"/>
  <c r="P79" i="21"/>
  <c r="X79" i="21" s="1"/>
  <c r="L79" i="21"/>
  <c r="H79" i="21"/>
  <c r="N79" i="21" s="1"/>
  <c r="D79" i="21"/>
  <c r="B79" i="21"/>
  <c r="Z78" i="21"/>
  <c r="X78" i="21"/>
  <c r="N78" i="21"/>
  <c r="L78" i="21"/>
  <c r="J78" i="21"/>
  <c r="B78" i="21"/>
  <c r="V77" i="21"/>
  <c r="T77" i="21"/>
  <c r="P77" i="21"/>
  <c r="H77" i="21"/>
  <c r="D77" i="21"/>
  <c r="B77" i="21"/>
  <c r="X76" i="21"/>
  <c r="Z76" i="21" s="1"/>
  <c r="V76" i="21"/>
  <c r="L76" i="21"/>
  <c r="N76" i="21" s="1"/>
  <c r="J76" i="21"/>
  <c r="B76" i="21"/>
  <c r="T75" i="21"/>
  <c r="P75" i="21"/>
  <c r="X75" i="21" s="1"/>
  <c r="H75" i="21"/>
  <c r="D75" i="21"/>
  <c r="B75" i="21"/>
  <c r="X74" i="21"/>
  <c r="Z74" i="21" s="1"/>
  <c r="N74" i="21"/>
  <c r="L74" i="21"/>
  <c r="F74" i="21"/>
  <c r="B74" i="21"/>
  <c r="X73" i="21"/>
  <c r="T73" i="21"/>
  <c r="P73" i="21"/>
  <c r="H73" i="21"/>
  <c r="D73" i="21"/>
  <c r="L73" i="21" s="1"/>
  <c r="N73" i="21" s="1"/>
  <c r="B73" i="21"/>
  <c r="Z72" i="21"/>
  <c r="X72" i="21"/>
  <c r="N72" i="21"/>
  <c r="L72" i="21"/>
  <c r="B72" i="21"/>
  <c r="Z71" i="21"/>
  <c r="X71" i="21"/>
  <c r="T71" i="21"/>
  <c r="P71" i="21"/>
  <c r="H71" i="21"/>
  <c r="D71" i="21"/>
  <c r="L71" i="21" s="1"/>
  <c r="B71" i="21"/>
  <c r="Z70" i="21"/>
  <c r="X70" i="21"/>
  <c r="N70" i="21"/>
  <c r="L70" i="21"/>
  <c r="B70" i="21"/>
  <c r="T69" i="21"/>
  <c r="P69" i="21"/>
  <c r="X69" i="21" s="1"/>
  <c r="H69" i="21"/>
  <c r="N69" i="21" s="1"/>
  <c r="F69" i="21"/>
  <c r="D69" i="21"/>
  <c r="L69" i="21" s="1"/>
  <c r="B69" i="21"/>
  <c r="X68" i="21"/>
  <c r="Z68" i="21" s="1"/>
  <c r="N68" i="21"/>
  <c r="L68" i="21"/>
  <c r="B68" i="21"/>
  <c r="T67" i="21"/>
  <c r="P67" i="21"/>
  <c r="X67" i="21" s="1"/>
  <c r="Z67" i="21" s="1"/>
  <c r="L67" i="21"/>
  <c r="H67" i="21"/>
  <c r="N67" i="21" s="1"/>
  <c r="D67" i="21"/>
  <c r="B67" i="21"/>
  <c r="Z66" i="21"/>
  <c r="X66" i="21"/>
  <c r="N66" i="21"/>
  <c r="L66" i="21"/>
  <c r="J66" i="21"/>
  <c r="B66" i="21"/>
  <c r="V65" i="21"/>
  <c r="T65" i="21"/>
  <c r="Z65" i="21" s="1"/>
  <c r="P65" i="21"/>
  <c r="X65" i="21" s="1"/>
  <c r="H65" i="21"/>
  <c r="N65" i="21" s="1"/>
  <c r="D65" i="21"/>
  <c r="B65" i="21"/>
  <c r="X64" i="21"/>
  <c r="Z64" i="21" s="1"/>
  <c r="V64" i="21"/>
  <c r="L64" i="21"/>
  <c r="N64" i="21" s="1"/>
  <c r="J64" i="21"/>
  <c r="B64" i="21"/>
  <c r="X63" i="21"/>
  <c r="Z63" i="21" s="1"/>
  <c r="N63" i="21"/>
  <c r="L63" i="21"/>
  <c r="B63" i="21"/>
  <c r="Z62" i="21"/>
  <c r="X62" i="21"/>
  <c r="N62" i="21"/>
  <c r="L62" i="21"/>
  <c r="B62" i="21"/>
  <c r="V61" i="21"/>
  <c r="T61" i="21"/>
  <c r="P61" i="21"/>
  <c r="X61" i="21" s="1"/>
  <c r="H61" i="21"/>
  <c r="D61" i="21"/>
  <c r="L61" i="21" s="1"/>
  <c r="B61" i="21"/>
  <c r="X60" i="21"/>
  <c r="Z60" i="21" s="1"/>
  <c r="N60" i="21"/>
  <c r="L60" i="21"/>
  <c r="B60" i="21"/>
  <c r="Z59" i="21"/>
  <c r="X59" i="21"/>
  <c r="T59" i="21"/>
  <c r="P59" i="21"/>
  <c r="L59" i="21"/>
  <c r="H59" i="21"/>
  <c r="D59" i="21"/>
  <c r="B59" i="21"/>
  <c r="Z58" i="21"/>
  <c r="X58" i="21"/>
  <c r="N58" i="21"/>
  <c r="L58" i="21"/>
  <c r="J58" i="21"/>
  <c r="B58" i="21"/>
  <c r="T57" i="21"/>
  <c r="P57" i="21"/>
  <c r="H57" i="21"/>
  <c r="D57" i="21"/>
  <c r="B57" i="21"/>
  <c r="X56" i="21"/>
  <c r="Z56" i="21" s="1"/>
  <c r="L56" i="21"/>
  <c r="N56" i="21" s="1"/>
  <c r="B56" i="21"/>
  <c r="T55" i="21"/>
  <c r="Z55" i="21" s="1"/>
  <c r="P55" i="21"/>
  <c r="X55" i="21" s="1"/>
  <c r="H55" i="21"/>
  <c r="D55" i="21"/>
  <c r="L55" i="21" s="1"/>
  <c r="B55" i="21"/>
  <c r="Z54" i="21"/>
  <c r="X54" i="21"/>
  <c r="N54" i="21"/>
  <c r="L54" i="21"/>
  <c r="B54" i="21"/>
  <c r="Z53" i="21"/>
  <c r="X53" i="21"/>
  <c r="N53" i="21"/>
  <c r="L53" i="21"/>
  <c r="J53" i="21"/>
  <c r="B53" i="21"/>
  <c r="X52" i="21"/>
  <c r="Z52" i="21" s="1"/>
  <c r="N52" i="21"/>
  <c r="L52" i="21"/>
  <c r="B52" i="21"/>
  <c r="X51" i="21"/>
  <c r="Z51" i="21" s="1"/>
  <c r="N51" i="21"/>
  <c r="L51" i="21"/>
  <c r="B51" i="21"/>
  <c r="Z50" i="21"/>
  <c r="X50" i="21"/>
  <c r="N50" i="21"/>
  <c r="L50" i="21"/>
  <c r="B50" i="21"/>
  <c r="X49" i="21"/>
  <c r="Z49" i="21" s="1"/>
  <c r="L49" i="21"/>
  <c r="N49" i="21" s="1"/>
  <c r="J49" i="21"/>
  <c r="B49" i="21"/>
  <c r="X48" i="21"/>
  <c r="Z48" i="21" s="1"/>
  <c r="V48" i="21"/>
  <c r="N48" i="21"/>
  <c r="L48" i="21"/>
  <c r="B48" i="21"/>
  <c r="Z47" i="21"/>
  <c r="X47" i="21"/>
  <c r="N47" i="21"/>
  <c r="L47" i="21"/>
  <c r="F47" i="21"/>
  <c r="B47" i="21"/>
  <c r="Z46" i="21"/>
  <c r="X46" i="21"/>
  <c r="N46" i="21"/>
  <c r="L46" i="21"/>
  <c r="B46" i="21"/>
  <c r="X45" i="21"/>
  <c r="Z45" i="21" s="1"/>
  <c r="L45" i="21"/>
  <c r="N45" i="21" s="1"/>
  <c r="J45" i="21"/>
  <c r="F45" i="21"/>
  <c r="B45" i="21"/>
  <c r="X44" i="21"/>
  <c r="Z44" i="21" s="1"/>
  <c r="T44" i="21"/>
  <c r="P44" i="21"/>
  <c r="H44" i="21"/>
  <c r="D44" i="21"/>
  <c r="B44" i="21"/>
  <c r="X43" i="21"/>
  <c r="Z43" i="21" s="1"/>
  <c r="N43" i="21"/>
  <c r="L43" i="21"/>
  <c r="B43" i="21"/>
  <c r="Z42" i="21"/>
  <c r="X42" i="21"/>
  <c r="N42" i="21"/>
  <c r="L42" i="21"/>
  <c r="B42" i="21"/>
  <c r="X41" i="21"/>
  <c r="Z41" i="21" s="1"/>
  <c r="V41" i="21"/>
  <c r="N41" i="21"/>
  <c r="L41" i="21"/>
  <c r="B41" i="21"/>
  <c r="Z40" i="21"/>
  <c r="X40" i="21"/>
  <c r="N40" i="21"/>
  <c r="L40" i="21"/>
  <c r="J40" i="21"/>
  <c r="B40" i="21"/>
  <c r="X39" i="21"/>
  <c r="Z39" i="21" s="1"/>
  <c r="L39" i="21"/>
  <c r="N39" i="21" s="1"/>
  <c r="B39" i="21"/>
  <c r="Z38" i="21"/>
  <c r="X38" i="21"/>
  <c r="N38" i="21"/>
  <c r="L38" i="21"/>
  <c r="J38" i="21"/>
  <c r="B38" i="21"/>
  <c r="X37" i="21"/>
  <c r="Z37" i="21" s="1"/>
  <c r="V37" i="21"/>
  <c r="N37" i="21"/>
  <c r="L37" i="21"/>
  <c r="B37" i="21"/>
  <c r="Z36" i="21"/>
  <c r="X36" i="21"/>
  <c r="V36" i="21"/>
  <c r="L36" i="21"/>
  <c r="N36" i="21" s="1"/>
  <c r="B36" i="21"/>
  <c r="Z35" i="21"/>
  <c r="X35" i="21"/>
  <c r="L35" i="21"/>
  <c r="N35" i="21" s="1"/>
  <c r="B35" i="21"/>
  <c r="T34" i="21"/>
  <c r="X34" i="21" s="1"/>
  <c r="P34" i="21"/>
  <c r="N34" i="21"/>
  <c r="H34" i="21"/>
  <c r="D34" i="21"/>
  <c r="L34" i="21" s="1"/>
  <c r="B34" i="21"/>
  <c r="V33" i="21"/>
  <c r="T33" i="21"/>
  <c r="P33" i="21"/>
  <c r="H33" i="21"/>
  <c r="D33" i="21"/>
  <c r="L33" i="21" s="1"/>
  <c r="Z29" i="21"/>
  <c r="X29" i="21"/>
  <c r="V29" i="21"/>
  <c r="N29" i="21"/>
  <c r="L29" i="21"/>
  <c r="B29" i="21"/>
  <c r="Z28" i="21"/>
  <c r="X28" i="21"/>
  <c r="V28" i="21"/>
  <c r="N28" i="21"/>
  <c r="L28" i="21"/>
  <c r="B28" i="21"/>
  <c r="X27" i="21"/>
  <c r="Z27" i="21" s="1"/>
  <c r="N27" i="21"/>
  <c r="L27" i="21"/>
  <c r="B27" i="21"/>
  <c r="Z26" i="21"/>
  <c r="T26" i="21"/>
  <c r="P26" i="21"/>
  <c r="X26" i="21" s="1"/>
  <c r="J26" i="21"/>
  <c r="H26" i="21"/>
  <c r="D26" i="21"/>
  <c r="L26" i="21" s="1"/>
  <c r="N26" i="21" s="1"/>
  <c r="Z24" i="21"/>
  <c r="P24" i="21"/>
  <c r="X24" i="21" s="1"/>
  <c r="N24" i="21"/>
  <c r="L24" i="21"/>
  <c r="D24" i="21"/>
  <c r="B24" i="21"/>
  <c r="Z23" i="21"/>
  <c r="X23" i="21"/>
  <c r="P23" i="21"/>
  <c r="N23" i="21"/>
  <c r="L23" i="21"/>
  <c r="D23" i="21"/>
  <c r="B23" i="21"/>
  <c r="Z22" i="21"/>
  <c r="P22" i="21"/>
  <c r="X22" i="21" s="1"/>
  <c r="N22" i="21"/>
  <c r="L22" i="21"/>
  <c r="D22" i="21"/>
  <c r="B22" i="21"/>
  <c r="Z21" i="21"/>
  <c r="P21" i="21"/>
  <c r="X21" i="21" s="1"/>
  <c r="N21" i="21"/>
  <c r="D21" i="21"/>
  <c r="L21" i="21" s="1"/>
  <c r="B21" i="21"/>
  <c r="Z20" i="21"/>
  <c r="P20" i="21"/>
  <c r="X20" i="21" s="1"/>
  <c r="N20" i="21"/>
  <c r="L20" i="21"/>
  <c r="D20" i="21"/>
  <c r="B20" i="21"/>
  <c r="Z19" i="21"/>
  <c r="X19" i="21"/>
  <c r="P19" i="21"/>
  <c r="N19" i="21"/>
  <c r="D19" i="21"/>
  <c r="L19" i="21" s="1"/>
  <c r="B19" i="21"/>
  <c r="Z18" i="21"/>
  <c r="X18" i="21"/>
  <c r="P18" i="21"/>
  <c r="N18" i="21"/>
  <c r="D18" i="21"/>
  <c r="L18" i="21" s="1"/>
  <c r="B18" i="21"/>
  <c r="X17" i="21"/>
  <c r="Z17" i="21" s="1"/>
  <c r="P17" i="21"/>
  <c r="D17" i="21"/>
  <c r="L17" i="21" s="1"/>
  <c r="N17" i="21" s="1"/>
  <c r="B17" i="21"/>
  <c r="Z16" i="21"/>
  <c r="P16" i="21"/>
  <c r="X16" i="21" s="1"/>
  <c r="N16" i="21"/>
  <c r="L16" i="21"/>
  <c r="D16" i="21"/>
  <c r="B16" i="21"/>
  <c r="Z15" i="21"/>
  <c r="X15" i="21"/>
  <c r="P15" i="21"/>
  <c r="N15" i="21"/>
  <c r="D15" i="21"/>
  <c r="D12" i="21" s="1"/>
  <c r="F89" i="21" s="1"/>
  <c r="B15" i="21"/>
  <c r="Z14" i="21"/>
  <c r="X14" i="21"/>
  <c r="P14" i="21"/>
  <c r="N14" i="21"/>
  <c r="L14" i="21"/>
  <c r="D14" i="21"/>
  <c r="B14" i="21"/>
  <c r="P13" i="21"/>
  <c r="N13" i="21"/>
  <c r="L13" i="21"/>
  <c r="D13" i="21"/>
  <c r="B13" i="21"/>
  <c r="T12" i="21"/>
  <c r="H12" i="21"/>
  <c r="J92" i="21" s="1"/>
  <c r="D4" i="21"/>
  <c r="X307" i="18"/>
  <c r="Z307" i="18" s="1"/>
  <c r="V307" i="18"/>
  <c r="L307" i="18"/>
  <c r="N307" i="18" s="1"/>
  <c r="Z303" i="18"/>
  <c r="P303" i="18"/>
  <c r="X303" i="18" s="1"/>
  <c r="N303" i="18"/>
  <c r="D303" i="18"/>
  <c r="L303" i="18" s="1"/>
  <c r="B303" i="18"/>
  <c r="X302" i="18"/>
  <c r="Z302" i="18" s="1"/>
  <c r="V302" i="18"/>
  <c r="P302" i="18"/>
  <c r="L302" i="18"/>
  <c r="N302" i="18" s="1"/>
  <c r="D302" i="18"/>
  <c r="B302" i="18"/>
  <c r="Z301" i="18"/>
  <c r="P301" i="18"/>
  <c r="X301" i="18" s="1"/>
  <c r="N301" i="18"/>
  <c r="J301" i="18"/>
  <c r="D301" i="18"/>
  <c r="L301" i="18" s="1"/>
  <c r="B301" i="18"/>
  <c r="Z300" i="18"/>
  <c r="P300" i="18"/>
  <c r="X300" i="18" s="1"/>
  <c r="N300" i="18"/>
  <c r="D300" i="18"/>
  <c r="L300" i="18" s="1"/>
  <c r="B300" i="18"/>
  <c r="X299" i="18"/>
  <c r="Z299" i="18" s="1"/>
  <c r="P299" i="18"/>
  <c r="D299" i="18"/>
  <c r="L299" i="18" s="1"/>
  <c r="N299" i="18" s="1"/>
  <c r="B299" i="18"/>
  <c r="Z298" i="18"/>
  <c r="X298" i="18"/>
  <c r="V298" i="18"/>
  <c r="P298" i="18"/>
  <c r="D298" i="18"/>
  <c r="L298" i="18" s="1"/>
  <c r="N298" i="18" s="1"/>
  <c r="B298" i="18"/>
  <c r="Z297" i="18"/>
  <c r="X297" i="18"/>
  <c r="P297" i="18"/>
  <c r="N297" i="18"/>
  <c r="L297" i="18"/>
  <c r="D297" i="18"/>
  <c r="B297" i="18"/>
  <c r="Z296" i="18"/>
  <c r="V296" i="18"/>
  <c r="P296" i="18"/>
  <c r="X296" i="18" s="1"/>
  <c r="N296" i="18"/>
  <c r="D296" i="18"/>
  <c r="L296" i="18" s="1"/>
  <c r="B296" i="18"/>
  <c r="Z295" i="18"/>
  <c r="X295" i="18"/>
  <c r="V295" i="18"/>
  <c r="P295" i="18"/>
  <c r="N295" i="18"/>
  <c r="D295" i="18"/>
  <c r="L295" i="18" s="1"/>
  <c r="B295" i="18"/>
  <c r="Z294" i="18"/>
  <c r="V294" i="18"/>
  <c r="P294" i="18"/>
  <c r="X294" i="18" s="1"/>
  <c r="N294" i="18"/>
  <c r="L294" i="18"/>
  <c r="D294" i="18"/>
  <c r="B294" i="18"/>
  <c r="Z293" i="18"/>
  <c r="V293" i="18"/>
  <c r="P293" i="18"/>
  <c r="X293" i="18" s="1"/>
  <c r="N293" i="18"/>
  <c r="L293" i="18"/>
  <c r="D293" i="18"/>
  <c r="B293" i="18"/>
  <c r="Z292" i="18"/>
  <c r="P292" i="18"/>
  <c r="N292" i="18"/>
  <c r="L292" i="18"/>
  <c r="D292" i="18"/>
  <c r="B292" i="18"/>
  <c r="T291" i="18"/>
  <c r="H291" i="18"/>
  <c r="X289" i="18"/>
  <c r="Z289" i="18" s="1"/>
  <c r="L289" i="18"/>
  <c r="N289" i="18" s="1"/>
  <c r="B289" i="18"/>
  <c r="T288" i="18"/>
  <c r="X288" i="18" s="1"/>
  <c r="Z288" i="18" s="1"/>
  <c r="P288" i="18"/>
  <c r="H288" i="18"/>
  <c r="D288" i="18"/>
  <c r="B288" i="18"/>
  <c r="Z287" i="18"/>
  <c r="X287" i="18"/>
  <c r="N287" i="18"/>
  <c r="L287" i="18"/>
  <c r="B287" i="18"/>
  <c r="Z286" i="18"/>
  <c r="X286" i="18"/>
  <c r="V286" i="18"/>
  <c r="L286" i="18"/>
  <c r="N286" i="18" s="1"/>
  <c r="B286" i="18"/>
  <c r="Z285" i="18"/>
  <c r="X285" i="18"/>
  <c r="V285" i="18"/>
  <c r="N285" i="18"/>
  <c r="L285" i="18"/>
  <c r="B285" i="18"/>
  <c r="T284" i="18"/>
  <c r="P284" i="18"/>
  <c r="X284" i="18" s="1"/>
  <c r="J284" i="18"/>
  <c r="H284" i="18"/>
  <c r="D284" i="18"/>
  <c r="L284" i="18" s="1"/>
  <c r="N284" i="18" s="1"/>
  <c r="B284" i="18"/>
  <c r="Z283" i="18"/>
  <c r="X283" i="18"/>
  <c r="V283" i="18"/>
  <c r="L283" i="18"/>
  <c r="N283" i="18" s="1"/>
  <c r="B283" i="18"/>
  <c r="V282" i="18"/>
  <c r="T282" i="18"/>
  <c r="Z282" i="18" s="1"/>
  <c r="P282" i="18"/>
  <c r="X282" i="18" s="1"/>
  <c r="L282" i="18"/>
  <c r="N282" i="18" s="1"/>
  <c r="H282" i="18"/>
  <c r="D282" i="18"/>
  <c r="B282" i="18"/>
  <c r="X281" i="18"/>
  <c r="Z281" i="18" s="1"/>
  <c r="L281" i="18"/>
  <c r="N281" i="18" s="1"/>
  <c r="J281" i="18"/>
  <c r="B281" i="18"/>
  <c r="Z280" i="18"/>
  <c r="X280" i="18"/>
  <c r="N280" i="18"/>
  <c r="L280" i="18"/>
  <c r="B280" i="18"/>
  <c r="X279" i="18"/>
  <c r="T279" i="18"/>
  <c r="Z279" i="18" s="1"/>
  <c r="P279" i="18"/>
  <c r="H279" i="18"/>
  <c r="D279" i="18"/>
  <c r="L279" i="18" s="1"/>
  <c r="N279" i="18" s="1"/>
  <c r="B279" i="18"/>
  <c r="Z278" i="18"/>
  <c r="X278" i="18"/>
  <c r="V278" i="18"/>
  <c r="L278" i="18"/>
  <c r="N278" i="18" s="1"/>
  <c r="B278" i="18"/>
  <c r="X277" i="18"/>
  <c r="Z277" i="18" s="1"/>
  <c r="V277" i="18"/>
  <c r="L277" i="18"/>
  <c r="N277" i="18" s="1"/>
  <c r="B277" i="18"/>
  <c r="Z276" i="18"/>
  <c r="X276" i="18"/>
  <c r="L276" i="18"/>
  <c r="N276" i="18" s="1"/>
  <c r="B276" i="18"/>
  <c r="Z275" i="18"/>
  <c r="X275" i="18"/>
  <c r="V275" i="18"/>
  <c r="N275" i="18"/>
  <c r="L275" i="18"/>
  <c r="B275" i="18"/>
  <c r="Z274" i="18"/>
  <c r="X274" i="18"/>
  <c r="V274" i="18"/>
  <c r="L274" i="18"/>
  <c r="N274" i="18" s="1"/>
  <c r="B274" i="18"/>
  <c r="X273" i="18"/>
  <c r="Z273" i="18" s="1"/>
  <c r="V273" i="18"/>
  <c r="L273" i="18"/>
  <c r="N273" i="18" s="1"/>
  <c r="B273" i="18"/>
  <c r="Z272" i="18"/>
  <c r="X272" i="18"/>
  <c r="N272" i="18"/>
  <c r="L272" i="18"/>
  <c r="B272" i="18"/>
  <c r="Z271" i="18"/>
  <c r="X271" i="18"/>
  <c r="V271" i="18"/>
  <c r="N271" i="18"/>
  <c r="L271" i="18"/>
  <c r="B271" i="18"/>
  <c r="Z270" i="18"/>
  <c r="V270" i="18"/>
  <c r="T270" i="18"/>
  <c r="P270" i="18"/>
  <c r="X270" i="18" s="1"/>
  <c r="H270" i="18"/>
  <c r="N270" i="18" s="1"/>
  <c r="D270" i="18"/>
  <c r="L270" i="18" s="1"/>
  <c r="B270" i="18"/>
  <c r="X269" i="18"/>
  <c r="Z269" i="18" s="1"/>
  <c r="L269" i="18"/>
  <c r="N269" i="18" s="1"/>
  <c r="B269" i="18"/>
  <c r="Z268" i="18"/>
  <c r="X268" i="18"/>
  <c r="V268" i="18"/>
  <c r="N268" i="18"/>
  <c r="L268" i="18"/>
  <c r="B268" i="18"/>
  <c r="T267" i="18"/>
  <c r="P267" i="18"/>
  <c r="X267" i="18" s="1"/>
  <c r="L267" i="18"/>
  <c r="N267" i="18" s="1"/>
  <c r="H267" i="18"/>
  <c r="D267" i="18"/>
  <c r="B267" i="18"/>
  <c r="X266" i="18"/>
  <c r="Z266" i="18" s="1"/>
  <c r="V266" i="18"/>
  <c r="N266" i="18"/>
  <c r="L266" i="18"/>
  <c r="B266" i="18"/>
  <c r="X265" i="18"/>
  <c r="Z265" i="18" s="1"/>
  <c r="L265" i="18"/>
  <c r="N265" i="18" s="1"/>
  <c r="B265" i="18"/>
  <c r="Z264" i="18"/>
  <c r="X264" i="18"/>
  <c r="N264" i="18"/>
  <c r="L264" i="18"/>
  <c r="B264" i="18"/>
  <c r="X263" i="18"/>
  <c r="Z263" i="18" s="1"/>
  <c r="N263" i="18"/>
  <c r="L263" i="18"/>
  <c r="B263" i="18"/>
  <c r="T262" i="18"/>
  <c r="P262" i="18"/>
  <c r="H262" i="18"/>
  <c r="L262" i="18" s="1"/>
  <c r="N262" i="18" s="1"/>
  <c r="D262" i="18"/>
  <c r="B262" i="18"/>
  <c r="Z261" i="18"/>
  <c r="X261" i="18"/>
  <c r="V261" i="18"/>
  <c r="N261" i="18"/>
  <c r="L261" i="18"/>
  <c r="B261" i="18"/>
  <c r="Z260" i="18"/>
  <c r="X260" i="18"/>
  <c r="N260" i="18"/>
  <c r="L260" i="18"/>
  <c r="B260" i="18"/>
  <c r="Z259" i="18"/>
  <c r="X259" i="18"/>
  <c r="V259" i="18"/>
  <c r="N259" i="18"/>
  <c r="L259" i="18"/>
  <c r="B259" i="18"/>
  <c r="Z258" i="18"/>
  <c r="X258" i="18"/>
  <c r="V258" i="18"/>
  <c r="L258" i="18"/>
  <c r="N258" i="18" s="1"/>
  <c r="B258" i="18"/>
  <c r="V257" i="18"/>
  <c r="T257" i="18"/>
  <c r="P257" i="18"/>
  <c r="X257" i="18" s="1"/>
  <c r="H257" i="18"/>
  <c r="N257" i="18" s="1"/>
  <c r="D257" i="18"/>
  <c r="L257" i="18" s="1"/>
  <c r="B257" i="18"/>
  <c r="X256" i="18"/>
  <c r="Z256" i="18" s="1"/>
  <c r="V256" i="18"/>
  <c r="N256" i="18"/>
  <c r="L256" i="18"/>
  <c r="B256" i="18"/>
  <c r="Z255" i="18"/>
  <c r="X255" i="18"/>
  <c r="V255" i="18"/>
  <c r="N255" i="18"/>
  <c r="L255" i="18"/>
  <c r="B255" i="18"/>
  <c r="X254" i="18"/>
  <c r="Z254" i="18" s="1"/>
  <c r="V254" i="18"/>
  <c r="N254" i="18"/>
  <c r="L254" i="18"/>
  <c r="B254" i="18"/>
  <c r="X253" i="18"/>
  <c r="Z253" i="18" s="1"/>
  <c r="L253" i="18"/>
  <c r="N253" i="18" s="1"/>
  <c r="B253" i="18"/>
  <c r="X252" i="18"/>
  <c r="Z252" i="18" s="1"/>
  <c r="V252" i="18"/>
  <c r="T252" i="18"/>
  <c r="P252" i="18"/>
  <c r="H252" i="18"/>
  <c r="N252" i="18" s="1"/>
  <c r="D252" i="18"/>
  <c r="L252" i="18" s="1"/>
  <c r="B252" i="18"/>
  <c r="Z251" i="18"/>
  <c r="X251" i="18"/>
  <c r="N251" i="18"/>
  <c r="L251" i="18"/>
  <c r="B251" i="18"/>
  <c r="V250" i="18"/>
  <c r="T250" i="18"/>
  <c r="P250" i="18"/>
  <c r="H250" i="18"/>
  <c r="L250" i="18" s="1"/>
  <c r="N250" i="18" s="1"/>
  <c r="D250" i="18"/>
  <c r="B250" i="18"/>
  <c r="X249" i="18"/>
  <c r="Z249" i="18" s="1"/>
  <c r="V249" i="18"/>
  <c r="L249" i="18"/>
  <c r="N249" i="18" s="1"/>
  <c r="B249" i="18"/>
  <c r="T248" i="18"/>
  <c r="Z248" i="18" s="1"/>
  <c r="P248" i="18"/>
  <c r="X248" i="18" s="1"/>
  <c r="J248" i="18"/>
  <c r="H248" i="18"/>
  <c r="D248" i="18"/>
  <c r="L248" i="18" s="1"/>
  <c r="N248" i="18" s="1"/>
  <c r="B248" i="18"/>
  <c r="Z247" i="18"/>
  <c r="X247" i="18"/>
  <c r="V247" i="18"/>
  <c r="L247" i="18"/>
  <c r="N247" i="18" s="1"/>
  <c r="B247" i="18"/>
  <c r="V246" i="18"/>
  <c r="T246" i="18"/>
  <c r="P246" i="18"/>
  <c r="X246" i="18" s="1"/>
  <c r="L246" i="18"/>
  <c r="N246" i="18" s="1"/>
  <c r="H246" i="18"/>
  <c r="D246" i="18"/>
  <c r="B246" i="18"/>
  <c r="X245" i="18"/>
  <c r="Z245" i="18" s="1"/>
  <c r="L245" i="18"/>
  <c r="N245" i="18" s="1"/>
  <c r="J245" i="18"/>
  <c r="B245" i="18"/>
  <c r="T244" i="18"/>
  <c r="X244" i="18" s="1"/>
  <c r="Z244" i="18" s="1"/>
  <c r="P244" i="18"/>
  <c r="H244" i="18"/>
  <c r="D244" i="18"/>
  <c r="B244" i="18"/>
  <c r="Z243" i="18"/>
  <c r="X243" i="18"/>
  <c r="V243" i="18"/>
  <c r="N243" i="18"/>
  <c r="L243" i="18"/>
  <c r="B243" i="18"/>
  <c r="V242" i="18"/>
  <c r="T242" i="18"/>
  <c r="P242" i="18"/>
  <c r="X242" i="18" s="1"/>
  <c r="Z242" i="18" s="1"/>
  <c r="H242" i="18"/>
  <c r="D242" i="18"/>
  <c r="L242" i="18" s="1"/>
  <c r="B242" i="18"/>
  <c r="X241" i="18"/>
  <c r="Z241" i="18" s="1"/>
  <c r="L241" i="18"/>
  <c r="N241" i="18" s="1"/>
  <c r="B241" i="18"/>
  <c r="Z240" i="18"/>
  <c r="X240" i="18"/>
  <c r="V240" i="18"/>
  <c r="N240" i="18"/>
  <c r="L240" i="18"/>
  <c r="B240" i="18"/>
  <c r="T239" i="18"/>
  <c r="P239" i="18"/>
  <c r="X239" i="18" s="1"/>
  <c r="L239" i="18"/>
  <c r="H239" i="18"/>
  <c r="D239" i="18"/>
  <c r="B239" i="18"/>
  <c r="X238" i="18"/>
  <c r="Z238" i="18" s="1"/>
  <c r="V238" i="18"/>
  <c r="N238" i="18"/>
  <c r="L238" i="18"/>
  <c r="B238" i="18"/>
  <c r="T237" i="18"/>
  <c r="P237" i="18"/>
  <c r="X237" i="18" s="1"/>
  <c r="Z237" i="18" s="1"/>
  <c r="H237" i="18"/>
  <c r="D237" i="18"/>
  <c r="B237" i="18"/>
  <c r="Z236" i="18"/>
  <c r="X236" i="18"/>
  <c r="N236" i="18"/>
  <c r="L236" i="18"/>
  <c r="J236" i="18"/>
  <c r="B236" i="18"/>
  <c r="T235" i="18"/>
  <c r="P235" i="18"/>
  <c r="L235" i="18"/>
  <c r="H235" i="18"/>
  <c r="D235" i="18"/>
  <c r="B235" i="18"/>
  <c r="Z234" i="18"/>
  <c r="X234" i="18"/>
  <c r="V234" i="18"/>
  <c r="N234" i="18"/>
  <c r="L234" i="18"/>
  <c r="J234" i="18"/>
  <c r="B234" i="18"/>
  <c r="X233" i="18"/>
  <c r="Z233" i="18" s="1"/>
  <c r="L233" i="18"/>
  <c r="N233" i="18" s="1"/>
  <c r="B233" i="18"/>
  <c r="X232" i="18"/>
  <c r="Z232" i="18" s="1"/>
  <c r="V232" i="18"/>
  <c r="T232" i="18"/>
  <c r="P232" i="18"/>
  <c r="H232" i="18"/>
  <c r="N232" i="18" s="1"/>
  <c r="D232" i="18"/>
  <c r="L232" i="18" s="1"/>
  <c r="B232" i="18"/>
  <c r="Z231" i="18"/>
  <c r="X231" i="18"/>
  <c r="N231" i="18"/>
  <c r="L231" i="18"/>
  <c r="B231" i="18"/>
  <c r="X230" i="18"/>
  <c r="Z230" i="18" s="1"/>
  <c r="V230" i="18"/>
  <c r="N230" i="18"/>
  <c r="L230" i="18"/>
  <c r="B230" i="18"/>
  <c r="T229" i="18"/>
  <c r="P229" i="18"/>
  <c r="X229" i="18" s="1"/>
  <c r="Z229" i="18" s="1"/>
  <c r="L229" i="18"/>
  <c r="H229" i="18"/>
  <c r="N229" i="18" s="1"/>
  <c r="D229" i="18"/>
  <c r="B229" i="18"/>
  <c r="Z228" i="18"/>
  <c r="X228" i="18"/>
  <c r="L228" i="18"/>
  <c r="N228" i="18" s="1"/>
  <c r="B228" i="18"/>
  <c r="Z227" i="18"/>
  <c r="X227" i="18"/>
  <c r="V227" i="18"/>
  <c r="N227" i="18"/>
  <c r="L227" i="18"/>
  <c r="B227" i="18"/>
  <c r="Z226" i="18"/>
  <c r="X226" i="18"/>
  <c r="V226" i="18"/>
  <c r="L226" i="18"/>
  <c r="N226" i="18" s="1"/>
  <c r="B226" i="18"/>
  <c r="X225" i="18"/>
  <c r="Z225" i="18" s="1"/>
  <c r="V225" i="18"/>
  <c r="L225" i="18"/>
  <c r="N225" i="18" s="1"/>
  <c r="B225" i="18"/>
  <c r="T224" i="18"/>
  <c r="Z224" i="18" s="1"/>
  <c r="P224" i="18"/>
  <c r="X224" i="18" s="1"/>
  <c r="H224" i="18"/>
  <c r="D224" i="18"/>
  <c r="L224" i="18" s="1"/>
  <c r="N224" i="18" s="1"/>
  <c r="B224" i="18"/>
  <c r="Z223" i="18"/>
  <c r="X223" i="18"/>
  <c r="V223" i="18"/>
  <c r="L223" i="18"/>
  <c r="N223" i="18" s="1"/>
  <c r="B223" i="18"/>
  <c r="V222" i="18"/>
  <c r="T222" i="18"/>
  <c r="Z222" i="18" s="1"/>
  <c r="P222" i="18"/>
  <c r="X222" i="18" s="1"/>
  <c r="N222" i="18"/>
  <c r="L222" i="18"/>
  <c r="H222" i="18"/>
  <c r="D222" i="18"/>
  <c r="B222" i="18"/>
  <c r="X221" i="18"/>
  <c r="Z221" i="18" s="1"/>
  <c r="L221" i="18"/>
  <c r="N221" i="18" s="1"/>
  <c r="B221" i="18"/>
  <c r="Z220" i="18"/>
  <c r="X220" i="18"/>
  <c r="N220" i="18"/>
  <c r="L220" i="18"/>
  <c r="B220" i="18"/>
  <c r="Z219" i="18"/>
  <c r="X219" i="18"/>
  <c r="T219" i="18"/>
  <c r="P219" i="18"/>
  <c r="H219" i="18"/>
  <c r="D219" i="18"/>
  <c r="L219" i="18" s="1"/>
  <c r="N219" i="18" s="1"/>
  <c r="B219" i="18"/>
  <c r="Z218" i="18"/>
  <c r="X218" i="18"/>
  <c r="V218" i="18"/>
  <c r="L218" i="18"/>
  <c r="N218" i="18" s="1"/>
  <c r="B218" i="18"/>
  <c r="X217" i="18"/>
  <c r="V217" i="18"/>
  <c r="T217" i="18"/>
  <c r="P217" i="18"/>
  <c r="H217" i="18"/>
  <c r="D217" i="18"/>
  <c r="B217" i="18"/>
  <c r="Z216" i="18"/>
  <c r="X216" i="18"/>
  <c r="V216" i="18"/>
  <c r="N216" i="18"/>
  <c r="L216" i="18"/>
  <c r="B216" i="18"/>
  <c r="Z215" i="18"/>
  <c r="X215" i="18"/>
  <c r="V215" i="18"/>
  <c r="N215" i="18"/>
  <c r="L215" i="18"/>
  <c r="B215" i="18"/>
  <c r="X214" i="18"/>
  <c r="Z214" i="18" s="1"/>
  <c r="V214" i="18"/>
  <c r="L214" i="18"/>
  <c r="N214" i="18" s="1"/>
  <c r="J214" i="18"/>
  <c r="B214" i="18"/>
  <c r="X213" i="18"/>
  <c r="Z213" i="18" s="1"/>
  <c r="L213" i="18"/>
  <c r="N213" i="18" s="1"/>
  <c r="B213" i="18"/>
  <c r="Z212" i="18"/>
  <c r="X212" i="18"/>
  <c r="V212" i="18"/>
  <c r="N212" i="18"/>
  <c r="L212" i="18"/>
  <c r="B212" i="18"/>
  <c r="Z211" i="18"/>
  <c r="X211" i="18"/>
  <c r="V211" i="18"/>
  <c r="L211" i="18"/>
  <c r="N211" i="18" s="1"/>
  <c r="B211" i="18"/>
  <c r="X210" i="18"/>
  <c r="Z210" i="18" s="1"/>
  <c r="V210" i="18"/>
  <c r="L210" i="18"/>
  <c r="N210" i="18" s="1"/>
  <c r="B210" i="18"/>
  <c r="Z209" i="18"/>
  <c r="X209" i="18"/>
  <c r="N209" i="18"/>
  <c r="L209" i="18"/>
  <c r="B209" i="18"/>
  <c r="Z208" i="18"/>
  <c r="X208" i="18"/>
  <c r="V208" i="18"/>
  <c r="N208" i="18"/>
  <c r="L208" i="18"/>
  <c r="B208" i="18"/>
  <c r="Z207" i="18"/>
  <c r="X207" i="18"/>
  <c r="V207" i="18"/>
  <c r="N207" i="18"/>
  <c r="L207" i="18"/>
  <c r="B207" i="18"/>
  <c r="V206" i="18"/>
  <c r="T206" i="18"/>
  <c r="Z206" i="18" s="1"/>
  <c r="P206" i="18"/>
  <c r="X206" i="18" s="1"/>
  <c r="L206" i="18"/>
  <c r="N206" i="18" s="1"/>
  <c r="J206" i="18"/>
  <c r="H206" i="18"/>
  <c r="D206" i="18"/>
  <c r="B206" i="18"/>
  <c r="X205" i="18"/>
  <c r="Z205" i="18" s="1"/>
  <c r="L205" i="18"/>
  <c r="N205" i="18" s="1"/>
  <c r="B205" i="18"/>
  <c r="Z204" i="18"/>
  <c r="X204" i="18"/>
  <c r="N204" i="18"/>
  <c r="L204" i="18"/>
  <c r="B204" i="18"/>
  <c r="Z203" i="18"/>
  <c r="X203" i="18"/>
  <c r="N203" i="18"/>
  <c r="L203" i="18"/>
  <c r="B203" i="18"/>
  <c r="Z202" i="18"/>
  <c r="X202" i="18"/>
  <c r="V202" i="18"/>
  <c r="N202" i="18"/>
  <c r="L202" i="18"/>
  <c r="B202" i="18"/>
  <c r="Z201" i="18"/>
  <c r="X201" i="18"/>
  <c r="N201" i="18"/>
  <c r="L201" i="18"/>
  <c r="B201" i="18"/>
  <c r="Z200" i="18"/>
  <c r="X200" i="18"/>
  <c r="N200" i="18"/>
  <c r="L200" i="18"/>
  <c r="B200" i="18"/>
  <c r="Z199" i="18"/>
  <c r="X199" i="18"/>
  <c r="N199" i="18"/>
  <c r="L199" i="18"/>
  <c r="B199" i="18"/>
  <c r="X198" i="18"/>
  <c r="Z198" i="18" s="1"/>
  <c r="V198" i="18"/>
  <c r="N198" i="18"/>
  <c r="L198" i="18"/>
  <c r="B198" i="18"/>
  <c r="X197" i="18"/>
  <c r="Z197" i="18" s="1"/>
  <c r="L197" i="18"/>
  <c r="N197" i="18" s="1"/>
  <c r="B197" i="18"/>
  <c r="Z196" i="18"/>
  <c r="X196" i="18"/>
  <c r="N196" i="18"/>
  <c r="L196" i="18"/>
  <c r="B196" i="18"/>
  <c r="X195" i="18"/>
  <c r="Z195" i="18" s="1"/>
  <c r="T195" i="18"/>
  <c r="P195" i="18"/>
  <c r="H195" i="18"/>
  <c r="D195" i="18"/>
  <c r="L195" i="18" s="1"/>
  <c r="N195" i="18" s="1"/>
  <c r="B195" i="18"/>
  <c r="Z194" i="18"/>
  <c r="V194" i="18"/>
  <c r="T194" i="18"/>
  <c r="P194" i="18"/>
  <c r="X194" i="18" s="1"/>
  <c r="H194" i="18"/>
  <c r="D194" i="18"/>
  <c r="L194" i="18" s="1"/>
  <c r="Z190" i="18"/>
  <c r="X190" i="18"/>
  <c r="V190" i="18"/>
  <c r="N190" i="18"/>
  <c r="L190" i="18"/>
  <c r="B190" i="18"/>
  <c r="Z189" i="18"/>
  <c r="X189" i="18"/>
  <c r="V189" i="18"/>
  <c r="N189" i="18"/>
  <c r="L189" i="18"/>
  <c r="B189" i="18"/>
  <c r="Z188" i="18"/>
  <c r="X188" i="18"/>
  <c r="N188" i="18"/>
  <c r="L188" i="18"/>
  <c r="B188" i="18"/>
  <c r="Z187" i="18"/>
  <c r="X187" i="18"/>
  <c r="V187" i="18"/>
  <c r="N187" i="18"/>
  <c r="L187" i="18"/>
  <c r="J187" i="18"/>
  <c r="B187" i="18"/>
  <c r="Z186" i="18"/>
  <c r="X186" i="18"/>
  <c r="V186" i="18"/>
  <c r="N186" i="18"/>
  <c r="L186" i="18"/>
  <c r="B186" i="18"/>
  <c r="Z185" i="18"/>
  <c r="X185" i="18"/>
  <c r="V185" i="18"/>
  <c r="N185" i="18"/>
  <c r="L185" i="18"/>
  <c r="B185" i="18"/>
  <c r="Z184" i="18"/>
  <c r="X184" i="18"/>
  <c r="N184" i="18"/>
  <c r="L184" i="18"/>
  <c r="B184" i="18"/>
  <c r="Z183" i="18"/>
  <c r="X183" i="18"/>
  <c r="V183" i="18"/>
  <c r="N183" i="18"/>
  <c r="L183" i="18"/>
  <c r="B183" i="18"/>
  <c r="Z182" i="18"/>
  <c r="X182" i="18"/>
  <c r="V182" i="18"/>
  <c r="N182" i="18"/>
  <c r="L182" i="18"/>
  <c r="B182" i="18"/>
  <c r="Z181" i="18"/>
  <c r="X181" i="18"/>
  <c r="V181" i="18"/>
  <c r="N181" i="18"/>
  <c r="L181" i="18"/>
  <c r="B181" i="18"/>
  <c r="Z180" i="18"/>
  <c r="X180" i="18"/>
  <c r="N180" i="18"/>
  <c r="L180" i="18"/>
  <c r="B180" i="18"/>
  <c r="Z179" i="18"/>
  <c r="X179" i="18"/>
  <c r="V179" i="18"/>
  <c r="N179" i="18"/>
  <c r="L179" i="18"/>
  <c r="B179" i="18"/>
  <c r="Z178" i="18"/>
  <c r="X178" i="18"/>
  <c r="V178" i="18"/>
  <c r="N178" i="18"/>
  <c r="L178" i="18"/>
  <c r="B178" i="18"/>
  <c r="Z177" i="18"/>
  <c r="X177" i="18"/>
  <c r="V177" i="18"/>
  <c r="N177" i="18"/>
  <c r="L177" i="18"/>
  <c r="B177" i="18"/>
  <c r="Z176" i="18"/>
  <c r="X176" i="18"/>
  <c r="N176" i="18"/>
  <c r="L176" i="18"/>
  <c r="B176" i="18"/>
  <c r="Z175" i="18"/>
  <c r="X175" i="18"/>
  <c r="V175" i="18"/>
  <c r="N175" i="18"/>
  <c r="L175" i="18"/>
  <c r="J175" i="18"/>
  <c r="B175" i="18"/>
  <c r="Z174" i="18"/>
  <c r="X174" i="18"/>
  <c r="V174" i="18"/>
  <c r="N174" i="18"/>
  <c r="L174" i="18"/>
  <c r="B174" i="18"/>
  <c r="Z173" i="18"/>
  <c r="X173" i="18"/>
  <c r="V173" i="18"/>
  <c r="N173" i="18"/>
  <c r="L173" i="18"/>
  <c r="B173" i="18"/>
  <c r="Z172" i="18"/>
  <c r="X172" i="18"/>
  <c r="N172" i="18"/>
  <c r="L172" i="18"/>
  <c r="B172" i="18"/>
  <c r="Z171" i="18"/>
  <c r="X171" i="18"/>
  <c r="V171" i="18"/>
  <c r="N171" i="18"/>
  <c r="L171" i="18"/>
  <c r="B171" i="18"/>
  <c r="Z170" i="18"/>
  <c r="X170" i="18"/>
  <c r="V170" i="18"/>
  <c r="N170" i="18"/>
  <c r="L170" i="18"/>
  <c r="B170" i="18"/>
  <c r="Z169" i="18"/>
  <c r="X169" i="18"/>
  <c r="V169" i="18"/>
  <c r="N169" i="18"/>
  <c r="L169" i="18"/>
  <c r="B169" i="18"/>
  <c r="Z168" i="18"/>
  <c r="X168" i="18"/>
  <c r="N168" i="18"/>
  <c r="L168" i="18"/>
  <c r="B168" i="18"/>
  <c r="Z167" i="18"/>
  <c r="X167" i="18"/>
  <c r="V167" i="18"/>
  <c r="N167" i="18"/>
  <c r="L167" i="18"/>
  <c r="B167" i="18"/>
  <c r="Z166" i="18"/>
  <c r="X166" i="18"/>
  <c r="V166" i="18"/>
  <c r="N166" i="18"/>
  <c r="L166" i="18"/>
  <c r="B166" i="18"/>
  <c r="Z165" i="18"/>
  <c r="X165" i="18"/>
  <c r="V165" i="18"/>
  <c r="N165" i="18"/>
  <c r="L165" i="18"/>
  <c r="B165" i="18"/>
  <c r="Z164" i="18"/>
  <c r="X164" i="18"/>
  <c r="N164" i="18"/>
  <c r="L164" i="18"/>
  <c r="B164" i="18"/>
  <c r="Z163" i="18"/>
  <c r="X163" i="18"/>
  <c r="V163" i="18"/>
  <c r="N163" i="18"/>
  <c r="L163" i="18"/>
  <c r="J163" i="18"/>
  <c r="B163" i="18"/>
  <c r="Z162" i="18"/>
  <c r="X162" i="18"/>
  <c r="V162" i="18"/>
  <c r="N162" i="18"/>
  <c r="L162" i="18"/>
  <c r="B162" i="18"/>
  <c r="Z161" i="18"/>
  <c r="X161" i="18"/>
  <c r="V161" i="18"/>
  <c r="N161" i="18"/>
  <c r="L161" i="18"/>
  <c r="B161" i="18"/>
  <c r="Z160" i="18"/>
  <c r="X160" i="18"/>
  <c r="N160" i="18"/>
  <c r="L160" i="18"/>
  <c r="B160" i="18"/>
  <c r="Z159" i="18"/>
  <c r="X159" i="18"/>
  <c r="V159" i="18"/>
  <c r="N159" i="18"/>
  <c r="L159" i="18"/>
  <c r="B159" i="18"/>
  <c r="Z158" i="18"/>
  <c r="X158" i="18"/>
  <c r="V158" i="18"/>
  <c r="N158" i="18"/>
  <c r="L158" i="18"/>
  <c r="B158" i="18"/>
  <c r="Z157" i="18"/>
  <c r="X157" i="18"/>
  <c r="V157" i="18"/>
  <c r="N157" i="18"/>
  <c r="L157" i="18"/>
  <c r="B157" i="18"/>
  <c r="Z156" i="18"/>
  <c r="X156" i="18"/>
  <c r="N156" i="18"/>
  <c r="L156" i="18"/>
  <c r="B156" i="18"/>
  <c r="Z155" i="18"/>
  <c r="X155" i="18"/>
  <c r="V155" i="18"/>
  <c r="N155" i="18"/>
  <c r="L155" i="18"/>
  <c r="B155" i="18"/>
  <c r="Z154" i="18"/>
  <c r="X154" i="18"/>
  <c r="V154" i="18"/>
  <c r="N154" i="18"/>
  <c r="L154" i="18"/>
  <c r="B154" i="18"/>
  <c r="Z153" i="18"/>
  <c r="X153" i="18"/>
  <c r="V153" i="18"/>
  <c r="N153" i="18"/>
  <c r="L153" i="18"/>
  <c r="B153" i="18"/>
  <c r="Z152" i="18"/>
  <c r="X152" i="18"/>
  <c r="N152" i="18"/>
  <c r="L152" i="18"/>
  <c r="B152" i="18"/>
  <c r="Z151" i="18"/>
  <c r="X151" i="18"/>
  <c r="V151" i="18"/>
  <c r="N151" i="18"/>
  <c r="L151" i="18"/>
  <c r="J151" i="18"/>
  <c r="B151" i="18"/>
  <c r="Z150" i="18"/>
  <c r="X150" i="18"/>
  <c r="V150" i="18"/>
  <c r="N150" i="18"/>
  <c r="L150" i="18"/>
  <c r="B150" i="18"/>
  <c r="Z149" i="18"/>
  <c r="X149" i="18"/>
  <c r="V149" i="18"/>
  <c r="N149" i="18"/>
  <c r="L149" i="18"/>
  <c r="B149" i="18"/>
  <c r="Z148" i="18"/>
  <c r="X148" i="18"/>
  <c r="N148" i="18"/>
  <c r="L148" i="18"/>
  <c r="B148" i="18"/>
  <c r="Z147" i="18"/>
  <c r="X147" i="18"/>
  <c r="V147" i="18"/>
  <c r="N147" i="18"/>
  <c r="L147" i="18"/>
  <c r="B147" i="18"/>
  <c r="Z146" i="18"/>
  <c r="X146" i="18"/>
  <c r="V146" i="18"/>
  <c r="N146" i="18"/>
  <c r="L146" i="18"/>
  <c r="B146" i="18"/>
  <c r="Z145" i="18"/>
  <c r="X145" i="18"/>
  <c r="V145" i="18"/>
  <c r="N145" i="18"/>
  <c r="L145" i="18"/>
  <c r="B145" i="18"/>
  <c r="Z144" i="18"/>
  <c r="X144" i="18"/>
  <c r="N144" i="18"/>
  <c r="L144" i="18"/>
  <c r="B144" i="18"/>
  <c r="Z143" i="18"/>
  <c r="X143" i="18"/>
  <c r="V143" i="18"/>
  <c r="N143" i="18"/>
  <c r="L143" i="18"/>
  <c r="B143" i="18"/>
  <c r="Z142" i="18"/>
  <c r="X142" i="18"/>
  <c r="V142" i="18"/>
  <c r="N142" i="18"/>
  <c r="L142" i="18"/>
  <c r="B142" i="18"/>
  <c r="Z141" i="18"/>
  <c r="X141" i="18"/>
  <c r="V141" i="18"/>
  <c r="N141" i="18"/>
  <c r="L141" i="18"/>
  <c r="B141" i="18"/>
  <c r="Z140" i="18"/>
  <c r="X140" i="18"/>
  <c r="N140" i="18"/>
  <c r="L140" i="18"/>
  <c r="B140" i="18"/>
  <c r="Z139" i="18"/>
  <c r="X139" i="18"/>
  <c r="V139" i="18"/>
  <c r="N139" i="18"/>
  <c r="L139" i="18"/>
  <c r="J139" i="18"/>
  <c r="B139" i="18"/>
  <c r="Z138" i="18"/>
  <c r="X138" i="18"/>
  <c r="V138" i="18"/>
  <c r="N138" i="18"/>
  <c r="L138" i="18"/>
  <c r="B138" i="18"/>
  <c r="Z137" i="18"/>
  <c r="X137" i="18"/>
  <c r="V137" i="18"/>
  <c r="N137" i="18"/>
  <c r="L137" i="18"/>
  <c r="B137" i="18"/>
  <c r="Z136" i="18"/>
  <c r="X136" i="18"/>
  <c r="N136" i="18"/>
  <c r="L136" i="18"/>
  <c r="B136" i="18"/>
  <c r="Z135" i="18"/>
  <c r="X135" i="18"/>
  <c r="V135" i="18"/>
  <c r="N135" i="18"/>
  <c r="L135" i="18"/>
  <c r="B135" i="18"/>
  <c r="Z134" i="18"/>
  <c r="X134" i="18"/>
  <c r="V134" i="18"/>
  <c r="N134" i="18"/>
  <c r="L134" i="18"/>
  <c r="B134" i="18"/>
  <c r="Z133" i="18"/>
  <c r="X133" i="18"/>
  <c r="V133" i="18"/>
  <c r="N133" i="18"/>
  <c r="L133" i="18"/>
  <c r="B133" i="18"/>
  <c r="Z132" i="18"/>
  <c r="X132" i="18"/>
  <c r="N132" i="18"/>
  <c r="L132" i="18"/>
  <c r="B132" i="18"/>
  <c r="T131" i="18"/>
  <c r="T192" i="18" s="1"/>
  <c r="T305" i="18" s="1"/>
  <c r="T309" i="18" s="1"/>
  <c r="P131" i="18"/>
  <c r="X131" i="18" s="1"/>
  <c r="N131" i="18"/>
  <c r="L131" i="18"/>
  <c r="H131" i="18"/>
  <c r="D131" i="18"/>
  <c r="Z129" i="18"/>
  <c r="P129" i="18"/>
  <c r="X129" i="18" s="1"/>
  <c r="N129" i="18"/>
  <c r="L129" i="18"/>
  <c r="D129" i="18"/>
  <c r="B129" i="18"/>
  <c r="Z128" i="18"/>
  <c r="X128" i="18"/>
  <c r="P128" i="18"/>
  <c r="N128" i="18"/>
  <c r="L128" i="18"/>
  <c r="D128" i="18"/>
  <c r="B128" i="18"/>
  <c r="Z127" i="18"/>
  <c r="X127" i="18"/>
  <c r="P127" i="18"/>
  <c r="N127" i="18"/>
  <c r="L127" i="18"/>
  <c r="D127" i="18"/>
  <c r="B127" i="18"/>
  <c r="Z126" i="18"/>
  <c r="P126" i="18"/>
  <c r="X126" i="18" s="1"/>
  <c r="N126" i="18"/>
  <c r="D126" i="18"/>
  <c r="L126" i="18" s="1"/>
  <c r="B126" i="18"/>
  <c r="Z125" i="18"/>
  <c r="P125" i="18"/>
  <c r="X125" i="18" s="1"/>
  <c r="N125" i="18"/>
  <c r="L125" i="18"/>
  <c r="D125" i="18"/>
  <c r="B125" i="18"/>
  <c r="Z124" i="18"/>
  <c r="X124" i="18"/>
  <c r="P124" i="18"/>
  <c r="N124" i="18"/>
  <c r="L124" i="18"/>
  <c r="D124" i="18"/>
  <c r="B124" i="18"/>
  <c r="Z123" i="18"/>
  <c r="P123" i="18"/>
  <c r="X123" i="18" s="1"/>
  <c r="N123" i="18"/>
  <c r="D123" i="18"/>
  <c r="L123" i="18" s="1"/>
  <c r="B123" i="18"/>
  <c r="Z122" i="18"/>
  <c r="P122" i="18"/>
  <c r="X122" i="18" s="1"/>
  <c r="N122" i="18"/>
  <c r="D122" i="18"/>
  <c r="L122" i="18" s="1"/>
  <c r="B122" i="18"/>
  <c r="Z121" i="18"/>
  <c r="X121" i="18"/>
  <c r="P121" i="18"/>
  <c r="N121" i="18"/>
  <c r="L121" i="18"/>
  <c r="D121" i="18"/>
  <c r="B121" i="18"/>
  <c r="Z120" i="18"/>
  <c r="X120" i="18"/>
  <c r="P120" i="18"/>
  <c r="N120" i="18"/>
  <c r="D120" i="18"/>
  <c r="L120" i="18" s="1"/>
  <c r="B120" i="18"/>
  <c r="Z119" i="18"/>
  <c r="X119" i="18"/>
  <c r="P119" i="18"/>
  <c r="N119" i="18"/>
  <c r="D119" i="18"/>
  <c r="L119" i="18" s="1"/>
  <c r="B119" i="18"/>
  <c r="Z118" i="18"/>
  <c r="X118" i="18"/>
  <c r="P118" i="18"/>
  <c r="N118" i="18"/>
  <c r="L118" i="18"/>
  <c r="D118" i="18"/>
  <c r="B118" i="18"/>
  <c r="Z117" i="18"/>
  <c r="P117" i="18"/>
  <c r="X117" i="18" s="1"/>
  <c r="N117" i="18"/>
  <c r="L117" i="18"/>
  <c r="D117" i="18"/>
  <c r="B117" i="18"/>
  <c r="Z116" i="18"/>
  <c r="P116" i="18"/>
  <c r="X116" i="18" s="1"/>
  <c r="N116" i="18"/>
  <c r="L116" i="18"/>
  <c r="D116" i="18"/>
  <c r="B116" i="18"/>
  <c r="Z115" i="18"/>
  <c r="X115" i="18"/>
  <c r="P115" i="18"/>
  <c r="N115" i="18"/>
  <c r="L115" i="18"/>
  <c r="D115" i="18"/>
  <c r="B115" i="18"/>
  <c r="Z114" i="18"/>
  <c r="P114" i="18"/>
  <c r="X114" i="18" s="1"/>
  <c r="N114" i="18"/>
  <c r="D114" i="18"/>
  <c r="L114" i="18" s="1"/>
  <c r="B114" i="18"/>
  <c r="Z113" i="18"/>
  <c r="P113" i="18"/>
  <c r="X113" i="18" s="1"/>
  <c r="N113" i="18"/>
  <c r="L113" i="18"/>
  <c r="D113" i="18"/>
  <c r="B113" i="18"/>
  <c r="Z112" i="18"/>
  <c r="X112" i="18"/>
  <c r="P112" i="18"/>
  <c r="N112" i="18"/>
  <c r="L112" i="18"/>
  <c r="D112" i="18"/>
  <c r="B112" i="18"/>
  <c r="Z111" i="18"/>
  <c r="X111" i="18"/>
  <c r="P111" i="18"/>
  <c r="N111" i="18"/>
  <c r="D111" i="18"/>
  <c r="L111" i="18" s="1"/>
  <c r="B111" i="18"/>
  <c r="Z110" i="18"/>
  <c r="P110" i="18"/>
  <c r="X110" i="18" s="1"/>
  <c r="N110" i="18"/>
  <c r="D110" i="18"/>
  <c r="L110" i="18" s="1"/>
  <c r="B110" i="18"/>
  <c r="Z109" i="18"/>
  <c r="X109" i="18"/>
  <c r="P109" i="18"/>
  <c r="N109" i="18"/>
  <c r="L109" i="18"/>
  <c r="D109" i="18"/>
  <c r="B109" i="18"/>
  <c r="Z108" i="18"/>
  <c r="X108" i="18"/>
  <c r="P108" i="18"/>
  <c r="N108" i="18"/>
  <c r="L108" i="18"/>
  <c r="D108" i="18"/>
  <c r="B108" i="18"/>
  <c r="Z107" i="18"/>
  <c r="X107" i="18"/>
  <c r="P107" i="18"/>
  <c r="N107" i="18"/>
  <c r="D107" i="18"/>
  <c r="L107" i="18" s="1"/>
  <c r="B107" i="18"/>
  <c r="Z106" i="18"/>
  <c r="X106" i="18"/>
  <c r="P106" i="18"/>
  <c r="N106" i="18"/>
  <c r="L106" i="18"/>
  <c r="D106" i="18"/>
  <c r="B106" i="18"/>
  <c r="Z105" i="18"/>
  <c r="P105" i="18"/>
  <c r="X105" i="18" s="1"/>
  <c r="N105" i="18"/>
  <c r="L105" i="18"/>
  <c r="D105" i="18"/>
  <c r="B105" i="18"/>
  <c r="Z104" i="18"/>
  <c r="P104" i="18"/>
  <c r="X104" i="18" s="1"/>
  <c r="N104" i="18"/>
  <c r="L104" i="18"/>
  <c r="D104" i="18"/>
  <c r="B104" i="18"/>
  <c r="Z103" i="18"/>
  <c r="X103" i="18"/>
  <c r="P103" i="18"/>
  <c r="N103" i="18"/>
  <c r="L103" i="18"/>
  <c r="D103" i="18"/>
  <c r="B103" i="18"/>
  <c r="Z102" i="18"/>
  <c r="P102" i="18"/>
  <c r="X102" i="18" s="1"/>
  <c r="N102" i="18"/>
  <c r="D102" i="18"/>
  <c r="L102" i="18" s="1"/>
  <c r="B102" i="18"/>
  <c r="Z101" i="18"/>
  <c r="P101" i="18"/>
  <c r="X101" i="18" s="1"/>
  <c r="N101" i="18"/>
  <c r="L101" i="18"/>
  <c r="D101" i="18"/>
  <c r="B101" i="18"/>
  <c r="Z100" i="18"/>
  <c r="X100" i="18"/>
  <c r="P100" i="18"/>
  <c r="N100" i="18"/>
  <c r="L100" i="18"/>
  <c r="D100" i="18"/>
  <c r="B100" i="18"/>
  <c r="Z99" i="18"/>
  <c r="P99" i="18"/>
  <c r="X99" i="18" s="1"/>
  <c r="N99" i="18"/>
  <c r="D99" i="18"/>
  <c r="L99" i="18" s="1"/>
  <c r="B99" i="18"/>
  <c r="Z98" i="18"/>
  <c r="P98" i="18"/>
  <c r="X98" i="18" s="1"/>
  <c r="N98" i="18"/>
  <c r="D98" i="18"/>
  <c r="L98" i="18" s="1"/>
  <c r="B98" i="18"/>
  <c r="Z97" i="18"/>
  <c r="X97" i="18"/>
  <c r="P97" i="18"/>
  <c r="N97" i="18"/>
  <c r="L97" i="18"/>
  <c r="D97" i="18"/>
  <c r="B97" i="18"/>
  <c r="Z96" i="18"/>
  <c r="X96" i="18"/>
  <c r="P96" i="18"/>
  <c r="N96" i="18"/>
  <c r="L96" i="18"/>
  <c r="D96" i="18"/>
  <c r="B96" i="18"/>
  <c r="Z95" i="18"/>
  <c r="X95" i="18"/>
  <c r="P95" i="18"/>
  <c r="N95" i="18"/>
  <c r="D95" i="18"/>
  <c r="L95" i="18" s="1"/>
  <c r="B95" i="18"/>
  <c r="Z94" i="18"/>
  <c r="P94" i="18"/>
  <c r="X94" i="18" s="1"/>
  <c r="N94" i="18"/>
  <c r="L94" i="18"/>
  <c r="D94" i="18"/>
  <c r="B94" i="18"/>
  <c r="Z93" i="18"/>
  <c r="P93" i="18"/>
  <c r="X93" i="18" s="1"/>
  <c r="N93" i="18"/>
  <c r="L93" i="18"/>
  <c r="D93" i="18"/>
  <c r="B93" i="18"/>
  <c r="Z92" i="18"/>
  <c r="X92" i="18"/>
  <c r="P92" i="18"/>
  <c r="N92" i="18"/>
  <c r="L92" i="18"/>
  <c r="D92" i="18"/>
  <c r="B92" i="18"/>
  <c r="Z91" i="18"/>
  <c r="X91" i="18"/>
  <c r="P91" i="18"/>
  <c r="N91" i="18"/>
  <c r="L91" i="18"/>
  <c r="D91" i="18"/>
  <c r="B91" i="18"/>
  <c r="Z90" i="18"/>
  <c r="P90" i="18"/>
  <c r="X90" i="18" s="1"/>
  <c r="N90" i="18"/>
  <c r="D90" i="18"/>
  <c r="L90" i="18" s="1"/>
  <c r="B90" i="18"/>
  <c r="Z89" i="18"/>
  <c r="P89" i="18"/>
  <c r="X89" i="18" s="1"/>
  <c r="N89" i="18"/>
  <c r="L89" i="18"/>
  <c r="D89" i="18"/>
  <c r="B89" i="18"/>
  <c r="Z88" i="18"/>
  <c r="X88" i="18"/>
  <c r="P88" i="18"/>
  <c r="N88" i="18"/>
  <c r="L88" i="18"/>
  <c r="D88" i="18"/>
  <c r="B88" i="18"/>
  <c r="Z87" i="18"/>
  <c r="P87" i="18"/>
  <c r="X87" i="18" s="1"/>
  <c r="N87" i="18"/>
  <c r="D87" i="18"/>
  <c r="L87" i="18" s="1"/>
  <c r="B87" i="18"/>
  <c r="Z86" i="18"/>
  <c r="P86" i="18"/>
  <c r="X86" i="18" s="1"/>
  <c r="N86" i="18"/>
  <c r="D86" i="18"/>
  <c r="L86" i="18" s="1"/>
  <c r="B86" i="18"/>
  <c r="Z85" i="18"/>
  <c r="X85" i="18"/>
  <c r="P85" i="18"/>
  <c r="N85" i="18"/>
  <c r="L85" i="18"/>
  <c r="D85" i="18"/>
  <c r="B85" i="18"/>
  <c r="Z84" i="18"/>
  <c r="X84" i="18"/>
  <c r="P84" i="18"/>
  <c r="N84" i="18"/>
  <c r="D84" i="18"/>
  <c r="L84" i="18" s="1"/>
  <c r="B84" i="18"/>
  <c r="Z83" i="18"/>
  <c r="X83" i="18"/>
  <c r="P83" i="18"/>
  <c r="N83" i="18"/>
  <c r="D83" i="18"/>
  <c r="L83" i="18" s="1"/>
  <c r="B83" i="18"/>
  <c r="Z82" i="18"/>
  <c r="P82" i="18"/>
  <c r="X82" i="18" s="1"/>
  <c r="N82" i="18"/>
  <c r="L82" i="18"/>
  <c r="D82" i="18"/>
  <c r="B82" i="18"/>
  <c r="Z81" i="18"/>
  <c r="P81" i="18"/>
  <c r="X81" i="18" s="1"/>
  <c r="N81" i="18"/>
  <c r="L81" i="18"/>
  <c r="D81" i="18"/>
  <c r="B81" i="18"/>
  <c r="Z80" i="18"/>
  <c r="P80" i="18"/>
  <c r="X80" i="18" s="1"/>
  <c r="N80" i="18"/>
  <c r="L80" i="18"/>
  <c r="D80" i="18"/>
  <c r="B80" i="18"/>
  <c r="Z79" i="18"/>
  <c r="X79" i="18"/>
  <c r="P79" i="18"/>
  <c r="N79" i="18"/>
  <c r="L79" i="18"/>
  <c r="D79" i="18"/>
  <c r="B79" i="18"/>
  <c r="Z78" i="18"/>
  <c r="P78" i="18"/>
  <c r="X78" i="18" s="1"/>
  <c r="N78" i="18"/>
  <c r="D78" i="18"/>
  <c r="L78" i="18" s="1"/>
  <c r="B78" i="18"/>
  <c r="Z77" i="18"/>
  <c r="P77" i="18"/>
  <c r="X77" i="18" s="1"/>
  <c r="N77" i="18"/>
  <c r="L77" i="18"/>
  <c r="D77" i="18"/>
  <c r="B77" i="18"/>
  <c r="Z76" i="18"/>
  <c r="X76" i="18"/>
  <c r="P76" i="18"/>
  <c r="N76" i="18"/>
  <c r="L76" i="18"/>
  <c r="D76" i="18"/>
  <c r="B76" i="18"/>
  <c r="Z75" i="18"/>
  <c r="X75" i="18"/>
  <c r="P75" i="18"/>
  <c r="N75" i="18"/>
  <c r="D75" i="18"/>
  <c r="L75" i="18" s="1"/>
  <c r="B75" i="18"/>
  <c r="Z74" i="18"/>
  <c r="P74" i="18"/>
  <c r="X74" i="18" s="1"/>
  <c r="N74" i="18"/>
  <c r="D74" i="18"/>
  <c r="L74" i="18" s="1"/>
  <c r="B74" i="18"/>
  <c r="Z73" i="18"/>
  <c r="X73" i="18"/>
  <c r="P73" i="18"/>
  <c r="N73" i="18"/>
  <c r="L73" i="18"/>
  <c r="D73" i="18"/>
  <c r="B73" i="18"/>
  <c r="Z72" i="18"/>
  <c r="X72" i="18"/>
  <c r="P72" i="18"/>
  <c r="N72" i="18"/>
  <c r="L72" i="18"/>
  <c r="D72" i="18"/>
  <c r="B72" i="18"/>
  <c r="Z71" i="18"/>
  <c r="X71" i="18"/>
  <c r="P71" i="18"/>
  <c r="N71" i="18"/>
  <c r="D71" i="18"/>
  <c r="L71" i="18" s="1"/>
  <c r="B71" i="18"/>
  <c r="Z70" i="18"/>
  <c r="X70" i="18"/>
  <c r="P70" i="18"/>
  <c r="N70" i="18"/>
  <c r="L70" i="18"/>
  <c r="D70" i="18"/>
  <c r="B70" i="18"/>
  <c r="Z69" i="18"/>
  <c r="P69" i="18"/>
  <c r="X69" i="18" s="1"/>
  <c r="N69" i="18"/>
  <c r="L69" i="18"/>
  <c r="D69" i="18"/>
  <c r="B69" i="18"/>
  <c r="Z68" i="18"/>
  <c r="P68" i="18"/>
  <c r="X68" i="18" s="1"/>
  <c r="N68" i="18"/>
  <c r="L68" i="18"/>
  <c r="D68" i="18"/>
  <c r="B68" i="18"/>
  <c r="Z67" i="18"/>
  <c r="X67" i="18"/>
  <c r="P67" i="18"/>
  <c r="N67" i="18"/>
  <c r="D67" i="18"/>
  <c r="L67" i="18" s="1"/>
  <c r="B67" i="18"/>
  <c r="Z66" i="18"/>
  <c r="P66" i="18"/>
  <c r="X66" i="18" s="1"/>
  <c r="N66" i="18"/>
  <c r="D66" i="18"/>
  <c r="L66" i="18" s="1"/>
  <c r="B66" i="18"/>
  <c r="Z65" i="18"/>
  <c r="P65" i="18"/>
  <c r="X65" i="18" s="1"/>
  <c r="N65" i="18"/>
  <c r="L65" i="18"/>
  <c r="D65" i="18"/>
  <c r="B65" i="18"/>
  <c r="Z64" i="18"/>
  <c r="X64" i="18"/>
  <c r="P64" i="18"/>
  <c r="N64" i="18"/>
  <c r="L64" i="18"/>
  <c r="D64" i="18"/>
  <c r="B64" i="18"/>
  <c r="Z63" i="18"/>
  <c r="P63" i="18"/>
  <c r="X63" i="18" s="1"/>
  <c r="N63" i="18"/>
  <c r="D63" i="18"/>
  <c r="L63" i="18" s="1"/>
  <c r="B63" i="18"/>
  <c r="Z62" i="18"/>
  <c r="P62" i="18"/>
  <c r="X62" i="18" s="1"/>
  <c r="N62" i="18"/>
  <c r="D62" i="18"/>
  <c r="L62" i="18" s="1"/>
  <c r="B62" i="18"/>
  <c r="Z61" i="18"/>
  <c r="X61" i="18"/>
  <c r="P61" i="18"/>
  <c r="N61" i="18"/>
  <c r="L61" i="18"/>
  <c r="D61" i="18"/>
  <c r="B61" i="18"/>
  <c r="Z60" i="18"/>
  <c r="X60" i="18"/>
  <c r="P60" i="18"/>
  <c r="N60" i="18"/>
  <c r="L60" i="18"/>
  <c r="D60" i="18"/>
  <c r="B60" i="18"/>
  <c r="Z59" i="18"/>
  <c r="X59" i="18"/>
  <c r="P59" i="18"/>
  <c r="N59" i="18"/>
  <c r="D59" i="18"/>
  <c r="L59" i="18" s="1"/>
  <c r="B59" i="18"/>
  <c r="Z58" i="18"/>
  <c r="P58" i="18"/>
  <c r="X58" i="18" s="1"/>
  <c r="N58" i="18"/>
  <c r="L58" i="18"/>
  <c r="D58" i="18"/>
  <c r="B58" i="18"/>
  <c r="Z57" i="18"/>
  <c r="P57" i="18"/>
  <c r="X57" i="18" s="1"/>
  <c r="N57" i="18"/>
  <c r="L57" i="18"/>
  <c r="D57" i="18"/>
  <c r="B57" i="18"/>
  <c r="Z56" i="18"/>
  <c r="X56" i="18"/>
  <c r="P56" i="18"/>
  <c r="N56" i="18"/>
  <c r="L56" i="18"/>
  <c r="D56" i="18"/>
  <c r="B56" i="18"/>
  <c r="Z55" i="18"/>
  <c r="X55" i="18"/>
  <c r="P55" i="18"/>
  <c r="N55" i="18"/>
  <c r="L55" i="18"/>
  <c r="D55" i="18"/>
  <c r="B55" i="18"/>
  <c r="Z54" i="18"/>
  <c r="P54" i="18"/>
  <c r="X54" i="18" s="1"/>
  <c r="N54" i="18"/>
  <c r="D54" i="18"/>
  <c r="L54" i="18" s="1"/>
  <c r="B54" i="18"/>
  <c r="Z53" i="18"/>
  <c r="P53" i="18"/>
  <c r="X53" i="18" s="1"/>
  <c r="N53" i="18"/>
  <c r="L53" i="18"/>
  <c r="D53" i="18"/>
  <c r="B53" i="18"/>
  <c r="Z52" i="18"/>
  <c r="X52" i="18"/>
  <c r="P52" i="18"/>
  <c r="N52" i="18"/>
  <c r="L52" i="18"/>
  <c r="D52" i="18"/>
  <c r="B52" i="18"/>
  <c r="Z51" i="18"/>
  <c r="P51" i="18"/>
  <c r="X51" i="18" s="1"/>
  <c r="N51" i="18"/>
  <c r="D51" i="18"/>
  <c r="L51" i="18" s="1"/>
  <c r="B51" i="18"/>
  <c r="P50" i="18"/>
  <c r="X50" i="18" s="1"/>
  <c r="Z50" i="18" s="1"/>
  <c r="D50" i="18"/>
  <c r="L50" i="18" s="1"/>
  <c r="N50" i="18" s="1"/>
  <c r="B50" i="18"/>
  <c r="Z49" i="18"/>
  <c r="X49" i="18"/>
  <c r="P49" i="18"/>
  <c r="N49" i="18"/>
  <c r="L49" i="18"/>
  <c r="D49" i="18"/>
  <c r="B49" i="18"/>
  <c r="Z48" i="18"/>
  <c r="X48" i="18"/>
  <c r="P48" i="18"/>
  <c r="N48" i="18"/>
  <c r="D48" i="18"/>
  <c r="L48" i="18" s="1"/>
  <c r="B48" i="18"/>
  <c r="Z47" i="18"/>
  <c r="X47" i="18"/>
  <c r="P47" i="18"/>
  <c r="N47" i="18"/>
  <c r="D47" i="18"/>
  <c r="L47" i="18" s="1"/>
  <c r="B47" i="18"/>
  <c r="Z46" i="18"/>
  <c r="X46" i="18"/>
  <c r="P46" i="18"/>
  <c r="N46" i="18"/>
  <c r="L46" i="18"/>
  <c r="D46" i="18"/>
  <c r="B46" i="18"/>
  <c r="Z45" i="18"/>
  <c r="P45" i="18"/>
  <c r="X45" i="18" s="1"/>
  <c r="N45" i="18"/>
  <c r="L45" i="18"/>
  <c r="D45" i="18"/>
  <c r="B45" i="18"/>
  <c r="Z44" i="18"/>
  <c r="X44" i="18"/>
  <c r="P44" i="18"/>
  <c r="N44" i="18"/>
  <c r="L44" i="18"/>
  <c r="D44" i="18"/>
  <c r="B44" i="18"/>
  <c r="Z43" i="18"/>
  <c r="X43" i="18"/>
  <c r="P43" i="18"/>
  <c r="N43" i="18"/>
  <c r="L43" i="18"/>
  <c r="D43" i="18"/>
  <c r="B43" i="18"/>
  <c r="Z42" i="18"/>
  <c r="P42" i="18"/>
  <c r="X42" i="18" s="1"/>
  <c r="N42" i="18"/>
  <c r="D42" i="18"/>
  <c r="L42" i="18" s="1"/>
  <c r="B42" i="18"/>
  <c r="Z41" i="18"/>
  <c r="P41" i="18"/>
  <c r="X41" i="18" s="1"/>
  <c r="N41" i="18"/>
  <c r="D41" i="18"/>
  <c r="L41" i="18" s="1"/>
  <c r="B41" i="18"/>
  <c r="Z40" i="18"/>
  <c r="X40" i="18"/>
  <c r="P40" i="18"/>
  <c r="N40" i="18"/>
  <c r="L40" i="18"/>
  <c r="D40" i="18"/>
  <c r="B40" i="18"/>
  <c r="Z39" i="18"/>
  <c r="X39" i="18"/>
  <c r="P39" i="18"/>
  <c r="N39" i="18"/>
  <c r="D39" i="18"/>
  <c r="L39" i="18" s="1"/>
  <c r="B39" i="18"/>
  <c r="Z38" i="18"/>
  <c r="P38" i="18"/>
  <c r="X38" i="18" s="1"/>
  <c r="N38" i="18"/>
  <c r="D38" i="18"/>
  <c r="L38" i="18" s="1"/>
  <c r="B38" i="18"/>
  <c r="Z37" i="18"/>
  <c r="X37" i="18"/>
  <c r="P37" i="18"/>
  <c r="N37" i="18"/>
  <c r="L37" i="18"/>
  <c r="D37" i="18"/>
  <c r="B37" i="18"/>
  <c r="Z36" i="18"/>
  <c r="X36" i="18"/>
  <c r="P36" i="18"/>
  <c r="N36" i="18"/>
  <c r="L36" i="18"/>
  <c r="D36" i="18"/>
  <c r="B36" i="18"/>
  <c r="Z35" i="18"/>
  <c r="X35" i="18"/>
  <c r="P35" i="18"/>
  <c r="N35" i="18"/>
  <c r="D35" i="18"/>
  <c r="L35" i="18" s="1"/>
  <c r="B35" i="18"/>
  <c r="Z34" i="18"/>
  <c r="X34" i="18"/>
  <c r="P34" i="18"/>
  <c r="N34" i="18"/>
  <c r="L34" i="18"/>
  <c r="D34" i="18"/>
  <c r="B34" i="18"/>
  <c r="Z33" i="18"/>
  <c r="P33" i="18"/>
  <c r="X33" i="18" s="1"/>
  <c r="N33" i="18"/>
  <c r="L33" i="18"/>
  <c r="D33" i="18"/>
  <c r="B33" i="18"/>
  <c r="Z32" i="18"/>
  <c r="P32" i="18"/>
  <c r="X32" i="18" s="1"/>
  <c r="N32" i="18"/>
  <c r="L32" i="18"/>
  <c r="D32" i="18"/>
  <c r="B32" i="18"/>
  <c r="Z31" i="18"/>
  <c r="X31" i="18"/>
  <c r="P31" i="18"/>
  <c r="N31" i="18"/>
  <c r="D31" i="18"/>
  <c r="L31" i="18" s="1"/>
  <c r="B31" i="18"/>
  <c r="Z30" i="18"/>
  <c r="P30" i="18"/>
  <c r="X30" i="18" s="1"/>
  <c r="N30" i="18"/>
  <c r="D30" i="18"/>
  <c r="L30" i="18" s="1"/>
  <c r="B30" i="18"/>
  <c r="Z29" i="18"/>
  <c r="P29" i="18"/>
  <c r="X29" i="18" s="1"/>
  <c r="N29" i="18"/>
  <c r="D29" i="18"/>
  <c r="L29" i="18" s="1"/>
  <c r="B29" i="18"/>
  <c r="Z28" i="18"/>
  <c r="X28" i="18"/>
  <c r="P28" i="18"/>
  <c r="N28" i="18"/>
  <c r="L28" i="18"/>
  <c r="D28" i="18"/>
  <c r="B28" i="18"/>
  <c r="Z27" i="18"/>
  <c r="X27" i="18"/>
  <c r="P27" i="18"/>
  <c r="N27" i="18"/>
  <c r="D27" i="18"/>
  <c r="L27" i="18" s="1"/>
  <c r="B27" i="18"/>
  <c r="Z26" i="18"/>
  <c r="P26" i="18"/>
  <c r="X26" i="18" s="1"/>
  <c r="N26" i="18"/>
  <c r="D26" i="18"/>
  <c r="L26" i="18" s="1"/>
  <c r="B26" i="18"/>
  <c r="Z25" i="18"/>
  <c r="X25" i="18"/>
  <c r="P25" i="18"/>
  <c r="N25" i="18"/>
  <c r="L25" i="18"/>
  <c r="D25" i="18"/>
  <c r="B25" i="18"/>
  <c r="Z24" i="18"/>
  <c r="X24" i="18"/>
  <c r="P24" i="18"/>
  <c r="N24" i="18"/>
  <c r="D24" i="18"/>
  <c r="L24" i="18" s="1"/>
  <c r="B24" i="18"/>
  <c r="Z23" i="18"/>
  <c r="X23" i="18"/>
  <c r="P23" i="18"/>
  <c r="N23" i="18"/>
  <c r="D23" i="18"/>
  <c r="L23" i="18" s="1"/>
  <c r="B23" i="18"/>
  <c r="Z22" i="18"/>
  <c r="P22" i="18"/>
  <c r="X22" i="18" s="1"/>
  <c r="N22" i="18"/>
  <c r="L22" i="18"/>
  <c r="D22" i="18"/>
  <c r="B22" i="18"/>
  <c r="Z21" i="18"/>
  <c r="P21" i="18"/>
  <c r="X21" i="18" s="1"/>
  <c r="N21" i="18"/>
  <c r="L21" i="18"/>
  <c r="D21" i="18"/>
  <c r="B21" i="18"/>
  <c r="Z20" i="18"/>
  <c r="X20" i="18"/>
  <c r="P20" i="18"/>
  <c r="N20" i="18"/>
  <c r="L20" i="18"/>
  <c r="D20" i="18"/>
  <c r="B20" i="18"/>
  <c r="Z19" i="18"/>
  <c r="X19" i="18"/>
  <c r="P19" i="18"/>
  <c r="N19" i="18"/>
  <c r="D19" i="18"/>
  <c r="L19" i="18" s="1"/>
  <c r="B19" i="18"/>
  <c r="Z18" i="18"/>
  <c r="P18" i="18"/>
  <c r="X18" i="18" s="1"/>
  <c r="N18" i="18"/>
  <c r="D18" i="18"/>
  <c r="L18" i="18" s="1"/>
  <c r="B18" i="18"/>
  <c r="Z17" i="18"/>
  <c r="P17" i="18"/>
  <c r="X17" i="18" s="1"/>
  <c r="N17" i="18"/>
  <c r="L17" i="18"/>
  <c r="D17" i="18"/>
  <c r="B17" i="18"/>
  <c r="Z16" i="18"/>
  <c r="X16" i="18"/>
  <c r="P16" i="18"/>
  <c r="N16" i="18"/>
  <c r="L16" i="18"/>
  <c r="D16" i="18"/>
  <c r="B16" i="18"/>
  <c r="Z15" i="18"/>
  <c r="P15" i="18"/>
  <c r="X15" i="18" s="1"/>
  <c r="N15" i="18"/>
  <c r="D15" i="18"/>
  <c r="L15" i="18" s="1"/>
  <c r="B15" i="18"/>
  <c r="Z14" i="18"/>
  <c r="P14" i="18"/>
  <c r="X14" i="18" s="1"/>
  <c r="N14" i="18"/>
  <c r="D14" i="18"/>
  <c r="B14" i="18"/>
  <c r="X13" i="18"/>
  <c r="Z13" i="18" s="1"/>
  <c r="P13" i="18"/>
  <c r="N13" i="18"/>
  <c r="L13" i="18"/>
  <c r="D13" i="18"/>
  <c r="B13" i="18"/>
  <c r="T12" i="18"/>
  <c r="V297" i="18" s="1"/>
  <c r="H12" i="18"/>
  <c r="D4" i="18"/>
  <c r="X278" i="15"/>
  <c r="Z278" i="15" s="1"/>
  <c r="N278" i="15"/>
  <c r="L278" i="15"/>
  <c r="Z274" i="15"/>
  <c r="P274" i="15"/>
  <c r="X274" i="15" s="1"/>
  <c r="N274" i="15"/>
  <c r="D274" i="15"/>
  <c r="L274" i="15" s="1"/>
  <c r="B274" i="15"/>
  <c r="Z273" i="15"/>
  <c r="V273" i="15"/>
  <c r="P273" i="15"/>
  <c r="X273" i="15" s="1"/>
  <c r="D273" i="15"/>
  <c r="L273" i="15" s="1"/>
  <c r="N273" i="15" s="1"/>
  <c r="B273" i="15"/>
  <c r="Z272" i="15"/>
  <c r="X272" i="15"/>
  <c r="P272" i="15"/>
  <c r="N272" i="15"/>
  <c r="L272" i="15"/>
  <c r="D272" i="15"/>
  <c r="B272" i="15"/>
  <c r="Z271" i="15"/>
  <c r="V271" i="15"/>
  <c r="P271" i="15"/>
  <c r="X271" i="15" s="1"/>
  <c r="N271" i="15"/>
  <c r="D271" i="15"/>
  <c r="L271" i="15" s="1"/>
  <c r="B271" i="15"/>
  <c r="Z270" i="15"/>
  <c r="X270" i="15"/>
  <c r="V270" i="15"/>
  <c r="P270" i="15"/>
  <c r="N270" i="15"/>
  <c r="D270" i="15"/>
  <c r="L270" i="15" s="1"/>
  <c r="B270" i="15"/>
  <c r="X269" i="15"/>
  <c r="Z269" i="15" s="1"/>
  <c r="V269" i="15"/>
  <c r="P269" i="15"/>
  <c r="L269" i="15"/>
  <c r="N269" i="15" s="1"/>
  <c r="D269" i="15"/>
  <c r="B269" i="15"/>
  <c r="Z268" i="15"/>
  <c r="V268" i="15"/>
  <c r="P268" i="15"/>
  <c r="X268" i="15" s="1"/>
  <c r="N268" i="15"/>
  <c r="D268" i="15"/>
  <c r="L268" i="15" s="1"/>
  <c r="B268" i="15"/>
  <c r="Z267" i="15"/>
  <c r="P267" i="15"/>
  <c r="X267" i="15" s="1"/>
  <c r="N267" i="15"/>
  <c r="L267" i="15"/>
  <c r="D267" i="15"/>
  <c r="B267" i="15"/>
  <c r="Z266" i="15"/>
  <c r="X266" i="15"/>
  <c r="P266" i="15"/>
  <c r="N266" i="15"/>
  <c r="L266" i="15"/>
  <c r="D266" i="15"/>
  <c r="B266" i="15"/>
  <c r="V265" i="15"/>
  <c r="T265" i="15"/>
  <c r="H265" i="15"/>
  <c r="X263" i="15"/>
  <c r="Z263" i="15" s="1"/>
  <c r="V263" i="15"/>
  <c r="L263" i="15"/>
  <c r="N263" i="15" s="1"/>
  <c r="J263" i="15"/>
  <c r="B263" i="15"/>
  <c r="T262" i="15"/>
  <c r="P262" i="15"/>
  <c r="X262" i="15" s="1"/>
  <c r="H262" i="15"/>
  <c r="D262" i="15"/>
  <c r="B262" i="15"/>
  <c r="Z261" i="15"/>
  <c r="X261" i="15"/>
  <c r="N261" i="15"/>
  <c r="L261" i="15"/>
  <c r="B261" i="15"/>
  <c r="Z260" i="15"/>
  <c r="X260" i="15"/>
  <c r="N260" i="15"/>
  <c r="L260" i="15"/>
  <c r="J260" i="15"/>
  <c r="B260" i="15"/>
  <c r="Z259" i="15"/>
  <c r="X259" i="15"/>
  <c r="V259" i="15"/>
  <c r="N259" i="15"/>
  <c r="L259" i="15"/>
  <c r="B259" i="15"/>
  <c r="X258" i="15"/>
  <c r="Z258" i="15" s="1"/>
  <c r="T258" i="15"/>
  <c r="P258" i="15"/>
  <c r="L258" i="15"/>
  <c r="N258" i="15" s="1"/>
  <c r="H258" i="15"/>
  <c r="D258" i="15"/>
  <c r="B258" i="15"/>
  <c r="Z257" i="15"/>
  <c r="X257" i="15"/>
  <c r="L257" i="15"/>
  <c r="N257" i="15" s="1"/>
  <c r="J257" i="15"/>
  <c r="B257" i="15"/>
  <c r="T256" i="15"/>
  <c r="P256" i="15"/>
  <c r="N256" i="15"/>
  <c r="L256" i="15"/>
  <c r="H256" i="15"/>
  <c r="D256" i="15"/>
  <c r="B256" i="15"/>
  <c r="X255" i="15"/>
  <c r="Z255" i="15" s="1"/>
  <c r="V255" i="15"/>
  <c r="L255" i="15"/>
  <c r="N255" i="15" s="1"/>
  <c r="B255" i="15"/>
  <c r="X254" i="15"/>
  <c r="Z254" i="15" s="1"/>
  <c r="N254" i="15"/>
  <c r="L254" i="15"/>
  <c r="B254" i="15"/>
  <c r="X253" i="15"/>
  <c r="Z253" i="15" s="1"/>
  <c r="V253" i="15"/>
  <c r="T253" i="15"/>
  <c r="P253" i="15"/>
  <c r="L253" i="15"/>
  <c r="H253" i="15"/>
  <c r="D253" i="15"/>
  <c r="B253" i="15"/>
  <c r="X252" i="15"/>
  <c r="Z252" i="15" s="1"/>
  <c r="N252" i="15"/>
  <c r="L252" i="15"/>
  <c r="B252" i="15"/>
  <c r="X251" i="15"/>
  <c r="Z251" i="15" s="1"/>
  <c r="V251" i="15"/>
  <c r="N251" i="15"/>
  <c r="L251" i="15"/>
  <c r="B251" i="15"/>
  <c r="X250" i="15"/>
  <c r="Z250" i="15" s="1"/>
  <c r="L250" i="15"/>
  <c r="N250" i="15" s="1"/>
  <c r="B250" i="15"/>
  <c r="Z249" i="15"/>
  <c r="X249" i="15"/>
  <c r="N249" i="15"/>
  <c r="L249" i="15"/>
  <c r="B249" i="15"/>
  <c r="X248" i="15"/>
  <c r="Z248" i="15" s="1"/>
  <c r="N248" i="15"/>
  <c r="L248" i="15"/>
  <c r="B248" i="15"/>
  <c r="X247" i="15"/>
  <c r="Z247" i="15" s="1"/>
  <c r="V247" i="15"/>
  <c r="N247" i="15"/>
  <c r="L247" i="15"/>
  <c r="B247" i="15"/>
  <c r="Z246" i="15"/>
  <c r="X246" i="15"/>
  <c r="N246" i="15"/>
  <c r="L246" i="15"/>
  <c r="B246" i="15"/>
  <c r="Z245" i="15"/>
  <c r="X245" i="15"/>
  <c r="N245" i="15"/>
  <c r="L245" i="15"/>
  <c r="B245" i="15"/>
  <c r="Z244" i="15"/>
  <c r="X244" i="15"/>
  <c r="T244" i="15"/>
  <c r="P244" i="15"/>
  <c r="N244" i="15"/>
  <c r="L244" i="15"/>
  <c r="H244" i="15"/>
  <c r="D244" i="15"/>
  <c r="B244" i="15"/>
  <c r="Z243" i="15"/>
  <c r="X243" i="15"/>
  <c r="V243" i="15"/>
  <c r="L243" i="15"/>
  <c r="N243" i="15" s="1"/>
  <c r="B243" i="15"/>
  <c r="Z242" i="15"/>
  <c r="X242" i="15"/>
  <c r="V242" i="15"/>
  <c r="L242" i="15"/>
  <c r="N242" i="15" s="1"/>
  <c r="B242" i="15"/>
  <c r="T241" i="15"/>
  <c r="P241" i="15"/>
  <c r="H241" i="15"/>
  <c r="D241" i="15"/>
  <c r="L241" i="15" s="1"/>
  <c r="N241" i="15" s="1"/>
  <c r="B241" i="15"/>
  <c r="Z240" i="15"/>
  <c r="X240" i="15"/>
  <c r="V240" i="15"/>
  <c r="N240" i="15"/>
  <c r="L240" i="15"/>
  <c r="B240" i="15"/>
  <c r="X239" i="15"/>
  <c r="Z239" i="15" s="1"/>
  <c r="V239" i="15"/>
  <c r="L239" i="15"/>
  <c r="N239" i="15" s="1"/>
  <c r="J239" i="15"/>
  <c r="B239" i="15"/>
  <c r="X238" i="15"/>
  <c r="Z238" i="15" s="1"/>
  <c r="L238" i="15"/>
  <c r="N238" i="15" s="1"/>
  <c r="B238" i="15"/>
  <c r="Z237" i="15"/>
  <c r="X237" i="15"/>
  <c r="V237" i="15"/>
  <c r="N237" i="15"/>
  <c r="L237" i="15"/>
  <c r="B237" i="15"/>
  <c r="T236" i="15"/>
  <c r="P236" i="15"/>
  <c r="L236" i="15"/>
  <c r="H236" i="15"/>
  <c r="D236" i="15"/>
  <c r="B236" i="15"/>
  <c r="Z235" i="15"/>
  <c r="X235" i="15"/>
  <c r="V235" i="15"/>
  <c r="N235" i="15"/>
  <c r="L235" i="15"/>
  <c r="B235" i="15"/>
  <c r="Z234" i="15"/>
  <c r="X234" i="15"/>
  <c r="L234" i="15"/>
  <c r="N234" i="15" s="1"/>
  <c r="J234" i="15"/>
  <c r="B234" i="15"/>
  <c r="Z233" i="15"/>
  <c r="X233" i="15"/>
  <c r="N233" i="15"/>
  <c r="L233" i="15"/>
  <c r="B233" i="15"/>
  <c r="X232" i="15"/>
  <c r="Z232" i="15" s="1"/>
  <c r="N232" i="15"/>
  <c r="L232" i="15"/>
  <c r="B232" i="15"/>
  <c r="X231" i="15"/>
  <c r="V231" i="15"/>
  <c r="T231" i="15"/>
  <c r="P231" i="15"/>
  <c r="H231" i="15"/>
  <c r="D231" i="15"/>
  <c r="B231" i="15"/>
  <c r="Z230" i="15"/>
  <c r="X230" i="15"/>
  <c r="V230" i="15"/>
  <c r="L230" i="15"/>
  <c r="N230" i="15" s="1"/>
  <c r="B230" i="15"/>
  <c r="Z229" i="15"/>
  <c r="X229" i="15"/>
  <c r="N229" i="15"/>
  <c r="L229" i="15"/>
  <c r="B229" i="15"/>
  <c r="Z228" i="15"/>
  <c r="X228" i="15"/>
  <c r="V228" i="15"/>
  <c r="N228" i="15"/>
  <c r="L228" i="15"/>
  <c r="J228" i="15"/>
  <c r="B228" i="15"/>
  <c r="Z227" i="15"/>
  <c r="X227" i="15"/>
  <c r="V227" i="15"/>
  <c r="L227" i="15"/>
  <c r="N227" i="15" s="1"/>
  <c r="B227" i="15"/>
  <c r="T226" i="15"/>
  <c r="P226" i="15"/>
  <c r="X226" i="15" s="1"/>
  <c r="J226" i="15"/>
  <c r="H226" i="15"/>
  <c r="D226" i="15"/>
  <c r="L226" i="15" s="1"/>
  <c r="B226" i="15"/>
  <c r="X225" i="15"/>
  <c r="Z225" i="15" s="1"/>
  <c r="V225" i="15"/>
  <c r="N225" i="15"/>
  <c r="L225" i="15"/>
  <c r="B225" i="15"/>
  <c r="V224" i="15"/>
  <c r="T224" i="15"/>
  <c r="P224" i="15"/>
  <c r="L224" i="15"/>
  <c r="H224" i="15"/>
  <c r="D224" i="15"/>
  <c r="B224" i="15"/>
  <c r="X223" i="15"/>
  <c r="Z223" i="15" s="1"/>
  <c r="V223" i="15"/>
  <c r="N223" i="15"/>
  <c r="L223" i="15"/>
  <c r="B223" i="15"/>
  <c r="T222" i="15"/>
  <c r="P222" i="15"/>
  <c r="X222" i="15" s="1"/>
  <c r="Z222" i="15" s="1"/>
  <c r="H222" i="15"/>
  <c r="D222" i="15"/>
  <c r="B222" i="15"/>
  <c r="Z221" i="15"/>
  <c r="X221" i="15"/>
  <c r="L221" i="15"/>
  <c r="N221" i="15" s="1"/>
  <c r="B221" i="15"/>
  <c r="T220" i="15"/>
  <c r="P220" i="15"/>
  <c r="X220" i="15" s="1"/>
  <c r="N220" i="15"/>
  <c r="L220" i="15"/>
  <c r="H220" i="15"/>
  <c r="D220" i="15"/>
  <c r="B220" i="15"/>
  <c r="X219" i="15"/>
  <c r="Z219" i="15" s="1"/>
  <c r="V219" i="15"/>
  <c r="L219" i="15"/>
  <c r="N219" i="15" s="1"/>
  <c r="B219" i="15"/>
  <c r="X218" i="15"/>
  <c r="T218" i="15"/>
  <c r="P218" i="15"/>
  <c r="H218" i="15"/>
  <c r="D218" i="15"/>
  <c r="L218" i="15" s="1"/>
  <c r="B218" i="15"/>
  <c r="Z217" i="15"/>
  <c r="X217" i="15"/>
  <c r="N217" i="15"/>
  <c r="L217" i="15"/>
  <c r="B217" i="15"/>
  <c r="T216" i="15"/>
  <c r="X216" i="15" s="1"/>
  <c r="Z216" i="15" s="1"/>
  <c r="P216" i="15"/>
  <c r="H216" i="15"/>
  <c r="D216" i="15"/>
  <c r="L216" i="15" s="1"/>
  <c r="N216" i="15" s="1"/>
  <c r="B216" i="15"/>
  <c r="Z215" i="15"/>
  <c r="X215" i="15"/>
  <c r="V215" i="15"/>
  <c r="L215" i="15"/>
  <c r="N215" i="15" s="1"/>
  <c r="B215" i="15"/>
  <c r="Z214" i="15"/>
  <c r="X214" i="15"/>
  <c r="V214" i="15"/>
  <c r="L214" i="15"/>
  <c r="N214" i="15" s="1"/>
  <c r="B214" i="15"/>
  <c r="T213" i="15"/>
  <c r="P213" i="15"/>
  <c r="N213" i="15"/>
  <c r="H213" i="15"/>
  <c r="D213" i="15"/>
  <c r="L213" i="15" s="1"/>
  <c r="B213" i="15"/>
  <c r="Z212" i="15"/>
  <c r="X212" i="15"/>
  <c r="V212" i="15"/>
  <c r="L212" i="15"/>
  <c r="N212" i="15" s="1"/>
  <c r="B212" i="15"/>
  <c r="X211" i="15"/>
  <c r="V211" i="15"/>
  <c r="T211" i="15"/>
  <c r="P211" i="15"/>
  <c r="N211" i="15"/>
  <c r="L211" i="15"/>
  <c r="J211" i="15"/>
  <c r="H211" i="15"/>
  <c r="D211" i="15"/>
  <c r="B211" i="15"/>
  <c r="Z210" i="15"/>
  <c r="X210" i="15"/>
  <c r="N210" i="15"/>
  <c r="L210" i="15"/>
  <c r="B210" i="15"/>
  <c r="Z209" i="15"/>
  <c r="T209" i="15"/>
  <c r="X209" i="15" s="1"/>
  <c r="P209" i="15"/>
  <c r="H209" i="15"/>
  <c r="D209" i="15"/>
  <c r="B209" i="15"/>
  <c r="Z208" i="15"/>
  <c r="X208" i="15"/>
  <c r="V208" i="15"/>
  <c r="N208" i="15"/>
  <c r="L208" i="15"/>
  <c r="B208" i="15"/>
  <c r="Z207" i="15"/>
  <c r="X207" i="15"/>
  <c r="V207" i="15"/>
  <c r="L207" i="15"/>
  <c r="N207" i="15" s="1"/>
  <c r="J207" i="15"/>
  <c r="B207" i="15"/>
  <c r="X206" i="15"/>
  <c r="V206" i="15"/>
  <c r="T206" i="15"/>
  <c r="Z206" i="15" s="1"/>
  <c r="P206" i="15"/>
  <c r="H206" i="15"/>
  <c r="D206" i="15"/>
  <c r="B206" i="15"/>
  <c r="Z205" i="15"/>
  <c r="X205" i="15"/>
  <c r="V205" i="15"/>
  <c r="N205" i="15"/>
  <c r="L205" i="15"/>
  <c r="B205" i="15"/>
  <c r="Z204" i="15"/>
  <c r="X204" i="15"/>
  <c r="V204" i="15"/>
  <c r="L204" i="15"/>
  <c r="N204" i="15" s="1"/>
  <c r="B204" i="15"/>
  <c r="V203" i="15"/>
  <c r="T203" i="15"/>
  <c r="P203" i="15"/>
  <c r="X203" i="15" s="1"/>
  <c r="N203" i="15"/>
  <c r="L203" i="15"/>
  <c r="H203" i="15"/>
  <c r="D203" i="15"/>
  <c r="B203" i="15"/>
  <c r="Z202" i="15"/>
  <c r="X202" i="15"/>
  <c r="L202" i="15"/>
  <c r="N202" i="15" s="1"/>
  <c r="B202" i="15"/>
  <c r="Z201" i="15"/>
  <c r="X201" i="15"/>
  <c r="N201" i="15"/>
  <c r="L201" i="15"/>
  <c r="B201" i="15"/>
  <c r="X200" i="15"/>
  <c r="Z200" i="15" s="1"/>
  <c r="N200" i="15"/>
  <c r="L200" i="15"/>
  <c r="B200" i="15"/>
  <c r="X199" i="15"/>
  <c r="Z199" i="15" s="1"/>
  <c r="V199" i="15"/>
  <c r="N199" i="15"/>
  <c r="L199" i="15"/>
  <c r="B199" i="15"/>
  <c r="T198" i="15"/>
  <c r="P198" i="15"/>
  <c r="X198" i="15" s="1"/>
  <c r="Z198" i="15" s="1"/>
  <c r="H198" i="15"/>
  <c r="D198" i="15"/>
  <c r="B198" i="15"/>
  <c r="Z197" i="15"/>
  <c r="X197" i="15"/>
  <c r="N197" i="15"/>
  <c r="L197" i="15"/>
  <c r="B197" i="15"/>
  <c r="V196" i="15"/>
  <c r="T196" i="15"/>
  <c r="P196" i="15"/>
  <c r="L196" i="15"/>
  <c r="H196" i="15"/>
  <c r="N196" i="15" s="1"/>
  <c r="D196" i="15"/>
  <c r="B196" i="15"/>
  <c r="X195" i="15"/>
  <c r="Z195" i="15" s="1"/>
  <c r="V195" i="15"/>
  <c r="L195" i="15"/>
  <c r="N195" i="15" s="1"/>
  <c r="J195" i="15"/>
  <c r="B195" i="15"/>
  <c r="X194" i="15"/>
  <c r="Z194" i="15" s="1"/>
  <c r="N194" i="15"/>
  <c r="L194" i="15"/>
  <c r="B194" i="15"/>
  <c r="Z193" i="15"/>
  <c r="X193" i="15"/>
  <c r="V193" i="15"/>
  <c r="T193" i="15"/>
  <c r="P193" i="15"/>
  <c r="L193" i="15"/>
  <c r="J193" i="15"/>
  <c r="H193" i="15"/>
  <c r="D193" i="15"/>
  <c r="B193" i="15"/>
  <c r="X192" i="15"/>
  <c r="Z192" i="15" s="1"/>
  <c r="N192" i="15"/>
  <c r="L192" i="15"/>
  <c r="B192" i="15"/>
  <c r="X191" i="15"/>
  <c r="T191" i="15"/>
  <c r="P191" i="15"/>
  <c r="N191" i="15"/>
  <c r="L191" i="15"/>
  <c r="H191" i="15"/>
  <c r="D191" i="15"/>
  <c r="B191" i="15"/>
  <c r="Z190" i="15"/>
  <c r="X190" i="15"/>
  <c r="V190" i="15"/>
  <c r="N190" i="15"/>
  <c r="L190" i="15"/>
  <c r="B190" i="15"/>
  <c r="Z189" i="15"/>
  <c r="X189" i="15"/>
  <c r="N189" i="15"/>
  <c r="L189" i="15"/>
  <c r="J189" i="15"/>
  <c r="B189" i="15"/>
  <c r="Z188" i="15"/>
  <c r="X188" i="15"/>
  <c r="V188" i="15"/>
  <c r="N188" i="15"/>
  <c r="L188" i="15"/>
  <c r="B188" i="15"/>
  <c r="Z187" i="15"/>
  <c r="X187" i="15"/>
  <c r="V187" i="15"/>
  <c r="L187" i="15"/>
  <c r="N187" i="15" s="1"/>
  <c r="B187" i="15"/>
  <c r="Z186" i="15"/>
  <c r="X186" i="15"/>
  <c r="V186" i="15"/>
  <c r="N186" i="15"/>
  <c r="L186" i="15"/>
  <c r="J186" i="15"/>
  <c r="B186" i="15"/>
  <c r="Z185" i="15"/>
  <c r="X185" i="15"/>
  <c r="N185" i="15"/>
  <c r="L185" i="15"/>
  <c r="B185" i="15"/>
  <c r="Z184" i="15"/>
  <c r="X184" i="15"/>
  <c r="V184" i="15"/>
  <c r="L184" i="15"/>
  <c r="N184" i="15" s="1"/>
  <c r="B184" i="15"/>
  <c r="Z183" i="15"/>
  <c r="X183" i="15"/>
  <c r="V183" i="15"/>
  <c r="N183" i="15"/>
  <c r="L183" i="15"/>
  <c r="J183" i="15"/>
  <c r="B183" i="15"/>
  <c r="X182" i="15"/>
  <c r="Z182" i="15" s="1"/>
  <c r="V182" i="15"/>
  <c r="L182" i="15"/>
  <c r="N182" i="15" s="1"/>
  <c r="B182" i="15"/>
  <c r="Z181" i="15"/>
  <c r="X181" i="15"/>
  <c r="L181" i="15"/>
  <c r="N181" i="15" s="1"/>
  <c r="B181" i="15"/>
  <c r="T180" i="15"/>
  <c r="V180" i="15" s="1"/>
  <c r="P180" i="15"/>
  <c r="H180" i="15"/>
  <c r="D180" i="15"/>
  <c r="B180" i="15"/>
  <c r="X179" i="15"/>
  <c r="Z179" i="15" s="1"/>
  <c r="V179" i="15"/>
  <c r="L179" i="15"/>
  <c r="N179" i="15" s="1"/>
  <c r="B179" i="15"/>
  <c r="X178" i="15"/>
  <c r="Z178" i="15" s="1"/>
  <c r="V178" i="15"/>
  <c r="L178" i="15"/>
  <c r="N178" i="15" s="1"/>
  <c r="B178" i="15"/>
  <c r="Z177" i="15"/>
  <c r="X177" i="15"/>
  <c r="V177" i="15"/>
  <c r="N177" i="15"/>
  <c r="L177" i="15"/>
  <c r="B177" i="15"/>
  <c r="Z176" i="15"/>
  <c r="X176" i="15"/>
  <c r="V176" i="15"/>
  <c r="N176" i="15"/>
  <c r="L176" i="15"/>
  <c r="B176" i="15"/>
  <c r="Z175" i="15"/>
  <c r="X175" i="15"/>
  <c r="V175" i="15"/>
  <c r="N175" i="15"/>
  <c r="L175" i="15"/>
  <c r="B175" i="15"/>
  <c r="X174" i="15"/>
  <c r="Z174" i="15" s="1"/>
  <c r="V174" i="15"/>
  <c r="L174" i="15"/>
  <c r="N174" i="15" s="1"/>
  <c r="B174" i="15"/>
  <c r="X173" i="15"/>
  <c r="Z173" i="15" s="1"/>
  <c r="V173" i="15"/>
  <c r="N173" i="15"/>
  <c r="L173" i="15"/>
  <c r="B173" i="15"/>
  <c r="X172" i="15"/>
  <c r="Z172" i="15" s="1"/>
  <c r="V172" i="15"/>
  <c r="N172" i="15"/>
  <c r="L172" i="15"/>
  <c r="B172" i="15"/>
  <c r="X171" i="15"/>
  <c r="Z171" i="15" s="1"/>
  <c r="V171" i="15"/>
  <c r="L171" i="15"/>
  <c r="N171" i="15" s="1"/>
  <c r="B171" i="15"/>
  <c r="X170" i="15"/>
  <c r="Z170" i="15" s="1"/>
  <c r="V170" i="15"/>
  <c r="N170" i="15"/>
  <c r="L170" i="15"/>
  <c r="B170" i="15"/>
  <c r="V169" i="15"/>
  <c r="T169" i="15"/>
  <c r="P169" i="15"/>
  <c r="X169" i="15" s="1"/>
  <c r="Z169" i="15" s="1"/>
  <c r="L169" i="15"/>
  <c r="J169" i="15"/>
  <c r="H169" i="15"/>
  <c r="D169" i="15"/>
  <c r="B169" i="15"/>
  <c r="T168" i="15"/>
  <c r="P168" i="15"/>
  <c r="L168" i="15"/>
  <c r="N168" i="15" s="1"/>
  <c r="H168" i="15"/>
  <c r="D168" i="15"/>
  <c r="Z164" i="15"/>
  <c r="X164" i="15"/>
  <c r="N164" i="15"/>
  <c r="L164" i="15"/>
  <c r="B164" i="15"/>
  <c r="Z163" i="15"/>
  <c r="X163" i="15"/>
  <c r="V163" i="15"/>
  <c r="N163" i="15"/>
  <c r="L163" i="15"/>
  <c r="J163" i="15"/>
  <c r="B163" i="15"/>
  <c r="Z162" i="15"/>
  <c r="X162" i="15"/>
  <c r="N162" i="15"/>
  <c r="L162" i="15"/>
  <c r="B162" i="15"/>
  <c r="Z161" i="15"/>
  <c r="X161" i="15"/>
  <c r="N161" i="15"/>
  <c r="L161" i="15"/>
  <c r="B161" i="15"/>
  <c r="Z160" i="15"/>
  <c r="X160" i="15"/>
  <c r="N160" i="15"/>
  <c r="L160" i="15"/>
  <c r="J160" i="15"/>
  <c r="B160" i="15"/>
  <c r="Z159" i="15"/>
  <c r="X159" i="15"/>
  <c r="V159" i="15"/>
  <c r="N159" i="15"/>
  <c r="L159" i="15"/>
  <c r="B159" i="15"/>
  <c r="Z158" i="15"/>
  <c r="X158" i="15"/>
  <c r="N158" i="15"/>
  <c r="L158" i="15"/>
  <c r="B158" i="15"/>
  <c r="Z157" i="15"/>
  <c r="X157" i="15"/>
  <c r="N157" i="15"/>
  <c r="L157" i="15"/>
  <c r="B157" i="15"/>
  <c r="Z156" i="15"/>
  <c r="X156" i="15"/>
  <c r="N156" i="15"/>
  <c r="L156" i="15"/>
  <c r="B156" i="15"/>
  <c r="Z155" i="15"/>
  <c r="X155" i="15"/>
  <c r="V155" i="15"/>
  <c r="N155" i="15"/>
  <c r="L155" i="15"/>
  <c r="B155" i="15"/>
  <c r="Z154" i="15"/>
  <c r="X154" i="15"/>
  <c r="N154" i="15"/>
  <c r="L154" i="15"/>
  <c r="B154" i="15"/>
  <c r="Z153" i="15"/>
  <c r="X153" i="15"/>
  <c r="N153" i="15"/>
  <c r="L153" i="15"/>
  <c r="B153" i="15"/>
  <c r="Z152" i="15"/>
  <c r="X152" i="15"/>
  <c r="N152" i="15"/>
  <c r="L152" i="15"/>
  <c r="J152" i="15"/>
  <c r="B152" i="15"/>
  <c r="Z151" i="15"/>
  <c r="X151" i="15"/>
  <c r="V151" i="15"/>
  <c r="N151" i="15"/>
  <c r="L151" i="15"/>
  <c r="B151" i="15"/>
  <c r="Z150" i="15"/>
  <c r="X150" i="15"/>
  <c r="N150" i="15"/>
  <c r="L150" i="15"/>
  <c r="B150" i="15"/>
  <c r="Z149" i="15"/>
  <c r="X149" i="15"/>
  <c r="N149" i="15"/>
  <c r="L149" i="15"/>
  <c r="B149" i="15"/>
  <c r="Z148" i="15"/>
  <c r="X148" i="15"/>
  <c r="N148" i="15"/>
  <c r="L148" i="15"/>
  <c r="B148" i="15"/>
  <c r="Z147" i="15"/>
  <c r="X147" i="15"/>
  <c r="V147" i="15"/>
  <c r="N147" i="15"/>
  <c r="L147" i="15"/>
  <c r="B147" i="15"/>
  <c r="Z146" i="15"/>
  <c r="X146" i="15"/>
  <c r="N146" i="15"/>
  <c r="L146" i="15"/>
  <c r="J146" i="15"/>
  <c r="B146" i="15"/>
  <c r="Z145" i="15"/>
  <c r="X145" i="15"/>
  <c r="N145" i="15"/>
  <c r="L145" i="15"/>
  <c r="B145" i="15"/>
  <c r="Z144" i="15"/>
  <c r="X144" i="15"/>
  <c r="N144" i="15"/>
  <c r="L144" i="15"/>
  <c r="B144" i="15"/>
  <c r="Z143" i="15"/>
  <c r="X143" i="15"/>
  <c r="V143" i="15"/>
  <c r="N143" i="15"/>
  <c r="L143" i="15"/>
  <c r="J143" i="15"/>
  <c r="B143" i="15"/>
  <c r="Z142" i="15"/>
  <c r="X142" i="15"/>
  <c r="N142" i="15"/>
  <c r="L142" i="15"/>
  <c r="B142" i="15"/>
  <c r="Z141" i="15"/>
  <c r="X141" i="15"/>
  <c r="N141" i="15"/>
  <c r="L141" i="15"/>
  <c r="B141" i="15"/>
  <c r="Z140" i="15"/>
  <c r="X140" i="15"/>
  <c r="N140" i="15"/>
  <c r="L140" i="15"/>
  <c r="B140" i="15"/>
  <c r="Z139" i="15"/>
  <c r="X139" i="15"/>
  <c r="V139" i="15"/>
  <c r="N139" i="15"/>
  <c r="L139" i="15"/>
  <c r="B139" i="15"/>
  <c r="Z138" i="15"/>
  <c r="X138" i="15"/>
  <c r="N138" i="15"/>
  <c r="L138" i="15"/>
  <c r="B138" i="15"/>
  <c r="Z137" i="15"/>
  <c r="X137" i="15"/>
  <c r="N137" i="15"/>
  <c r="L137" i="15"/>
  <c r="B137" i="15"/>
  <c r="Z136" i="15"/>
  <c r="X136" i="15"/>
  <c r="N136" i="15"/>
  <c r="L136" i="15"/>
  <c r="B136" i="15"/>
  <c r="Z135" i="15"/>
  <c r="X135" i="15"/>
  <c r="V135" i="15"/>
  <c r="N135" i="15"/>
  <c r="L135" i="15"/>
  <c r="B135" i="15"/>
  <c r="Z134" i="15"/>
  <c r="X134" i="15"/>
  <c r="N134" i="15"/>
  <c r="L134" i="15"/>
  <c r="B134" i="15"/>
  <c r="Z133" i="15"/>
  <c r="X133" i="15"/>
  <c r="N133" i="15"/>
  <c r="L133" i="15"/>
  <c r="B133" i="15"/>
  <c r="Z132" i="15"/>
  <c r="X132" i="15"/>
  <c r="N132" i="15"/>
  <c r="L132" i="15"/>
  <c r="J132" i="15"/>
  <c r="B132" i="15"/>
  <c r="Z131" i="15"/>
  <c r="X131" i="15"/>
  <c r="V131" i="15"/>
  <c r="N131" i="15"/>
  <c r="L131" i="15"/>
  <c r="B131" i="15"/>
  <c r="Z130" i="15"/>
  <c r="X130" i="15"/>
  <c r="N130" i="15"/>
  <c r="L130" i="15"/>
  <c r="B130" i="15"/>
  <c r="Z129" i="15"/>
  <c r="X129" i="15"/>
  <c r="N129" i="15"/>
  <c r="L129" i="15"/>
  <c r="B129" i="15"/>
  <c r="Z128" i="15"/>
  <c r="X128" i="15"/>
  <c r="N128" i="15"/>
  <c r="L128" i="15"/>
  <c r="B128" i="15"/>
  <c r="Z127" i="15"/>
  <c r="X127" i="15"/>
  <c r="V127" i="15"/>
  <c r="N127" i="15"/>
  <c r="L127" i="15"/>
  <c r="B127" i="15"/>
  <c r="Z126" i="15"/>
  <c r="X126" i="15"/>
  <c r="N126" i="15"/>
  <c r="L126" i="15"/>
  <c r="J126" i="15"/>
  <c r="B126" i="15"/>
  <c r="Z125" i="15"/>
  <c r="X125" i="15"/>
  <c r="N125" i="15"/>
  <c r="L125" i="15"/>
  <c r="B125" i="15"/>
  <c r="Z124" i="15"/>
  <c r="X124" i="15"/>
  <c r="N124" i="15"/>
  <c r="L124" i="15"/>
  <c r="B124" i="15"/>
  <c r="Z123" i="15"/>
  <c r="X123" i="15"/>
  <c r="V123" i="15"/>
  <c r="N123" i="15"/>
  <c r="L123" i="15"/>
  <c r="J123" i="15"/>
  <c r="B123" i="15"/>
  <c r="Z122" i="15"/>
  <c r="X122" i="15"/>
  <c r="N122" i="15"/>
  <c r="L122" i="15"/>
  <c r="B122" i="15"/>
  <c r="Z121" i="15"/>
  <c r="X121" i="15"/>
  <c r="N121" i="15"/>
  <c r="L121" i="15"/>
  <c r="B121" i="15"/>
  <c r="Z120" i="15"/>
  <c r="X120" i="15"/>
  <c r="N120" i="15"/>
  <c r="L120" i="15"/>
  <c r="B120" i="15"/>
  <c r="Z119" i="15"/>
  <c r="X119" i="15"/>
  <c r="V119" i="15"/>
  <c r="N119" i="15"/>
  <c r="L119" i="15"/>
  <c r="B119" i="15"/>
  <c r="Z118" i="15"/>
  <c r="X118" i="15"/>
  <c r="N118" i="15"/>
  <c r="L118" i="15"/>
  <c r="J118" i="15"/>
  <c r="B118" i="15"/>
  <c r="Z117" i="15"/>
  <c r="X117" i="15"/>
  <c r="N117" i="15"/>
  <c r="L117" i="15"/>
  <c r="B117" i="15"/>
  <c r="Z116" i="15"/>
  <c r="X116" i="15"/>
  <c r="N116" i="15"/>
  <c r="L116" i="15"/>
  <c r="B116" i="15"/>
  <c r="Z115" i="15"/>
  <c r="X115" i="15"/>
  <c r="V115" i="15"/>
  <c r="N115" i="15"/>
  <c r="L115" i="15"/>
  <c r="J115" i="15"/>
  <c r="B115" i="15"/>
  <c r="Z114" i="15"/>
  <c r="X114" i="15"/>
  <c r="L114" i="15"/>
  <c r="N114" i="15" s="1"/>
  <c r="B114" i="15"/>
  <c r="Z113" i="15"/>
  <c r="X113" i="15"/>
  <c r="T113" i="15"/>
  <c r="T166" i="15" s="1"/>
  <c r="P113" i="15"/>
  <c r="L113" i="15"/>
  <c r="H113" i="15"/>
  <c r="D113" i="15"/>
  <c r="Z111" i="15"/>
  <c r="X111" i="15"/>
  <c r="P111" i="15"/>
  <c r="N111" i="15"/>
  <c r="L111" i="15"/>
  <c r="D111" i="15"/>
  <c r="B111" i="15"/>
  <c r="Z110" i="15"/>
  <c r="P110" i="15"/>
  <c r="X110" i="15" s="1"/>
  <c r="N110" i="15"/>
  <c r="D110" i="15"/>
  <c r="L110" i="15" s="1"/>
  <c r="B110" i="15"/>
  <c r="Z109" i="15"/>
  <c r="X109" i="15"/>
  <c r="P109" i="15"/>
  <c r="N109" i="15"/>
  <c r="D109" i="15"/>
  <c r="L109" i="15" s="1"/>
  <c r="B109" i="15"/>
  <c r="Z108" i="15"/>
  <c r="X108" i="15"/>
  <c r="P108" i="15"/>
  <c r="N108" i="15"/>
  <c r="L108" i="15"/>
  <c r="D108" i="15"/>
  <c r="B108" i="15"/>
  <c r="Z107" i="15"/>
  <c r="X107" i="15"/>
  <c r="P107" i="15"/>
  <c r="N107" i="15"/>
  <c r="L107" i="15"/>
  <c r="D107" i="15"/>
  <c r="B107" i="15"/>
  <c r="Z106" i="15"/>
  <c r="X106" i="15"/>
  <c r="P106" i="15"/>
  <c r="N106" i="15"/>
  <c r="D106" i="15"/>
  <c r="L106" i="15" s="1"/>
  <c r="B106" i="15"/>
  <c r="Z105" i="15"/>
  <c r="P105" i="15"/>
  <c r="X105" i="15" s="1"/>
  <c r="N105" i="15"/>
  <c r="L105" i="15"/>
  <c r="D105" i="15"/>
  <c r="B105" i="15"/>
  <c r="Z104" i="15"/>
  <c r="P104" i="15"/>
  <c r="X104" i="15" s="1"/>
  <c r="N104" i="15"/>
  <c r="L104" i="15"/>
  <c r="D104" i="15"/>
  <c r="B104" i="15"/>
  <c r="Z103" i="15"/>
  <c r="X103" i="15"/>
  <c r="P103" i="15"/>
  <c r="N103" i="15"/>
  <c r="D103" i="15"/>
  <c r="L103" i="15" s="1"/>
  <c r="B103" i="15"/>
  <c r="Z102" i="15"/>
  <c r="X102" i="15"/>
  <c r="P102" i="15"/>
  <c r="N102" i="15"/>
  <c r="L102" i="15"/>
  <c r="D102" i="15"/>
  <c r="B102" i="15"/>
  <c r="Z101" i="15"/>
  <c r="P101" i="15"/>
  <c r="X101" i="15" s="1"/>
  <c r="N101" i="15"/>
  <c r="D101" i="15"/>
  <c r="L101" i="15" s="1"/>
  <c r="B101" i="15"/>
  <c r="Z100" i="15"/>
  <c r="P100" i="15"/>
  <c r="X100" i="15" s="1"/>
  <c r="N100" i="15"/>
  <c r="D100" i="15"/>
  <c r="L100" i="15" s="1"/>
  <c r="B100" i="15"/>
  <c r="Z99" i="15"/>
  <c r="X99" i="15"/>
  <c r="P99" i="15"/>
  <c r="N99" i="15"/>
  <c r="L99" i="15"/>
  <c r="D99" i="15"/>
  <c r="B99" i="15"/>
  <c r="Z98" i="15"/>
  <c r="X98" i="15"/>
  <c r="P98" i="15"/>
  <c r="N98" i="15"/>
  <c r="D98" i="15"/>
  <c r="L98" i="15" s="1"/>
  <c r="B98" i="15"/>
  <c r="Z97" i="15"/>
  <c r="P97" i="15"/>
  <c r="X97" i="15" s="1"/>
  <c r="N97" i="15"/>
  <c r="D97" i="15"/>
  <c r="L97" i="15" s="1"/>
  <c r="B97" i="15"/>
  <c r="Z96" i="15"/>
  <c r="X96" i="15"/>
  <c r="P96" i="15"/>
  <c r="N96" i="15"/>
  <c r="L96" i="15"/>
  <c r="D96" i="15"/>
  <c r="B96" i="15"/>
  <c r="Z95" i="15"/>
  <c r="X95" i="15"/>
  <c r="P95" i="15"/>
  <c r="N95" i="15"/>
  <c r="D95" i="15"/>
  <c r="L95" i="15" s="1"/>
  <c r="B95" i="15"/>
  <c r="Z94" i="15"/>
  <c r="X94" i="15"/>
  <c r="P94" i="15"/>
  <c r="N94" i="15"/>
  <c r="L94" i="15"/>
  <c r="D94" i="15"/>
  <c r="B94" i="15"/>
  <c r="Z93" i="15"/>
  <c r="X93" i="15"/>
  <c r="P93" i="15"/>
  <c r="N93" i="15"/>
  <c r="L93" i="15"/>
  <c r="D93" i="15"/>
  <c r="B93" i="15"/>
  <c r="Z92" i="15"/>
  <c r="P92" i="15"/>
  <c r="X92" i="15" s="1"/>
  <c r="N92" i="15"/>
  <c r="L92" i="15"/>
  <c r="D92" i="15"/>
  <c r="B92" i="15"/>
  <c r="Z91" i="15"/>
  <c r="P91" i="15"/>
  <c r="X91" i="15" s="1"/>
  <c r="N91" i="15"/>
  <c r="L91" i="15"/>
  <c r="D91" i="15"/>
  <c r="B91" i="15"/>
  <c r="Z90" i="15"/>
  <c r="X90" i="15"/>
  <c r="P90" i="15"/>
  <c r="N90" i="15"/>
  <c r="L90" i="15"/>
  <c r="D90" i="15"/>
  <c r="B90" i="15"/>
  <c r="Z89" i="15"/>
  <c r="P89" i="15"/>
  <c r="X89" i="15" s="1"/>
  <c r="N89" i="15"/>
  <c r="D89" i="15"/>
  <c r="L89" i="15" s="1"/>
  <c r="B89" i="15"/>
  <c r="Z88" i="15"/>
  <c r="P88" i="15"/>
  <c r="X88" i="15" s="1"/>
  <c r="N88" i="15"/>
  <c r="D88" i="15"/>
  <c r="L88" i="15" s="1"/>
  <c r="B88" i="15"/>
  <c r="Z87" i="15"/>
  <c r="X87" i="15"/>
  <c r="P87" i="15"/>
  <c r="N87" i="15"/>
  <c r="L87" i="15"/>
  <c r="D87" i="15"/>
  <c r="B87" i="15"/>
  <c r="Z86" i="15"/>
  <c r="P86" i="15"/>
  <c r="X86" i="15" s="1"/>
  <c r="N86" i="15"/>
  <c r="D86" i="15"/>
  <c r="L86" i="15" s="1"/>
  <c r="B86" i="15"/>
  <c r="Z85" i="15"/>
  <c r="P85" i="15"/>
  <c r="X85" i="15" s="1"/>
  <c r="N85" i="15"/>
  <c r="D85" i="15"/>
  <c r="L85" i="15" s="1"/>
  <c r="B85" i="15"/>
  <c r="Z84" i="15"/>
  <c r="X84" i="15"/>
  <c r="P84" i="15"/>
  <c r="N84" i="15"/>
  <c r="L84" i="15"/>
  <c r="D84" i="15"/>
  <c r="B84" i="15"/>
  <c r="Z83" i="15"/>
  <c r="X83" i="15"/>
  <c r="P83" i="15"/>
  <c r="N83" i="15"/>
  <c r="L83" i="15"/>
  <c r="D83" i="15"/>
  <c r="B83" i="15"/>
  <c r="Z82" i="15"/>
  <c r="X82" i="15"/>
  <c r="P82" i="15"/>
  <c r="N82" i="15"/>
  <c r="D82" i="15"/>
  <c r="L82" i="15" s="1"/>
  <c r="B82" i="15"/>
  <c r="Z81" i="15"/>
  <c r="P81" i="15"/>
  <c r="X81" i="15" s="1"/>
  <c r="N81" i="15"/>
  <c r="L81" i="15"/>
  <c r="D81" i="15"/>
  <c r="B81" i="15"/>
  <c r="Z80" i="15"/>
  <c r="P80" i="15"/>
  <c r="X80" i="15" s="1"/>
  <c r="N80" i="15"/>
  <c r="L80" i="15"/>
  <c r="D80" i="15"/>
  <c r="B80" i="15"/>
  <c r="Z79" i="15"/>
  <c r="X79" i="15"/>
  <c r="P79" i="15"/>
  <c r="N79" i="15"/>
  <c r="D79" i="15"/>
  <c r="L79" i="15" s="1"/>
  <c r="B79" i="15"/>
  <c r="Z78" i="15"/>
  <c r="X78" i="15"/>
  <c r="P78" i="15"/>
  <c r="N78" i="15"/>
  <c r="L78" i="15"/>
  <c r="D78" i="15"/>
  <c r="B78" i="15"/>
  <c r="Z77" i="15"/>
  <c r="P77" i="15"/>
  <c r="X77" i="15" s="1"/>
  <c r="N77" i="15"/>
  <c r="D77" i="15"/>
  <c r="L77" i="15" s="1"/>
  <c r="B77" i="15"/>
  <c r="Z76" i="15"/>
  <c r="P76" i="15"/>
  <c r="X76" i="15" s="1"/>
  <c r="N76" i="15"/>
  <c r="L76" i="15"/>
  <c r="D76" i="15"/>
  <c r="B76" i="15"/>
  <c r="Z75" i="15"/>
  <c r="X75" i="15"/>
  <c r="P75" i="15"/>
  <c r="N75" i="15"/>
  <c r="L75" i="15"/>
  <c r="D75" i="15"/>
  <c r="B75" i="15"/>
  <c r="Z74" i="15"/>
  <c r="P74" i="15"/>
  <c r="X74" i="15" s="1"/>
  <c r="N74" i="15"/>
  <c r="D74" i="15"/>
  <c r="L74" i="15" s="1"/>
  <c r="B74" i="15"/>
  <c r="Z73" i="15"/>
  <c r="P73" i="15"/>
  <c r="X73" i="15" s="1"/>
  <c r="N73" i="15"/>
  <c r="D73" i="15"/>
  <c r="L73" i="15" s="1"/>
  <c r="B73" i="15"/>
  <c r="Z72" i="15"/>
  <c r="X72" i="15"/>
  <c r="P72" i="15"/>
  <c r="N72" i="15"/>
  <c r="L72" i="15"/>
  <c r="D72" i="15"/>
  <c r="B72" i="15"/>
  <c r="Z71" i="15"/>
  <c r="X71" i="15"/>
  <c r="P71" i="15"/>
  <c r="N71" i="15"/>
  <c r="D71" i="15"/>
  <c r="L71" i="15" s="1"/>
  <c r="B71" i="15"/>
  <c r="Z70" i="15"/>
  <c r="X70" i="15"/>
  <c r="P70" i="15"/>
  <c r="N70" i="15"/>
  <c r="L70" i="15"/>
  <c r="D70" i="15"/>
  <c r="B70" i="15"/>
  <c r="Z69" i="15"/>
  <c r="X69" i="15"/>
  <c r="P69" i="15"/>
  <c r="N69" i="15"/>
  <c r="L69" i="15"/>
  <c r="D69" i="15"/>
  <c r="B69" i="15"/>
  <c r="Z68" i="15"/>
  <c r="P68" i="15"/>
  <c r="X68" i="15" s="1"/>
  <c r="N68" i="15"/>
  <c r="L68" i="15"/>
  <c r="D68" i="15"/>
  <c r="B68" i="15"/>
  <c r="Z67" i="15"/>
  <c r="P67" i="15"/>
  <c r="X67" i="15" s="1"/>
  <c r="N67" i="15"/>
  <c r="L67" i="15"/>
  <c r="D67" i="15"/>
  <c r="B67" i="15"/>
  <c r="Z66" i="15"/>
  <c r="X66" i="15"/>
  <c r="P66" i="15"/>
  <c r="N66" i="15"/>
  <c r="L66" i="15"/>
  <c r="D66" i="15"/>
  <c r="B66" i="15"/>
  <c r="Z65" i="15"/>
  <c r="P65" i="15"/>
  <c r="X65" i="15" s="1"/>
  <c r="N65" i="15"/>
  <c r="D65" i="15"/>
  <c r="L65" i="15" s="1"/>
  <c r="B65" i="15"/>
  <c r="Z64" i="15"/>
  <c r="P64" i="15"/>
  <c r="X64" i="15" s="1"/>
  <c r="N64" i="15"/>
  <c r="D64" i="15"/>
  <c r="L64" i="15" s="1"/>
  <c r="B64" i="15"/>
  <c r="Z63" i="15"/>
  <c r="X63" i="15"/>
  <c r="P63" i="15"/>
  <c r="N63" i="15"/>
  <c r="L63" i="15"/>
  <c r="D63" i="15"/>
  <c r="B63" i="15"/>
  <c r="Z62" i="15"/>
  <c r="P62" i="15"/>
  <c r="X62" i="15" s="1"/>
  <c r="N62" i="15"/>
  <c r="D62" i="15"/>
  <c r="L62" i="15" s="1"/>
  <c r="B62" i="15"/>
  <c r="Z61" i="15"/>
  <c r="P61" i="15"/>
  <c r="X61" i="15" s="1"/>
  <c r="N61" i="15"/>
  <c r="D61" i="15"/>
  <c r="L61" i="15" s="1"/>
  <c r="B61" i="15"/>
  <c r="Z60" i="15"/>
  <c r="X60" i="15"/>
  <c r="P60" i="15"/>
  <c r="N60" i="15"/>
  <c r="L60" i="15"/>
  <c r="D60" i="15"/>
  <c r="B60" i="15"/>
  <c r="Z59" i="15"/>
  <c r="X59" i="15"/>
  <c r="P59" i="15"/>
  <c r="N59" i="15"/>
  <c r="L59" i="15"/>
  <c r="D59" i="15"/>
  <c r="B59" i="15"/>
  <c r="Z58" i="15"/>
  <c r="X58" i="15"/>
  <c r="P58" i="15"/>
  <c r="N58" i="15"/>
  <c r="D58" i="15"/>
  <c r="L58" i="15" s="1"/>
  <c r="B58" i="15"/>
  <c r="Z57" i="15"/>
  <c r="P57" i="15"/>
  <c r="X57" i="15" s="1"/>
  <c r="N57" i="15"/>
  <c r="L57" i="15"/>
  <c r="D57" i="15"/>
  <c r="B57" i="15"/>
  <c r="Z56" i="15"/>
  <c r="P56" i="15"/>
  <c r="X56" i="15" s="1"/>
  <c r="N56" i="15"/>
  <c r="L56" i="15"/>
  <c r="D56" i="15"/>
  <c r="B56" i="15"/>
  <c r="Z55" i="15"/>
  <c r="X55" i="15"/>
  <c r="P55" i="15"/>
  <c r="N55" i="15"/>
  <c r="D55" i="15"/>
  <c r="L55" i="15" s="1"/>
  <c r="B55" i="15"/>
  <c r="Z54" i="15"/>
  <c r="X54" i="15"/>
  <c r="P54" i="15"/>
  <c r="N54" i="15"/>
  <c r="L54" i="15"/>
  <c r="D54" i="15"/>
  <c r="B54" i="15"/>
  <c r="Z53" i="15"/>
  <c r="P53" i="15"/>
  <c r="X53" i="15" s="1"/>
  <c r="N53" i="15"/>
  <c r="D53" i="15"/>
  <c r="L53" i="15" s="1"/>
  <c r="B53" i="15"/>
  <c r="Z52" i="15"/>
  <c r="P52" i="15"/>
  <c r="X52" i="15" s="1"/>
  <c r="N52" i="15"/>
  <c r="L52" i="15"/>
  <c r="D52" i="15"/>
  <c r="B52" i="15"/>
  <c r="Z51" i="15"/>
  <c r="X51" i="15"/>
  <c r="P51" i="15"/>
  <c r="N51" i="15"/>
  <c r="L51" i="15"/>
  <c r="D51" i="15"/>
  <c r="B51" i="15"/>
  <c r="Z50" i="15"/>
  <c r="X50" i="15"/>
  <c r="P50" i="15"/>
  <c r="N50" i="15"/>
  <c r="D50" i="15"/>
  <c r="L50" i="15" s="1"/>
  <c r="B50" i="15"/>
  <c r="Z49" i="15"/>
  <c r="P49" i="15"/>
  <c r="X49" i="15" s="1"/>
  <c r="N49" i="15"/>
  <c r="D49" i="15"/>
  <c r="L49" i="15" s="1"/>
  <c r="B49" i="15"/>
  <c r="Z48" i="15"/>
  <c r="X48" i="15"/>
  <c r="P48" i="15"/>
  <c r="N48" i="15"/>
  <c r="L48" i="15"/>
  <c r="D48" i="15"/>
  <c r="B48" i="15"/>
  <c r="P47" i="15"/>
  <c r="X47" i="15" s="1"/>
  <c r="Z47" i="15" s="1"/>
  <c r="N47" i="15"/>
  <c r="L47" i="15"/>
  <c r="D47" i="15"/>
  <c r="B47" i="15"/>
  <c r="Z46" i="15"/>
  <c r="X46" i="15"/>
  <c r="P46" i="15"/>
  <c r="N46" i="15"/>
  <c r="L46" i="15"/>
  <c r="D46" i="15"/>
  <c r="B46" i="15"/>
  <c r="Z45" i="15"/>
  <c r="X45" i="15"/>
  <c r="P45" i="15"/>
  <c r="N45" i="15"/>
  <c r="L45" i="15"/>
  <c r="D45" i="15"/>
  <c r="B45" i="15"/>
  <c r="Z44" i="15"/>
  <c r="P44" i="15"/>
  <c r="X44" i="15" s="1"/>
  <c r="N44" i="15"/>
  <c r="L44" i="15"/>
  <c r="D44" i="15"/>
  <c r="B44" i="15"/>
  <c r="Z43" i="15"/>
  <c r="X43" i="15"/>
  <c r="P43" i="15"/>
  <c r="N43" i="15"/>
  <c r="D43" i="15"/>
  <c r="L43" i="15" s="1"/>
  <c r="B43" i="15"/>
  <c r="Z42" i="15"/>
  <c r="X42" i="15"/>
  <c r="P42" i="15"/>
  <c r="N42" i="15"/>
  <c r="D42" i="15"/>
  <c r="L42" i="15" s="1"/>
  <c r="B42" i="15"/>
  <c r="Z41" i="15"/>
  <c r="P41" i="15"/>
  <c r="X41" i="15" s="1"/>
  <c r="N41" i="15"/>
  <c r="D41" i="15"/>
  <c r="L41" i="15" s="1"/>
  <c r="B41" i="15"/>
  <c r="Z40" i="15"/>
  <c r="P40" i="15"/>
  <c r="X40" i="15" s="1"/>
  <c r="N40" i="15"/>
  <c r="D40" i="15"/>
  <c r="L40" i="15" s="1"/>
  <c r="B40" i="15"/>
  <c r="Z39" i="15"/>
  <c r="X39" i="15"/>
  <c r="P39" i="15"/>
  <c r="N39" i="15"/>
  <c r="L39" i="15"/>
  <c r="D39" i="15"/>
  <c r="B39" i="15"/>
  <c r="Z38" i="15"/>
  <c r="X38" i="15"/>
  <c r="P38" i="15"/>
  <c r="N38" i="15"/>
  <c r="D38" i="15"/>
  <c r="L38" i="15" s="1"/>
  <c r="B38" i="15"/>
  <c r="Z37" i="15"/>
  <c r="P37" i="15"/>
  <c r="X37" i="15" s="1"/>
  <c r="N37" i="15"/>
  <c r="D37" i="15"/>
  <c r="L37" i="15" s="1"/>
  <c r="B37" i="15"/>
  <c r="Z36" i="15"/>
  <c r="X36" i="15"/>
  <c r="P36" i="15"/>
  <c r="N36" i="15"/>
  <c r="L36" i="15"/>
  <c r="D36" i="15"/>
  <c r="B36" i="15"/>
  <c r="Z35" i="15"/>
  <c r="P35" i="15"/>
  <c r="X35" i="15" s="1"/>
  <c r="N35" i="15"/>
  <c r="L35" i="15"/>
  <c r="D35" i="15"/>
  <c r="B35" i="15"/>
  <c r="Z34" i="15"/>
  <c r="P34" i="15"/>
  <c r="X34" i="15" s="1"/>
  <c r="N34" i="15"/>
  <c r="L34" i="15"/>
  <c r="D34" i="15"/>
  <c r="B34" i="15"/>
  <c r="Z33" i="15"/>
  <c r="X33" i="15"/>
  <c r="P33" i="15"/>
  <c r="N33" i="15"/>
  <c r="L33" i="15"/>
  <c r="D33" i="15"/>
  <c r="B33" i="15"/>
  <c r="Z32" i="15"/>
  <c r="P32" i="15"/>
  <c r="X32" i="15" s="1"/>
  <c r="N32" i="15"/>
  <c r="L32" i="15"/>
  <c r="D32" i="15"/>
  <c r="B32" i="15"/>
  <c r="Z31" i="15"/>
  <c r="X31" i="15"/>
  <c r="P31" i="15"/>
  <c r="N31" i="15"/>
  <c r="L31" i="15"/>
  <c r="D31" i="15"/>
  <c r="B31" i="15"/>
  <c r="Z30" i="15"/>
  <c r="X30" i="15"/>
  <c r="P30" i="15"/>
  <c r="N30" i="15"/>
  <c r="L30" i="15"/>
  <c r="D30" i="15"/>
  <c r="B30" i="15"/>
  <c r="Z29" i="15"/>
  <c r="P29" i="15"/>
  <c r="X29" i="15" s="1"/>
  <c r="N29" i="15"/>
  <c r="D29" i="15"/>
  <c r="L29" i="15" s="1"/>
  <c r="B29" i="15"/>
  <c r="Z28" i="15"/>
  <c r="P28" i="15"/>
  <c r="X28" i="15" s="1"/>
  <c r="N28" i="15"/>
  <c r="D28" i="15"/>
  <c r="L28" i="15" s="1"/>
  <c r="B28" i="15"/>
  <c r="Z27" i="15"/>
  <c r="X27" i="15"/>
  <c r="P27" i="15"/>
  <c r="N27" i="15"/>
  <c r="L27" i="15"/>
  <c r="D27" i="15"/>
  <c r="B27" i="15"/>
  <c r="Z26" i="15"/>
  <c r="P26" i="15"/>
  <c r="X26" i="15" s="1"/>
  <c r="N26" i="15"/>
  <c r="D26" i="15"/>
  <c r="L26" i="15" s="1"/>
  <c r="B26" i="15"/>
  <c r="Z25" i="15"/>
  <c r="X25" i="15"/>
  <c r="P25" i="15"/>
  <c r="N25" i="15"/>
  <c r="D25" i="15"/>
  <c r="L25" i="15" s="1"/>
  <c r="B25" i="15"/>
  <c r="Z24" i="15"/>
  <c r="X24" i="15"/>
  <c r="P24" i="15"/>
  <c r="N24" i="15"/>
  <c r="L24" i="15"/>
  <c r="D24" i="15"/>
  <c r="B24" i="15"/>
  <c r="Z23" i="15"/>
  <c r="P23" i="15"/>
  <c r="X23" i="15" s="1"/>
  <c r="N23" i="15"/>
  <c r="D23" i="15"/>
  <c r="L23" i="15" s="1"/>
  <c r="B23" i="15"/>
  <c r="Z22" i="15"/>
  <c r="P22" i="15"/>
  <c r="X22" i="15" s="1"/>
  <c r="N22" i="15"/>
  <c r="L22" i="15"/>
  <c r="D22" i="15"/>
  <c r="B22" i="15"/>
  <c r="Z21" i="15"/>
  <c r="P21" i="15"/>
  <c r="X21" i="15" s="1"/>
  <c r="N21" i="15"/>
  <c r="L21" i="15"/>
  <c r="D21" i="15"/>
  <c r="B21" i="15"/>
  <c r="Z20" i="15"/>
  <c r="P20" i="15"/>
  <c r="X20" i="15" s="1"/>
  <c r="N20" i="15"/>
  <c r="L20" i="15"/>
  <c r="D20" i="15"/>
  <c r="B20" i="15"/>
  <c r="Z19" i="15"/>
  <c r="P19" i="15"/>
  <c r="X19" i="15" s="1"/>
  <c r="N19" i="15"/>
  <c r="D19" i="15"/>
  <c r="L19" i="15" s="1"/>
  <c r="B19" i="15"/>
  <c r="Z18" i="15"/>
  <c r="X18" i="15"/>
  <c r="P18" i="15"/>
  <c r="N18" i="15"/>
  <c r="L18" i="15"/>
  <c r="D18" i="15"/>
  <c r="B18" i="15"/>
  <c r="Z17" i="15"/>
  <c r="P17" i="15"/>
  <c r="X17" i="15" s="1"/>
  <c r="N17" i="15"/>
  <c r="D17" i="15"/>
  <c r="L17" i="15" s="1"/>
  <c r="B17" i="15"/>
  <c r="Z16" i="15"/>
  <c r="P16" i="15"/>
  <c r="X16" i="15" s="1"/>
  <c r="N16" i="15"/>
  <c r="L16" i="15"/>
  <c r="D16" i="15"/>
  <c r="B16" i="15"/>
  <c r="Z15" i="15"/>
  <c r="X15" i="15"/>
  <c r="P15" i="15"/>
  <c r="N15" i="15"/>
  <c r="D15" i="15"/>
  <c r="L15" i="15" s="1"/>
  <c r="B15" i="15"/>
  <c r="Z14" i="15"/>
  <c r="P14" i="15"/>
  <c r="X14" i="15" s="1"/>
  <c r="N14" i="15"/>
  <c r="D14" i="15"/>
  <c r="L14" i="15" s="1"/>
  <c r="B14" i="15"/>
  <c r="X13" i="15"/>
  <c r="Z13" i="15" s="1"/>
  <c r="P13" i="15"/>
  <c r="D13" i="15"/>
  <c r="B13" i="15"/>
  <c r="T12" i="15"/>
  <c r="V272" i="15" s="1"/>
  <c r="H12" i="15"/>
  <c r="D4" i="15"/>
  <c r="Z291" i="12"/>
  <c r="X291" i="12"/>
  <c r="V291" i="12"/>
  <c r="L291" i="12"/>
  <c r="N291" i="12" s="1"/>
  <c r="Z287" i="12"/>
  <c r="P287" i="12"/>
  <c r="N287" i="12"/>
  <c r="L287" i="12"/>
  <c r="D287" i="12"/>
  <c r="B287" i="12"/>
  <c r="Z286" i="12"/>
  <c r="X286" i="12"/>
  <c r="P286" i="12"/>
  <c r="L286" i="12"/>
  <c r="N286" i="12" s="1"/>
  <c r="J286" i="12"/>
  <c r="D286" i="12"/>
  <c r="B286" i="12"/>
  <c r="Z285" i="12"/>
  <c r="X285" i="12"/>
  <c r="P285" i="12"/>
  <c r="N285" i="12"/>
  <c r="L285" i="12"/>
  <c r="J285" i="12"/>
  <c r="D285" i="12"/>
  <c r="B285" i="12"/>
  <c r="Z284" i="12"/>
  <c r="X284" i="12"/>
  <c r="P284" i="12"/>
  <c r="N284" i="12"/>
  <c r="J284" i="12"/>
  <c r="D284" i="12"/>
  <c r="L284" i="12" s="1"/>
  <c r="B284" i="12"/>
  <c r="X283" i="12"/>
  <c r="Z283" i="12" s="1"/>
  <c r="P283" i="12"/>
  <c r="D283" i="12"/>
  <c r="L283" i="12" s="1"/>
  <c r="N283" i="12" s="1"/>
  <c r="B283" i="12"/>
  <c r="X282" i="12"/>
  <c r="Z282" i="12" s="1"/>
  <c r="P282" i="12"/>
  <c r="D282" i="12"/>
  <c r="L282" i="12" s="1"/>
  <c r="N282" i="12" s="1"/>
  <c r="B282" i="12"/>
  <c r="Z281" i="12"/>
  <c r="X281" i="12"/>
  <c r="P281" i="12"/>
  <c r="N281" i="12"/>
  <c r="L281" i="12"/>
  <c r="D281" i="12"/>
  <c r="B281" i="12"/>
  <c r="Z280" i="12"/>
  <c r="X280" i="12"/>
  <c r="P280" i="12"/>
  <c r="N280" i="12"/>
  <c r="L280" i="12"/>
  <c r="D280" i="12"/>
  <c r="B280" i="12"/>
  <c r="Z279" i="12"/>
  <c r="X279" i="12"/>
  <c r="V279" i="12"/>
  <c r="P279" i="12"/>
  <c r="N279" i="12"/>
  <c r="L279" i="12"/>
  <c r="D279" i="12"/>
  <c r="B279" i="12"/>
  <c r="T278" i="12"/>
  <c r="H278" i="12"/>
  <c r="X276" i="12"/>
  <c r="Z276" i="12" s="1"/>
  <c r="V276" i="12"/>
  <c r="L276" i="12"/>
  <c r="N276" i="12" s="1"/>
  <c r="B276" i="12"/>
  <c r="T275" i="12"/>
  <c r="P275" i="12"/>
  <c r="X275" i="12" s="1"/>
  <c r="Z275" i="12" s="1"/>
  <c r="N275" i="12"/>
  <c r="H275" i="12"/>
  <c r="L275" i="12" s="1"/>
  <c r="D275" i="12"/>
  <c r="B275" i="12"/>
  <c r="Z274" i="12"/>
  <c r="X274" i="12"/>
  <c r="N274" i="12"/>
  <c r="L274" i="12"/>
  <c r="B274" i="12"/>
  <c r="X273" i="12"/>
  <c r="Z273" i="12" s="1"/>
  <c r="L273" i="12"/>
  <c r="N273" i="12" s="1"/>
  <c r="J273" i="12"/>
  <c r="B273" i="12"/>
  <c r="X272" i="12"/>
  <c r="Z272" i="12" s="1"/>
  <c r="N272" i="12"/>
  <c r="L272" i="12"/>
  <c r="B272" i="12"/>
  <c r="Z271" i="12"/>
  <c r="X271" i="12"/>
  <c r="V271" i="12"/>
  <c r="T271" i="12"/>
  <c r="P271" i="12"/>
  <c r="L271" i="12"/>
  <c r="N271" i="12" s="1"/>
  <c r="H271" i="12"/>
  <c r="D271" i="12"/>
  <c r="B271" i="12"/>
  <c r="X270" i="12"/>
  <c r="Z270" i="12" s="1"/>
  <c r="N270" i="12"/>
  <c r="L270" i="12"/>
  <c r="B270" i="12"/>
  <c r="V269" i="12"/>
  <c r="T269" i="12"/>
  <c r="P269" i="12"/>
  <c r="X269" i="12" s="1"/>
  <c r="L269" i="12"/>
  <c r="N269" i="12" s="1"/>
  <c r="H269" i="12"/>
  <c r="D269" i="12"/>
  <c r="B269" i="12"/>
  <c r="X268" i="12"/>
  <c r="Z268" i="12" s="1"/>
  <c r="V268" i="12"/>
  <c r="L268" i="12"/>
  <c r="N268" i="12" s="1"/>
  <c r="B268" i="12"/>
  <c r="Z267" i="12"/>
  <c r="X267" i="12"/>
  <c r="N267" i="12"/>
  <c r="L267" i="12"/>
  <c r="J267" i="12"/>
  <c r="B267" i="12"/>
  <c r="T266" i="12"/>
  <c r="X266" i="12" s="1"/>
  <c r="Z266" i="12" s="1"/>
  <c r="P266" i="12"/>
  <c r="H266" i="12"/>
  <c r="D266" i="12"/>
  <c r="B266" i="12"/>
  <c r="X265" i="12"/>
  <c r="Z265" i="12" s="1"/>
  <c r="L265" i="12"/>
  <c r="N265" i="12" s="1"/>
  <c r="J265" i="12"/>
  <c r="B265" i="12"/>
  <c r="X264" i="12"/>
  <c r="Z264" i="12" s="1"/>
  <c r="N264" i="12"/>
  <c r="L264" i="12"/>
  <c r="B264" i="12"/>
  <c r="Z263" i="12"/>
  <c r="X263" i="12"/>
  <c r="V263" i="12"/>
  <c r="L263" i="12"/>
  <c r="N263" i="12" s="1"/>
  <c r="B263" i="12"/>
  <c r="Z262" i="12"/>
  <c r="X262" i="12"/>
  <c r="N262" i="12"/>
  <c r="L262" i="12"/>
  <c r="B262" i="12"/>
  <c r="X261" i="12"/>
  <c r="Z261" i="12" s="1"/>
  <c r="L261" i="12"/>
  <c r="N261" i="12" s="1"/>
  <c r="J261" i="12"/>
  <c r="B261" i="12"/>
  <c r="X260" i="12"/>
  <c r="Z260" i="12" s="1"/>
  <c r="N260" i="12"/>
  <c r="L260" i="12"/>
  <c r="B260" i="12"/>
  <c r="Z259" i="12"/>
  <c r="X259" i="12"/>
  <c r="V259" i="12"/>
  <c r="N259" i="12"/>
  <c r="L259" i="12"/>
  <c r="B259" i="12"/>
  <c r="Z258" i="12"/>
  <c r="X258" i="12"/>
  <c r="L258" i="12"/>
  <c r="N258" i="12" s="1"/>
  <c r="B258" i="12"/>
  <c r="Z257" i="12"/>
  <c r="X257" i="12"/>
  <c r="N257" i="12"/>
  <c r="L257" i="12"/>
  <c r="J257" i="12"/>
  <c r="B257" i="12"/>
  <c r="X256" i="12"/>
  <c r="Z256" i="12" s="1"/>
  <c r="N256" i="12"/>
  <c r="L256" i="12"/>
  <c r="B256" i="12"/>
  <c r="Z255" i="12"/>
  <c r="X255" i="12"/>
  <c r="V255" i="12"/>
  <c r="T255" i="12"/>
  <c r="P255" i="12"/>
  <c r="L255" i="12"/>
  <c r="N255" i="12" s="1"/>
  <c r="H255" i="12"/>
  <c r="D255" i="12"/>
  <c r="B255" i="12"/>
  <c r="Z254" i="12"/>
  <c r="X254" i="12"/>
  <c r="N254" i="12"/>
  <c r="L254" i="12"/>
  <c r="B254" i="12"/>
  <c r="X253" i="12"/>
  <c r="Z253" i="12" s="1"/>
  <c r="V253" i="12"/>
  <c r="N253" i="12"/>
  <c r="L253" i="12"/>
  <c r="B253" i="12"/>
  <c r="T252" i="12"/>
  <c r="P252" i="12"/>
  <c r="X252" i="12" s="1"/>
  <c r="Z252" i="12" s="1"/>
  <c r="L252" i="12"/>
  <c r="N252" i="12" s="1"/>
  <c r="H252" i="12"/>
  <c r="D252" i="12"/>
  <c r="B252" i="12"/>
  <c r="Z251" i="12"/>
  <c r="X251" i="12"/>
  <c r="N251" i="12"/>
  <c r="L251" i="12"/>
  <c r="J251" i="12"/>
  <c r="B251" i="12"/>
  <c r="Z250" i="12"/>
  <c r="X250" i="12"/>
  <c r="N250" i="12"/>
  <c r="L250" i="12"/>
  <c r="B250" i="12"/>
  <c r="Z249" i="12"/>
  <c r="X249" i="12"/>
  <c r="L249" i="12"/>
  <c r="N249" i="12" s="1"/>
  <c r="B249" i="12"/>
  <c r="X248" i="12"/>
  <c r="Z248" i="12" s="1"/>
  <c r="V248" i="12"/>
  <c r="L248" i="12"/>
  <c r="N248" i="12" s="1"/>
  <c r="B248" i="12"/>
  <c r="Z247" i="12"/>
  <c r="X247" i="12"/>
  <c r="N247" i="12"/>
  <c r="L247" i="12"/>
  <c r="J247" i="12"/>
  <c r="B247" i="12"/>
  <c r="Z246" i="12"/>
  <c r="X246" i="12"/>
  <c r="N246" i="12"/>
  <c r="L246" i="12"/>
  <c r="B246" i="12"/>
  <c r="Z245" i="12"/>
  <c r="T245" i="12"/>
  <c r="P245" i="12"/>
  <c r="X245" i="12" s="1"/>
  <c r="H245" i="12"/>
  <c r="D245" i="12"/>
  <c r="L245" i="12" s="1"/>
  <c r="N245" i="12" s="1"/>
  <c r="B245" i="12"/>
  <c r="X244" i="12"/>
  <c r="Z244" i="12" s="1"/>
  <c r="N244" i="12"/>
  <c r="L244" i="12"/>
  <c r="B244" i="12"/>
  <c r="Z243" i="12"/>
  <c r="X243" i="12"/>
  <c r="V243" i="12"/>
  <c r="L243" i="12"/>
  <c r="N243" i="12" s="1"/>
  <c r="B243" i="12"/>
  <c r="Z242" i="12"/>
  <c r="X242" i="12"/>
  <c r="N242" i="12"/>
  <c r="L242" i="12"/>
  <c r="B242" i="12"/>
  <c r="X241" i="12"/>
  <c r="Z241" i="12" s="1"/>
  <c r="L241" i="12"/>
  <c r="N241" i="12" s="1"/>
  <c r="J241" i="12"/>
  <c r="B241" i="12"/>
  <c r="X240" i="12"/>
  <c r="Z240" i="12" s="1"/>
  <c r="T240" i="12"/>
  <c r="P240" i="12"/>
  <c r="H240" i="12"/>
  <c r="D240" i="12"/>
  <c r="B240" i="12"/>
  <c r="X239" i="12"/>
  <c r="Z239" i="12" s="1"/>
  <c r="N239" i="12"/>
  <c r="L239" i="12"/>
  <c r="B239" i="12"/>
  <c r="Z238" i="12"/>
  <c r="X238" i="12"/>
  <c r="N238" i="12"/>
  <c r="L238" i="12"/>
  <c r="B238" i="12"/>
  <c r="X237" i="12"/>
  <c r="Z237" i="12" s="1"/>
  <c r="V237" i="12"/>
  <c r="N237" i="12"/>
  <c r="L237" i="12"/>
  <c r="B237" i="12"/>
  <c r="Z236" i="12"/>
  <c r="X236" i="12"/>
  <c r="L236" i="12"/>
  <c r="N236" i="12" s="1"/>
  <c r="J236" i="12"/>
  <c r="B236" i="12"/>
  <c r="X235" i="12"/>
  <c r="Z235" i="12" s="1"/>
  <c r="T235" i="12"/>
  <c r="P235" i="12"/>
  <c r="H235" i="12"/>
  <c r="D235" i="12"/>
  <c r="B235" i="12"/>
  <c r="Z234" i="12"/>
  <c r="X234" i="12"/>
  <c r="N234" i="12"/>
  <c r="L234" i="12"/>
  <c r="B234" i="12"/>
  <c r="Z233" i="12"/>
  <c r="T233" i="12"/>
  <c r="X233" i="12" s="1"/>
  <c r="P233" i="12"/>
  <c r="H233" i="12"/>
  <c r="D233" i="12"/>
  <c r="L233" i="12" s="1"/>
  <c r="N233" i="12" s="1"/>
  <c r="B233" i="12"/>
  <c r="Z232" i="12"/>
  <c r="X232" i="12"/>
  <c r="N232" i="12"/>
  <c r="L232" i="12"/>
  <c r="B232" i="12"/>
  <c r="Z231" i="12"/>
  <c r="X231" i="12"/>
  <c r="V231" i="12"/>
  <c r="T231" i="12"/>
  <c r="P231" i="12"/>
  <c r="N231" i="12"/>
  <c r="L231" i="12"/>
  <c r="H231" i="12"/>
  <c r="D231" i="12"/>
  <c r="B231" i="12"/>
  <c r="Z230" i="12"/>
  <c r="X230" i="12"/>
  <c r="N230" i="12"/>
  <c r="L230" i="12"/>
  <c r="B230" i="12"/>
  <c r="T229" i="12"/>
  <c r="P229" i="12"/>
  <c r="L229" i="12"/>
  <c r="N229" i="12" s="1"/>
  <c r="H229" i="12"/>
  <c r="D229" i="12"/>
  <c r="B229" i="12"/>
  <c r="X228" i="12"/>
  <c r="Z228" i="12" s="1"/>
  <c r="V228" i="12"/>
  <c r="L228" i="12"/>
  <c r="N228" i="12" s="1"/>
  <c r="B228" i="12"/>
  <c r="T227" i="12"/>
  <c r="P227" i="12"/>
  <c r="X227" i="12" s="1"/>
  <c r="Z227" i="12" s="1"/>
  <c r="H227" i="12"/>
  <c r="L227" i="12" s="1"/>
  <c r="N227" i="12" s="1"/>
  <c r="D227" i="12"/>
  <c r="B227" i="12"/>
  <c r="Z226" i="12"/>
  <c r="X226" i="12"/>
  <c r="N226" i="12"/>
  <c r="L226" i="12"/>
  <c r="B226" i="12"/>
  <c r="X225" i="12"/>
  <c r="Z225" i="12" s="1"/>
  <c r="T225" i="12"/>
  <c r="P225" i="12"/>
  <c r="N225" i="12"/>
  <c r="L225" i="12"/>
  <c r="J225" i="12"/>
  <c r="H225" i="12"/>
  <c r="D225" i="12"/>
  <c r="B225" i="12"/>
  <c r="Z224" i="12"/>
  <c r="X224" i="12"/>
  <c r="L224" i="12"/>
  <c r="N224" i="12" s="1"/>
  <c r="J224" i="12"/>
  <c r="B224" i="12"/>
  <c r="X223" i="12"/>
  <c r="Z223" i="12" s="1"/>
  <c r="T223" i="12"/>
  <c r="P223" i="12"/>
  <c r="H223" i="12"/>
  <c r="D223" i="12"/>
  <c r="L223" i="12" s="1"/>
  <c r="B223" i="12"/>
  <c r="Z222" i="12"/>
  <c r="X222" i="12"/>
  <c r="N222" i="12"/>
  <c r="L222" i="12"/>
  <c r="B222" i="12"/>
  <c r="Z221" i="12"/>
  <c r="T221" i="12"/>
  <c r="X221" i="12" s="1"/>
  <c r="P221" i="12"/>
  <c r="H221" i="12"/>
  <c r="D221" i="12"/>
  <c r="L221" i="12" s="1"/>
  <c r="N221" i="12" s="1"/>
  <c r="B221" i="12"/>
  <c r="X220" i="12"/>
  <c r="Z220" i="12" s="1"/>
  <c r="N220" i="12"/>
  <c r="L220" i="12"/>
  <c r="B220" i="12"/>
  <c r="Z219" i="12"/>
  <c r="X219" i="12"/>
  <c r="V219" i="12"/>
  <c r="L219" i="12"/>
  <c r="N219" i="12" s="1"/>
  <c r="B219" i="12"/>
  <c r="T218" i="12"/>
  <c r="P218" i="12"/>
  <c r="L218" i="12"/>
  <c r="N218" i="12" s="1"/>
  <c r="H218" i="12"/>
  <c r="D218" i="12"/>
  <c r="B218" i="12"/>
  <c r="X217" i="12"/>
  <c r="Z217" i="12" s="1"/>
  <c r="V217" i="12"/>
  <c r="N217" i="12"/>
  <c r="L217" i="12"/>
  <c r="B217" i="12"/>
  <c r="T216" i="12"/>
  <c r="P216" i="12"/>
  <c r="X216" i="12" s="1"/>
  <c r="Z216" i="12" s="1"/>
  <c r="N216" i="12"/>
  <c r="L216" i="12"/>
  <c r="H216" i="12"/>
  <c r="D216" i="12"/>
  <c r="B216" i="12"/>
  <c r="Z215" i="12"/>
  <c r="X215" i="12"/>
  <c r="N215" i="12"/>
  <c r="L215" i="12"/>
  <c r="J215" i="12"/>
  <c r="B215" i="12"/>
  <c r="T214" i="12"/>
  <c r="X214" i="12" s="1"/>
  <c r="Z214" i="12" s="1"/>
  <c r="P214" i="12"/>
  <c r="H214" i="12"/>
  <c r="D214" i="12"/>
  <c r="B214" i="12"/>
  <c r="Z213" i="12"/>
  <c r="X213" i="12"/>
  <c r="N213" i="12"/>
  <c r="L213" i="12"/>
  <c r="J213" i="12"/>
  <c r="B213" i="12"/>
  <c r="X212" i="12"/>
  <c r="Z212" i="12" s="1"/>
  <c r="N212" i="12"/>
  <c r="L212" i="12"/>
  <c r="B212" i="12"/>
  <c r="Z211" i="12"/>
  <c r="X211" i="12"/>
  <c r="V211" i="12"/>
  <c r="T211" i="12"/>
  <c r="P211" i="12"/>
  <c r="L211" i="12"/>
  <c r="N211" i="12" s="1"/>
  <c r="H211" i="12"/>
  <c r="D211" i="12"/>
  <c r="B211" i="12"/>
  <c r="Z210" i="12"/>
  <c r="X210" i="12"/>
  <c r="N210" i="12"/>
  <c r="L210" i="12"/>
  <c r="B210" i="12"/>
  <c r="X209" i="12"/>
  <c r="Z209" i="12" s="1"/>
  <c r="V209" i="12"/>
  <c r="N209" i="12"/>
  <c r="L209" i="12"/>
  <c r="B209" i="12"/>
  <c r="T208" i="12"/>
  <c r="P208" i="12"/>
  <c r="X208" i="12" s="1"/>
  <c r="Z208" i="12" s="1"/>
  <c r="N208" i="12"/>
  <c r="L208" i="12"/>
  <c r="H208" i="12"/>
  <c r="D208" i="12"/>
  <c r="B208" i="12"/>
  <c r="Z207" i="12"/>
  <c r="X207" i="12"/>
  <c r="L207" i="12"/>
  <c r="N207" i="12" s="1"/>
  <c r="J207" i="12"/>
  <c r="B207" i="12"/>
  <c r="Z206" i="12"/>
  <c r="X206" i="12"/>
  <c r="N206" i="12"/>
  <c r="L206" i="12"/>
  <c r="B206" i="12"/>
  <c r="Z205" i="12"/>
  <c r="X205" i="12"/>
  <c r="L205" i="12"/>
  <c r="N205" i="12" s="1"/>
  <c r="B205" i="12"/>
  <c r="X204" i="12"/>
  <c r="Z204" i="12" s="1"/>
  <c r="V204" i="12"/>
  <c r="L204" i="12"/>
  <c r="N204" i="12" s="1"/>
  <c r="B204" i="12"/>
  <c r="T203" i="12"/>
  <c r="P203" i="12"/>
  <c r="X203" i="12" s="1"/>
  <c r="Z203" i="12" s="1"/>
  <c r="H203" i="12"/>
  <c r="D203" i="12"/>
  <c r="L203" i="12" s="1"/>
  <c r="N203" i="12" s="1"/>
  <c r="B203" i="12"/>
  <c r="Z202" i="12"/>
  <c r="X202" i="12"/>
  <c r="N202" i="12"/>
  <c r="L202" i="12"/>
  <c r="B202" i="12"/>
  <c r="X201" i="12"/>
  <c r="Z201" i="12" s="1"/>
  <c r="T201" i="12"/>
  <c r="P201" i="12"/>
  <c r="N201" i="12"/>
  <c r="L201" i="12"/>
  <c r="J201" i="12"/>
  <c r="H201" i="12"/>
  <c r="D201" i="12"/>
  <c r="B201" i="12"/>
  <c r="Z200" i="12"/>
  <c r="X200" i="12"/>
  <c r="L200" i="12"/>
  <c r="N200" i="12" s="1"/>
  <c r="J200" i="12"/>
  <c r="B200" i="12"/>
  <c r="Z199" i="12"/>
  <c r="X199" i="12"/>
  <c r="N199" i="12"/>
  <c r="L199" i="12"/>
  <c r="B199" i="12"/>
  <c r="X198" i="12"/>
  <c r="Z198" i="12" s="1"/>
  <c r="T198" i="12"/>
  <c r="P198" i="12"/>
  <c r="H198" i="12"/>
  <c r="D198" i="12"/>
  <c r="L198" i="12" s="1"/>
  <c r="N198" i="12" s="1"/>
  <c r="B198" i="12"/>
  <c r="Z197" i="12"/>
  <c r="X197" i="12"/>
  <c r="L197" i="12"/>
  <c r="N197" i="12" s="1"/>
  <c r="B197" i="12"/>
  <c r="T196" i="12"/>
  <c r="V196" i="12" s="1"/>
  <c r="P196" i="12"/>
  <c r="H196" i="12"/>
  <c r="L196" i="12" s="1"/>
  <c r="N196" i="12" s="1"/>
  <c r="D196" i="12"/>
  <c r="B196" i="12"/>
  <c r="Z195" i="12"/>
  <c r="X195" i="12"/>
  <c r="V195" i="12"/>
  <c r="N195" i="12"/>
  <c r="L195" i="12"/>
  <c r="B195" i="12"/>
  <c r="Z194" i="12"/>
  <c r="X194" i="12"/>
  <c r="N194" i="12"/>
  <c r="L194" i="12"/>
  <c r="B194" i="12"/>
  <c r="X193" i="12"/>
  <c r="Z193" i="12" s="1"/>
  <c r="L193" i="12"/>
  <c r="N193" i="12" s="1"/>
  <c r="J193" i="12"/>
  <c r="B193" i="12"/>
  <c r="X192" i="12"/>
  <c r="Z192" i="12" s="1"/>
  <c r="N192" i="12"/>
  <c r="L192" i="12"/>
  <c r="B192" i="12"/>
  <c r="Z191" i="12"/>
  <c r="X191" i="12"/>
  <c r="V191" i="12"/>
  <c r="N191" i="12"/>
  <c r="L191" i="12"/>
  <c r="B191" i="12"/>
  <c r="X190" i="12"/>
  <c r="Z190" i="12" s="1"/>
  <c r="L190" i="12"/>
  <c r="N190" i="12" s="1"/>
  <c r="B190" i="12"/>
  <c r="X189" i="12"/>
  <c r="Z189" i="12" s="1"/>
  <c r="L189" i="12"/>
  <c r="N189" i="12" s="1"/>
  <c r="J189" i="12"/>
  <c r="B189" i="12"/>
  <c r="Z188" i="12"/>
  <c r="X188" i="12"/>
  <c r="N188" i="12"/>
  <c r="L188" i="12"/>
  <c r="B188" i="12"/>
  <c r="X187" i="12"/>
  <c r="Z187" i="12" s="1"/>
  <c r="V187" i="12"/>
  <c r="L187" i="12"/>
  <c r="N187" i="12" s="1"/>
  <c r="B187" i="12"/>
  <c r="X186" i="12"/>
  <c r="Z186" i="12" s="1"/>
  <c r="N186" i="12"/>
  <c r="L186" i="12"/>
  <c r="B186" i="12"/>
  <c r="X185" i="12"/>
  <c r="Z185" i="12" s="1"/>
  <c r="T185" i="12"/>
  <c r="P185" i="12"/>
  <c r="N185" i="12"/>
  <c r="L185" i="12"/>
  <c r="J185" i="12"/>
  <c r="H185" i="12"/>
  <c r="D185" i="12"/>
  <c r="B185" i="12"/>
  <c r="Z184" i="12"/>
  <c r="X184" i="12"/>
  <c r="L184" i="12"/>
  <c r="N184" i="12" s="1"/>
  <c r="J184" i="12"/>
  <c r="B184" i="12"/>
  <c r="X183" i="12"/>
  <c r="Z183" i="12" s="1"/>
  <c r="N183" i="12"/>
  <c r="L183" i="12"/>
  <c r="B183" i="12"/>
  <c r="Z182" i="12"/>
  <c r="X182" i="12"/>
  <c r="N182" i="12"/>
  <c r="L182" i="12"/>
  <c r="B182" i="12"/>
  <c r="Z181" i="12"/>
  <c r="X181" i="12"/>
  <c r="V181" i="12"/>
  <c r="N181" i="12"/>
  <c r="L181" i="12"/>
  <c r="B181" i="12"/>
  <c r="Z180" i="12"/>
  <c r="X180" i="12"/>
  <c r="N180" i="12"/>
  <c r="L180" i="12"/>
  <c r="J180" i="12"/>
  <c r="B180" i="12"/>
  <c r="X179" i="12"/>
  <c r="Z179" i="12" s="1"/>
  <c r="N179" i="12"/>
  <c r="L179" i="12"/>
  <c r="B179" i="12"/>
  <c r="X178" i="12"/>
  <c r="Z178" i="12" s="1"/>
  <c r="N178" i="12"/>
  <c r="L178" i="12"/>
  <c r="B178" i="12"/>
  <c r="X177" i="12"/>
  <c r="Z177" i="12" s="1"/>
  <c r="V177" i="12"/>
  <c r="N177" i="12"/>
  <c r="L177" i="12"/>
  <c r="B177" i="12"/>
  <c r="Z176" i="12"/>
  <c r="X176" i="12"/>
  <c r="L176" i="12"/>
  <c r="N176" i="12" s="1"/>
  <c r="J176" i="12"/>
  <c r="B176" i="12"/>
  <c r="X175" i="12"/>
  <c r="Z175" i="12" s="1"/>
  <c r="N175" i="12"/>
  <c r="L175" i="12"/>
  <c r="B175" i="12"/>
  <c r="Z174" i="12"/>
  <c r="X174" i="12"/>
  <c r="T174" i="12"/>
  <c r="P174" i="12"/>
  <c r="H174" i="12"/>
  <c r="D174" i="12"/>
  <c r="L174" i="12" s="1"/>
  <c r="N174" i="12" s="1"/>
  <c r="B174" i="12"/>
  <c r="Z173" i="12"/>
  <c r="T173" i="12"/>
  <c r="P173" i="12"/>
  <c r="X173" i="12" s="1"/>
  <c r="H173" i="12"/>
  <c r="D173" i="12"/>
  <c r="L173" i="12" s="1"/>
  <c r="Z169" i="12"/>
  <c r="X169" i="12"/>
  <c r="N169" i="12"/>
  <c r="L169" i="12"/>
  <c r="B169" i="12"/>
  <c r="Z168" i="12"/>
  <c r="X168" i="12"/>
  <c r="V168" i="12"/>
  <c r="N168" i="12"/>
  <c r="L168" i="12"/>
  <c r="B168" i="12"/>
  <c r="Z167" i="12"/>
  <c r="X167" i="12"/>
  <c r="N167" i="12"/>
  <c r="L167" i="12"/>
  <c r="J167" i="12"/>
  <c r="B167" i="12"/>
  <c r="Z166" i="12"/>
  <c r="X166" i="12"/>
  <c r="N166" i="12"/>
  <c r="L166" i="12"/>
  <c r="B166" i="12"/>
  <c r="Z165" i="12"/>
  <c r="X165" i="12"/>
  <c r="N165" i="12"/>
  <c r="L165" i="12"/>
  <c r="B165" i="12"/>
  <c r="Z164" i="12"/>
  <c r="X164" i="12"/>
  <c r="V164" i="12"/>
  <c r="N164" i="12"/>
  <c r="L164" i="12"/>
  <c r="B164" i="12"/>
  <c r="Z163" i="12"/>
  <c r="X163" i="12"/>
  <c r="N163" i="12"/>
  <c r="L163" i="12"/>
  <c r="J163" i="12"/>
  <c r="B163" i="12"/>
  <c r="Z162" i="12"/>
  <c r="X162" i="12"/>
  <c r="N162" i="12"/>
  <c r="L162" i="12"/>
  <c r="B162" i="12"/>
  <c r="Z161" i="12"/>
  <c r="X161" i="12"/>
  <c r="N161" i="12"/>
  <c r="L161" i="12"/>
  <c r="B161" i="12"/>
  <c r="Z160" i="12"/>
  <c r="X160" i="12"/>
  <c r="V160" i="12"/>
  <c r="N160" i="12"/>
  <c r="L160" i="12"/>
  <c r="B160" i="12"/>
  <c r="Z159" i="12"/>
  <c r="X159" i="12"/>
  <c r="N159" i="12"/>
  <c r="L159" i="12"/>
  <c r="J159" i="12"/>
  <c r="B159" i="12"/>
  <c r="Z158" i="12"/>
  <c r="X158" i="12"/>
  <c r="N158" i="12"/>
  <c r="L158" i="12"/>
  <c r="B158" i="12"/>
  <c r="Z157" i="12"/>
  <c r="X157" i="12"/>
  <c r="N157" i="12"/>
  <c r="L157" i="12"/>
  <c r="B157" i="12"/>
  <c r="Z156" i="12"/>
  <c r="X156" i="12"/>
  <c r="V156" i="12"/>
  <c r="N156" i="12"/>
  <c r="L156" i="12"/>
  <c r="B156" i="12"/>
  <c r="Z155" i="12"/>
  <c r="X155" i="12"/>
  <c r="N155" i="12"/>
  <c r="L155" i="12"/>
  <c r="J155" i="12"/>
  <c r="B155" i="12"/>
  <c r="Z154" i="12"/>
  <c r="X154" i="12"/>
  <c r="N154" i="12"/>
  <c r="L154" i="12"/>
  <c r="B154" i="12"/>
  <c r="Z153" i="12"/>
  <c r="X153" i="12"/>
  <c r="N153" i="12"/>
  <c r="L153" i="12"/>
  <c r="B153" i="12"/>
  <c r="Z152" i="12"/>
  <c r="X152" i="12"/>
  <c r="V152" i="12"/>
  <c r="N152" i="12"/>
  <c r="L152" i="12"/>
  <c r="B152" i="12"/>
  <c r="Z151" i="12"/>
  <c r="X151" i="12"/>
  <c r="N151" i="12"/>
  <c r="L151" i="12"/>
  <c r="J151" i="12"/>
  <c r="B151" i="12"/>
  <c r="Z150" i="12"/>
  <c r="X150" i="12"/>
  <c r="N150" i="12"/>
  <c r="L150" i="12"/>
  <c r="B150" i="12"/>
  <c r="Z149" i="12"/>
  <c r="X149" i="12"/>
  <c r="N149" i="12"/>
  <c r="L149" i="12"/>
  <c r="B149" i="12"/>
  <c r="Z148" i="12"/>
  <c r="X148" i="12"/>
  <c r="V148" i="12"/>
  <c r="N148" i="12"/>
  <c r="L148" i="12"/>
  <c r="J148" i="12"/>
  <c r="B148" i="12"/>
  <c r="Z147" i="12"/>
  <c r="X147" i="12"/>
  <c r="N147" i="12"/>
  <c r="L147" i="12"/>
  <c r="J147" i="12"/>
  <c r="B147" i="12"/>
  <c r="Z146" i="12"/>
  <c r="X146" i="12"/>
  <c r="N146" i="12"/>
  <c r="L146" i="12"/>
  <c r="B146" i="12"/>
  <c r="Z145" i="12"/>
  <c r="X145" i="12"/>
  <c r="N145" i="12"/>
  <c r="L145" i="12"/>
  <c r="B145" i="12"/>
  <c r="Z144" i="12"/>
  <c r="X144" i="12"/>
  <c r="V144" i="12"/>
  <c r="N144" i="12"/>
  <c r="L144" i="12"/>
  <c r="J144" i="12"/>
  <c r="B144" i="12"/>
  <c r="Z143" i="12"/>
  <c r="X143" i="12"/>
  <c r="N143" i="12"/>
  <c r="L143" i="12"/>
  <c r="J143" i="12"/>
  <c r="B143" i="12"/>
  <c r="Z142" i="12"/>
  <c r="X142" i="12"/>
  <c r="N142" i="12"/>
  <c r="L142" i="12"/>
  <c r="B142" i="12"/>
  <c r="Z141" i="12"/>
  <c r="X141" i="12"/>
  <c r="N141" i="12"/>
  <c r="L141" i="12"/>
  <c r="B141" i="12"/>
  <c r="Z140" i="12"/>
  <c r="X140" i="12"/>
  <c r="V140" i="12"/>
  <c r="N140" i="12"/>
  <c r="L140" i="12"/>
  <c r="J140" i="12"/>
  <c r="B140" i="12"/>
  <c r="Z139" i="12"/>
  <c r="X139" i="12"/>
  <c r="N139" i="12"/>
  <c r="L139" i="12"/>
  <c r="J139" i="12"/>
  <c r="B139" i="12"/>
  <c r="Z138" i="12"/>
  <c r="X138" i="12"/>
  <c r="N138" i="12"/>
  <c r="L138" i="12"/>
  <c r="B138" i="12"/>
  <c r="Z137" i="12"/>
  <c r="X137" i="12"/>
  <c r="N137" i="12"/>
  <c r="L137" i="12"/>
  <c r="B137" i="12"/>
  <c r="Z136" i="12"/>
  <c r="X136" i="12"/>
  <c r="V136" i="12"/>
  <c r="N136" i="12"/>
  <c r="L136" i="12"/>
  <c r="J136" i="12"/>
  <c r="B136" i="12"/>
  <c r="Z135" i="12"/>
  <c r="X135" i="12"/>
  <c r="N135" i="12"/>
  <c r="L135" i="12"/>
  <c r="J135" i="12"/>
  <c r="B135" i="12"/>
  <c r="Z134" i="12"/>
  <c r="X134" i="12"/>
  <c r="N134" i="12"/>
  <c r="L134" i="12"/>
  <c r="B134" i="12"/>
  <c r="Z133" i="12"/>
  <c r="X133" i="12"/>
  <c r="N133" i="12"/>
  <c r="L133" i="12"/>
  <c r="B133" i="12"/>
  <c r="Z132" i="12"/>
  <c r="X132" i="12"/>
  <c r="V132" i="12"/>
  <c r="N132" i="12"/>
  <c r="L132" i="12"/>
  <c r="J132" i="12"/>
  <c r="B132" i="12"/>
  <c r="Z131" i="12"/>
  <c r="X131" i="12"/>
  <c r="N131" i="12"/>
  <c r="L131" i="12"/>
  <c r="J131" i="12"/>
  <c r="B131" i="12"/>
  <c r="Z130" i="12"/>
  <c r="X130" i="12"/>
  <c r="N130" i="12"/>
  <c r="L130" i="12"/>
  <c r="B130" i="12"/>
  <c r="Z129" i="12"/>
  <c r="X129" i="12"/>
  <c r="N129" i="12"/>
  <c r="L129" i="12"/>
  <c r="B129" i="12"/>
  <c r="Z128" i="12"/>
  <c r="X128" i="12"/>
  <c r="V128" i="12"/>
  <c r="N128" i="12"/>
  <c r="L128" i="12"/>
  <c r="J128" i="12"/>
  <c r="B128" i="12"/>
  <c r="Z127" i="12"/>
  <c r="X127" i="12"/>
  <c r="N127" i="12"/>
  <c r="L127" i="12"/>
  <c r="J127" i="12"/>
  <c r="B127" i="12"/>
  <c r="Z126" i="12"/>
  <c r="X126" i="12"/>
  <c r="N126" i="12"/>
  <c r="L126" i="12"/>
  <c r="B126" i="12"/>
  <c r="Z125" i="12"/>
  <c r="X125" i="12"/>
  <c r="N125" i="12"/>
  <c r="L125" i="12"/>
  <c r="B125" i="12"/>
  <c r="Z124" i="12"/>
  <c r="X124" i="12"/>
  <c r="V124" i="12"/>
  <c r="N124" i="12"/>
  <c r="L124" i="12"/>
  <c r="J124" i="12"/>
  <c r="B124" i="12"/>
  <c r="Z123" i="12"/>
  <c r="X123" i="12"/>
  <c r="N123" i="12"/>
  <c r="L123" i="12"/>
  <c r="J123" i="12"/>
  <c r="B123" i="12"/>
  <c r="Z122" i="12"/>
  <c r="X122" i="12"/>
  <c r="N122" i="12"/>
  <c r="L122" i="12"/>
  <c r="B122" i="12"/>
  <c r="Z121" i="12"/>
  <c r="X121" i="12"/>
  <c r="N121" i="12"/>
  <c r="L121" i="12"/>
  <c r="B121" i="12"/>
  <c r="Z120" i="12"/>
  <c r="X120" i="12"/>
  <c r="V120" i="12"/>
  <c r="N120" i="12"/>
  <c r="L120" i="12"/>
  <c r="J120" i="12"/>
  <c r="B120" i="12"/>
  <c r="Z119" i="12"/>
  <c r="X119" i="12"/>
  <c r="N119" i="12"/>
  <c r="L119" i="12"/>
  <c r="J119" i="12"/>
  <c r="B119" i="12"/>
  <c r="Z118" i="12"/>
  <c r="X118" i="12"/>
  <c r="N118" i="12"/>
  <c r="L118" i="12"/>
  <c r="B118" i="12"/>
  <c r="Z117" i="12"/>
  <c r="X117" i="12"/>
  <c r="L117" i="12"/>
  <c r="N117" i="12" s="1"/>
  <c r="B117" i="12"/>
  <c r="T116" i="12"/>
  <c r="P116" i="12"/>
  <c r="H116" i="12"/>
  <c r="D116" i="12"/>
  <c r="L116" i="12" s="1"/>
  <c r="N116" i="12" s="1"/>
  <c r="Z114" i="12"/>
  <c r="P114" i="12"/>
  <c r="X114" i="12" s="1"/>
  <c r="N114" i="12"/>
  <c r="D114" i="12"/>
  <c r="L114" i="12" s="1"/>
  <c r="B114" i="12"/>
  <c r="Z113" i="12"/>
  <c r="X113" i="12"/>
  <c r="P113" i="12"/>
  <c r="N113" i="12"/>
  <c r="L113" i="12"/>
  <c r="D113" i="12"/>
  <c r="B113" i="12"/>
  <c r="Z112" i="12"/>
  <c r="X112" i="12"/>
  <c r="P112" i="12"/>
  <c r="N112" i="12"/>
  <c r="L112" i="12"/>
  <c r="D112" i="12"/>
  <c r="B112" i="12"/>
  <c r="Z111" i="12"/>
  <c r="P111" i="12"/>
  <c r="X111" i="12" s="1"/>
  <c r="N111" i="12"/>
  <c r="L111" i="12"/>
  <c r="D111" i="12"/>
  <c r="B111" i="12"/>
  <c r="Z110" i="12"/>
  <c r="P110" i="12"/>
  <c r="X110" i="12" s="1"/>
  <c r="N110" i="12"/>
  <c r="L110" i="12"/>
  <c r="D110" i="12"/>
  <c r="B110" i="12"/>
  <c r="Z109" i="12"/>
  <c r="P109" i="12"/>
  <c r="X109" i="12" s="1"/>
  <c r="N109" i="12"/>
  <c r="L109" i="12"/>
  <c r="D109" i="12"/>
  <c r="B109" i="12"/>
  <c r="Z108" i="12"/>
  <c r="P108" i="12"/>
  <c r="X108" i="12" s="1"/>
  <c r="N108" i="12"/>
  <c r="D108" i="12"/>
  <c r="L108" i="12" s="1"/>
  <c r="B108" i="12"/>
  <c r="Z107" i="12"/>
  <c r="X107" i="12"/>
  <c r="P107" i="12"/>
  <c r="N107" i="12"/>
  <c r="D107" i="12"/>
  <c r="L107" i="12" s="1"/>
  <c r="B107" i="12"/>
  <c r="Z106" i="12"/>
  <c r="X106" i="12"/>
  <c r="P106" i="12"/>
  <c r="N106" i="12"/>
  <c r="D106" i="12"/>
  <c r="L106" i="12" s="1"/>
  <c r="B106" i="12"/>
  <c r="Z105" i="12"/>
  <c r="P105" i="12"/>
  <c r="X105" i="12" s="1"/>
  <c r="N105" i="12"/>
  <c r="D105" i="12"/>
  <c r="L105" i="12" s="1"/>
  <c r="B105" i="12"/>
  <c r="Z104" i="12"/>
  <c r="X104" i="12"/>
  <c r="P104" i="12"/>
  <c r="N104" i="12"/>
  <c r="D104" i="12"/>
  <c r="L104" i="12" s="1"/>
  <c r="B104" i="12"/>
  <c r="Z103" i="12"/>
  <c r="X103" i="12"/>
  <c r="P103" i="12"/>
  <c r="N103" i="12"/>
  <c r="L103" i="12"/>
  <c r="D103" i="12"/>
  <c r="B103" i="12"/>
  <c r="Z102" i="12"/>
  <c r="X102" i="12"/>
  <c r="P102" i="12"/>
  <c r="N102" i="12"/>
  <c r="D102" i="12"/>
  <c r="L102" i="12" s="1"/>
  <c r="B102" i="12"/>
  <c r="Z101" i="12"/>
  <c r="X101" i="12"/>
  <c r="P101" i="12"/>
  <c r="N101" i="12"/>
  <c r="L101" i="12"/>
  <c r="D101" i="12"/>
  <c r="B101" i="12"/>
  <c r="Z100" i="12"/>
  <c r="X100" i="12"/>
  <c r="P100" i="12"/>
  <c r="N100" i="12"/>
  <c r="L100" i="12"/>
  <c r="D100" i="12"/>
  <c r="B100" i="12"/>
  <c r="Z99" i="12"/>
  <c r="P99" i="12"/>
  <c r="X99" i="12" s="1"/>
  <c r="N99" i="12"/>
  <c r="D99" i="12"/>
  <c r="L99" i="12" s="1"/>
  <c r="B99" i="12"/>
  <c r="Z98" i="12"/>
  <c r="P98" i="12"/>
  <c r="X98" i="12" s="1"/>
  <c r="N98" i="12"/>
  <c r="L98" i="12"/>
  <c r="D98" i="12"/>
  <c r="B98" i="12"/>
  <c r="Z97" i="12"/>
  <c r="P97" i="12"/>
  <c r="X97" i="12" s="1"/>
  <c r="N97" i="12"/>
  <c r="L97" i="12"/>
  <c r="D97" i="12"/>
  <c r="B97" i="12"/>
  <c r="Z96" i="12"/>
  <c r="P96" i="12"/>
  <c r="X96" i="12" s="1"/>
  <c r="N96" i="12"/>
  <c r="D96" i="12"/>
  <c r="L96" i="12" s="1"/>
  <c r="B96" i="12"/>
  <c r="Z95" i="12"/>
  <c r="X95" i="12"/>
  <c r="P95" i="12"/>
  <c r="N95" i="12"/>
  <c r="D95" i="12"/>
  <c r="L95" i="12" s="1"/>
  <c r="B95" i="12"/>
  <c r="Z94" i="12"/>
  <c r="P94" i="12"/>
  <c r="X94" i="12" s="1"/>
  <c r="N94" i="12"/>
  <c r="D94" i="12"/>
  <c r="L94" i="12" s="1"/>
  <c r="B94" i="12"/>
  <c r="Z93" i="12"/>
  <c r="P93" i="12"/>
  <c r="X93" i="12" s="1"/>
  <c r="N93" i="12"/>
  <c r="D93" i="12"/>
  <c r="L93" i="12" s="1"/>
  <c r="B93" i="12"/>
  <c r="Z92" i="12"/>
  <c r="X92" i="12"/>
  <c r="P92" i="12"/>
  <c r="N92" i="12"/>
  <c r="D92" i="12"/>
  <c r="L92" i="12" s="1"/>
  <c r="B92" i="12"/>
  <c r="Z91" i="12"/>
  <c r="X91" i="12"/>
  <c r="P91" i="12"/>
  <c r="N91" i="12"/>
  <c r="L91" i="12"/>
  <c r="D91" i="12"/>
  <c r="B91" i="12"/>
  <c r="Z90" i="12"/>
  <c r="P90" i="12"/>
  <c r="X90" i="12" s="1"/>
  <c r="N90" i="12"/>
  <c r="D90" i="12"/>
  <c r="L90" i="12" s="1"/>
  <c r="B90" i="12"/>
  <c r="Z89" i="12"/>
  <c r="X89" i="12"/>
  <c r="P89" i="12"/>
  <c r="N89" i="12"/>
  <c r="L89" i="12"/>
  <c r="D89" i="12"/>
  <c r="B89" i="12"/>
  <c r="Z88" i="12"/>
  <c r="X88" i="12"/>
  <c r="P88" i="12"/>
  <c r="N88" i="12"/>
  <c r="L88" i="12"/>
  <c r="D88" i="12"/>
  <c r="B88" i="12"/>
  <c r="Z87" i="12"/>
  <c r="P87" i="12"/>
  <c r="X87" i="12" s="1"/>
  <c r="N87" i="12"/>
  <c r="L87" i="12"/>
  <c r="D87" i="12"/>
  <c r="B87" i="12"/>
  <c r="Z86" i="12"/>
  <c r="P86" i="12"/>
  <c r="X86" i="12" s="1"/>
  <c r="N86" i="12"/>
  <c r="L86" i="12"/>
  <c r="D86" i="12"/>
  <c r="B86" i="12"/>
  <c r="Z85" i="12"/>
  <c r="P85" i="12"/>
  <c r="X85" i="12" s="1"/>
  <c r="N85" i="12"/>
  <c r="L85" i="12"/>
  <c r="D85" i="12"/>
  <c r="B85" i="12"/>
  <c r="Z84" i="12"/>
  <c r="P84" i="12"/>
  <c r="X84" i="12" s="1"/>
  <c r="N84" i="12"/>
  <c r="D84" i="12"/>
  <c r="L84" i="12" s="1"/>
  <c r="B84" i="12"/>
  <c r="Z83" i="12"/>
  <c r="X83" i="12"/>
  <c r="P83" i="12"/>
  <c r="N83" i="12"/>
  <c r="D83" i="12"/>
  <c r="L83" i="12" s="1"/>
  <c r="B83" i="12"/>
  <c r="Z82" i="12"/>
  <c r="X82" i="12"/>
  <c r="P82" i="12"/>
  <c r="N82" i="12"/>
  <c r="D82" i="12"/>
  <c r="L82" i="12" s="1"/>
  <c r="B82" i="12"/>
  <c r="Z81" i="12"/>
  <c r="P81" i="12"/>
  <c r="X81" i="12" s="1"/>
  <c r="N81" i="12"/>
  <c r="D81" i="12"/>
  <c r="L81" i="12" s="1"/>
  <c r="B81" i="12"/>
  <c r="Z80" i="12"/>
  <c r="X80" i="12"/>
  <c r="P80" i="12"/>
  <c r="N80" i="12"/>
  <c r="D80" i="12"/>
  <c r="L80" i="12" s="1"/>
  <c r="B80" i="12"/>
  <c r="Z79" i="12"/>
  <c r="X79" i="12"/>
  <c r="P79" i="12"/>
  <c r="N79" i="12"/>
  <c r="L79" i="12"/>
  <c r="D79" i="12"/>
  <c r="B79" i="12"/>
  <c r="Z78" i="12"/>
  <c r="X78" i="12"/>
  <c r="P78" i="12"/>
  <c r="N78" i="12"/>
  <c r="D78" i="12"/>
  <c r="L78" i="12" s="1"/>
  <c r="B78" i="12"/>
  <c r="Z77" i="12"/>
  <c r="X77" i="12"/>
  <c r="P77" i="12"/>
  <c r="N77" i="12"/>
  <c r="L77" i="12"/>
  <c r="D77" i="12"/>
  <c r="B77" i="12"/>
  <c r="Z76" i="12"/>
  <c r="X76" i="12"/>
  <c r="P76" i="12"/>
  <c r="N76" i="12"/>
  <c r="L76" i="12"/>
  <c r="D76" i="12"/>
  <c r="B76" i="12"/>
  <c r="Z75" i="12"/>
  <c r="P75" i="12"/>
  <c r="X75" i="12" s="1"/>
  <c r="N75" i="12"/>
  <c r="D75" i="12"/>
  <c r="L75" i="12" s="1"/>
  <c r="B75" i="12"/>
  <c r="Z74" i="12"/>
  <c r="P74" i="12"/>
  <c r="X74" i="12" s="1"/>
  <c r="N74" i="12"/>
  <c r="L74" i="12"/>
  <c r="D74" i="12"/>
  <c r="B74" i="12"/>
  <c r="Z73" i="12"/>
  <c r="P73" i="12"/>
  <c r="X73" i="12" s="1"/>
  <c r="N73" i="12"/>
  <c r="L73" i="12"/>
  <c r="D73" i="12"/>
  <c r="B73" i="12"/>
  <c r="Z72" i="12"/>
  <c r="P72" i="12"/>
  <c r="X72" i="12" s="1"/>
  <c r="N72" i="12"/>
  <c r="D72" i="12"/>
  <c r="L72" i="12" s="1"/>
  <c r="B72" i="12"/>
  <c r="Z71" i="12"/>
  <c r="X71" i="12"/>
  <c r="P71" i="12"/>
  <c r="N71" i="12"/>
  <c r="D71" i="12"/>
  <c r="L71" i="12" s="1"/>
  <c r="B71" i="12"/>
  <c r="Z70" i="12"/>
  <c r="X70" i="12"/>
  <c r="P70" i="12"/>
  <c r="N70" i="12"/>
  <c r="D70" i="12"/>
  <c r="L70" i="12" s="1"/>
  <c r="B70" i="12"/>
  <c r="Z69" i="12"/>
  <c r="P69" i="12"/>
  <c r="X69" i="12" s="1"/>
  <c r="N69" i="12"/>
  <c r="D69" i="12"/>
  <c r="L69" i="12" s="1"/>
  <c r="B69" i="12"/>
  <c r="Z68" i="12"/>
  <c r="X68" i="12"/>
  <c r="P68" i="12"/>
  <c r="N68" i="12"/>
  <c r="D68" i="12"/>
  <c r="L68" i="12" s="1"/>
  <c r="B68" i="12"/>
  <c r="Z67" i="12"/>
  <c r="X67" i="12"/>
  <c r="P67" i="12"/>
  <c r="N67" i="12"/>
  <c r="L67" i="12"/>
  <c r="D67" i="12"/>
  <c r="B67" i="12"/>
  <c r="Z66" i="12"/>
  <c r="X66" i="12"/>
  <c r="P66" i="12"/>
  <c r="N66" i="12"/>
  <c r="D66" i="12"/>
  <c r="L66" i="12" s="1"/>
  <c r="B66" i="12"/>
  <c r="Z65" i="12"/>
  <c r="X65" i="12"/>
  <c r="P65" i="12"/>
  <c r="N65" i="12"/>
  <c r="L65" i="12"/>
  <c r="D65" i="12"/>
  <c r="B65" i="12"/>
  <c r="Z64" i="12"/>
  <c r="X64" i="12"/>
  <c r="P64" i="12"/>
  <c r="N64" i="12"/>
  <c r="L64" i="12"/>
  <c r="D64" i="12"/>
  <c r="B64" i="12"/>
  <c r="Z63" i="12"/>
  <c r="P63" i="12"/>
  <c r="X63" i="12" s="1"/>
  <c r="N63" i="12"/>
  <c r="L63" i="12"/>
  <c r="D63" i="12"/>
  <c r="B63" i="12"/>
  <c r="Z62" i="12"/>
  <c r="P62" i="12"/>
  <c r="X62" i="12" s="1"/>
  <c r="N62" i="12"/>
  <c r="L62" i="12"/>
  <c r="D62" i="12"/>
  <c r="B62" i="12"/>
  <c r="Z61" i="12"/>
  <c r="P61" i="12"/>
  <c r="X61" i="12" s="1"/>
  <c r="N61" i="12"/>
  <c r="L61" i="12"/>
  <c r="D61" i="12"/>
  <c r="B61" i="12"/>
  <c r="Z60" i="12"/>
  <c r="P60" i="12"/>
  <c r="X60" i="12" s="1"/>
  <c r="N60" i="12"/>
  <c r="D60" i="12"/>
  <c r="L60" i="12" s="1"/>
  <c r="B60" i="12"/>
  <c r="Z59" i="12"/>
  <c r="X59" i="12"/>
  <c r="P59" i="12"/>
  <c r="N59" i="12"/>
  <c r="D59" i="12"/>
  <c r="L59" i="12" s="1"/>
  <c r="B59" i="12"/>
  <c r="Z58" i="12"/>
  <c r="X58" i="12"/>
  <c r="P58" i="12"/>
  <c r="N58" i="12"/>
  <c r="D58" i="12"/>
  <c r="L58" i="12" s="1"/>
  <c r="B58" i="12"/>
  <c r="Z57" i="12"/>
  <c r="P57" i="12"/>
  <c r="X57" i="12" s="1"/>
  <c r="N57" i="12"/>
  <c r="D57" i="12"/>
  <c r="L57" i="12" s="1"/>
  <c r="B57" i="12"/>
  <c r="Z56" i="12"/>
  <c r="X56" i="12"/>
  <c r="P56" i="12"/>
  <c r="N56" i="12"/>
  <c r="L56" i="12"/>
  <c r="D56" i="12"/>
  <c r="B56" i="12"/>
  <c r="Z55" i="12"/>
  <c r="X55" i="12"/>
  <c r="P55" i="12"/>
  <c r="N55" i="12"/>
  <c r="L55" i="12"/>
  <c r="D55" i="12"/>
  <c r="B55" i="12"/>
  <c r="Z54" i="12"/>
  <c r="X54" i="12"/>
  <c r="P54" i="12"/>
  <c r="N54" i="12"/>
  <c r="D54" i="12"/>
  <c r="L54" i="12" s="1"/>
  <c r="B54" i="12"/>
  <c r="Z53" i="12"/>
  <c r="X53" i="12"/>
  <c r="P53" i="12"/>
  <c r="N53" i="12"/>
  <c r="L53" i="12"/>
  <c r="D53" i="12"/>
  <c r="B53" i="12"/>
  <c r="Z52" i="12"/>
  <c r="X52" i="12"/>
  <c r="P52" i="12"/>
  <c r="N52" i="12"/>
  <c r="L52" i="12"/>
  <c r="D52" i="12"/>
  <c r="B52" i="12"/>
  <c r="Z51" i="12"/>
  <c r="P51" i="12"/>
  <c r="X51" i="12" s="1"/>
  <c r="N51" i="12"/>
  <c r="L51" i="12"/>
  <c r="D51" i="12"/>
  <c r="B51" i="12"/>
  <c r="Z50" i="12"/>
  <c r="P50" i="12"/>
  <c r="X50" i="12" s="1"/>
  <c r="N50" i="12"/>
  <c r="L50" i="12"/>
  <c r="D50" i="12"/>
  <c r="B50" i="12"/>
  <c r="Z49" i="12"/>
  <c r="P49" i="12"/>
  <c r="X49" i="12" s="1"/>
  <c r="N49" i="12"/>
  <c r="L49" i="12"/>
  <c r="D49" i="12"/>
  <c r="B49" i="12"/>
  <c r="P48" i="12"/>
  <c r="X48" i="12" s="1"/>
  <c r="Z48" i="12" s="1"/>
  <c r="D48" i="12"/>
  <c r="L48" i="12" s="1"/>
  <c r="N48" i="12" s="1"/>
  <c r="B48" i="12"/>
  <c r="Z47" i="12"/>
  <c r="X47" i="12"/>
  <c r="P47" i="12"/>
  <c r="N47" i="12"/>
  <c r="D47" i="12"/>
  <c r="L47" i="12" s="1"/>
  <c r="B47" i="12"/>
  <c r="Z46" i="12"/>
  <c r="P46" i="12"/>
  <c r="X46" i="12" s="1"/>
  <c r="N46" i="12"/>
  <c r="D46" i="12"/>
  <c r="L46" i="12" s="1"/>
  <c r="B46" i="12"/>
  <c r="Z45" i="12"/>
  <c r="P45" i="12"/>
  <c r="X45" i="12" s="1"/>
  <c r="N45" i="12"/>
  <c r="D45" i="12"/>
  <c r="L45" i="12" s="1"/>
  <c r="B45" i="12"/>
  <c r="Z44" i="12"/>
  <c r="X44" i="12"/>
  <c r="P44" i="12"/>
  <c r="N44" i="12"/>
  <c r="L44" i="12"/>
  <c r="D44" i="12"/>
  <c r="B44" i="12"/>
  <c r="Z43" i="12"/>
  <c r="X43" i="12"/>
  <c r="P43" i="12"/>
  <c r="N43" i="12"/>
  <c r="L43" i="12"/>
  <c r="D43" i="12"/>
  <c r="B43" i="12"/>
  <c r="Z42" i="12"/>
  <c r="P42" i="12"/>
  <c r="X42" i="12" s="1"/>
  <c r="N42" i="12"/>
  <c r="D42" i="12"/>
  <c r="L42" i="12" s="1"/>
  <c r="B42" i="12"/>
  <c r="Z41" i="12"/>
  <c r="X41" i="12"/>
  <c r="P41" i="12"/>
  <c r="N41" i="12"/>
  <c r="L41" i="12"/>
  <c r="D41" i="12"/>
  <c r="B41" i="12"/>
  <c r="Z40" i="12"/>
  <c r="X40" i="12"/>
  <c r="P40" i="12"/>
  <c r="N40" i="12"/>
  <c r="L40" i="12"/>
  <c r="D40" i="12"/>
  <c r="B40" i="12"/>
  <c r="Z39" i="12"/>
  <c r="P39" i="12"/>
  <c r="X39" i="12" s="1"/>
  <c r="N39" i="12"/>
  <c r="D39" i="12"/>
  <c r="L39" i="12" s="1"/>
  <c r="B39" i="12"/>
  <c r="Z38" i="12"/>
  <c r="P38" i="12"/>
  <c r="X38" i="12" s="1"/>
  <c r="N38" i="12"/>
  <c r="L38" i="12"/>
  <c r="D38" i="12"/>
  <c r="B38" i="12"/>
  <c r="Z37" i="12"/>
  <c r="P37" i="12"/>
  <c r="X37" i="12" s="1"/>
  <c r="N37" i="12"/>
  <c r="L37" i="12"/>
  <c r="D37" i="12"/>
  <c r="B37" i="12"/>
  <c r="Z36" i="12"/>
  <c r="P36" i="12"/>
  <c r="X36" i="12" s="1"/>
  <c r="N36" i="12"/>
  <c r="D36" i="12"/>
  <c r="L36" i="12" s="1"/>
  <c r="B36" i="12"/>
  <c r="Z35" i="12"/>
  <c r="P35" i="12"/>
  <c r="X35" i="12" s="1"/>
  <c r="N35" i="12"/>
  <c r="D35" i="12"/>
  <c r="L35" i="12" s="1"/>
  <c r="B35" i="12"/>
  <c r="Z34" i="12"/>
  <c r="P34" i="12"/>
  <c r="X34" i="12" s="1"/>
  <c r="N34" i="12"/>
  <c r="D34" i="12"/>
  <c r="L34" i="12" s="1"/>
  <c r="B34" i="12"/>
  <c r="Z33" i="12"/>
  <c r="P33" i="12"/>
  <c r="X33" i="12" s="1"/>
  <c r="N33" i="12"/>
  <c r="D33" i="12"/>
  <c r="L33" i="12" s="1"/>
  <c r="B33" i="12"/>
  <c r="Z32" i="12"/>
  <c r="X32" i="12"/>
  <c r="P32" i="12"/>
  <c r="N32" i="12"/>
  <c r="L32" i="12"/>
  <c r="D32" i="12"/>
  <c r="B32" i="12"/>
  <c r="Z31" i="12"/>
  <c r="X31" i="12"/>
  <c r="P31" i="12"/>
  <c r="N31" i="12"/>
  <c r="L31" i="12"/>
  <c r="D31" i="12"/>
  <c r="B31" i="12"/>
  <c r="Z30" i="12"/>
  <c r="X30" i="12"/>
  <c r="P30" i="12"/>
  <c r="N30" i="12"/>
  <c r="D30" i="12"/>
  <c r="L30" i="12" s="1"/>
  <c r="B30" i="12"/>
  <c r="Z29" i="12"/>
  <c r="X29" i="12"/>
  <c r="P29" i="12"/>
  <c r="N29" i="12"/>
  <c r="L29" i="12"/>
  <c r="D29" i="12"/>
  <c r="B29" i="12"/>
  <c r="Z28" i="12"/>
  <c r="X28" i="12"/>
  <c r="P28" i="12"/>
  <c r="N28" i="12"/>
  <c r="L28" i="12"/>
  <c r="D28" i="12"/>
  <c r="B28" i="12"/>
  <c r="Z27" i="12"/>
  <c r="P27" i="12"/>
  <c r="X27" i="12" s="1"/>
  <c r="N27" i="12"/>
  <c r="L27" i="12"/>
  <c r="D27" i="12"/>
  <c r="B27" i="12"/>
  <c r="Z26" i="12"/>
  <c r="P26" i="12"/>
  <c r="X26" i="12" s="1"/>
  <c r="N26" i="12"/>
  <c r="L26" i="12"/>
  <c r="D26" i="12"/>
  <c r="B26" i="12"/>
  <c r="Z25" i="12"/>
  <c r="P25" i="12"/>
  <c r="X25" i="12" s="1"/>
  <c r="N25" i="12"/>
  <c r="L25" i="12"/>
  <c r="D25" i="12"/>
  <c r="B25" i="12"/>
  <c r="Z24" i="12"/>
  <c r="P24" i="12"/>
  <c r="X24" i="12" s="1"/>
  <c r="N24" i="12"/>
  <c r="D24" i="12"/>
  <c r="L24" i="12" s="1"/>
  <c r="B24" i="12"/>
  <c r="Z23" i="12"/>
  <c r="P23" i="12"/>
  <c r="X23" i="12" s="1"/>
  <c r="N23" i="12"/>
  <c r="D23" i="12"/>
  <c r="L23" i="12" s="1"/>
  <c r="B23" i="12"/>
  <c r="Z22" i="12"/>
  <c r="X22" i="12"/>
  <c r="P22" i="12"/>
  <c r="N22" i="12"/>
  <c r="D22" i="12"/>
  <c r="L22" i="12" s="1"/>
  <c r="B22" i="12"/>
  <c r="Z21" i="12"/>
  <c r="P21" i="12"/>
  <c r="X21" i="12" s="1"/>
  <c r="N21" i="12"/>
  <c r="D21" i="12"/>
  <c r="L21" i="12" s="1"/>
  <c r="B21" i="12"/>
  <c r="Z20" i="12"/>
  <c r="X20" i="12"/>
  <c r="P20" i="12"/>
  <c r="N20" i="12"/>
  <c r="D20" i="12"/>
  <c r="B20" i="12"/>
  <c r="Z19" i="12"/>
  <c r="X19" i="12"/>
  <c r="P19" i="12"/>
  <c r="N19" i="12"/>
  <c r="L19" i="12"/>
  <c r="D19" i="12"/>
  <c r="B19" i="12"/>
  <c r="Z18" i="12"/>
  <c r="P18" i="12"/>
  <c r="X18" i="12" s="1"/>
  <c r="N18" i="12"/>
  <c r="D18" i="12"/>
  <c r="L18" i="12" s="1"/>
  <c r="B18" i="12"/>
  <c r="Z17" i="12"/>
  <c r="X17" i="12"/>
  <c r="P17" i="12"/>
  <c r="N17" i="12"/>
  <c r="L17" i="12"/>
  <c r="D17" i="12"/>
  <c r="B17" i="12"/>
  <c r="Z16" i="12"/>
  <c r="X16" i="12"/>
  <c r="P16" i="12"/>
  <c r="N16" i="12"/>
  <c r="L16" i="12"/>
  <c r="D16" i="12"/>
  <c r="B16" i="12"/>
  <c r="Z15" i="12"/>
  <c r="P15" i="12"/>
  <c r="X15" i="12" s="1"/>
  <c r="N15" i="12"/>
  <c r="L15" i="12"/>
  <c r="D15" i="12"/>
  <c r="B15" i="12"/>
  <c r="Z14" i="12"/>
  <c r="P14" i="12"/>
  <c r="X14" i="12" s="1"/>
  <c r="N14" i="12"/>
  <c r="L14" i="12"/>
  <c r="D14" i="12"/>
  <c r="B14" i="12"/>
  <c r="P13" i="12"/>
  <c r="N13" i="12"/>
  <c r="L13" i="12"/>
  <c r="D13" i="12"/>
  <c r="B13" i="12"/>
  <c r="T12" i="12"/>
  <c r="V280" i="12" s="1"/>
  <c r="H12" i="12"/>
  <c r="J287" i="12" s="1"/>
  <c r="D4" i="12"/>
  <c r="Z105" i="9"/>
  <c r="X105" i="9"/>
  <c r="N105" i="9"/>
  <c r="L105" i="9"/>
  <c r="Z101" i="9"/>
  <c r="V101" i="9"/>
  <c r="T101" i="9"/>
  <c r="P101" i="9"/>
  <c r="X101" i="9" s="1"/>
  <c r="N101" i="9"/>
  <c r="L101" i="9"/>
  <c r="H101" i="9"/>
  <c r="D101" i="9"/>
  <c r="Z99" i="9"/>
  <c r="X99" i="9"/>
  <c r="N99" i="9"/>
  <c r="L99" i="9"/>
  <c r="B99" i="9"/>
  <c r="X98" i="9"/>
  <c r="Z98" i="9" s="1"/>
  <c r="N98" i="9"/>
  <c r="L98" i="9"/>
  <c r="B98" i="9"/>
  <c r="X97" i="9"/>
  <c r="Z97" i="9" s="1"/>
  <c r="T97" i="9"/>
  <c r="P97" i="9"/>
  <c r="L97" i="9"/>
  <c r="N97" i="9" s="1"/>
  <c r="H97" i="9"/>
  <c r="D97" i="9"/>
  <c r="B97" i="9"/>
  <c r="Z96" i="9"/>
  <c r="X96" i="9"/>
  <c r="L96" i="9"/>
  <c r="N96" i="9" s="1"/>
  <c r="B96" i="9"/>
  <c r="X95" i="9"/>
  <c r="Z95" i="9" s="1"/>
  <c r="T95" i="9"/>
  <c r="P95" i="9"/>
  <c r="H95" i="9"/>
  <c r="D95" i="9"/>
  <c r="L95" i="9" s="1"/>
  <c r="B95" i="9"/>
  <c r="Z94" i="9"/>
  <c r="X94" i="9"/>
  <c r="L94" i="9"/>
  <c r="N94" i="9" s="1"/>
  <c r="B94" i="9"/>
  <c r="Z93" i="9"/>
  <c r="X93" i="9"/>
  <c r="V93" i="9"/>
  <c r="L93" i="9"/>
  <c r="N93" i="9" s="1"/>
  <c r="B93" i="9"/>
  <c r="V92" i="9"/>
  <c r="T92" i="9"/>
  <c r="P92" i="9"/>
  <c r="N92" i="9"/>
  <c r="L92" i="9"/>
  <c r="H92" i="9"/>
  <c r="D92" i="9"/>
  <c r="B92" i="9"/>
  <c r="X91" i="9"/>
  <c r="Z91" i="9" s="1"/>
  <c r="N91" i="9"/>
  <c r="L91" i="9"/>
  <c r="B91" i="9"/>
  <c r="Z90" i="9"/>
  <c r="X90" i="9"/>
  <c r="N90" i="9"/>
  <c r="L90" i="9"/>
  <c r="B90" i="9"/>
  <c r="X89" i="9"/>
  <c r="Z89" i="9" s="1"/>
  <c r="N89" i="9"/>
  <c r="L89" i="9"/>
  <c r="J89" i="9"/>
  <c r="F89" i="9"/>
  <c r="B89" i="9"/>
  <c r="X88" i="9"/>
  <c r="Z88" i="9" s="1"/>
  <c r="N88" i="9"/>
  <c r="L88" i="9"/>
  <c r="B88" i="9"/>
  <c r="Z87" i="9"/>
  <c r="X87" i="9"/>
  <c r="N87" i="9"/>
  <c r="L87" i="9"/>
  <c r="B87" i="9"/>
  <c r="X86" i="9"/>
  <c r="Z86" i="9" s="1"/>
  <c r="L86" i="9"/>
  <c r="N86" i="9" s="1"/>
  <c r="B86" i="9"/>
  <c r="X85" i="9"/>
  <c r="Z85" i="9" s="1"/>
  <c r="T85" i="9"/>
  <c r="P85" i="9"/>
  <c r="L85" i="9"/>
  <c r="N85" i="9" s="1"/>
  <c r="H85" i="9"/>
  <c r="D85" i="9"/>
  <c r="B85" i="9"/>
  <c r="Z84" i="9"/>
  <c r="X84" i="9"/>
  <c r="L84" i="9"/>
  <c r="N84" i="9" s="1"/>
  <c r="B84" i="9"/>
  <c r="Z83" i="9"/>
  <c r="X83" i="9"/>
  <c r="N83" i="9"/>
  <c r="L83" i="9"/>
  <c r="B83" i="9"/>
  <c r="T82" i="9"/>
  <c r="P82" i="9"/>
  <c r="H82" i="9"/>
  <c r="D82" i="9"/>
  <c r="L82" i="9" s="1"/>
  <c r="N82" i="9" s="1"/>
  <c r="B82" i="9"/>
  <c r="Z81" i="9"/>
  <c r="X81" i="9"/>
  <c r="N81" i="9"/>
  <c r="L81" i="9"/>
  <c r="B81" i="9"/>
  <c r="X80" i="9"/>
  <c r="Z80" i="9" s="1"/>
  <c r="L80" i="9"/>
  <c r="N80" i="9" s="1"/>
  <c r="B80" i="9"/>
  <c r="T79" i="9"/>
  <c r="P79" i="9"/>
  <c r="X79" i="9" s="1"/>
  <c r="Z79" i="9" s="1"/>
  <c r="H79" i="9"/>
  <c r="D79" i="9"/>
  <c r="B79" i="9"/>
  <c r="Z78" i="9"/>
  <c r="X78" i="9"/>
  <c r="N78" i="9"/>
  <c r="L78" i="9"/>
  <c r="B78" i="9"/>
  <c r="Z77" i="9"/>
  <c r="X77" i="9"/>
  <c r="N77" i="9"/>
  <c r="L77" i="9"/>
  <c r="B77" i="9"/>
  <c r="X76" i="9"/>
  <c r="Z76" i="9" s="1"/>
  <c r="V76" i="9"/>
  <c r="N76" i="9"/>
  <c r="L76" i="9"/>
  <c r="B76" i="9"/>
  <c r="Z75" i="9"/>
  <c r="X75" i="9"/>
  <c r="V75" i="9"/>
  <c r="L75" i="9"/>
  <c r="N75" i="9" s="1"/>
  <c r="B75" i="9"/>
  <c r="T74" i="9"/>
  <c r="R74" i="9"/>
  <c r="P74" i="9"/>
  <c r="X74" i="9" s="1"/>
  <c r="L74" i="9"/>
  <c r="H74" i="9"/>
  <c r="D74" i="9"/>
  <c r="B74" i="9"/>
  <c r="Z73" i="9"/>
  <c r="X73" i="9"/>
  <c r="N73" i="9"/>
  <c r="L73" i="9"/>
  <c r="B73" i="9"/>
  <c r="Z72" i="9"/>
  <c r="X72" i="9"/>
  <c r="L72" i="9"/>
  <c r="N72" i="9" s="1"/>
  <c r="B72" i="9"/>
  <c r="Z71" i="9"/>
  <c r="X71" i="9"/>
  <c r="N71" i="9"/>
  <c r="L71" i="9"/>
  <c r="B71" i="9"/>
  <c r="X70" i="9"/>
  <c r="Z70" i="9" s="1"/>
  <c r="N70" i="9"/>
  <c r="L70" i="9"/>
  <c r="B70" i="9"/>
  <c r="T69" i="9"/>
  <c r="P69" i="9"/>
  <c r="X69" i="9" s="1"/>
  <c r="N69" i="9"/>
  <c r="L69" i="9"/>
  <c r="H69" i="9"/>
  <c r="D69" i="9"/>
  <c r="B69" i="9"/>
  <c r="Z68" i="9"/>
  <c r="X68" i="9"/>
  <c r="N68" i="9"/>
  <c r="L68" i="9"/>
  <c r="B68" i="9"/>
  <c r="Z67" i="9"/>
  <c r="X67" i="9"/>
  <c r="N67" i="9"/>
  <c r="L67" i="9"/>
  <c r="B67" i="9"/>
  <c r="Z66" i="9"/>
  <c r="X66" i="9"/>
  <c r="N66" i="9"/>
  <c r="L66" i="9"/>
  <c r="F66" i="9"/>
  <c r="B66" i="9"/>
  <c r="Z65" i="9"/>
  <c r="T65" i="9"/>
  <c r="P65" i="9"/>
  <c r="N65" i="9"/>
  <c r="H65" i="9"/>
  <c r="D65" i="9"/>
  <c r="L65" i="9" s="1"/>
  <c r="B65" i="9"/>
  <c r="X64" i="9"/>
  <c r="Z64" i="9" s="1"/>
  <c r="V64" i="9"/>
  <c r="N64" i="9"/>
  <c r="L64" i="9"/>
  <c r="B64" i="9"/>
  <c r="X63" i="9"/>
  <c r="Z63" i="9" s="1"/>
  <c r="T63" i="9"/>
  <c r="P63" i="9"/>
  <c r="N63" i="9"/>
  <c r="L63" i="9"/>
  <c r="H63" i="9"/>
  <c r="D63" i="9"/>
  <c r="B63" i="9"/>
  <c r="Z62" i="9"/>
  <c r="X62" i="9"/>
  <c r="R62" i="9"/>
  <c r="L62" i="9"/>
  <c r="N62" i="9" s="1"/>
  <c r="B62" i="9"/>
  <c r="T61" i="9"/>
  <c r="P61" i="9"/>
  <c r="L61" i="9"/>
  <c r="N61" i="9" s="1"/>
  <c r="H61" i="9"/>
  <c r="D61" i="9"/>
  <c r="B61" i="9"/>
  <c r="X60" i="9"/>
  <c r="Z60" i="9" s="1"/>
  <c r="L60" i="9"/>
  <c r="N60" i="9" s="1"/>
  <c r="J60" i="9"/>
  <c r="B60" i="9"/>
  <c r="T59" i="9"/>
  <c r="P59" i="9"/>
  <c r="X59" i="9" s="1"/>
  <c r="Z59" i="9" s="1"/>
  <c r="H59" i="9"/>
  <c r="D59" i="9"/>
  <c r="B59" i="9"/>
  <c r="Z58" i="9"/>
  <c r="X58" i="9"/>
  <c r="L58" i="9"/>
  <c r="N58" i="9" s="1"/>
  <c r="B58" i="9"/>
  <c r="Z57" i="9"/>
  <c r="X57" i="9"/>
  <c r="T57" i="9"/>
  <c r="P57" i="9"/>
  <c r="L57" i="9"/>
  <c r="N57" i="9" s="1"/>
  <c r="H57" i="9"/>
  <c r="D57" i="9"/>
  <c r="B57" i="9"/>
  <c r="Z56" i="9"/>
  <c r="X56" i="9"/>
  <c r="L56" i="9"/>
  <c r="N56" i="9" s="1"/>
  <c r="B56" i="9"/>
  <c r="Z55" i="9"/>
  <c r="X55" i="9"/>
  <c r="T55" i="9"/>
  <c r="P55" i="9"/>
  <c r="H55" i="9"/>
  <c r="D55" i="9"/>
  <c r="B55" i="9"/>
  <c r="X54" i="9"/>
  <c r="Z54" i="9" s="1"/>
  <c r="L54" i="9"/>
  <c r="N54" i="9" s="1"/>
  <c r="B54" i="9"/>
  <c r="Z53" i="9"/>
  <c r="X53" i="9"/>
  <c r="N53" i="9"/>
  <c r="L53" i="9"/>
  <c r="B53" i="9"/>
  <c r="T52" i="9"/>
  <c r="P52" i="9"/>
  <c r="L52" i="9"/>
  <c r="N52" i="9" s="1"/>
  <c r="H52" i="9"/>
  <c r="D52" i="9"/>
  <c r="B52" i="9"/>
  <c r="Z51" i="9"/>
  <c r="X51" i="9"/>
  <c r="N51" i="9"/>
  <c r="L51" i="9"/>
  <c r="B51" i="9"/>
  <c r="X50" i="9"/>
  <c r="Z50" i="9" s="1"/>
  <c r="N50" i="9"/>
  <c r="L50" i="9"/>
  <c r="B50" i="9"/>
  <c r="X49" i="9"/>
  <c r="Z49" i="9" s="1"/>
  <c r="T49" i="9"/>
  <c r="P49" i="9"/>
  <c r="H49" i="9"/>
  <c r="D49" i="9"/>
  <c r="L49" i="9" s="1"/>
  <c r="N49" i="9" s="1"/>
  <c r="B49" i="9"/>
  <c r="Z48" i="9"/>
  <c r="X48" i="9"/>
  <c r="L48" i="9"/>
  <c r="N48" i="9" s="1"/>
  <c r="B48" i="9"/>
  <c r="T47" i="9"/>
  <c r="P47" i="9"/>
  <c r="H47" i="9"/>
  <c r="D47" i="9"/>
  <c r="L47" i="9" s="1"/>
  <c r="B47" i="9"/>
  <c r="Z46" i="9"/>
  <c r="X46" i="9"/>
  <c r="L46" i="9"/>
  <c r="N46" i="9" s="1"/>
  <c r="B46" i="9"/>
  <c r="T45" i="9"/>
  <c r="Z45" i="9" s="1"/>
  <c r="P45" i="9"/>
  <c r="X45" i="9" s="1"/>
  <c r="H45" i="9"/>
  <c r="D45" i="9"/>
  <c r="L45" i="9" s="1"/>
  <c r="N45" i="9" s="1"/>
  <c r="B45" i="9"/>
  <c r="X44" i="9"/>
  <c r="Z44" i="9" s="1"/>
  <c r="R44" i="9"/>
  <c r="N44" i="9"/>
  <c r="L44" i="9"/>
  <c r="B44" i="9"/>
  <c r="X43" i="9"/>
  <c r="Z43" i="9" s="1"/>
  <c r="V43" i="9"/>
  <c r="T43" i="9"/>
  <c r="P43" i="9"/>
  <c r="N43" i="9"/>
  <c r="L43" i="9"/>
  <c r="H43" i="9"/>
  <c r="D43" i="9"/>
  <c r="B43" i="9"/>
  <c r="Z42" i="9"/>
  <c r="X42" i="9"/>
  <c r="R42" i="9"/>
  <c r="N42" i="9"/>
  <c r="L42" i="9"/>
  <c r="B42" i="9"/>
  <c r="Z41" i="9"/>
  <c r="X41" i="9"/>
  <c r="V41" i="9"/>
  <c r="N41" i="9"/>
  <c r="L41" i="9"/>
  <c r="F41" i="9"/>
  <c r="B41" i="9"/>
  <c r="Z40" i="9"/>
  <c r="X40" i="9"/>
  <c r="L40" i="9"/>
  <c r="N40" i="9" s="1"/>
  <c r="B40" i="9"/>
  <c r="X39" i="9"/>
  <c r="Z39" i="9" s="1"/>
  <c r="N39" i="9"/>
  <c r="L39" i="9"/>
  <c r="B39" i="9"/>
  <c r="Z38" i="9"/>
  <c r="X38" i="9"/>
  <c r="N38" i="9"/>
  <c r="L38" i="9"/>
  <c r="B38" i="9"/>
  <c r="X37" i="9"/>
  <c r="Z37" i="9" s="1"/>
  <c r="N37" i="9"/>
  <c r="L37" i="9"/>
  <c r="B37" i="9"/>
  <c r="Z36" i="9"/>
  <c r="X36" i="9"/>
  <c r="L36" i="9"/>
  <c r="N36" i="9" s="1"/>
  <c r="B36" i="9"/>
  <c r="Z35" i="9"/>
  <c r="X35" i="9"/>
  <c r="V35" i="9"/>
  <c r="N35" i="9"/>
  <c r="L35" i="9"/>
  <c r="B35" i="9"/>
  <c r="Z34" i="9"/>
  <c r="X34" i="9"/>
  <c r="N34" i="9"/>
  <c r="L34" i="9"/>
  <c r="B34" i="9"/>
  <c r="X33" i="9"/>
  <c r="Z33" i="9" s="1"/>
  <c r="N33" i="9"/>
  <c r="L33" i="9"/>
  <c r="B33" i="9"/>
  <c r="T32" i="9"/>
  <c r="P32" i="9"/>
  <c r="X32" i="9" s="1"/>
  <c r="Z32" i="9" s="1"/>
  <c r="H32" i="9"/>
  <c r="D32" i="9"/>
  <c r="L32" i="9" s="1"/>
  <c r="N32" i="9" s="1"/>
  <c r="B32" i="9"/>
  <c r="Z31" i="9"/>
  <c r="X31" i="9"/>
  <c r="N31" i="9"/>
  <c r="L31" i="9"/>
  <c r="B31" i="9"/>
  <c r="Z30" i="9"/>
  <c r="X30" i="9"/>
  <c r="N30" i="9"/>
  <c r="L30" i="9"/>
  <c r="B30" i="9"/>
  <c r="X29" i="9"/>
  <c r="Z29" i="9" s="1"/>
  <c r="L29" i="9"/>
  <c r="N29" i="9" s="1"/>
  <c r="B29" i="9"/>
  <c r="X28" i="9"/>
  <c r="Z28" i="9" s="1"/>
  <c r="L28" i="9"/>
  <c r="N28" i="9" s="1"/>
  <c r="B28" i="9"/>
  <c r="Z27" i="9"/>
  <c r="X27" i="9"/>
  <c r="N27" i="9"/>
  <c r="L27" i="9"/>
  <c r="B27" i="9"/>
  <c r="X26" i="9"/>
  <c r="Z26" i="9" s="1"/>
  <c r="N26" i="9"/>
  <c r="L26" i="9"/>
  <c r="F26" i="9"/>
  <c r="B26" i="9"/>
  <c r="Z25" i="9"/>
  <c r="X25" i="9"/>
  <c r="L25" i="9"/>
  <c r="N25" i="9" s="1"/>
  <c r="B25" i="9"/>
  <c r="X24" i="9"/>
  <c r="Z24" i="9" s="1"/>
  <c r="V24" i="9"/>
  <c r="R24" i="9"/>
  <c r="N24" i="9"/>
  <c r="L24" i="9"/>
  <c r="B24" i="9"/>
  <c r="Z23" i="9"/>
  <c r="X23" i="9"/>
  <c r="L23" i="9"/>
  <c r="N23" i="9" s="1"/>
  <c r="B23" i="9"/>
  <c r="X22" i="9"/>
  <c r="Z22" i="9" s="1"/>
  <c r="R22" i="9"/>
  <c r="L22" i="9"/>
  <c r="N22" i="9" s="1"/>
  <c r="B22" i="9"/>
  <c r="Z21" i="9"/>
  <c r="X21" i="9"/>
  <c r="N21" i="9"/>
  <c r="L21" i="9"/>
  <c r="B21" i="9"/>
  <c r="V20" i="9"/>
  <c r="T20" i="9"/>
  <c r="P20" i="9"/>
  <c r="X20" i="9" s="1"/>
  <c r="H20" i="9"/>
  <c r="D20" i="9"/>
  <c r="B20" i="9"/>
  <c r="X19" i="9"/>
  <c r="V19" i="9"/>
  <c r="T19" i="9"/>
  <c r="Z19" i="9" s="1"/>
  <c r="P19" i="9"/>
  <c r="H19" i="9"/>
  <c r="D19" i="9"/>
  <c r="L19" i="9" s="1"/>
  <c r="N19" i="9" s="1"/>
  <c r="V17" i="9"/>
  <c r="X15" i="9"/>
  <c r="V15" i="9"/>
  <c r="T15" i="9"/>
  <c r="T17" i="9" s="1"/>
  <c r="P15" i="9"/>
  <c r="N15" i="9"/>
  <c r="J15" i="9"/>
  <c r="H15" i="9"/>
  <c r="D15" i="9"/>
  <c r="L15" i="9" s="1"/>
  <c r="X13" i="9"/>
  <c r="Z13" i="9" s="1"/>
  <c r="P13" i="9"/>
  <c r="P12" i="9" s="1"/>
  <c r="N13" i="9"/>
  <c r="D13" i="9"/>
  <c r="L13" i="9" s="1"/>
  <c r="B13" i="9"/>
  <c r="X12" i="9"/>
  <c r="T12" i="9"/>
  <c r="V80" i="9" s="1"/>
  <c r="H12" i="9"/>
  <c r="J96" i="9" s="1"/>
  <c r="D12" i="9"/>
  <c r="D4" i="9"/>
  <c r="V31" i="6"/>
  <c r="R31" i="6"/>
  <c r="V29" i="6"/>
  <c r="T29" i="6"/>
  <c r="R29" i="6"/>
  <c r="P29" i="6"/>
  <c r="X29" i="6" s="1"/>
  <c r="Z29" i="6" s="1"/>
  <c r="J29" i="6"/>
  <c r="H29" i="6"/>
  <c r="L29" i="6" s="1"/>
  <c r="D29" i="6"/>
  <c r="V28" i="6"/>
  <c r="T28" i="6"/>
  <c r="R28" i="6"/>
  <c r="P28" i="6"/>
  <c r="X28" i="6" s="1"/>
  <c r="Z28" i="6" s="1"/>
  <c r="H28" i="6"/>
  <c r="D28" i="6"/>
  <c r="Z26" i="6"/>
  <c r="V26" i="6"/>
  <c r="R26" i="6"/>
  <c r="Z24" i="6"/>
  <c r="X24" i="6"/>
  <c r="V24" i="6"/>
  <c r="N24" i="6"/>
  <c r="L24" i="6"/>
  <c r="F24" i="6"/>
  <c r="Z22" i="6"/>
  <c r="R22" i="6"/>
  <c r="Z20" i="6"/>
  <c r="X20" i="6"/>
  <c r="T20" i="6"/>
  <c r="R20" i="6"/>
  <c r="P20" i="6"/>
  <c r="N20" i="6"/>
  <c r="H20" i="6"/>
  <c r="D20" i="6"/>
  <c r="L20" i="6" s="1"/>
  <c r="Z18" i="6"/>
  <c r="X18" i="6"/>
  <c r="T18" i="6"/>
  <c r="R18" i="6"/>
  <c r="P18" i="6"/>
  <c r="N18" i="6"/>
  <c r="H18" i="6"/>
  <c r="D18" i="6"/>
  <c r="L18" i="6" s="1"/>
  <c r="R16" i="6"/>
  <c r="D16" i="6"/>
  <c r="Z14" i="6"/>
  <c r="X14" i="6"/>
  <c r="T14" i="6"/>
  <c r="T16" i="6" s="1"/>
  <c r="T22" i="6" s="1"/>
  <c r="T26" i="6" s="1"/>
  <c r="T31" i="6" s="1"/>
  <c r="R14" i="6"/>
  <c r="P14" i="6"/>
  <c r="N14" i="6"/>
  <c r="H14" i="6"/>
  <c r="D14" i="6"/>
  <c r="L14" i="6" s="1"/>
  <c r="Z12" i="6"/>
  <c r="X12" i="6"/>
  <c r="T12" i="6"/>
  <c r="V22" i="6" s="1"/>
  <c r="P12" i="6"/>
  <c r="P16" i="6" s="1"/>
  <c r="P22" i="6" s="1"/>
  <c r="P26" i="6" s="1"/>
  <c r="H12" i="6"/>
  <c r="J26" i="6" s="1"/>
  <c r="D12" i="6"/>
  <c r="F31" i="6" s="1"/>
  <c r="D4" i="6"/>
  <c r="T337" i="3"/>
  <c r="P337" i="3"/>
  <c r="X337" i="3" s="1"/>
  <c r="Z337" i="3" s="1"/>
  <c r="L337" i="3"/>
  <c r="H337" i="3"/>
  <c r="D337" i="3"/>
  <c r="T336" i="3"/>
  <c r="P336" i="3"/>
  <c r="X336" i="3" s="1"/>
  <c r="Z336" i="3" s="1"/>
  <c r="H336" i="3"/>
  <c r="L336" i="3" s="1"/>
  <c r="D336" i="3"/>
  <c r="X332" i="3"/>
  <c r="Z332" i="3" s="1"/>
  <c r="L332" i="3"/>
  <c r="N332" i="3" s="1"/>
  <c r="Z328" i="3"/>
  <c r="P328" i="3"/>
  <c r="X328" i="3" s="1"/>
  <c r="N328" i="3"/>
  <c r="L328" i="3"/>
  <c r="D328" i="3"/>
  <c r="B328" i="3"/>
  <c r="Z327" i="3"/>
  <c r="X327" i="3"/>
  <c r="P327" i="3"/>
  <c r="N327" i="3"/>
  <c r="J327" i="3"/>
  <c r="D327" i="3"/>
  <c r="L327" i="3" s="1"/>
  <c r="B327" i="3"/>
  <c r="X326" i="3"/>
  <c r="Z326" i="3" s="1"/>
  <c r="P326" i="3"/>
  <c r="L326" i="3"/>
  <c r="N326" i="3" s="1"/>
  <c r="D326" i="3"/>
  <c r="B326" i="3"/>
  <c r="Z325" i="3"/>
  <c r="V325" i="3"/>
  <c r="P325" i="3"/>
  <c r="X325" i="3" s="1"/>
  <c r="N325" i="3"/>
  <c r="D325" i="3"/>
  <c r="L325" i="3" s="1"/>
  <c r="B325" i="3"/>
  <c r="Z324" i="3"/>
  <c r="X324" i="3"/>
  <c r="P324" i="3"/>
  <c r="N324" i="3"/>
  <c r="D324" i="3"/>
  <c r="L324" i="3" s="1"/>
  <c r="B324" i="3"/>
  <c r="X323" i="3"/>
  <c r="Z323" i="3" s="1"/>
  <c r="P323" i="3"/>
  <c r="D323" i="3"/>
  <c r="L323" i="3" s="1"/>
  <c r="N323" i="3" s="1"/>
  <c r="B323" i="3"/>
  <c r="Z322" i="3"/>
  <c r="X322" i="3"/>
  <c r="V322" i="3"/>
  <c r="P322" i="3"/>
  <c r="N322" i="3"/>
  <c r="L322" i="3"/>
  <c r="D322" i="3"/>
  <c r="B322" i="3"/>
  <c r="Z321" i="3"/>
  <c r="P321" i="3"/>
  <c r="X321" i="3" s="1"/>
  <c r="N321" i="3"/>
  <c r="L321" i="3"/>
  <c r="D321" i="3"/>
  <c r="B321" i="3"/>
  <c r="Z320" i="3"/>
  <c r="X320" i="3"/>
  <c r="P320" i="3"/>
  <c r="N320" i="3"/>
  <c r="J320" i="3"/>
  <c r="D320" i="3"/>
  <c r="L320" i="3" s="1"/>
  <c r="B320" i="3"/>
  <c r="Z319" i="3"/>
  <c r="X319" i="3"/>
  <c r="P319" i="3"/>
  <c r="N319" i="3"/>
  <c r="J319" i="3"/>
  <c r="D319" i="3"/>
  <c r="L319" i="3" s="1"/>
  <c r="B319" i="3"/>
  <c r="Z318" i="3"/>
  <c r="P318" i="3"/>
  <c r="X318" i="3" s="1"/>
  <c r="N318" i="3"/>
  <c r="D318" i="3"/>
  <c r="D315" i="3" s="1"/>
  <c r="L315" i="3" s="1"/>
  <c r="N315" i="3" s="1"/>
  <c r="B318" i="3"/>
  <c r="Z317" i="3"/>
  <c r="P317" i="3"/>
  <c r="X317" i="3" s="1"/>
  <c r="N317" i="3"/>
  <c r="L317" i="3"/>
  <c r="D317" i="3"/>
  <c r="B317" i="3"/>
  <c r="Z316" i="3"/>
  <c r="X316" i="3"/>
  <c r="V316" i="3"/>
  <c r="P316" i="3"/>
  <c r="N316" i="3"/>
  <c r="D316" i="3"/>
  <c r="L316" i="3" s="1"/>
  <c r="B316" i="3"/>
  <c r="T315" i="3"/>
  <c r="V315" i="3" s="1"/>
  <c r="P315" i="3"/>
  <c r="X315" i="3" s="1"/>
  <c r="H315" i="3"/>
  <c r="X313" i="3"/>
  <c r="Z313" i="3" s="1"/>
  <c r="L313" i="3"/>
  <c r="N313" i="3" s="1"/>
  <c r="J313" i="3"/>
  <c r="B313" i="3"/>
  <c r="T312" i="3"/>
  <c r="P312" i="3"/>
  <c r="X312" i="3" s="1"/>
  <c r="H312" i="3"/>
  <c r="J312" i="3" s="1"/>
  <c r="D312" i="3"/>
  <c r="B312" i="3"/>
  <c r="Z311" i="3"/>
  <c r="X311" i="3"/>
  <c r="L311" i="3"/>
  <c r="N311" i="3" s="1"/>
  <c r="B311" i="3"/>
  <c r="X310" i="3"/>
  <c r="Z310" i="3" s="1"/>
  <c r="N310" i="3"/>
  <c r="L310" i="3"/>
  <c r="B310" i="3"/>
  <c r="X309" i="3"/>
  <c r="Z309" i="3" s="1"/>
  <c r="L309" i="3"/>
  <c r="N309" i="3" s="1"/>
  <c r="B309" i="3"/>
  <c r="X308" i="3"/>
  <c r="Z308" i="3" s="1"/>
  <c r="T308" i="3"/>
  <c r="P308" i="3"/>
  <c r="L308" i="3"/>
  <c r="N308" i="3" s="1"/>
  <c r="J308" i="3"/>
  <c r="H308" i="3"/>
  <c r="D308" i="3"/>
  <c r="B308" i="3"/>
  <c r="X307" i="3"/>
  <c r="Z307" i="3" s="1"/>
  <c r="L307" i="3"/>
  <c r="N307" i="3" s="1"/>
  <c r="J307" i="3"/>
  <c r="B307" i="3"/>
  <c r="T306" i="3"/>
  <c r="X306" i="3" s="1"/>
  <c r="Z306" i="3" s="1"/>
  <c r="P306" i="3"/>
  <c r="H306" i="3"/>
  <c r="J306" i="3" s="1"/>
  <c r="D306" i="3"/>
  <c r="L306" i="3" s="1"/>
  <c r="B306" i="3"/>
  <c r="Z305" i="3"/>
  <c r="X305" i="3"/>
  <c r="L305" i="3"/>
  <c r="N305" i="3" s="1"/>
  <c r="B305" i="3"/>
  <c r="Z304" i="3"/>
  <c r="X304" i="3"/>
  <c r="L304" i="3"/>
  <c r="N304" i="3" s="1"/>
  <c r="B304" i="3"/>
  <c r="T303" i="3"/>
  <c r="V303" i="3" s="1"/>
  <c r="P303" i="3"/>
  <c r="H303" i="3"/>
  <c r="D303" i="3"/>
  <c r="L303" i="3" s="1"/>
  <c r="B303" i="3"/>
  <c r="X302" i="3"/>
  <c r="Z302" i="3" s="1"/>
  <c r="V302" i="3"/>
  <c r="N302" i="3"/>
  <c r="L302" i="3"/>
  <c r="B302" i="3"/>
  <c r="X301" i="3"/>
  <c r="Z301" i="3" s="1"/>
  <c r="L301" i="3"/>
  <c r="N301" i="3" s="1"/>
  <c r="B301" i="3"/>
  <c r="X300" i="3"/>
  <c r="Z300" i="3" s="1"/>
  <c r="N300" i="3"/>
  <c r="L300" i="3"/>
  <c r="J300" i="3"/>
  <c r="B300" i="3"/>
  <c r="X299" i="3"/>
  <c r="Z299" i="3" s="1"/>
  <c r="L299" i="3"/>
  <c r="N299" i="3" s="1"/>
  <c r="B299" i="3"/>
  <c r="X298" i="3"/>
  <c r="Z298" i="3" s="1"/>
  <c r="V298" i="3"/>
  <c r="N298" i="3"/>
  <c r="L298" i="3"/>
  <c r="B298" i="3"/>
  <c r="X297" i="3"/>
  <c r="Z297" i="3" s="1"/>
  <c r="L297" i="3"/>
  <c r="N297" i="3" s="1"/>
  <c r="B297" i="3"/>
  <c r="X296" i="3"/>
  <c r="Z296" i="3" s="1"/>
  <c r="N296" i="3"/>
  <c r="L296" i="3"/>
  <c r="J296" i="3"/>
  <c r="B296" i="3"/>
  <c r="X295" i="3"/>
  <c r="Z295" i="3" s="1"/>
  <c r="L295" i="3"/>
  <c r="N295" i="3" s="1"/>
  <c r="B295" i="3"/>
  <c r="X294" i="3"/>
  <c r="Z294" i="3" s="1"/>
  <c r="V294" i="3"/>
  <c r="N294" i="3"/>
  <c r="L294" i="3"/>
  <c r="B294" i="3"/>
  <c r="Z293" i="3"/>
  <c r="X293" i="3"/>
  <c r="N293" i="3"/>
  <c r="L293" i="3"/>
  <c r="B293" i="3"/>
  <c r="X292" i="3"/>
  <c r="Z292" i="3" s="1"/>
  <c r="N292" i="3"/>
  <c r="L292" i="3"/>
  <c r="J292" i="3"/>
  <c r="B292" i="3"/>
  <c r="T291" i="3"/>
  <c r="Z291" i="3" s="1"/>
  <c r="P291" i="3"/>
  <c r="X291" i="3" s="1"/>
  <c r="H291" i="3"/>
  <c r="D291" i="3"/>
  <c r="L291" i="3" s="1"/>
  <c r="B291" i="3"/>
  <c r="Z290" i="3"/>
  <c r="X290" i="3"/>
  <c r="N290" i="3"/>
  <c r="L290" i="3"/>
  <c r="B290" i="3"/>
  <c r="X289" i="3"/>
  <c r="Z289" i="3" s="1"/>
  <c r="N289" i="3"/>
  <c r="L289" i="3"/>
  <c r="B289" i="3"/>
  <c r="T288" i="3"/>
  <c r="V288" i="3" s="1"/>
  <c r="P288" i="3"/>
  <c r="X288" i="3" s="1"/>
  <c r="N288" i="3"/>
  <c r="L288" i="3"/>
  <c r="H288" i="3"/>
  <c r="D288" i="3"/>
  <c r="B288" i="3"/>
  <c r="X287" i="3"/>
  <c r="Z287" i="3" s="1"/>
  <c r="V287" i="3"/>
  <c r="L287" i="3"/>
  <c r="N287" i="3" s="1"/>
  <c r="B287" i="3"/>
  <c r="Z286" i="3"/>
  <c r="X286" i="3"/>
  <c r="L286" i="3"/>
  <c r="N286" i="3" s="1"/>
  <c r="J286" i="3"/>
  <c r="B286" i="3"/>
  <c r="Z285" i="3"/>
  <c r="X285" i="3"/>
  <c r="L285" i="3"/>
  <c r="N285" i="3" s="1"/>
  <c r="B285" i="3"/>
  <c r="Z284" i="3"/>
  <c r="X284" i="3"/>
  <c r="L284" i="3"/>
  <c r="N284" i="3" s="1"/>
  <c r="B284" i="3"/>
  <c r="X283" i="3"/>
  <c r="Z283" i="3" s="1"/>
  <c r="V283" i="3"/>
  <c r="L283" i="3"/>
  <c r="N283" i="3" s="1"/>
  <c r="B283" i="3"/>
  <c r="Z282" i="3"/>
  <c r="X282" i="3"/>
  <c r="N282" i="3"/>
  <c r="L282" i="3"/>
  <c r="J282" i="3"/>
  <c r="B282" i="3"/>
  <c r="T281" i="3"/>
  <c r="Z281" i="3" s="1"/>
  <c r="P281" i="3"/>
  <c r="X281" i="3" s="1"/>
  <c r="H281" i="3"/>
  <c r="D281" i="3"/>
  <c r="B281" i="3"/>
  <c r="X280" i="3"/>
  <c r="Z280" i="3" s="1"/>
  <c r="N280" i="3"/>
  <c r="L280" i="3"/>
  <c r="J280" i="3"/>
  <c r="B280" i="3"/>
  <c r="X279" i="3"/>
  <c r="Z279" i="3" s="1"/>
  <c r="L279" i="3"/>
  <c r="N279" i="3" s="1"/>
  <c r="B279" i="3"/>
  <c r="X278" i="3"/>
  <c r="Z278" i="3" s="1"/>
  <c r="V278" i="3"/>
  <c r="N278" i="3"/>
  <c r="L278" i="3"/>
  <c r="B278" i="3"/>
  <c r="X277" i="3"/>
  <c r="Z277" i="3" s="1"/>
  <c r="L277" i="3"/>
  <c r="N277" i="3" s="1"/>
  <c r="B277" i="3"/>
  <c r="X276" i="3"/>
  <c r="Z276" i="3" s="1"/>
  <c r="T276" i="3"/>
  <c r="P276" i="3"/>
  <c r="L276" i="3"/>
  <c r="N276" i="3" s="1"/>
  <c r="J276" i="3"/>
  <c r="H276" i="3"/>
  <c r="D276" i="3"/>
  <c r="B276" i="3"/>
  <c r="X275" i="3"/>
  <c r="Z275" i="3" s="1"/>
  <c r="L275" i="3"/>
  <c r="N275" i="3" s="1"/>
  <c r="J275" i="3"/>
  <c r="B275" i="3"/>
  <c r="Z274" i="3"/>
  <c r="X274" i="3"/>
  <c r="N274" i="3"/>
  <c r="L274" i="3"/>
  <c r="B274" i="3"/>
  <c r="X273" i="3"/>
  <c r="Z273" i="3" s="1"/>
  <c r="N273" i="3"/>
  <c r="L273" i="3"/>
  <c r="B273" i="3"/>
  <c r="Z272" i="3"/>
  <c r="X272" i="3"/>
  <c r="V272" i="3"/>
  <c r="N272" i="3"/>
  <c r="L272" i="3"/>
  <c r="B272" i="3"/>
  <c r="T271" i="3"/>
  <c r="P271" i="3"/>
  <c r="X271" i="3" s="1"/>
  <c r="Z271" i="3" s="1"/>
  <c r="L271" i="3"/>
  <c r="N271" i="3" s="1"/>
  <c r="H271" i="3"/>
  <c r="D271" i="3"/>
  <c r="B271" i="3"/>
  <c r="Z270" i="3"/>
  <c r="X270" i="3"/>
  <c r="L270" i="3"/>
  <c r="N270" i="3" s="1"/>
  <c r="J270" i="3"/>
  <c r="B270" i="3"/>
  <c r="T269" i="3"/>
  <c r="Z269" i="3" s="1"/>
  <c r="P269" i="3"/>
  <c r="X269" i="3" s="1"/>
  <c r="H269" i="3"/>
  <c r="J269" i="3" s="1"/>
  <c r="D269" i="3"/>
  <c r="B269" i="3"/>
  <c r="X268" i="3"/>
  <c r="Z268" i="3" s="1"/>
  <c r="N268" i="3"/>
  <c r="L268" i="3"/>
  <c r="J268" i="3"/>
  <c r="B268" i="3"/>
  <c r="T267" i="3"/>
  <c r="P267" i="3"/>
  <c r="X267" i="3" s="1"/>
  <c r="H267" i="3"/>
  <c r="N267" i="3" s="1"/>
  <c r="D267" i="3"/>
  <c r="L267" i="3" s="1"/>
  <c r="B267" i="3"/>
  <c r="Z266" i="3"/>
  <c r="X266" i="3"/>
  <c r="N266" i="3"/>
  <c r="L266" i="3"/>
  <c r="B266" i="3"/>
  <c r="X265" i="3"/>
  <c r="Z265" i="3" s="1"/>
  <c r="T265" i="3"/>
  <c r="P265" i="3"/>
  <c r="H265" i="3"/>
  <c r="D265" i="3"/>
  <c r="L265" i="3" s="1"/>
  <c r="N265" i="3" s="1"/>
  <c r="B265" i="3"/>
  <c r="Z264" i="3"/>
  <c r="X264" i="3"/>
  <c r="L264" i="3"/>
  <c r="N264" i="3" s="1"/>
  <c r="B264" i="3"/>
  <c r="T263" i="3"/>
  <c r="P263" i="3"/>
  <c r="H263" i="3"/>
  <c r="N263" i="3" s="1"/>
  <c r="D263" i="3"/>
  <c r="L263" i="3" s="1"/>
  <c r="B263" i="3"/>
  <c r="X262" i="3"/>
  <c r="Z262" i="3" s="1"/>
  <c r="V262" i="3"/>
  <c r="N262" i="3"/>
  <c r="L262" i="3"/>
  <c r="B262" i="3"/>
  <c r="T261" i="3"/>
  <c r="P261" i="3"/>
  <c r="X261" i="3" s="1"/>
  <c r="H261" i="3"/>
  <c r="N261" i="3" s="1"/>
  <c r="D261" i="3"/>
  <c r="L261" i="3" s="1"/>
  <c r="B261" i="3"/>
  <c r="Z260" i="3"/>
  <c r="X260" i="3"/>
  <c r="V260" i="3"/>
  <c r="N260" i="3"/>
  <c r="L260" i="3"/>
  <c r="B260" i="3"/>
  <c r="T259" i="3"/>
  <c r="P259" i="3"/>
  <c r="X259" i="3" s="1"/>
  <c r="Z259" i="3" s="1"/>
  <c r="L259" i="3"/>
  <c r="N259" i="3" s="1"/>
  <c r="H259" i="3"/>
  <c r="D259" i="3"/>
  <c r="B259" i="3"/>
  <c r="X258" i="3"/>
  <c r="Z258" i="3" s="1"/>
  <c r="L258" i="3"/>
  <c r="N258" i="3" s="1"/>
  <c r="J258" i="3"/>
  <c r="B258" i="3"/>
  <c r="Z257" i="3"/>
  <c r="X257" i="3"/>
  <c r="L257" i="3"/>
  <c r="N257" i="3" s="1"/>
  <c r="B257" i="3"/>
  <c r="T256" i="3"/>
  <c r="P256" i="3"/>
  <c r="H256" i="3"/>
  <c r="D256" i="3"/>
  <c r="L256" i="3" s="1"/>
  <c r="N256" i="3" s="1"/>
  <c r="B256" i="3"/>
  <c r="X255" i="3"/>
  <c r="Z255" i="3" s="1"/>
  <c r="L255" i="3"/>
  <c r="N255" i="3" s="1"/>
  <c r="B255" i="3"/>
  <c r="X254" i="3"/>
  <c r="Z254" i="3" s="1"/>
  <c r="V254" i="3"/>
  <c r="N254" i="3"/>
  <c r="L254" i="3"/>
  <c r="B254" i="3"/>
  <c r="T253" i="3"/>
  <c r="P253" i="3"/>
  <c r="X253" i="3" s="1"/>
  <c r="H253" i="3"/>
  <c r="D253" i="3"/>
  <c r="L253" i="3" s="1"/>
  <c r="B253" i="3"/>
  <c r="Z252" i="3"/>
  <c r="X252" i="3"/>
  <c r="V252" i="3"/>
  <c r="N252" i="3"/>
  <c r="L252" i="3"/>
  <c r="B252" i="3"/>
  <c r="T251" i="3"/>
  <c r="P251" i="3"/>
  <c r="X251" i="3" s="1"/>
  <c r="Z251" i="3" s="1"/>
  <c r="L251" i="3"/>
  <c r="N251" i="3" s="1"/>
  <c r="H251" i="3"/>
  <c r="D251" i="3"/>
  <c r="B251" i="3"/>
  <c r="Z250" i="3"/>
  <c r="X250" i="3"/>
  <c r="L250" i="3"/>
  <c r="N250" i="3" s="1"/>
  <c r="J250" i="3"/>
  <c r="B250" i="3"/>
  <c r="T249" i="3"/>
  <c r="P249" i="3"/>
  <c r="X249" i="3" s="1"/>
  <c r="H249" i="3"/>
  <c r="J249" i="3" s="1"/>
  <c r="D249" i="3"/>
  <c r="B249" i="3"/>
  <c r="X248" i="3"/>
  <c r="Z248" i="3" s="1"/>
  <c r="V248" i="3"/>
  <c r="N248" i="3"/>
  <c r="L248" i="3"/>
  <c r="J248" i="3"/>
  <c r="B248" i="3"/>
  <c r="X247" i="3"/>
  <c r="Z247" i="3" s="1"/>
  <c r="L247" i="3"/>
  <c r="N247" i="3" s="1"/>
  <c r="B247" i="3"/>
  <c r="X246" i="3"/>
  <c r="Z246" i="3" s="1"/>
  <c r="V246" i="3"/>
  <c r="N246" i="3"/>
  <c r="L246" i="3"/>
  <c r="B246" i="3"/>
  <c r="T245" i="3"/>
  <c r="Z245" i="3" s="1"/>
  <c r="P245" i="3"/>
  <c r="X245" i="3" s="1"/>
  <c r="H245" i="3"/>
  <c r="N245" i="3" s="1"/>
  <c r="D245" i="3"/>
  <c r="L245" i="3" s="1"/>
  <c r="B245" i="3"/>
  <c r="Z244" i="3"/>
  <c r="X244" i="3"/>
  <c r="V244" i="3"/>
  <c r="N244" i="3"/>
  <c r="L244" i="3"/>
  <c r="B244" i="3"/>
  <c r="X243" i="3"/>
  <c r="Z243" i="3" s="1"/>
  <c r="L243" i="3"/>
  <c r="N243" i="3" s="1"/>
  <c r="J243" i="3"/>
  <c r="B243" i="3"/>
  <c r="Z242" i="3"/>
  <c r="X242" i="3"/>
  <c r="T242" i="3"/>
  <c r="P242" i="3"/>
  <c r="H242" i="3"/>
  <c r="J242" i="3" s="1"/>
  <c r="D242" i="3"/>
  <c r="L242" i="3" s="1"/>
  <c r="B242" i="3"/>
  <c r="Z241" i="3"/>
  <c r="X241" i="3"/>
  <c r="L241" i="3"/>
  <c r="N241" i="3" s="1"/>
  <c r="B241" i="3"/>
  <c r="Z240" i="3"/>
  <c r="X240" i="3"/>
  <c r="L240" i="3"/>
  <c r="N240" i="3" s="1"/>
  <c r="B240" i="3"/>
  <c r="X239" i="3"/>
  <c r="Z239" i="3" s="1"/>
  <c r="V239" i="3"/>
  <c r="L239" i="3"/>
  <c r="N239" i="3" s="1"/>
  <c r="B239" i="3"/>
  <c r="Z238" i="3"/>
  <c r="X238" i="3"/>
  <c r="L238" i="3"/>
  <c r="N238" i="3" s="1"/>
  <c r="J238" i="3"/>
  <c r="B238" i="3"/>
  <c r="T237" i="3"/>
  <c r="P237" i="3"/>
  <c r="X237" i="3" s="1"/>
  <c r="H237" i="3"/>
  <c r="L237" i="3" s="1"/>
  <c r="D237" i="3"/>
  <c r="B237" i="3"/>
  <c r="X236" i="3"/>
  <c r="Z236" i="3" s="1"/>
  <c r="V236" i="3"/>
  <c r="N236" i="3"/>
  <c r="L236" i="3"/>
  <c r="J236" i="3"/>
  <c r="B236" i="3"/>
  <c r="T235" i="3"/>
  <c r="Z235" i="3" s="1"/>
  <c r="P235" i="3"/>
  <c r="X235" i="3" s="1"/>
  <c r="H235" i="3"/>
  <c r="D235" i="3"/>
  <c r="L235" i="3" s="1"/>
  <c r="B235" i="3"/>
  <c r="Z234" i="3"/>
  <c r="X234" i="3"/>
  <c r="N234" i="3"/>
  <c r="L234" i="3"/>
  <c r="B234" i="3"/>
  <c r="X233" i="3"/>
  <c r="Z233" i="3" s="1"/>
  <c r="N233" i="3"/>
  <c r="L233" i="3"/>
  <c r="B233" i="3"/>
  <c r="T232" i="3"/>
  <c r="V232" i="3" s="1"/>
  <c r="P232" i="3"/>
  <c r="X232" i="3" s="1"/>
  <c r="N232" i="3"/>
  <c r="L232" i="3"/>
  <c r="H232" i="3"/>
  <c r="D232" i="3"/>
  <c r="B232" i="3"/>
  <c r="X231" i="3"/>
  <c r="Z231" i="3" s="1"/>
  <c r="V231" i="3"/>
  <c r="L231" i="3"/>
  <c r="N231" i="3" s="1"/>
  <c r="B231" i="3"/>
  <c r="T230" i="3"/>
  <c r="P230" i="3"/>
  <c r="X230" i="3" s="1"/>
  <c r="Z230" i="3" s="1"/>
  <c r="H230" i="3"/>
  <c r="D230" i="3"/>
  <c r="L230" i="3" s="1"/>
  <c r="N230" i="3" s="1"/>
  <c r="B230" i="3"/>
  <c r="Z229" i="3"/>
  <c r="X229" i="3"/>
  <c r="N229" i="3"/>
  <c r="L229" i="3"/>
  <c r="B229" i="3"/>
  <c r="Z228" i="3"/>
  <c r="X228" i="3"/>
  <c r="V228" i="3"/>
  <c r="N228" i="3"/>
  <c r="L228" i="3"/>
  <c r="J228" i="3"/>
  <c r="B228" i="3"/>
  <c r="X227" i="3"/>
  <c r="Z227" i="3" s="1"/>
  <c r="L227" i="3"/>
  <c r="N227" i="3" s="1"/>
  <c r="B227" i="3"/>
  <c r="X226" i="3"/>
  <c r="Z226" i="3" s="1"/>
  <c r="V226" i="3"/>
  <c r="N226" i="3"/>
  <c r="L226" i="3"/>
  <c r="B226" i="3"/>
  <c r="Z225" i="3"/>
  <c r="X225" i="3"/>
  <c r="N225" i="3"/>
  <c r="L225" i="3"/>
  <c r="B225" i="3"/>
  <c r="X224" i="3"/>
  <c r="Z224" i="3" s="1"/>
  <c r="V224" i="3"/>
  <c r="N224" i="3"/>
  <c r="L224" i="3"/>
  <c r="J224" i="3"/>
  <c r="B224" i="3"/>
  <c r="X223" i="3"/>
  <c r="Z223" i="3" s="1"/>
  <c r="L223" i="3"/>
  <c r="N223" i="3" s="1"/>
  <c r="B223" i="3"/>
  <c r="Z222" i="3"/>
  <c r="X222" i="3"/>
  <c r="V222" i="3"/>
  <c r="N222" i="3"/>
  <c r="L222" i="3"/>
  <c r="B222" i="3"/>
  <c r="X221" i="3"/>
  <c r="Z221" i="3" s="1"/>
  <c r="L221" i="3"/>
  <c r="N221" i="3" s="1"/>
  <c r="B221" i="3"/>
  <c r="X220" i="3"/>
  <c r="Z220" i="3" s="1"/>
  <c r="V220" i="3"/>
  <c r="N220" i="3"/>
  <c r="L220" i="3"/>
  <c r="J220" i="3"/>
  <c r="B220" i="3"/>
  <c r="T219" i="3"/>
  <c r="P219" i="3"/>
  <c r="X219" i="3" s="1"/>
  <c r="H219" i="3"/>
  <c r="D219" i="3"/>
  <c r="L219" i="3" s="1"/>
  <c r="B219" i="3"/>
  <c r="Z218" i="3"/>
  <c r="X218" i="3"/>
  <c r="N218" i="3"/>
  <c r="L218" i="3"/>
  <c r="B218" i="3"/>
  <c r="X217" i="3"/>
  <c r="Z217" i="3" s="1"/>
  <c r="N217" i="3"/>
  <c r="L217" i="3"/>
  <c r="B217" i="3"/>
  <c r="Z216" i="3"/>
  <c r="X216" i="3"/>
  <c r="V216" i="3"/>
  <c r="N216" i="3"/>
  <c r="L216" i="3"/>
  <c r="B216" i="3"/>
  <c r="Z215" i="3"/>
  <c r="X215" i="3"/>
  <c r="N215" i="3"/>
  <c r="L215" i="3"/>
  <c r="J215" i="3"/>
  <c r="B215" i="3"/>
  <c r="Z214" i="3"/>
  <c r="X214" i="3"/>
  <c r="N214" i="3"/>
  <c r="L214" i="3"/>
  <c r="B214" i="3"/>
  <c r="X213" i="3"/>
  <c r="Z213" i="3" s="1"/>
  <c r="N213" i="3"/>
  <c r="L213" i="3"/>
  <c r="B213" i="3"/>
  <c r="Z212" i="3"/>
  <c r="X212" i="3"/>
  <c r="V212" i="3"/>
  <c r="N212" i="3"/>
  <c r="L212" i="3"/>
  <c r="B212" i="3"/>
  <c r="X211" i="3"/>
  <c r="Z211" i="3" s="1"/>
  <c r="L211" i="3"/>
  <c r="N211" i="3" s="1"/>
  <c r="J211" i="3"/>
  <c r="B211" i="3"/>
  <c r="Z210" i="3"/>
  <c r="X210" i="3"/>
  <c r="N210" i="3"/>
  <c r="L210" i="3"/>
  <c r="B210" i="3"/>
  <c r="X209" i="3"/>
  <c r="Z209" i="3" s="1"/>
  <c r="N209" i="3"/>
  <c r="L209" i="3"/>
  <c r="B209" i="3"/>
  <c r="T208" i="3"/>
  <c r="P208" i="3"/>
  <c r="X208" i="3" s="1"/>
  <c r="N208" i="3"/>
  <c r="L208" i="3"/>
  <c r="H208" i="3"/>
  <c r="D208" i="3"/>
  <c r="B208" i="3"/>
  <c r="T207" i="3"/>
  <c r="P207" i="3"/>
  <c r="H207" i="3"/>
  <c r="D207" i="3"/>
  <c r="T205" i="3"/>
  <c r="V205" i="3" s="1"/>
  <c r="H205" i="3"/>
  <c r="Z203" i="3"/>
  <c r="X203" i="3"/>
  <c r="V203" i="3"/>
  <c r="N203" i="3"/>
  <c r="L203" i="3"/>
  <c r="B203" i="3"/>
  <c r="Z202" i="3"/>
  <c r="X202" i="3"/>
  <c r="N202" i="3"/>
  <c r="L202" i="3"/>
  <c r="J202" i="3"/>
  <c r="B202" i="3"/>
  <c r="Z201" i="3"/>
  <c r="X201" i="3"/>
  <c r="N201" i="3"/>
  <c r="L201" i="3"/>
  <c r="B201" i="3"/>
  <c r="Z200" i="3"/>
  <c r="X200" i="3"/>
  <c r="N200" i="3"/>
  <c r="L200" i="3"/>
  <c r="J200" i="3"/>
  <c r="B200" i="3"/>
  <c r="Z199" i="3"/>
  <c r="X199" i="3"/>
  <c r="V199" i="3"/>
  <c r="N199" i="3"/>
  <c r="L199" i="3"/>
  <c r="B199" i="3"/>
  <c r="Z198" i="3"/>
  <c r="X198" i="3"/>
  <c r="N198" i="3"/>
  <c r="L198" i="3"/>
  <c r="J198" i="3"/>
  <c r="B198" i="3"/>
  <c r="Z197" i="3"/>
  <c r="X197" i="3"/>
  <c r="N197" i="3"/>
  <c r="L197" i="3"/>
  <c r="B197" i="3"/>
  <c r="Z196" i="3"/>
  <c r="X196" i="3"/>
  <c r="N196" i="3"/>
  <c r="L196" i="3"/>
  <c r="J196" i="3"/>
  <c r="B196" i="3"/>
  <c r="Z195" i="3"/>
  <c r="X195" i="3"/>
  <c r="V195" i="3"/>
  <c r="N195" i="3"/>
  <c r="L195" i="3"/>
  <c r="B195" i="3"/>
  <c r="Z194" i="3"/>
  <c r="X194" i="3"/>
  <c r="N194" i="3"/>
  <c r="L194" i="3"/>
  <c r="J194" i="3"/>
  <c r="B194" i="3"/>
  <c r="Z193" i="3"/>
  <c r="X193" i="3"/>
  <c r="N193" i="3"/>
  <c r="L193" i="3"/>
  <c r="B193" i="3"/>
  <c r="Z192" i="3"/>
  <c r="X192" i="3"/>
  <c r="N192" i="3"/>
  <c r="L192" i="3"/>
  <c r="J192" i="3"/>
  <c r="B192" i="3"/>
  <c r="Z191" i="3"/>
  <c r="X191" i="3"/>
  <c r="V191" i="3"/>
  <c r="N191" i="3"/>
  <c r="L191" i="3"/>
  <c r="B191" i="3"/>
  <c r="Z190" i="3"/>
  <c r="X190" i="3"/>
  <c r="N190" i="3"/>
  <c r="L190" i="3"/>
  <c r="J190" i="3"/>
  <c r="B190" i="3"/>
  <c r="Z189" i="3"/>
  <c r="X189" i="3"/>
  <c r="N189" i="3"/>
  <c r="L189" i="3"/>
  <c r="B189" i="3"/>
  <c r="Z188" i="3"/>
  <c r="X188" i="3"/>
  <c r="V188" i="3"/>
  <c r="N188" i="3"/>
  <c r="L188" i="3"/>
  <c r="J188" i="3"/>
  <c r="B188" i="3"/>
  <c r="Z187" i="3"/>
  <c r="X187" i="3"/>
  <c r="V187" i="3"/>
  <c r="N187" i="3"/>
  <c r="L187" i="3"/>
  <c r="B187" i="3"/>
  <c r="Z186" i="3"/>
  <c r="X186" i="3"/>
  <c r="N186" i="3"/>
  <c r="L186" i="3"/>
  <c r="J186" i="3"/>
  <c r="B186" i="3"/>
  <c r="Z185" i="3"/>
  <c r="X185" i="3"/>
  <c r="N185" i="3"/>
  <c r="L185" i="3"/>
  <c r="B185" i="3"/>
  <c r="Z184" i="3"/>
  <c r="X184" i="3"/>
  <c r="V184" i="3"/>
  <c r="N184" i="3"/>
  <c r="L184" i="3"/>
  <c r="J184" i="3"/>
  <c r="B184" i="3"/>
  <c r="Z183" i="3"/>
  <c r="X183" i="3"/>
  <c r="V183" i="3"/>
  <c r="N183" i="3"/>
  <c r="L183" i="3"/>
  <c r="B183" i="3"/>
  <c r="Z182" i="3"/>
  <c r="X182" i="3"/>
  <c r="N182" i="3"/>
  <c r="L182" i="3"/>
  <c r="J182" i="3"/>
  <c r="B182" i="3"/>
  <c r="Z181" i="3"/>
  <c r="X181" i="3"/>
  <c r="N181" i="3"/>
  <c r="L181" i="3"/>
  <c r="B181" i="3"/>
  <c r="Z180" i="3"/>
  <c r="X180" i="3"/>
  <c r="V180" i="3"/>
  <c r="N180" i="3"/>
  <c r="L180" i="3"/>
  <c r="J180" i="3"/>
  <c r="B180" i="3"/>
  <c r="Z179" i="3"/>
  <c r="X179" i="3"/>
  <c r="V179" i="3"/>
  <c r="N179" i="3"/>
  <c r="L179" i="3"/>
  <c r="B179" i="3"/>
  <c r="Z178" i="3"/>
  <c r="X178" i="3"/>
  <c r="N178" i="3"/>
  <c r="L178" i="3"/>
  <c r="J178" i="3"/>
  <c r="B178" i="3"/>
  <c r="Z177" i="3"/>
  <c r="X177" i="3"/>
  <c r="N177" i="3"/>
  <c r="L177" i="3"/>
  <c r="B177" i="3"/>
  <c r="Z176" i="3"/>
  <c r="X176" i="3"/>
  <c r="V176" i="3"/>
  <c r="N176" i="3"/>
  <c r="L176" i="3"/>
  <c r="J176" i="3"/>
  <c r="B176" i="3"/>
  <c r="Z175" i="3"/>
  <c r="X175" i="3"/>
  <c r="V175" i="3"/>
  <c r="N175" i="3"/>
  <c r="L175" i="3"/>
  <c r="B175" i="3"/>
  <c r="Z174" i="3"/>
  <c r="X174" i="3"/>
  <c r="N174" i="3"/>
  <c r="L174" i="3"/>
  <c r="J174" i="3"/>
  <c r="B174" i="3"/>
  <c r="Z173" i="3"/>
  <c r="X173" i="3"/>
  <c r="N173" i="3"/>
  <c r="L173" i="3"/>
  <c r="B173" i="3"/>
  <c r="Z172" i="3"/>
  <c r="X172" i="3"/>
  <c r="V172" i="3"/>
  <c r="N172" i="3"/>
  <c r="L172" i="3"/>
  <c r="J172" i="3"/>
  <c r="B172" i="3"/>
  <c r="Z171" i="3"/>
  <c r="X171" i="3"/>
  <c r="V171" i="3"/>
  <c r="N171" i="3"/>
  <c r="L171" i="3"/>
  <c r="B171" i="3"/>
  <c r="Z170" i="3"/>
  <c r="X170" i="3"/>
  <c r="N170" i="3"/>
  <c r="L170" i="3"/>
  <c r="J170" i="3"/>
  <c r="B170" i="3"/>
  <c r="Z169" i="3"/>
  <c r="X169" i="3"/>
  <c r="N169" i="3"/>
  <c r="L169" i="3"/>
  <c r="B169" i="3"/>
  <c r="Z168" i="3"/>
  <c r="X168" i="3"/>
  <c r="V168" i="3"/>
  <c r="N168" i="3"/>
  <c r="L168" i="3"/>
  <c r="J168" i="3"/>
  <c r="B168" i="3"/>
  <c r="Z167" i="3"/>
  <c r="X167" i="3"/>
  <c r="V167" i="3"/>
  <c r="N167" i="3"/>
  <c r="L167" i="3"/>
  <c r="B167" i="3"/>
  <c r="Z166" i="3"/>
  <c r="X166" i="3"/>
  <c r="N166" i="3"/>
  <c r="L166" i="3"/>
  <c r="J166" i="3"/>
  <c r="B166" i="3"/>
  <c r="Z165" i="3"/>
  <c r="X165" i="3"/>
  <c r="N165" i="3"/>
  <c r="L165" i="3"/>
  <c r="B165" i="3"/>
  <c r="Z164" i="3"/>
  <c r="X164" i="3"/>
  <c r="V164" i="3"/>
  <c r="N164" i="3"/>
  <c r="L164" i="3"/>
  <c r="J164" i="3"/>
  <c r="B164" i="3"/>
  <c r="Z163" i="3"/>
  <c r="X163" i="3"/>
  <c r="V163" i="3"/>
  <c r="N163" i="3"/>
  <c r="L163" i="3"/>
  <c r="B163" i="3"/>
  <c r="Z162" i="3"/>
  <c r="X162" i="3"/>
  <c r="N162" i="3"/>
  <c r="L162" i="3"/>
  <c r="J162" i="3"/>
  <c r="B162" i="3"/>
  <c r="Z161" i="3"/>
  <c r="X161" i="3"/>
  <c r="N161" i="3"/>
  <c r="L161" i="3"/>
  <c r="B161" i="3"/>
  <c r="Z160" i="3"/>
  <c r="X160" i="3"/>
  <c r="V160" i="3"/>
  <c r="N160" i="3"/>
  <c r="L160" i="3"/>
  <c r="J160" i="3"/>
  <c r="B160" i="3"/>
  <c r="Z159" i="3"/>
  <c r="X159" i="3"/>
  <c r="V159" i="3"/>
  <c r="N159" i="3"/>
  <c r="L159" i="3"/>
  <c r="B159" i="3"/>
  <c r="Z158" i="3"/>
  <c r="X158" i="3"/>
  <c r="N158" i="3"/>
  <c r="L158" i="3"/>
  <c r="J158" i="3"/>
  <c r="B158" i="3"/>
  <c r="Z157" i="3"/>
  <c r="X157" i="3"/>
  <c r="N157" i="3"/>
  <c r="L157" i="3"/>
  <c r="B157" i="3"/>
  <c r="Z156" i="3"/>
  <c r="X156" i="3"/>
  <c r="V156" i="3"/>
  <c r="N156" i="3"/>
  <c r="L156" i="3"/>
  <c r="J156" i="3"/>
  <c r="B156" i="3"/>
  <c r="Z155" i="3"/>
  <c r="X155" i="3"/>
  <c r="V155" i="3"/>
  <c r="N155" i="3"/>
  <c r="L155" i="3"/>
  <c r="B155" i="3"/>
  <c r="Z154" i="3"/>
  <c r="X154" i="3"/>
  <c r="N154" i="3"/>
  <c r="L154" i="3"/>
  <c r="J154" i="3"/>
  <c r="B154" i="3"/>
  <c r="Z153" i="3"/>
  <c r="X153" i="3"/>
  <c r="N153" i="3"/>
  <c r="L153" i="3"/>
  <c r="B153" i="3"/>
  <c r="Z152" i="3"/>
  <c r="X152" i="3"/>
  <c r="V152" i="3"/>
  <c r="N152" i="3"/>
  <c r="L152" i="3"/>
  <c r="J152" i="3"/>
  <c r="B152" i="3"/>
  <c r="Z151" i="3"/>
  <c r="X151" i="3"/>
  <c r="V151" i="3"/>
  <c r="N151" i="3"/>
  <c r="L151" i="3"/>
  <c r="B151" i="3"/>
  <c r="Z150" i="3"/>
  <c r="X150" i="3"/>
  <c r="N150" i="3"/>
  <c r="L150" i="3"/>
  <c r="J150" i="3"/>
  <c r="B150" i="3"/>
  <c r="Z149" i="3"/>
  <c r="X149" i="3"/>
  <c r="N149" i="3"/>
  <c r="L149" i="3"/>
  <c r="B149" i="3"/>
  <c r="Z148" i="3"/>
  <c r="X148" i="3"/>
  <c r="V148" i="3"/>
  <c r="N148" i="3"/>
  <c r="L148" i="3"/>
  <c r="J148" i="3"/>
  <c r="B148" i="3"/>
  <c r="Z147" i="3"/>
  <c r="X147" i="3"/>
  <c r="V147" i="3"/>
  <c r="N147" i="3"/>
  <c r="L147" i="3"/>
  <c r="B147" i="3"/>
  <c r="Z146" i="3"/>
  <c r="X146" i="3"/>
  <c r="N146" i="3"/>
  <c r="L146" i="3"/>
  <c r="J146" i="3"/>
  <c r="B146" i="3"/>
  <c r="Z145" i="3"/>
  <c r="X145" i="3"/>
  <c r="N145" i="3"/>
  <c r="L145" i="3"/>
  <c r="B145" i="3"/>
  <c r="Z144" i="3"/>
  <c r="X144" i="3"/>
  <c r="V144" i="3"/>
  <c r="N144" i="3"/>
  <c r="L144" i="3"/>
  <c r="J144" i="3"/>
  <c r="B144" i="3"/>
  <c r="X143" i="3"/>
  <c r="Z143" i="3" s="1"/>
  <c r="V143" i="3"/>
  <c r="L143" i="3"/>
  <c r="N143" i="3" s="1"/>
  <c r="B143" i="3"/>
  <c r="T142" i="3"/>
  <c r="P142" i="3"/>
  <c r="X142" i="3" s="1"/>
  <c r="Z142" i="3" s="1"/>
  <c r="J142" i="3"/>
  <c r="H142" i="3"/>
  <c r="D142" i="3"/>
  <c r="L142" i="3" s="1"/>
  <c r="N142" i="3" s="1"/>
  <c r="Z140" i="3"/>
  <c r="P140" i="3"/>
  <c r="X140" i="3" s="1"/>
  <c r="N140" i="3"/>
  <c r="D140" i="3"/>
  <c r="L140" i="3" s="1"/>
  <c r="B140" i="3"/>
  <c r="Z139" i="3"/>
  <c r="X139" i="3"/>
  <c r="P139" i="3"/>
  <c r="N139" i="3"/>
  <c r="D139" i="3"/>
  <c r="L139" i="3" s="1"/>
  <c r="B139" i="3"/>
  <c r="Z138" i="3"/>
  <c r="P138" i="3"/>
  <c r="X138" i="3" s="1"/>
  <c r="N138" i="3"/>
  <c r="L138" i="3"/>
  <c r="D138" i="3"/>
  <c r="B138" i="3"/>
  <c r="Z137" i="3"/>
  <c r="P137" i="3"/>
  <c r="X137" i="3" s="1"/>
  <c r="N137" i="3"/>
  <c r="D137" i="3"/>
  <c r="L137" i="3" s="1"/>
  <c r="B137" i="3"/>
  <c r="Z136" i="3"/>
  <c r="P136" i="3"/>
  <c r="X136" i="3" s="1"/>
  <c r="N136" i="3"/>
  <c r="L136" i="3"/>
  <c r="D136" i="3"/>
  <c r="B136" i="3"/>
  <c r="Z135" i="3"/>
  <c r="X135" i="3"/>
  <c r="P135" i="3"/>
  <c r="N135" i="3"/>
  <c r="D135" i="3"/>
  <c r="L135" i="3" s="1"/>
  <c r="B135" i="3"/>
  <c r="Z134" i="3"/>
  <c r="P134" i="3"/>
  <c r="X134" i="3" s="1"/>
  <c r="N134" i="3"/>
  <c r="D134" i="3"/>
  <c r="L134" i="3" s="1"/>
  <c r="B134" i="3"/>
  <c r="Z133" i="3"/>
  <c r="X133" i="3"/>
  <c r="P133" i="3"/>
  <c r="N133" i="3"/>
  <c r="D133" i="3"/>
  <c r="L133" i="3" s="1"/>
  <c r="B133" i="3"/>
  <c r="Z132" i="3"/>
  <c r="X132" i="3"/>
  <c r="P132" i="3"/>
  <c r="N132" i="3"/>
  <c r="L132" i="3"/>
  <c r="D132" i="3"/>
  <c r="B132" i="3"/>
  <c r="Z131" i="3"/>
  <c r="P131" i="3"/>
  <c r="X131" i="3" s="1"/>
  <c r="N131" i="3"/>
  <c r="D131" i="3"/>
  <c r="L131" i="3" s="1"/>
  <c r="B131" i="3"/>
  <c r="Z130" i="3"/>
  <c r="P130" i="3"/>
  <c r="X130" i="3" s="1"/>
  <c r="N130" i="3"/>
  <c r="L130" i="3"/>
  <c r="D130" i="3"/>
  <c r="B130" i="3"/>
  <c r="Z129" i="3"/>
  <c r="X129" i="3"/>
  <c r="P129" i="3"/>
  <c r="N129" i="3"/>
  <c r="L129" i="3"/>
  <c r="D129" i="3"/>
  <c r="B129" i="3"/>
  <c r="Z128" i="3"/>
  <c r="P128" i="3"/>
  <c r="X128" i="3" s="1"/>
  <c r="N128" i="3"/>
  <c r="D128" i="3"/>
  <c r="L128" i="3" s="1"/>
  <c r="B128" i="3"/>
  <c r="Z127" i="3"/>
  <c r="X127" i="3"/>
  <c r="P127" i="3"/>
  <c r="N127" i="3"/>
  <c r="D127" i="3"/>
  <c r="L127" i="3" s="1"/>
  <c r="B127" i="3"/>
  <c r="Z126" i="3"/>
  <c r="P126" i="3"/>
  <c r="X126" i="3" s="1"/>
  <c r="N126" i="3"/>
  <c r="L126" i="3"/>
  <c r="D126" i="3"/>
  <c r="B126" i="3"/>
  <c r="Z125" i="3"/>
  <c r="P125" i="3"/>
  <c r="X125" i="3" s="1"/>
  <c r="N125" i="3"/>
  <c r="D125" i="3"/>
  <c r="L125" i="3" s="1"/>
  <c r="B125" i="3"/>
  <c r="Z124" i="3"/>
  <c r="P124" i="3"/>
  <c r="X124" i="3" s="1"/>
  <c r="N124" i="3"/>
  <c r="L124" i="3"/>
  <c r="D124" i="3"/>
  <c r="B124" i="3"/>
  <c r="Z123" i="3"/>
  <c r="X123" i="3"/>
  <c r="P123" i="3"/>
  <c r="N123" i="3"/>
  <c r="D123" i="3"/>
  <c r="L123" i="3" s="1"/>
  <c r="B123" i="3"/>
  <c r="Z122" i="3"/>
  <c r="P122" i="3"/>
  <c r="X122" i="3" s="1"/>
  <c r="N122" i="3"/>
  <c r="D122" i="3"/>
  <c r="L122" i="3" s="1"/>
  <c r="B122" i="3"/>
  <c r="Z121" i="3"/>
  <c r="X121" i="3"/>
  <c r="P121" i="3"/>
  <c r="N121" i="3"/>
  <c r="D121" i="3"/>
  <c r="L121" i="3" s="1"/>
  <c r="B121" i="3"/>
  <c r="Z120" i="3"/>
  <c r="X120" i="3"/>
  <c r="P120" i="3"/>
  <c r="N120" i="3"/>
  <c r="L120" i="3"/>
  <c r="D120" i="3"/>
  <c r="B120" i="3"/>
  <c r="Z119" i="3"/>
  <c r="P119" i="3"/>
  <c r="X119" i="3" s="1"/>
  <c r="N119" i="3"/>
  <c r="D119" i="3"/>
  <c r="L119" i="3" s="1"/>
  <c r="B119" i="3"/>
  <c r="Z118" i="3"/>
  <c r="P118" i="3"/>
  <c r="X118" i="3" s="1"/>
  <c r="N118" i="3"/>
  <c r="L118" i="3"/>
  <c r="D118" i="3"/>
  <c r="B118" i="3"/>
  <c r="Z117" i="3"/>
  <c r="X117" i="3"/>
  <c r="P117" i="3"/>
  <c r="N117" i="3"/>
  <c r="L117" i="3"/>
  <c r="D117" i="3"/>
  <c r="B117" i="3"/>
  <c r="Z116" i="3"/>
  <c r="P116" i="3"/>
  <c r="X116" i="3" s="1"/>
  <c r="N116" i="3"/>
  <c r="D116" i="3"/>
  <c r="L116" i="3" s="1"/>
  <c r="B116" i="3"/>
  <c r="Z115" i="3"/>
  <c r="X115" i="3"/>
  <c r="P115" i="3"/>
  <c r="N115" i="3"/>
  <c r="D115" i="3"/>
  <c r="L115" i="3" s="1"/>
  <c r="B115" i="3"/>
  <c r="Z114" i="3"/>
  <c r="P114" i="3"/>
  <c r="X114" i="3" s="1"/>
  <c r="N114" i="3"/>
  <c r="L114" i="3"/>
  <c r="D114" i="3"/>
  <c r="B114" i="3"/>
  <c r="Z113" i="3"/>
  <c r="P113" i="3"/>
  <c r="X113" i="3" s="1"/>
  <c r="N113" i="3"/>
  <c r="D113" i="3"/>
  <c r="L113" i="3" s="1"/>
  <c r="B113" i="3"/>
  <c r="Z112" i="3"/>
  <c r="P112" i="3"/>
  <c r="X112" i="3" s="1"/>
  <c r="N112" i="3"/>
  <c r="L112" i="3"/>
  <c r="D112" i="3"/>
  <c r="B112" i="3"/>
  <c r="Z111" i="3"/>
  <c r="X111" i="3"/>
  <c r="P111" i="3"/>
  <c r="N111" i="3"/>
  <c r="D111" i="3"/>
  <c r="L111" i="3" s="1"/>
  <c r="B111" i="3"/>
  <c r="Z110" i="3"/>
  <c r="P110" i="3"/>
  <c r="X110" i="3" s="1"/>
  <c r="N110" i="3"/>
  <c r="D110" i="3"/>
  <c r="L110" i="3" s="1"/>
  <c r="B110" i="3"/>
  <c r="Z109" i="3"/>
  <c r="X109" i="3"/>
  <c r="P109" i="3"/>
  <c r="N109" i="3"/>
  <c r="D109" i="3"/>
  <c r="L109" i="3" s="1"/>
  <c r="B109" i="3"/>
  <c r="Z108" i="3"/>
  <c r="X108" i="3"/>
  <c r="P108" i="3"/>
  <c r="N108" i="3"/>
  <c r="L108" i="3"/>
  <c r="D108" i="3"/>
  <c r="B108" i="3"/>
  <c r="Z107" i="3"/>
  <c r="P107" i="3"/>
  <c r="X107" i="3" s="1"/>
  <c r="N107" i="3"/>
  <c r="D107" i="3"/>
  <c r="L107" i="3" s="1"/>
  <c r="B107" i="3"/>
  <c r="Z106" i="3"/>
  <c r="P106" i="3"/>
  <c r="X106" i="3" s="1"/>
  <c r="N106" i="3"/>
  <c r="L106" i="3"/>
  <c r="D106" i="3"/>
  <c r="B106" i="3"/>
  <c r="Z105" i="3"/>
  <c r="X105" i="3"/>
  <c r="P105" i="3"/>
  <c r="N105" i="3"/>
  <c r="L105" i="3"/>
  <c r="D105" i="3"/>
  <c r="B105" i="3"/>
  <c r="Z104" i="3"/>
  <c r="P104" i="3"/>
  <c r="X104" i="3" s="1"/>
  <c r="N104" i="3"/>
  <c r="D104" i="3"/>
  <c r="L104" i="3" s="1"/>
  <c r="B104" i="3"/>
  <c r="Z103" i="3"/>
  <c r="X103" i="3"/>
  <c r="P103" i="3"/>
  <c r="N103" i="3"/>
  <c r="D103" i="3"/>
  <c r="L103" i="3" s="1"/>
  <c r="B103" i="3"/>
  <c r="Z102" i="3"/>
  <c r="P102" i="3"/>
  <c r="X102" i="3" s="1"/>
  <c r="N102" i="3"/>
  <c r="L102" i="3"/>
  <c r="D102" i="3"/>
  <c r="B102" i="3"/>
  <c r="Z101" i="3"/>
  <c r="P101" i="3"/>
  <c r="X101" i="3" s="1"/>
  <c r="N101" i="3"/>
  <c r="D101" i="3"/>
  <c r="L101" i="3" s="1"/>
  <c r="B101" i="3"/>
  <c r="Z100" i="3"/>
  <c r="P100" i="3"/>
  <c r="X100" i="3" s="1"/>
  <c r="N100" i="3"/>
  <c r="L100" i="3"/>
  <c r="D100" i="3"/>
  <c r="B100" i="3"/>
  <c r="Z99" i="3"/>
  <c r="X99" i="3"/>
  <c r="P99" i="3"/>
  <c r="N99" i="3"/>
  <c r="D99" i="3"/>
  <c r="L99" i="3" s="1"/>
  <c r="B99" i="3"/>
  <c r="Z98" i="3"/>
  <c r="P98" i="3"/>
  <c r="X98" i="3" s="1"/>
  <c r="N98" i="3"/>
  <c r="D98" i="3"/>
  <c r="L98" i="3" s="1"/>
  <c r="B98" i="3"/>
  <c r="Z97" i="3"/>
  <c r="X97" i="3"/>
  <c r="P97" i="3"/>
  <c r="N97" i="3"/>
  <c r="D97" i="3"/>
  <c r="L97" i="3" s="1"/>
  <c r="B97" i="3"/>
  <c r="Z96" i="3"/>
  <c r="X96" i="3"/>
  <c r="P96" i="3"/>
  <c r="N96" i="3"/>
  <c r="L96" i="3"/>
  <c r="D96" i="3"/>
  <c r="B96" i="3"/>
  <c r="Z95" i="3"/>
  <c r="P95" i="3"/>
  <c r="X95" i="3" s="1"/>
  <c r="N95" i="3"/>
  <c r="D95" i="3"/>
  <c r="L95" i="3" s="1"/>
  <c r="B95" i="3"/>
  <c r="Z94" i="3"/>
  <c r="P94" i="3"/>
  <c r="X94" i="3" s="1"/>
  <c r="N94" i="3"/>
  <c r="L94" i="3"/>
  <c r="D94" i="3"/>
  <c r="B94" i="3"/>
  <c r="Z93" i="3"/>
  <c r="X93" i="3"/>
  <c r="P93" i="3"/>
  <c r="N93" i="3"/>
  <c r="L93" i="3"/>
  <c r="D93" i="3"/>
  <c r="B93" i="3"/>
  <c r="Z92" i="3"/>
  <c r="P92" i="3"/>
  <c r="X92" i="3" s="1"/>
  <c r="N92" i="3"/>
  <c r="D92" i="3"/>
  <c r="L92" i="3" s="1"/>
  <c r="B92" i="3"/>
  <c r="Z91" i="3"/>
  <c r="X91" i="3"/>
  <c r="P91" i="3"/>
  <c r="N91" i="3"/>
  <c r="D91" i="3"/>
  <c r="L91" i="3" s="1"/>
  <c r="B91" i="3"/>
  <c r="Z90" i="3"/>
  <c r="P90" i="3"/>
  <c r="X90" i="3" s="1"/>
  <c r="N90" i="3"/>
  <c r="L90" i="3"/>
  <c r="D90" i="3"/>
  <c r="B90" i="3"/>
  <c r="Z89" i="3"/>
  <c r="P89" i="3"/>
  <c r="X89" i="3" s="1"/>
  <c r="N89" i="3"/>
  <c r="D89" i="3"/>
  <c r="L89" i="3" s="1"/>
  <c r="B89" i="3"/>
  <c r="Z88" i="3"/>
  <c r="P88" i="3"/>
  <c r="X88" i="3" s="1"/>
  <c r="N88" i="3"/>
  <c r="L88" i="3"/>
  <c r="D88" i="3"/>
  <c r="B88" i="3"/>
  <c r="Z87" i="3"/>
  <c r="X87" i="3"/>
  <c r="P87" i="3"/>
  <c r="N87" i="3"/>
  <c r="D87" i="3"/>
  <c r="L87" i="3" s="1"/>
  <c r="B87" i="3"/>
  <c r="Z86" i="3"/>
  <c r="P86" i="3"/>
  <c r="X86" i="3" s="1"/>
  <c r="N86" i="3"/>
  <c r="D86" i="3"/>
  <c r="L86" i="3" s="1"/>
  <c r="B86" i="3"/>
  <c r="Z85" i="3"/>
  <c r="X85" i="3"/>
  <c r="P85" i="3"/>
  <c r="N85" i="3"/>
  <c r="D85" i="3"/>
  <c r="L85" i="3" s="1"/>
  <c r="B85" i="3"/>
  <c r="Z84" i="3"/>
  <c r="X84" i="3"/>
  <c r="P84" i="3"/>
  <c r="N84" i="3"/>
  <c r="L84" i="3"/>
  <c r="D84" i="3"/>
  <c r="B84" i="3"/>
  <c r="Z83" i="3"/>
  <c r="P83" i="3"/>
  <c r="X83" i="3" s="1"/>
  <c r="N83" i="3"/>
  <c r="D83" i="3"/>
  <c r="L83" i="3" s="1"/>
  <c r="B83" i="3"/>
  <c r="Z82" i="3"/>
  <c r="P82" i="3"/>
  <c r="X82" i="3" s="1"/>
  <c r="N82" i="3"/>
  <c r="L82" i="3"/>
  <c r="D82" i="3"/>
  <c r="B82" i="3"/>
  <c r="Z81" i="3"/>
  <c r="X81" i="3"/>
  <c r="P81" i="3"/>
  <c r="N81" i="3"/>
  <c r="L81" i="3"/>
  <c r="D81" i="3"/>
  <c r="B81" i="3"/>
  <c r="Z80" i="3"/>
  <c r="P80" i="3"/>
  <c r="X80" i="3" s="1"/>
  <c r="N80" i="3"/>
  <c r="D80" i="3"/>
  <c r="L80" i="3" s="1"/>
  <c r="B80" i="3"/>
  <c r="Z79" i="3"/>
  <c r="X79" i="3"/>
  <c r="P79" i="3"/>
  <c r="N79" i="3"/>
  <c r="D79" i="3"/>
  <c r="L79" i="3" s="1"/>
  <c r="B79" i="3"/>
  <c r="Z78" i="3"/>
  <c r="P78" i="3"/>
  <c r="X78" i="3" s="1"/>
  <c r="N78" i="3"/>
  <c r="L78" i="3"/>
  <c r="D78" i="3"/>
  <c r="B78" i="3"/>
  <c r="Z77" i="3"/>
  <c r="P77" i="3"/>
  <c r="X77" i="3" s="1"/>
  <c r="N77" i="3"/>
  <c r="D77" i="3"/>
  <c r="L77" i="3" s="1"/>
  <c r="B77" i="3"/>
  <c r="Z76" i="3"/>
  <c r="P76" i="3"/>
  <c r="X76" i="3" s="1"/>
  <c r="N76" i="3"/>
  <c r="L76" i="3"/>
  <c r="D76" i="3"/>
  <c r="B76" i="3"/>
  <c r="Z75" i="3"/>
  <c r="X75" i="3"/>
  <c r="P75" i="3"/>
  <c r="N75" i="3"/>
  <c r="D75" i="3"/>
  <c r="L75" i="3" s="1"/>
  <c r="B75" i="3"/>
  <c r="Z74" i="3"/>
  <c r="P74" i="3"/>
  <c r="X74" i="3" s="1"/>
  <c r="N74" i="3"/>
  <c r="D74" i="3"/>
  <c r="L74" i="3" s="1"/>
  <c r="B74" i="3"/>
  <c r="Z73" i="3"/>
  <c r="X73" i="3"/>
  <c r="P73" i="3"/>
  <c r="N73" i="3"/>
  <c r="D73" i="3"/>
  <c r="L73" i="3" s="1"/>
  <c r="B73" i="3"/>
  <c r="Z72" i="3"/>
  <c r="X72" i="3"/>
  <c r="P72" i="3"/>
  <c r="N72" i="3"/>
  <c r="L72" i="3"/>
  <c r="D72" i="3"/>
  <c r="B72" i="3"/>
  <c r="Z71" i="3"/>
  <c r="P71" i="3"/>
  <c r="X71" i="3" s="1"/>
  <c r="N71" i="3"/>
  <c r="D71" i="3"/>
  <c r="L71" i="3" s="1"/>
  <c r="B71" i="3"/>
  <c r="Z70" i="3"/>
  <c r="P70" i="3"/>
  <c r="X70" i="3" s="1"/>
  <c r="N70" i="3"/>
  <c r="L70" i="3"/>
  <c r="D70" i="3"/>
  <c r="B70" i="3"/>
  <c r="Z69" i="3"/>
  <c r="X69" i="3"/>
  <c r="P69" i="3"/>
  <c r="N69" i="3"/>
  <c r="L69" i="3"/>
  <c r="D69" i="3"/>
  <c r="B69" i="3"/>
  <c r="Z68" i="3"/>
  <c r="P68" i="3"/>
  <c r="X68" i="3" s="1"/>
  <c r="N68" i="3"/>
  <c r="D68" i="3"/>
  <c r="L68" i="3" s="1"/>
  <c r="B68" i="3"/>
  <c r="Z67" i="3"/>
  <c r="X67" i="3"/>
  <c r="P67" i="3"/>
  <c r="N67" i="3"/>
  <c r="D67" i="3"/>
  <c r="L67" i="3" s="1"/>
  <c r="B67" i="3"/>
  <c r="Z66" i="3"/>
  <c r="P66" i="3"/>
  <c r="X66" i="3" s="1"/>
  <c r="N66" i="3"/>
  <c r="L66" i="3"/>
  <c r="D66" i="3"/>
  <c r="B66" i="3"/>
  <c r="Z65" i="3"/>
  <c r="P65" i="3"/>
  <c r="X65" i="3" s="1"/>
  <c r="N65" i="3"/>
  <c r="D65" i="3"/>
  <c r="L65" i="3" s="1"/>
  <c r="B65" i="3"/>
  <c r="Z64" i="3"/>
  <c r="P64" i="3"/>
  <c r="X64" i="3" s="1"/>
  <c r="N64" i="3"/>
  <c r="L64" i="3"/>
  <c r="D64" i="3"/>
  <c r="B64" i="3"/>
  <c r="Z63" i="3"/>
  <c r="X63" i="3"/>
  <c r="P63" i="3"/>
  <c r="N63" i="3"/>
  <c r="D63" i="3"/>
  <c r="L63" i="3" s="1"/>
  <c r="B63" i="3"/>
  <c r="Z62" i="3"/>
  <c r="P62" i="3"/>
  <c r="X62" i="3" s="1"/>
  <c r="N62" i="3"/>
  <c r="D62" i="3"/>
  <c r="L62" i="3" s="1"/>
  <c r="B62" i="3"/>
  <c r="Z61" i="3"/>
  <c r="X61" i="3"/>
  <c r="P61" i="3"/>
  <c r="N61" i="3"/>
  <c r="D61" i="3"/>
  <c r="L61" i="3" s="1"/>
  <c r="B61" i="3"/>
  <c r="Z60" i="3"/>
  <c r="X60" i="3"/>
  <c r="P60" i="3"/>
  <c r="N60" i="3"/>
  <c r="L60" i="3"/>
  <c r="D60" i="3"/>
  <c r="B60" i="3"/>
  <c r="Z59" i="3"/>
  <c r="P59" i="3"/>
  <c r="X59" i="3" s="1"/>
  <c r="N59" i="3"/>
  <c r="D59" i="3"/>
  <c r="L59" i="3" s="1"/>
  <c r="B59" i="3"/>
  <c r="Z58" i="3"/>
  <c r="P58" i="3"/>
  <c r="X58" i="3" s="1"/>
  <c r="N58" i="3"/>
  <c r="L58" i="3"/>
  <c r="D58" i="3"/>
  <c r="B58" i="3"/>
  <c r="Z57" i="3"/>
  <c r="X57" i="3"/>
  <c r="P57" i="3"/>
  <c r="N57" i="3"/>
  <c r="L57" i="3"/>
  <c r="D57" i="3"/>
  <c r="B57" i="3"/>
  <c r="Z56" i="3"/>
  <c r="P56" i="3"/>
  <c r="X56" i="3" s="1"/>
  <c r="N56" i="3"/>
  <c r="D56" i="3"/>
  <c r="L56" i="3" s="1"/>
  <c r="B56" i="3"/>
  <c r="X55" i="3"/>
  <c r="Z55" i="3" s="1"/>
  <c r="P55" i="3"/>
  <c r="D55" i="3"/>
  <c r="L55" i="3" s="1"/>
  <c r="N55" i="3" s="1"/>
  <c r="B55" i="3"/>
  <c r="Z54" i="3"/>
  <c r="P54" i="3"/>
  <c r="X54" i="3" s="1"/>
  <c r="N54" i="3"/>
  <c r="L54" i="3"/>
  <c r="D54" i="3"/>
  <c r="B54" i="3"/>
  <c r="Z53" i="3"/>
  <c r="P53" i="3"/>
  <c r="X53" i="3" s="1"/>
  <c r="N53" i="3"/>
  <c r="D53" i="3"/>
  <c r="L53" i="3" s="1"/>
  <c r="B53" i="3"/>
  <c r="Z52" i="3"/>
  <c r="P52" i="3"/>
  <c r="X52" i="3" s="1"/>
  <c r="N52" i="3"/>
  <c r="L52" i="3"/>
  <c r="D52" i="3"/>
  <c r="B52" i="3"/>
  <c r="Z51" i="3"/>
  <c r="X51" i="3"/>
  <c r="P51" i="3"/>
  <c r="N51" i="3"/>
  <c r="D51" i="3"/>
  <c r="L51" i="3" s="1"/>
  <c r="B51" i="3"/>
  <c r="Z50" i="3"/>
  <c r="P50" i="3"/>
  <c r="X50" i="3" s="1"/>
  <c r="N50" i="3"/>
  <c r="D50" i="3"/>
  <c r="L50" i="3" s="1"/>
  <c r="B50" i="3"/>
  <c r="Z49" i="3"/>
  <c r="X49" i="3"/>
  <c r="P49" i="3"/>
  <c r="N49" i="3"/>
  <c r="D49" i="3"/>
  <c r="L49" i="3" s="1"/>
  <c r="B49" i="3"/>
  <c r="Z48" i="3"/>
  <c r="X48" i="3"/>
  <c r="P48" i="3"/>
  <c r="N48" i="3"/>
  <c r="L48" i="3"/>
  <c r="D48" i="3"/>
  <c r="B48" i="3"/>
  <c r="Z47" i="3"/>
  <c r="P47" i="3"/>
  <c r="X47" i="3" s="1"/>
  <c r="N47" i="3"/>
  <c r="D47" i="3"/>
  <c r="L47" i="3" s="1"/>
  <c r="B47" i="3"/>
  <c r="Z46" i="3"/>
  <c r="P46" i="3"/>
  <c r="X46" i="3" s="1"/>
  <c r="N46" i="3"/>
  <c r="L46" i="3"/>
  <c r="D46" i="3"/>
  <c r="B46" i="3"/>
  <c r="Z45" i="3"/>
  <c r="X45" i="3"/>
  <c r="P45" i="3"/>
  <c r="N45" i="3"/>
  <c r="L45" i="3"/>
  <c r="D45" i="3"/>
  <c r="B45" i="3"/>
  <c r="Z44" i="3"/>
  <c r="P44" i="3"/>
  <c r="X44" i="3" s="1"/>
  <c r="N44" i="3"/>
  <c r="D44" i="3"/>
  <c r="L44" i="3" s="1"/>
  <c r="B44" i="3"/>
  <c r="Z43" i="3"/>
  <c r="X43" i="3"/>
  <c r="P43" i="3"/>
  <c r="N43" i="3"/>
  <c r="D43" i="3"/>
  <c r="L43" i="3" s="1"/>
  <c r="B43" i="3"/>
  <c r="Z42" i="3"/>
  <c r="P42" i="3"/>
  <c r="X42" i="3" s="1"/>
  <c r="N42" i="3"/>
  <c r="L42" i="3"/>
  <c r="D42" i="3"/>
  <c r="B42" i="3"/>
  <c r="Z41" i="3"/>
  <c r="P41" i="3"/>
  <c r="X41" i="3" s="1"/>
  <c r="N41" i="3"/>
  <c r="D41" i="3"/>
  <c r="L41" i="3" s="1"/>
  <c r="B41" i="3"/>
  <c r="Z40" i="3"/>
  <c r="P40" i="3"/>
  <c r="X40" i="3" s="1"/>
  <c r="N40" i="3"/>
  <c r="L40" i="3"/>
  <c r="D40" i="3"/>
  <c r="B40" i="3"/>
  <c r="Z39" i="3"/>
  <c r="X39" i="3"/>
  <c r="P39" i="3"/>
  <c r="N39" i="3"/>
  <c r="D39" i="3"/>
  <c r="L39" i="3" s="1"/>
  <c r="B39" i="3"/>
  <c r="Z38" i="3"/>
  <c r="P38" i="3"/>
  <c r="X38" i="3" s="1"/>
  <c r="N38" i="3"/>
  <c r="D38" i="3"/>
  <c r="L38" i="3" s="1"/>
  <c r="B38" i="3"/>
  <c r="Z37" i="3"/>
  <c r="X37" i="3"/>
  <c r="P37" i="3"/>
  <c r="N37" i="3"/>
  <c r="D37" i="3"/>
  <c r="L37" i="3" s="1"/>
  <c r="B37" i="3"/>
  <c r="Z36" i="3"/>
  <c r="X36" i="3"/>
  <c r="P36" i="3"/>
  <c r="N36" i="3"/>
  <c r="L36" i="3"/>
  <c r="D36" i="3"/>
  <c r="B36" i="3"/>
  <c r="Z35" i="3"/>
  <c r="P35" i="3"/>
  <c r="X35" i="3" s="1"/>
  <c r="N35" i="3"/>
  <c r="D35" i="3"/>
  <c r="L35" i="3" s="1"/>
  <c r="B35" i="3"/>
  <c r="Z34" i="3"/>
  <c r="P34" i="3"/>
  <c r="X34" i="3" s="1"/>
  <c r="N34" i="3"/>
  <c r="L34" i="3"/>
  <c r="D34" i="3"/>
  <c r="B34" i="3"/>
  <c r="Z33" i="3"/>
  <c r="X33" i="3"/>
  <c r="P33" i="3"/>
  <c r="N33" i="3"/>
  <c r="L33" i="3"/>
  <c r="D33" i="3"/>
  <c r="B33" i="3"/>
  <c r="Z32" i="3"/>
  <c r="P32" i="3"/>
  <c r="X32" i="3" s="1"/>
  <c r="N32" i="3"/>
  <c r="D32" i="3"/>
  <c r="L32" i="3" s="1"/>
  <c r="B32" i="3"/>
  <c r="Z31" i="3"/>
  <c r="X31" i="3"/>
  <c r="P31" i="3"/>
  <c r="N31" i="3"/>
  <c r="D31" i="3"/>
  <c r="L31" i="3" s="1"/>
  <c r="B31" i="3"/>
  <c r="Z30" i="3"/>
  <c r="P30" i="3"/>
  <c r="X30" i="3" s="1"/>
  <c r="N30" i="3"/>
  <c r="L30" i="3"/>
  <c r="D30" i="3"/>
  <c r="B30" i="3"/>
  <c r="Z29" i="3"/>
  <c r="P29" i="3"/>
  <c r="X29" i="3" s="1"/>
  <c r="N29" i="3"/>
  <c r="D29" i="3"/>
  <c r="L29" i="3" s="1"/>
  <c r="B29" i="3"/>
  <c r="Z28" i="3"/>
  <c r="P28" i="3"/>
  <c r="X28" i="3" s="1"/>
  <c r="N28" i="3"/>
  <c r="L28" i="3"/>
  <c r="D28" i="3"/>
  <c r="B28" i="3"/>
  <c r="Z27" i="3"/>
  <c r="X27" i="3"/>
  <c r="P27" i="3"/>
  <c r="N27" i="3"/>
  <c r="D27" i="3"/>
  <c r="L27" i="3" s="1"/>
  <c r="B27" i="3"/>
  <c r="Z26" i="3"/>
  <c r="P26" i="3"/>
  <c r="X26" i="3" s="1"/>
  <c r="N26" i="3"/>
  <c r="D26" i="3"/>
  <c r="L26" i="3" s="1"/>
  <c r="B26" i="3"/>
  <c r="Z25" i="3"/>
  <c r="X25" i="3"/>
  <c r="P25" i="3"/>
  <c r="N25" i="3"/>
  <c r="D25" i="3"/>
  <c r="L25" i="3" s="1"/>
  <c r="B25" i="3"/>
  <c r="Z24" i="3"/>
  <c r="X24" i="3"/>
  <c r="P24" i="3"/>
  <c r="N24" i="3"/>
  <c r="L24" i="3"/>
  <c r="D24" i="3"/>
  <c r="B24" i="3"/>
  <c r="Z23" i="3"/>
  <c r="P23" i="3"/>
  <c r="X23" i="3" s="1"/>
  <c r="N23" i="3"/>
  <c r="D23" i="3"/>
  <c r="L23" i="3" s="1"/>
  <c r="B23" i="3"/>
  <c r="Z22" i="3"/>
  <c r="P22" i="3"/>
  <c r="X22" i="3" s="1"/>
  <c r="N22" i="3"/>
  <c r="L22" i="3"/>
  <c r="D22" i="3"/>
  <c r="B22" i="3"/>
  <c r="Z21" i="3"/>
  <c r="X21" i="3"/>
  <c r="P21" i="3"/>
  <c r="N21" i="3"/>
  <c r="L21" i="3"/>
  <c r="D21" i="3"/>
  <c r="B21" i="3"/>
  <c r="Z20" i="3"/>
  <c r="P20" i="3"/>
  <c r="X20" i="3" s="1"/>
  <c r="N20" i="3"/>
  <c r="D20" i="3"/>
  <c r="L20" i="3" s="1"/>
  <c r="B20" i="3"/>
  <c r="Z19" i="3"/>
  <c r="X19" i="3"/>
  <c r="P19" i="3"/>
  <c r="N19" i="3"/>
  <c r="D19" i="3"/>
  <c r="L19" i="3" s="1"/>
  <c r="B19" i="3"/>
  <c r="Z18" i="3"/>
  <c r="P18" i="3"/>
  <c r="X18" i="3" s="1"/>
  <c r="N18" i="3"/>
  <c r="L18" i="3"/>
  <c r="D18" i="3"/>
  <c r="B18" i="3"/>
  <c r="Z17" i="3"/>
  <c r="P17" i="3"/>
  <c r="X17" i="3" s="1"/>
  <c r="N17" i="3"/>
  <c r="D17" i="3"/>
  <c r="L17" i="3" s="1"/>
  <c r="B17" i="3"/>
  <c r="Z16" i="3"/>
  <c r="P16" i="3"/>
  <c r="X16" i="3" s="1"/>
  <c r="N16" i="3"/>
  <c r="L16" i="3"/>
  <c r="D16" i="3"/>
  <c r="B16" i="3"/>
  <c r="Z15" i="3"/>
  <c r="X15" i="3"/>
  <c r="P15" i="3"/>
  <c r="N15" i="3"/>
  <c r="D15" i="3"/>
  <c r="L15" i="3" s="1"/>
  <c r="B15" i="3"/>
  <c r="Z14" i="3"/>
  <c r="P14" i="3"/>
  <c r="X14" i="3" s="1"/>
  <c r="N14" i="3"/>
  <c r="D14" i="3"/>
  <c r="L14" i="3" s="1"/>
  <c r="B14" i="3"/>
  <c r="X13" i="3"/>
  <c r="Z13" i="3" s="1"/>
  <c r="P13" i="3"/>
  <c r="D13" i="3"/>
  <c r="L13" i="3" s="1"/>
  <c r="N13" i="3" s="1"/>
  <c r="B13" i="3"/>
  <c r="T12" i="3"/>
  <c r="V336" i="3" s="1"/>
  <c r="H12" i="3"/>
  <c r="J305" i="3" s="1"/>
  <c r="D4" i="3"/>
  <c r="B39" i="112"/>
  <c r="H24" i="112"/>
  <c r="H22" i="112"/>
  <c r="H13" i="112"/>
  <c r="D5" i="112"/>
  <c r="P20" i="111"/>
  <c r="P16" i="111"/>
  <c r="D12" i="111"/>
  <c r="P24" i="110"/>
  <c r="P22" i="110"/>
  <c r="T20" i="110"/>
  <c r="T16" i="110"/>
  <c r="T13" i="110"/>
  <c r="B38" i="112"/>
  <c r="D34" i="112"/>
  <c r="D33" i="112"/>
  <c r="D29" i="112"/>
  <c r="D25" i="112"/>
  <c r="H21" i="112"/>
  <c r="D13" i="112"/>
  <c r="D4" i="112"/>
  <c r="H34" i="111"/>
  <c r="H33" i="111"/>
  <c r="H29" i="111"/>
  <c r="H25" i="111"/>
  <c r="P15" i="111"/>
  <c r="D6" i="111"/>
  <c r="P21" i="110"/>
  <c r="T15" i="110"/>
  <c r="P13" i="110"/>
  <c r="H12" i="110"/>
  <c r="B25" i="112"/>
  <c r="D24" i="112"/>
  <c r="D22" i="112"/>
  <c r="H20" i="112"/>
  <c r="H16" i="112"/>
  <c r="B13" i="112"/>
  <c r="B39" i="111"/>
  <c r="H24" i="111"/>
  <c r="H22" i="111"/>
  <c r="H13" i="111"/>
  <c r="D5" i="111"/>
  <c r="P20" i="110"/>
  <c r="P16" i="110"/>
  <c r="D12" i="110"/>
  <c r="B22" i="112"/>
  <c r="D21" i="112"/>
  <c r="H15" i="112"/>
  <c r="B38" i="111"/>
  <c r="D34" i="111"/>
  <c r="D33" i="111"/>
  <c r="D29" i="111"/>
  <c r="D25" i="111"/>
  <c r="H21" i="111"/>
  <c r="D13" i="111"/>
  <c r="D4" i="111"/>
  <c r="H34" i="110"/>
  <c r="H33" i="110"/>
  <c r="H29" i="110"/>
  <c r="H25" i="110"/>
  <c r="P15" i="110"/>
  <c r="D6" i="110"/>
  <c r="B21" i="112"/>
  <c r="D20" i="112"/>
  <c r="D16" i="112"/>
  <c r="B25" i="111"/>
  <c r="D24" i="111"/>
  <c r="D22" i="111"/>
  <c r="H20" i="111"/>
  <c r="H16" i="111"/>
  <c r="B13" i="111"/>
  <c r="B39" i="110"/>
  <c r="H24" i="110"/>
  <c r="H22" i="110"/>
  <c r="H13" i="110"/>
  <c r="D5" i="110"/>
  <c r="T34" i="112"/>
  <c r="T33" i="112"/>
  <c r="T29" i="112"/>
  <c r="T25" i="112"/>
  <c r="B16" i="112"/>
  <c r="D15" i="112"/>
  <c r="T12" i="112"/>
  <c r="B22" i="111"/>
  <c r="D21" i="111"/>
  <c r="H15" i="111"/>
  <c r="B38" i="110"/>
  <c r="D34" i="110"/>
  <c r="D33" i="110"/>
  <c r="D29" i="110"/>
  <c r="D25" i="110"/>
  <c r="H21" i="110"/>
  <c r="D13" i="110"/>
  <c r="D4" i="110"/>
  <c r="T24" i="112"/>
  <c r="T22" i="112"/>
  <c r="P12" i="112"/>
  <c r="B21" i="111"/>
  <c r="D20" i="111"/>
  <c r="D16" i="111"/>
  <c r="B25" i="110"/>
  <c r="D24" i="110"/>
  <c r="D22" i="110"/>
  <c r="H20" i="110"/>
  <c r="H16" i="110"/>
  <c r="B13" i="110"/>
  <c r="P34" i="112"/>
  <c r="P33" i="112"/>
  <c r="P29" i="112"/>
  <c r="P25" i="112"/>
  <c r="T21" i="112"/>
  <c r="T34" i="111"/>
  <c r="T33" i="111"/>
  <c r="T29" i="111"/>
  <c r="P24" i="112"/>
  <c r="P22" i="112"/>
  <c r="T20" i="112"/>
  <c r="T16" i="112"/>
  <c r="T13" i="112"/>
  <c r="T24" i="111"/>
  <c r="T22" i="111"/>
  <c r="P12" i="111"/>
  <c r="B21" i="110"/>
  <c r="D20" i="110"/>
  <c r="D16" i="110"/>
  <c r="P21" i="112"/>
  <c r="T15" i="112"/>
  <c r="P13" i="112"/>
  <c r="H12" i="112"/>
  <c r="P34" i="111"/>
  <c r="P33" i="111"/>
  <c r="P29" i="111"/>
  <c r="P25" i="111"/>
  <c r="T21" i="111"/>
  <c r="T34" i="110"/>
  <c r="T33" i="110"/>
  <c r="T29" i="110"/>
  <c r="T25" i="110"/>
  <c r="B16" i="110"/>
  <c r="D15" i="110"/>
  <c r="T12" i="110"/>
  <c r="P20" i="112"/>
  <c r="P16" i="112"/>
  <c r="D12" i="112"/>
  <c r="P24" i="111"/>
  <c r="P22" i="111"/>
  <c r="T20" i="111"/>
  <c r="T16" i="111"/>
  <c r="T13" i="111"/>
  <c r="T24" i="110"/>
  <c r="T22" i="110"/>
  <c r="P12" i="110"/>
  <c r="P33" i="110"/>
  <c r="H34" i="112"/>
  <c r="P15" i="112"/>
  <c r="B16" i="111"/>
  <c r="B22" i="110"/>
  <c r="H33" i="112"/>
  <c r="T15" i="111"/>
  <c r="T21" i="110"/>
  <c r="D6" i="112"/>
  <c r="D15" i="111"/>
  <c r="D21" i="110"/>
  <c r="H29" i="112"/>
  <c r="P13" i="111"/>
  <c r="P29" i="110"/>
  <c r="T12" i="111"/>
  <c r="H25" i="112"/>
  <c r="P21" i="111"/>
  <c r="H12" i="111"/>
  <c r="P25" i="110"/>
  <c r="P34" i="110"/>
  <c r="T25" i="111"/>
  <c r="H15" i="110"/>
  <c r="B38" i="53"/>
  <c r="D34" i="53"/>
  <c r="D33" i="53"/>
  <c r="D29" i="53"/>
  <c r="D25" i="53"/>
  <c r="H21" i="53"/>
  <c r="D13" i="53"/>
  <c r="B39" i="52"/>
  <c r="H24" i="52"/>
  <c r="H22" i="52"/>
  <c r="H13" i="52"/>
  <c r="D4" i="52"/>
  <c r="B25" i="53"/>
  <c r="D24" i="53"/>
  <c r="D22" i="53"/>
  <c r="H20" i="53"/>
  <c r="H16" i="53"/>
  <c r="B13" i="53"/>
  <c r="B38" i="52"/>
  <c r="D34" i="52"/>
  <c r="D33" i="52"/>
  <c r="D29" i="52"/>
  <c r="D25" i="52"/>
  <c r="H21" i="52"/>
  <c r="D13" i="52"/>
  <c r="B22" i="53"/>
  <c r="D21" i="53"/>
  <c r="H15" i="53"/>
  <c r="B25" i="52"/>
  <c r="D24" i="52"/>
  <c r="D22" i="52"/>
  <c r="H20" i="52"/>
  <c r="H16" i="52"/>
  <c r="B13" i="52"/>
  <c r="B21" i="53"/>
  <c r="D20" i="53"/>
  <c r="D16" i="53"/>
  <c r="B22" i="52"/>
  <c r="D21" i="52"/>
  <c r="H15" i="52"/>
  <c r="T34" i="53"/>
  <c r="T33" i="53"/>
  <c r="T29" i="53"/>
  <c r="T25" i="53"/>
  <c r="B16" i="53"/>
  <c r="D15" i="53"/>
  <c r="T12" i="53"/>
  <c r="B21" i="52"/>
  <c r="D20" i="52"/>
  <c r="D16" i="52"/>
  <c r="P34" i="53"/>
  <c r="P33" i="53"/>
  <c r="P29" i="53"/>
  <c r="P25" i="53"/>
  <c r="T21" i="53"/>
  <c r="T24" i="52"/>
  <c r="T22" i="52"/>
  <c r="P12" i="52"/>
  <c r="P24" i="53"/>
  <c r="P22" i="53"/>
  <c r="T20" i="53"/>
  <c r="T16" i="53"/>
  <c r="T13" i="53"/>
  <c r="P34" i="52"/>
  <c r="P21" i="53"/>
  <c r="T15" i="53"/>
  <c r="P13" i="53"/>
  <c r="H12" i="53"/>
  <c r="P24" i="52"/>
  <c r="P22" i="52"/>
  <c r="T20" i="52"/>
  <c r="T16" i="52"/>
  <c r="T13" i="52"/>
  <c r="H34" i="53"/>
  <c r="H33" i="53"/>
  <c r="H29" i="53"/>
  <c r="H25" i="53"/>
  <c r="P15" i="53"/>
  <c r="D5" i="53"/>
  <c r="P20" i="52"/>
  <c r="P16" i="52"/>
  <c r="D12" i="52"/>
  <c r="P20" i="53"/>
  <c r="P33" i="52"/>
  <c r="B22" i="50"/>
  <c r="D21" i="50"/>
  <c r="H15" i="50"/>
  <c r="B25" i="49"/>
  <c r="D24" i="49"/>
  <c r="D22" i="49"/>
  <c r="H20" i="49"/>
  <c r="H16" i="49"/>
  <c r="B13" i="49"/>
  <c r="B25" i="47"/>
  <c r="D24" i="47"/>
  <c r="D22" i="47"/>
  <c r="H20" i="47"/>
  <c r="H16" i="47"/>
  <c r="B13" i="47"/>
  <c r="B38" i="46"/>
  <c r="D34" i="46"/>
  <c r="D33" i="46"/>
  <c r="D29" i="46"/>
  <c r="D25" i="46"/>
  <c r="H21" i="46"/>
  <c r="D13" i="46"/>
  <c r="H13" i="53"/>
  <c r="P13" i="52"/>
  <c r="B21" i="50"/>
  <c r="D20" i="50"/>
  <c r="D16" i="50"/>
  <c r="B22" i="49"/>
  <c r="D21" i="49"/>
  <c r="H15" i="49"/>
  <c r="B22" i="47"/>
  <c r="D21" i="47"/>
  <c r="H15" i="47"/>
  <c r="B25" i="46"/>
  <c r="D24" i="46"/>
  <c r="D22" i="46"/>
  <c r="H20" i="46"/>
  <c r="H16" i="46"/>
  <c r="B13" i="46"/>
  <c r="T24" i="44"/>
  <c r="T22" i="44"/>
  <c r="P12" i="44"/>
  <c r="T34" i="43"/>
  <c r="T33" i="43"/>
  <c r="T29" i="43"/>
  <c r="T25" i="43"/>
  <c r="B16" i="43"/>
  <c r="D15" i="43"/>
  <c r="T12" i="43"/>
  <c r="T24" i="53"/>
  <c r="P12" i="53"/>
  <c r="H33" i="52"/>
  <c r="T34" i="50"/>
  <c r="T33" i="50"/>
  <c r="T29" i="50"/>
  <c r="T25" i="50"/>
  <c r="B16" i="50"/>
  <c r="D15" i="50"/>
  <c r="T12" i="50"/>
  <c r="B21" i="49"/>
  <c r="D20" i="49"/>
  <c r="D16" i="49"/>
  <c r="B21" i="47"/>
  <c r="D20" i="47"/>
  <c r="D16" i="47"/>
  <c r="B22" i="46"/>
  <c r="D21" i="46"/>
  <c r="H15" i="46"/>
  <c r="D12" i="53"/>
  <c r="T25" i="52"/>
  <c r="T12" i="52"/>
  <c r="T24" i="50"/>
  <c r="T22" i="50"/>
  <c r="P12" i="50"/>
  <c r="T34" i="49"/>
  <c r="T33" i="49"/>
  <c r="T29" i="49"/>
  <c r="T25" i="49"/>
  <c r="B16" i="49"/>
  <c r="D15" i="49"/>
  <c r="T12" i="49"/>
  <c r="T34" i="47"/>
  <c r="T33" i="47"/>
  <c r="T29" i="47"/>
  <c r="T25" i="47"/>
  <c r="B16" i="47"/>
  <c r="D15" i="47"/>
  <c r="T12" i="47"/>
  <c r="B21" i="46"/>
  <c r="D20" i="46"/>
  <c r="D16" i="46"/>
  <c r="B39" i="53"/>
  <c r="H24" i="53"/>
  <c r="D4" i="53"/>
  <c r="P25" i="52"/>
  <c r="T21" i="52"/>
  <c r="P34" i="50"/>
  <c r="P33" i="50"/>
  <c r="P29" i="50"/>
  <c r="P25" i="50"/>
  <c r="T21" i="50"/>
  <c r="T24" i="49"/>
  <c r="T22" i="49"/>
  <c r="P12" i="49"/>
  <c r="T24" i="47"/>
  <c r="T22" i="47"/>
  <c r="P12" i="47"/>
  <c r="T34" i="46"/>
  <c r="T33" i="46"/>
  <c r="T29" i="46"/>
  <c r="T25" i="46"/>
  <c r="B16" i="46"/>
  <c r="D15" i="46"/>
  <c r="T12" i="46"/>
  <c r="T22" i="53"/>
  <c r="P21" i="52"/>
  <c r="H12" i="52"/>
  <c r="P16" i="53"/>
  <c r="H25" i="52"/>
  <c r="D5" i="52"/>
  <c r="P21" i="50"/>
  <c r="T15" i="50"/>
  <c r="P13" i="50"/>
  <c r="H12" i="50"/>
  <c r="P24" i="49"/>
  <c r="P22" i="49"/>
  <c r="T20" i="49"/>
  <c r="T16" i="49"/>
  <c r="T13" i="49"/>
  <c r="P24" i="47"/>
  <c r="P22" i="47"/>
  <c r="T20" i="47"/>
  <c r="T16" i="47"/>
  <c r="T13" i="47"/>
  <c r="P34" i="46"/>
  <c r="P33" i="46"/>
  <c r="P29" i="46"/>
  <c r="P25" i="46"/>
  <c r="T21" i="46"/>
  <c r="H34" i="44"/>
  <c r="H33" i="44"/>
  <c r="H29" i="44"/>
  <c r="H25" i="44"/>
  <c r="P15" i="44"/>
  <c r="D5" i="44"/>
  <c r="H22" i="53"/>
  <c r="T29" i="52"/>
  <c r="B16" i="52"/>
  <c r="P20" i="50"/>
  <c r="P16" i="50"/>
  <c r="D12" i="50"/>
  <c r="P21" i="49"/>
  <c r="T15" i="49"/>
  <c r="P13" i="49"/>
  <c r="H12" i="49"/>
  <c r="P21" i="47"/>
  <c r="T15" i="47"/>
  <c r="P13" i="47"/>
  <c r="H12" i="47"/>
  <c r="P24" i="46"/>
  <c r="P22" i="46"/>
  <c r="T20" i="46"/>
  <c r="T16" i="46"/>
  <c r="T13" i="46"/>
  <c r="B39" i="44"/>
  <c r="H24" i="44"/>
  <c r="H22" i="44"/>
  <c r="H13" i="44"/>
  <c r="D4" i="44"/>
  <c r="H34" i="43"/>
  <c r="H33" i="43"/>
  <c r="T34" i="52"/>
  <c r="P29" i="52"/>
  <c r="H34" i="50"/>
  <c r="H33" i="50"/>
  <c r="H29" i="50"/>
  <c r="H25" i="50"/>
  <c r="P15" i="50"/>
  <c r="D5" i="50"/>
  <c r="P20" i="49"/>
  <c r="P16" i="49"/>
  <c r="D12" i="49"/>
  <c r="P20" i="47"/>
  <c r="P16" i="47"/>
  <c r="D12" i="47"/>
  <c r="P21" i="46"/>
  <c r="T15" i="46"/>
  <c r="P13" i="46"/>
  <c r="H12" i="46"/>
  <c r="B38" i="44"/>
  <c r="D34" i="44"/>
  <c r="D33" i="44"/>
  <c r="D29" i="44"/>
  <c r="D25" i="44"/>
  <c r="H21" i="44"/>
  <c r="D13" i="44"/>
  <c r="B39" i="43"/>
  <c r="H24" i="43"/>
  <c r="H22" i="43"/>
  <c r="H13" i="43"/>
  <c r="D4" i="43"/>
  <c r="H34" i="52"/>
  <c r="H29" i="52"/>
  <c r="P15" i="52"/>
  <c r="B38" i="50"/>
  <c r="D34" i="50"/>
  <c r="D33" i="50"/>
  <c r="D29" i="50"/>
  <c r="D25" i="50"/>
  <c r="H21" i="50"/>
  <c r="D13" i="50"/>
  <c r="B39" i="49"/>
  <c r="H24" i="49"/>
  <c r="H22" i="49"/>
  <c r="H13" i="49"/>
  <c r="D4" i="49"/>
  <c r="B39" i="47"/>
  <c r="H24" i="47"/>
  <c r="H22" i="47"/>
  <c r="H13" i="47"/>
  <c r="D4" i="47"/>
  <c r="H34" i="46"/>
  <c r="H33" i="46"/>
  <c r="H29" i="46"/>
  <c r="H25" i="46"/>
  <c r="P15" i="46"/>
  <c r="D5" i="46"/>
  <c r="B22" i="44"/>
  <c r="D21" i="44"/>
  <c r="H15" i="44"/>
  <c r="B25" i="43"/>
  <c r="D24" i="43"/>
  <c r="D22" i="43"/>
  <c r="H20" i="43"/>
  <c r="B25" i="50"/>
  <c r="H20" i="50"/>
  <c r="B13" i="50"/>
  <c r="D33" i="49"/>
  <c r="D25" i="49"/>
  <c r="D13" i="49"/>
  <c r="P33" i="47"/>
  <c r="P25" i="47"/>
  <c r="P22" i="44"/>
  <c r="T15" i="44"/>
  <c r="P29" i="43"/>
  <c r="B21" i="43"/>
  <c r="B25" i="41"/>
  <c r="D24" i="41"/>
  <c r="D22" i="41"/>
  <c r="H20" i="41"/>
  <c r="H16" i="41"/>
  <c r="B13" i="41"/>
  <c r="B38" i="40"/>
  <c r="D34" i="40"/>
  <c r="D33" i="40"/>
  <c r="D29" i="40"/>
  <c r="D25" i="40"/>
  <c r="H21" i="40"/>
  <c r="D13" i="40"/>
  <c r="P24" i="50"/>
  <c r="H33" i="47"/>
  <c r="H25" i="47"/>
  <c r="P20" i="46"/>
  <c r="B25" i="44"/>
  <c r="D33" i="43"/>
  <c r="P24" i="43"/>
  <c r="H15" i="43"/>
  <c r="P12" i="43"/>
  <c r="B39" i="50"/>
  <c r="H24" i="50"/>
  <c r="D4" i="50"/>
  <c r="D5" i="49"/>
  <c r="D33" i="47"/>
  <c r="D25" i="47"/>
  <c r="D13" i="47"/>
  <c r="H13" i="46"/>
  <c r="T20" i="44"/>
  <c r="H12" i="44"/>
  <c r="B22" i="43"/>
  <c r="H16" i="43"/>
  <c r="B21" i="41"/>
  <c r="D20" i="41"/>
  <c r="D16" i="41"/>
  <c r="B22" i="40"/>
  <c r="D21" i="40"/>
  <c r="H15" i="40"/>
  <c r="D24" i="50"/>
  <c r="B38" i="49"/>
  <c r="T24" i="46"/>
  <c r="P12" i="46"/>
  <c r="D22" i="44"/>
  <c r="D12" i="44"/>
  <c r="P34" i="43"/>
  <c r="H29" i="43"/>
  <c r="T20" i="43"/>
  <c r="T34" i="41"/>
  <c r="T33" i="41"/>
  <c r="T29" i="41"/>
  <c r="T25" i="41"/>
  <c r="B16" i="41"/>
  <c r="D15" i="41"/>
  <c r="T12" i="41"/>
  <c r="B21" i="40"/>
  <c r="D20" i="40"/>
  <c r="D16" i="40"/>
  <c r="T15" i="52"/>
  <c r="P22" i="50"/>
  <c r="T16" i="50"/>
  <c r="P29" i="49"/>
  <c r="D5" i="47"/>
  <c r="D12" i="46"/>
  <c r="T33" i="44"/>
  <c r="P20" i="44"/>
  <c r="T16" i="44"/>
  <c r="D15" i="44"/>
  <c r="B38" i="43"/>
  <c r="D29" i="43"/>
  <c r="P25" i="43"/>
  <c r="D16" i="43"/>
  <c r="H12" i="43"/>
  <c r="T24" i="41"/>
  <c r="T22" i="41"/>
  <c r="P12" i="41"/>
  <c r="T34" i="40"/>
  <c r="T33" i="40"/>
  <c r="T29" i="40"/>
  <c r="T25" i="40"/>
  <c r="B16" i="40"/>
  <c r="D15" i="40"/>
  <c r="T12" i="40"/>
  <c r="D15" i="52"/>
  <c r="H22" i="50"/>
  <c r="H29" i="49"/>
  <c r="B38" i="47"/>
  <c r="B39" i="46"/>
  <c r="H24" i="46"/>
  <c r="D4" i="46"/>
  <c r="P33" i="44"/>
  <c r="P24" i="44"/>
  <c r="H20" i="44"/>
  <c r="T21" i="43"/>
  <c r="P20" i="43"/>
  <c r="T13" i="43"/>
  <c r="D12" i="43"/>
  <c r="D22" i="50"/>
  <c r="H16" i="50"/>
  <c r="D29" i="49"/>
  <c r="P29" i="47"/>
  <c r="T22" i="46"/>
  <c r="T29" i="44"/>
  <c r="T21" i="44"/>
  <c r="D20" i="44"/>
  <c r="P16" i="44"/>
  <c r="T13" i="44"/>
  <c r="D34" i="43"/>
  <c r="P13" i="43"/>
  <c r="D5" i="43"/>
  <c r="P24" i="41"/>
  <c r="P22" i="41"/>
  <c r="T20" i="41"/>
  <c r="T16" i="41"/>
  <c r="T13" i="41"/>
  <c r="P34" i="40"/>
  <c r="P33" i="40"/>
  <c r="P29" i="40"/>
  <c r="P25" i="40"/>
  <c r="T21" i="40"/>
  <c r="P34" i="49"/>
  <c r="T21" i="49"/>
  <c r="H29" i="47"/>
  <c r="P16" i="46"/>
  <c r="P29" i="44"/>
  <c r="H16" i="44"/>
  <c r="P13" i="44"/>
  <c r="H25" i="43"/>
  <c r="T22" i="43"/>
  <c r="P21" i="43"/>
  <c r="H34" i="49"/>
  <c r="P15" i="49"/>
  <c r="D29" i="47"/>
  <c r="H22" i="46"/>
  <c r="T25" i="44"/>
  <c r="D24" i="44"/>
  <c r="P21" i="44"/>
  <c r="D16" i="44"/>
  <c r="D25" i="43"/>
  <c r="T15" i="43"/>
  <c r="P20" i="41"/>
  <c r="P16" i="41"/>
  <c r="D12" i="41"/>
  <c r="P21" i="40"/>
  <c r="T15" i="40"/>
  <c r="P13" i="40"/>
  <c r="H12" i="40"/>
  <c r="T33" i="52"/>
  <c r="D34" i="49"/>
  <c r="H21" i="49"/>
  <c r="P34" i="47"/>
  <c r="T21" i="47"/>
  <c r="T34" i="44"/>
  <c r="P25" i="44"/>
  <c r="B16" i="44"/>
  <c r="B13" i="44"/>
  <c r="P22" i="43"/>
  <c r="D20" i="43"/>
  <c r="T16" i="43"/>
  <c r="D13" i="43"/>
  <c r="H13" i="50"/>
  <c r="H21" i="47"/>
  <c r="P33" i="43"/>
  <c r="D21" i="41"/>
  <c r="H15" i="41"/>
  <c r="D24" i="40"/>
  <c r="P24" i="38"/>
  <c r="P22" i="38"/>
  <c r="T20" i="38"/>
  <c r="T16" i="38"/>
  <c r="T13" i="38"/>
  <c r="P34" i="37"/>
  <c r="P33" i="37"/>
  <c r="P29" i="37"/>
  <c r="P25" i="37"/>
  <c r="T21" i="37"/>
  <c r="H34" i="35"/>
  <c r="H33" i="35"/>
  <c r="H29" i="35"/>
  <c r="H25" i="35"/>
  <c r="P15" i="35"/>
  <c r="D5" i="35"/>
  <c r="P20" i="34"/>
  <c r="P16" i="34"/>
  <c r="D12" i="34"/>
  <c r="T24" i="32"/>
  <c r="T22" i="32"/>
  <c r="P12" i="32"/>
  <c r="T34" i="31"/>
  <c r="T33" i="31"/>
  <c r="T29" i="31"/>
  <c r="T25" i="31"/>
  <c r="B16" i="31"/>
  <c r="D15" i="31"/>
  <c r="T12" i="31"/>
  <c r="P33" i="49"/>
  <c r="P15" i="47"/>
  <c r="H33" i="49"/>
  <c r="P13" i="41"/>
  <c r="P22" i="40"/>
  <c r="T20" i="40"/>
  <c r="T16" i="40"/>
  <c r="T13" i="40"/>
  <c r="P20" i="38"/>
  <c r="P16" i="38"/>
  <c r="D12" i="38"/>
  <c r="P21" i="37"/>
  <c r="T15" i="37"/>
  <c r="P13" i="37"/>
  <c r="H12" i="37"/>
  <c r="B38" i="35"/>
  <c r="D34" i="35"/>
  <c r="D33" i="35"/>
  <c r="D29" i="35"/>
  <c r="D25" i="35"/>
  <c r="H21" i="35"/>
  <c r="D13" i="35"/>
  <c r="B39" i="34"/>
  <c r="H24" i="34"/>
  <c r="H22" i="34"/>
  <c r="H13" i="34"/>
  <c r="D4" i="34"/>
  <c r="P24" i="32"/>
  <c r="P22" i="32"/>
  <c r="T20" i="32"/>
  <c r="T16" i="32"/>
  <c r="T13" i="32"/>
  <c r="P34" i="31"/>
  <c r="P33" i="31"/>
  <c r="P29" i="31"/>
  <c r="P25" i="31"/>
  <c r="T21" i="31"/>
  <c r="P25" i="49"/>
  <c r="B21" i="44"/>
  <c r="P16" i="43"/>
  <c r="H33" i="41"/>
  <c r="H29" i="41"/>
  <c r="H25" i="41"/>
  <c r="P20" i="40"/>
  <c r="P16" i="40"/>
  <c r="H34" i="38"/>
  <c r="H33" i="38"/>
  <c r="H29" i="38"/>
  <c r="H25" i="38"/>
  <c r="P15" i="38"/>
  <c r="D5" i="38"/>
  <c r="P20" i="37"/>
  <c r="P16" i="37"/>
  <c r="D12" i="37"/>
  <c r="B25" i="35"/>
  <c r="D24" i="35"/>
  <c r="D22" i="35"/>
  <c r="H20" i="35"/>
  <c r="H16" i="35"/>
  <c r="B13" i="35"/>
  <c r="B38" i="34"/>
  <c r="D34" i="34"/>
  <c r="D33" i="34"/>
  <c r="D29" i="34"/>
  <c r="D25" i="34"/>
  <c r="H21" i="34"/>
  <c r="D13" i="34"/>
  <c r="P21" i="32"/>
  <c r="T15" i="32"/>
  <c r="P13" i="32"/>
  <c r="H12" i="32"/>
  <c r="P24" i="31"/>
  <c r="P22" i="31"/>
  <c r="T20" i="31"/>
  <c r="T16" i="31"/>
  <c r="T13" i="31"/>
  <c r="H25" i="49"/>
  <c r="P34" i="44"/>
  <c r="P15" i="43"/>
  <c r="H22" i="41"/>
  <c r="H13" i="41"/>
  <c r="H33" i="40"/>
  <c r="H29" i="40"/>
  <c r="H25" i="40"/>
  <c r="B39" i="38"/>
  <c r="H24" i="38"/>
  <c r="H22" i="38"/>
  <c r="H13" i="38"/>
  <c r="D4" i="38"/>
  <c r="H34" i="37"/>
  <c r="H33" i="37"/>
  <c r="H29" i="37"/>
  <c r="H25" i="37"/>
  <c r="P15" i="37"/>
  <c r="D5" i="37"/>
  <c r="B22" i="35"/>
  <c r="D21" i="35"/>
  <c r="H15" i="35"/>
  <c r="B25" i="34"/>
  <c r="D24" i="34"/>
  <c r="D22" i="34"/>
  <c r="H20" i="34"/>
  <c r="H16" i="34"/>
  <c r="B13" i="34"/>
  <c r="P20" i="32"/>
  <c r="P16" i="32"/>
  <c r="D12" i="32"/>
  <c r="P21" i="31"/>
  <c r="T15" i="31"/>
  <c r="P13" i="31"/>
  <c r="H12" i="31"/>
  <c r="D33" i="41"/>
  <c r="D29" i="41"/>
  <c r="D25" i="41"/>
  <c r="D13" i="41"/>
  <c r="H22" i="40"/>
  <c r="H13" i="40"/>
  <c r="B38" i="38"/>
  <c r="D34" i="38"/>
  <c r="D33" i="38"/>
  <c r="D29" i="38"/>
  <c r="D25" i="38"/>
  <c r="H21" i="38"/>
  <c r="D13" i="38"/>
  <c r="B39" i="37"/>
  <c r="H24" i="37"/>
  <c r="H22" i="37"/>
  <c r="H13" i="37"/>
  <c r="D4" i="37"/>
  <c r="B21" i="35"/>
  <c r="D20" i="35"/>
  <c r="D16" i="35"/>
  <c r="B22" i="34"/>
  <c r="D21" i="34"/>
  <c r="H15" i="34"/>
  <c r="B13" i="43"/>
  <c r="B22" i="41"/>
  <c r="B25" i="40"/>
  <c r="D22" i="40"/>
  <c r="H20" i="40"/>
  <c r="H16" i="40"/>
  <c r="B13" i="40"/>
  <c r="B25" i="38"/>
  <c r="D24" i="38"/>
  <c r="D22" i="38"/>
  <c r="H20" i="38"/>
  <c r="H16" i="38"/>
  <c r="B13" i="38"/>
  <c r="B38" i="37"/>
  <c r="D34" i="37"/>
  <c r="D33" i="37"/>
  <c r="D29" i="37"/>
  <c r="D25" i="37"/>
  <c r="H21" i="37"/>
  <c r="D13" i="37"/>
  <c r="T34" i="35"/>
  <c r="T33" i="35"/>
  <c r="T29" i="35"/>
  <c r="T25" i="35"/>
  <c r="B16" i="35"/>
  <c r="D15" i="35"/>
  <c r="T12" i="35"/>
  <c r="B21" i="34"/>
  <c r="D20" i="34"/>
  <c r="D16" i="34"/>
  <c r="B39" i="32"/>
  <c r="H24" i="32"/>
  <c r="H22" i="32"/>
  <c r="H13" i="32"/>
  <c r="D4" i="32"/>
  <c r="H34" i="31"/>
  <c r="H33" i="31"/>
  <c r="H29" i="31"/>
  <c r="H25" i="31"/>
  <c r="P15" i="31"/>
  <c r="D5" i="31"/>
  <c r="H34" i="47"/>
  <c r="T24" i="43"/>
  <c r="P34" i="41"/>
  <c r="T21" i="41"/>
  <c r="T24" i="40"/>
  <c r="P12" i="40"/>
  <c r="B22" i="38"/>
  <c r="D21" i="38"/>
  <c r="H15" i="38"/>
  <c r="B25" i="37"/>
  <c r="D24" i="37"/>
  <c r="D22" i="37"/>
  <c r="H20" i="37"/>
  <c r="H16" i="37"/>
  <c r="B13" i="37"/>
  <c r="T24" i="35"/>
  <c r="T22" i="35"/>
  <c r="P12" i="35"/>
  <c r="T34" i="34"/>
  <c r="T33" i="34"/>
  <c r="T29" i="34"/>
  <c r="T25" i="34"/>
  <c r="B16" i="34"/>
  <c r="D15" i="34"/>
  <c r="T12" i="34"/>
  <c r="B38" i="32"/>
  <c r="D34" i="32"/>
  <c r="D33" i="32"/>
  <c r="D29" i="32"/>
  <c r="D25" i="32"/>
  <c r="H21" i="32"/>
  <c r="D13" i="32"/>
  <c r="B39" i="31"/>
  <c r="H24" i="31"/>
  <c r="H22" i="31"/>
  <c r="H13" i="31"/>
  <c r="D4" i="31"/>
  <c r="D34" i="47"/>
  <c r="P21" i="41"/>
  <c r="T15" i="41"/>
  <c r="H12" i="41"/>
  <c r="P24" i="40"/>
  <c r="B21" i="38"/>
  <c r="D20" i="38"/>
  <c r="D16" i="38"/>
  <c r="B22" i="37"/>
  <c r="D21" i="37"/>
  <c r="H15" i="37"/>
  <c r="P34" i="35"/>
  <c r="P33" i="35"/>
  <c r="P29" i="35"/>
  <c r="P25" i="35"/>
  <c r="T21" i="35"/>
  <c r="T24" i="34"/>
  <c r="T22" i="34"/>
  <c r="P12" i="34"/>
  <c r="B25" i="32"/>
  <c r="D24" i="32"/>
  <c r="D22" i="32"/>
  <c r="H20" i="32"/>
  <c r="H16" i="32"/>
  <c r="B13" i="32"/>
  <c r="B38" i="31"/>
  <c r="D34" i="31"/>
  <c r="D33" i="31"/>
  <c r="D29" i="31"/>
  <c r="D25" i="31"/>
  <c r="H21" i="31"/>
  <c r="D13" i="31"/>
  <c r="H21" i="43"/>
  <c r="B39" i="41"/>
  <c r="H24" i="41"/>
  <c r="D4" i="41"/>
  <c r="H34" i="40"/>
  <c r="P15" i="40"/>
  <c r="D5" i="40"/>
  <c r="T24" i="38"/>
  <c r="T22" i="38"/>
  <c r="P12" i="38"/>
  <c r="T34" i="37"/>
  <c r="T33" i="37"/>
  <c r="T29" i="37"/>
  <c r="T25" i="37"/>
  <c r="B16" i="37"/>
  <c r="D15" i="37"/>
  <c r="T12" i="37"/>
  <c r="P21" i="35"/>
  <c r="T15" i="35"/>
  <c r="P13" i="35"/>
  <c r="H12" i="35"/>
  <c r="P24" i="34"/>
  <c r="P22" i="34"/>
  <c r="T20" i="34"/>
  <c r="T16" i="34"/>
  <c r="T13" i="34"/>
  <c r="B21" i="32"/>
  <c r="D20" i="32"/>
  <c r="D16" i="32"/>
  <c r="B22" i="31"/>
  <c r="D21" i="31"/>
  <c r="H15" i="31"/>
  <c r="T13" i="50"/>
  <c r="D21" i="43"/>
  <c r="P33" i="41"/>
  <c r="T29" i="38"/>
  <c r="P24" i="35"/>
  <c r="H25" i="32"/>
  <c r="D5" i="32"/>
  <c r="B39" i="29"/>
  <c r="B25" i="29"/>
  <c r="D24" i="29"/>
  <c r="D22" i="29"/>
  <c r="H20" i="29"/>
  <c r="H16" i="29"/>
  <c r="B13" i="29"/>
  <c r="B38" i="28"/>
  <c r="D34" i="28"/>
  <c r="D33" i="28"/>
  <c r="D29" i="28"/>
  <c r="D25" i="28"/>
  <c r="H21" i="28"/>
  <c r="D13" i="28"/>
  <c r="B25" i="26"/>
  <c r="D24" i="26"/>
  <c r="D22" i="26"/>
  <c r="H20" i="26"/>
  <c r="H16" i="26"/>
  <c r="B13" i="26"/>
  <c r="B38" i="25"/>
  <c r="D34" i="25"/>
  <c r="D33" i="25"/>
  <c r="D29" i="25"/>
  <c r="D25" i="25"/>
  <c r="H21" i="25"/>
  <c r="D13" i="25"/>
  <c r="P34" i="23"/>
  <c r="P33" i="23"/>
  <c r="P29" i="23"/>
  <c r="P25" i="23"/>
  <c r="T21" i="23"/>
  <c r="T24" i="22"/>
  <c r="T22" i="22"/>
  <c r="P12" i="22"/>
  <c r="P29" i="38"/>
  <c r="T22" i="37"/>
  <c r="D12" i="35"/>
  <c r="H12" i="34"/>
  <c r="D21" i="32"/>
  <c r="D22" i="31"/>
  <c r="B13" i="31"/>
  <c r="B38" i="29"/>
  <c r="B22" i="29"/>
  <c r="D21" i="29"/>
  <c r="H15" i="29"/>
  <c r="B25" i="28"/>
  <c r="D24" i="28"/>
  <c r="D22" i="28"/>
  <c r="H20" i="28"/>
  <c r="H16" i="28"/>
  <c r="B13" i="28"/>
  <c r="B22" i="26"/>
  <c r="D21" i="26"/>
  <c r="H15" i="26"/>
  <c r="B25" i="25"/>
  <c r="D24" i="25"/>
  <c r="D22" i="25"/>
  <c r="H20" i="25"/>
  <c r="H16" i="25"/>
  <c r="B13" i="25"/>
  <c r="P24" i="23"/>
  <c r="P22" i="23"/>
  <c r="T20" i="23"/>
  <c r="T16" i="23"/>
  <c r="T13" i="23"/>
  <c r="P34" i="22"/>
  <c r="P33" i="22"/>
  <c r="P29" i="22"/>
  <c r="P25" i="22"/>
  <c r="T21" i="22"/>
  <c r="P22" i="37"/>
  <c r="T16" i="37"/>
  <c r="B39" i="35"/>
  <c r="H24" i="35"/>
  <c r="D4" i="35"/>
  <c r="D5" i="34"/>
  <c r="T34" i="32"/>
  <c r="T29" i="32"/>
  <c r="B16" i="32"/>
  <c r="B21" i="29"/>
  <c r="D20" i="29"/>
  <c r="D16" i="29"/>
  <c r="B22" i="28"/>
  <c r="D21" i="28"/>
  <c r="H15" i="28"/>
  <c r="B21" i="26"/>
  <c r="D20" i="26"/>
  <c r="D16" i="26"/>
  <c r="B22" i="25"/>
  <c r="D21" i="25"/>
  <c r="H15" i="25"/>
  <c r="P21" i="23"/>
  <c r="T15" i="23"/>
  <c r="P13" i="23"/>
  <c r="H12" i="23"/>
  <c r="P24" i="22"/>
  <c r="P22" i="22"/>
  <c r="T20" i="22"/>
  <c r="T16" i="22"/>
  <c r="T13" i="22"/>
  <c r="P29" i="41"/>
  <c r="T34" i="38"/>
  <c r="B16" i="38"/>
  <c r="D16" i="37"/>
  <c r="P22" i="35"/>
  <c r="T16" i="35"/>
  <c r="P29" i="34"/>
  <c r="P34" i="32"/>
  <c r="P29" i="32"/>
  <c r="P12" i="31"/>
  <c r="T34" i="29"/>
  <c r="T33" i="29"/>
  <c r="T29" i="29"/>
  <c r="T25" i="29"/>
  <c r="B16" i="29"/>
  <c r="D15" i="29"/>
  <c r="T12" i="29"/>
  <c r="B21" i="28"/>
  <c r="D20" i="28"/>
  <c r="D16" i="28"/>
  <c r="T34" i="26"/>
  <c r="T33" i="26"/>
  <c r="T29" i="26"/>
  <c r="T25" i="26"/>
  <c r="B16" i="26"/>
  <c r="D15" i="26"/>
  <c r="T12" i="26"/>
  <c r="B21" i="25"/>
  <c r="D20" i="25"/>
  <c r="D16" i="25"/>
  <c r="P20" i="23"/>
  <c r="P16" i="23"/>
  <c r="D12" i="23"/>
  <c r="P21" i="22"/>
  <c r="T15" i="22"/>
  <c r="P13" i="22"/>
  <c r="H12" i="22"/>
  <c r="P15" i="41"/>
  <c r="P34" i="38"/>
  <c r="T21" i="38"/>
  <c r="P16" i="35"/>
  <c r="H34" i="32"/>
  <c r="H29" i="32"/>
  <c r="P15" i="32"/>
  <c r="P16" i="31"/>
  <c r="D12" i="31"/>
  <c r="T24" i="29"/>
  <c r="T22" i="29"/>
  <c r="P12" i="29"/>
  <c r="T34" i="28"/>
  <c r="T33" i="28"/>
  <c r="T29" i="28"/>
  <c r="T25" i="28"/>
  <c r="B16" i="28"/>
  <c r="D15" i="28"/>
  <c r="T12" i="28"/>
  <c r="P21" i="38"/>
  <c r="T15" i="38"/>
  <c r="H22" i="35"/>
  <c r="H29" i="34"/>
  <c r="H15" i="32"/>
  <c r="B25" i="31"/>
  <c r="H16" i="31"/>
  <c r="P34" i="29"/>
  <c r="P33" i="29"/>
  <c r="P29" i="29"/>
  <c r="P25" i="29"/>
  <c r="T21" i="29"/>
  <c r="T24" i="28"/>
  <c r="T22" i="28"/>
  <c r="P12" i="28"/>
  <c r="P34" i="26"/>
  <c r="P33" i="26"/>
  <c r="P29" i="26"/>
  <c r="P25" i="26"/>
  <c r="T21" i="26"/>
  <c r="T24" i="25"/>
  <c r="T22" i="25"/>
  <c r="P12" i="25"/>
  <c r="B39" i="23"/>
  <c r="H24" i="23"/>
  <c r="H22" i="23"/>
  <c r="P25" i="41"/>
  <c r="T33" i="38"/>
  <c r="T25" i="38"/>
  <c r="D15" i="38"/>
  <c r="B21" i="37"/>
  <c r="P34" i="34"/>
  <c r="T21" i="34"/>
  <c r="T33" i="32"/>
  <c r="D15" i="32"/>
  <c r="B21" i="31"/>
  <c r="D16" i="31"/>
  <c r="P24" i="29"/>
  <c r="P22" i="29"/>
  <c r="T20" i="29"/>
  <c r="T16" i="29"/>
  <c r="T13" i="29"/>
  <c r="P34" i="28"/>
  <c r="P33" i="28"/>
  <c r="P29" i="28"/>
  <c r="P25" i="28"/>
  <c r="T21" i="28"/>
  <c r="P24" i="26"/>
  <c r="P22" i="26"/>
  <c r="T20" i="26"/>
  <c r="T16" i="26"/>
  <c r="T13" i="26"/>
  <c r="P34" i="25"/>
  <c r="P33" i="25"/>
  <c r="P29" i="25"/>
  <c r="P25" i="25"/>
  <c r="T21" i="25"/>
  <c r="B38" i="23"/>
  <c r="D34" i="23"/>
  <c r="D33" i="23"/>
  <c r="D29" i="23"/>
  <c r="D25" i="23"/>
  <c r="H21" i="23"/>
  <c r="D13" i="23"/>
  <c r="B39" i="22"/>
  <c r="H24" i="22"/>
  <c r="H22" i="22"/>
  <c r="H13" i="22"/>
  <c r="D4" i="22"/>
  <c r="B39" i="20"/>
  <c r="D5" i="41"/>
  <c r="D12" i="40"/>
  <c r="P33" i="38"/>
  <c r="P25" i="38"/>
  <c r="P21" i="34"/>
  <c r="T15" i="34"/>
  <c r="P33" i="32"/>
  <c r="T24" i="31"/>
  <c r="P21" i="29"/>
  <c r="T15" i="29"/>
  <c r="P13" i="29"/>
  <c r="H12" i="29"/>
  <c r="P24" i="28"/>
  <c r="P22" i="28"/>
  <c r="T20" i="28"/>
  <c r="T16" i="28"/>
  <c r="T13" i="28"/>
  <c r="P21" i="26"/>
  <c r="T15" i="26"/>
  <c r="P13" i="26"/>
  <c r="H12" i="26"/>
  <c r="P24" i="25"/>
  <c r="P22" i="25"/>
  <c r="T20" i="25"/>
  <c r="T16" i="25"/>
  <c r="T13" i="25"/>
  <c r="B25" i="23"/>
  <c r="D24" i="23"/>
  <c r="D22" i="23"/>
  <c r="H20" i="23"/>
  <c r="H16" i="23"/>
  <c r="B13" i="23"/>
  <c r="B38" i="22"/>
  <c r="D34" i="22"/>
  <c r="D33" i="22"/>
  <c r="D29" i="22"/>
  <c r="D25" i="22"/>
  <c r="H21" i="22"/>
  <c r="D13" i="22"/>
  <c r="B38" i="20"/>
  <c r="D34" i="20"/>
  <c r="D33" i="20"/>
  <c r="H34" i="41"/>
  <c r="T24" i="37"/>
  <c r="P12" i="37"/>
  <c r="P20" i="35"/>
  <c r="P13" i="34"/>
  <c r="T25" i="32"/>
  <c r="T12" i="32"/>
  <c r="D20" i="31"/>
  <c r="H24" i="29"/>
  <c r="H22" i="29"/>
  <c r="H13" i="29"/>
  <c r="D4" i="29"/>
  <c r="H34" i="28"/>
  <c r="H33" i="28"/>
  <c r="H29" i="28"/>
  <c r="H25" i="28"/>
  <c r="P15" i="28"/>
  <c r="D5" i="28"/>
  <c r="B39" i="26"/>
  <c r="H24" i="26"/>
  <c r="H22" i="26"/>
  <c r="H13" i="26"/>
  <c r="D4" i="26"/>
  <c r="H34" i="25"/>
  <c r="H33" i="25"/>
  <c r="H29" i="25"/>
  <c r="H25" i="25"/>
  <c r="P15" i="25"/>
  <c r="D5" i="25"/>
  <c r="T34" i="23"/>
  <c r="T33" i="23"/>
  <c r="T29" i="23"/>
  <c r="T25" i="23"/>
  <c r="B16" i="23"/>
  <c r="D15" i="23"/>
  <c r="T12" i="23"/>
  <c r="B21" i="22"/>
  <c r="D20" i="22"/>
  <c r="D16" i="22"/>
  <c r="T22" i="40"/>
  <c r="H12" i="38"/>
  <c r="P15" i="34"/>
  <c r="H29" i="29"/>
  <c r="P16" i="28"/>
  <c r="D34" i="26"/>
  <c r="D29" i="26"/>
  <c r="D4" i="25"/>
  <c r="T22" i="23"/>
  <c r="D4" i="23"/>
  <c r="B25" i="22"/>
  <c r="H15" i="22"/>
  <c r="T33" i="20"/>
  <c r="T25" i="20"/>
  <c r="T24" i="20"/>
  <c r="T22" i="20"/>
  <c r="P12" i="20"/>
  <c r="T34" i="19"/>
  <c r="T33" i="19"/>
  <c r="T29" i="19"/>
  <c r="T25" i="19"/>
  <c r="B16" i="19"/>
  <c r="D15" i="19"/>
  <c r="T12" i="19"/>
  <c r="P20" i="17"/>
  <c r="P16" i="17"/>
  <c r="D12" i="17"/>
  <c r="P21" i="16"/>
  <c r="T15" i="16"/>
  <c r="P13" i="16"/>
  <c r="H12" i="16"/>
  <c r="B38" i="41"/>
  <c r="D4" i="40"/>
  <c r="H13" i="35"/>
  <c r="P21" i="28"/>
  <c r="T15" i="28"/>
  <c r="T15" i="25"/>
  <c r="B22" i="23"/>
  <c r="P24" i="20"/>
  <c r="P22" i="20"/>
  <c r="T20" i="20"/>
  <c r="T16" i="20"/>
  <c r="T13" i="20"/>
  <c r="P34" i="19"/>
  <c r="P33" i="19"/>
  <c r="P29" i="19"/>
  <c r="P25" i="19"/>
  <c r="T21" i="19"/>
  <c r="B39" i="17"/>
  <c r="H24" i="17"/>
  <c r="H22" i="17"/>
  <c r="H13" i="17"/>
  <c r="D4" i="17"/>
  <c r="H34" i="16"/>
  <c r="H33" i="16"/>
  <c r="H29" i="16"/>
  <c r="H25" i="16"/>
  <c r="P15" i="16"/>
  <c r="D5" i="16"/>
  <c r="H34" i="34"/>
  <c r="B22" i="32"/>
  <c r="H34" i="29"/>
  <c r="P15" i="29"/>
  <c r="H33" i="26"/>
  <c r="P20" i="25"/>
  <c r="H15" i="23"/>
  <c r="H33" i="22"/>
  <c r="P21" i="20"/>
  <c r="T15" i="20"/>
  <c r="P13" i="20"/>
  <c r="H12" i="20"/>
  <c r="P24" i="19"/>
  <c r="P22" i="19"/>
  <c r="T20" i="19"/>
  <c r="T16" i="19"/>
  <c r="T13" i="19"/>
  <c r="B38" i="17"/>
  <c r="D34" i="17"/>
  <c r="D33" i="17"/>
  <c r="D29" i="17"/>
  <c r="D25" i="17"/>
  <c r="H21" i="17"/>
  <c r="D13" i="17"/>
  <c r="B39" i="16"/>
  <c r="H24" i="16"/>
  <c r="H22" i="16"/>
  <c r="H13" i="16"/>
  <c r="D4" i="16"/>
  <c r="D34" i="41"/>
  <c r="P33" i="34"/>
  <c r="T21" i="32"/>
  <c r="D34" i="29"/>
  <c r="H21" i="29"/>
  <c r="B38" i="26"/>
  <c r="D33" i="26"/>
  <c r="D13" i="26"/>
  <c r="H24" i="25"/>
  <c r="D21" i="22"/>
  <c r="P16" i="22"/>
  <c r="B13" i="22"/>
  <c r="T34" i="20"/>
  <c r="H33" i="20"/>
  <c r="P20" i="20"/>
  <c r="P16" i="20"/>
  <c r="D12" i="20"/>
  <c r="P21" i="19"/>
  <c r="T15" i="19"/>
  <c r="P13" i="19"/>
  <c r="H12" i="19"/>
  <c r="H33" i="34"/>
  <c r="P20" i="29"/>
  <c r="P13" i="28"/>
  <c r="P12" i="26"/>
  <c r="T33" i="25"/>
  <c r="D15" i="25"/>
  <c r="H25" i="23"/>
  <c r="D24" i="22"/>
  <c r="P34" i="20"/>
  <c r="T29" i="20"/>
  <c r="H25" i="20"/>
  <c r="P15" i="20"/>
  <c r="D5" i="20"/>
  <c r="P20" i="19"/>
  <c r="P16" i="19"/>
  <c r="D12" i="19"/>
  <c r="T12" i="44"/>
  <c r="P24" i="37"/>
  <c r="D24" i="31"/>
  <c r="H33" i="29"/>
  <c r="H25" i="29"/>
  <c r="P20" i="28"/>
  <c r="P16" i="26"/>
  <c r="D12" i="26"/>
  <c r="P13" i="25"/>
  <c r="P20" i="22"/>
  <c r="H16" i="22"/>
  <c r="T12" i="22"/>
  <c r="P29" i="20"/>
  <c r="H24" i="20"/>
  <c r="H22" i="20"/>
  <c r="H13" i="20"/>
  <c r="D4" i="20"/>
  <c r="H34" i="19"/>
  <c r="H33" i="19"/>
  <c r="H29" i="19"/>
  <c r="H25" i="19"/>
  <c r="P15" i="19"/>
  <c r="D5" i="19"/>
  <c r="B21" i="17"/>
  <c r="D20" i="17"/>
  <c r="D16" i="17"/>
  <c r="B22" i="16"/>
  <c r="D21" i="16"/>
  <c r="H15" i="16"/>
  <c r="H21" i="41"/>
  <c r="T20" i="37"/>
  <c r="P25" i="34"/>
  <c r="T22" i="31"/>
  <c r="D33" i="29"/>
  <c r="D25" i="29"/>
  <c r="D13" i="29"/>
  <c r="H13" i="28"/>
  <c r="H25" i="26"/>
  <c r="D5" i="26"/>
  <c r="D21" i="23"/>
  <c r="H13" i="23"/>
  <c r="D12" i="22"/>
  <c r="D25" i="20"/>
  <c r="H21" i="20"/>
  <c r="D13" i="20"/>
  <c r="B39" i="19"/>
  <c r="H24" i="19"/>
  <c r="H22" i="19"/>
  <c r="H13" i="19"/>
  <c r="D4" i="19"/>
  <c r="T34" i="17"/>
  <c r="T33" i="17"/>
  <c r="T29" i="17"/>
  <c r="T25" i="17"/>
  <c r="B16" i="17"/>
  <c r="D15" i="17"/>
  <c r="T12" i="17"/>
  <c r="B21" i="16"/>
  <c r="D20" i="16"/>
  <c r="D16" i="16"/>
  <c r="B39" i="40"/>
  <c r="D20" i="37"/>
  <c r="H25" i="34"/>
  <c r="H33" i="32"/>
  <c r="P20" i="31"/>
  <c r="D12" i="29"/>
  <c r="H12" i="28"/>
  <c r="D25" i="26"/>
  <c r="H21" i="26"/>
  <c r="B39" i="25"/>
  <c r="H22" i="25"/>
  <c r="H13" i="25"/>
  <c r="T24" i="23"/>
  <c r="B21" i="23"/>
  <c r="T34" i="22"/>
  <c r="H20" i="22"/>
  <c r="B16" i="22"/>
  <c r="D5" i="22"/>
  <c r="H34" i="20"/>
  <c r="B25" i="20"/>
  <c r="D24" i="20"/>
  <c r="D22" i="20"/>
  <c r="H20" i="20"/>
  <c r="H16" i="20"/>
  <c r="B13" i="20"/>
  <c r="B38" i="19"/>
  <c r="D34" i="19"/>
  <c r="D33" i="19"/>
  <c r="D29" i="19"/>
  <c r="D25" i="19"/>
  <c r="H21" i="19"/>
  <c r="D13" i="19"/>
  <c r="P25" i="32"/>
  <c r="D12" i="28"/>
  <c r="H33" i="23"/>
  <c r="D20" i="23"/>
  <c r="T33" i="22"/>
  <c r="H29" i="20"/>
  <c r="H15" i="20"/>
  <c r="B25" i="19"/>
  <c r="H16" i="19"/>
  <c r="T20" i="17"/>
  <c r="H12" i="17"/>
  <c r="P25" i="16"/>
  <c r="H21" i="16"/>
  <c r="B13" i="16"/>
  <c r="T34" i="14"/>
  <c r="T33" i="14"/>
  <c r="T29" i="14"/>
  <c r="T25" i="14"/>
  <c r="B16" i="14"/>
  <c r="D15" i="14"/>
  <c r="T12" i="14"/>
  <c r="B21" i="13"/>
  <c r="D20" i="13"/>
  <c r="D16" i="13"/>
  <c r="B38" i="11"/>
  <c r="D34" i="11"/>
  <c r="D33" i="11"/>
  <c r="D29" i="11"/>
  <c r="D25" i="11"/>
  <c r="H21" i="11"/>
  <c r="D13" i="11"/>
  <c r="B39" i="10"/>
  <c r="H24" i="10"/>
  <c r="H22" i="10"/>
  <c r="H13" i="10"/>
  <c r="D4" i="10"/>
  <c r="T13" i="35"/>
  <c r="D4" i="28"/>
  <c r="P20" i="26"/>
  <c r="H29" i="23"/>
  <c r="D20" i="20"/>
  <c r="D21" i="19"/>
  <c r="T24" i="17"/>
  <c r="D22" i="17"/>
  <c r="H15" i="17"/>
  <c r="D5" i="17"/>
  <c r="P34" i="16"/>
  <c r="D29" i="16"/>
  <c r="T22" i="16"/>
  <c r="T12" i="16"/>
  <c r="T24" i="14"/>
  <c r="T22" i="14"/>
  <c r="P12" i="14"/>
  <c r="T34" i="13"/>
  <c r="T33" i="13"/>
  <c r="T29" i="13"/>
  <c r="T25" i="13"/>
  <c r="B16" i="13"/>
  <c r="D15" i="13"/>
  <c r="T12" i="13"/>
  <c r="B25" i="11"/>
  <c r="D24" i="11"/>
  <c r="D22" i="11"/>
  <c r="H20" i="11"/>
  <c r="H16" i="11"/>
  <c r="B13" i="11"/>
  <c r="B38" i="10"/>
  <c r="D34" i="10"/>
  <c r="D33" i="10"/>
  <c r="D29" i="10"/>
  <c r="D25" i="10"/>
  <c r="H21" i="10"/>
  <c r="D13" i="10"/>
  <c r="H34" i="26"/>
  <c r="P16" i="25"/>
  <c r="D29" i="20"/>
  <c r="D15" i="20"/>
  <c r="B21" i="19"/>
  <c r="D16" i="19"/>
  <c r="B22" i="17"/>
  <c r="T16" i="17"/>
  <c r="B38" i="16"/>
  <c r="P12" i="16"/>
  <c r="P34" i="14"/>
  <c r="P33" i="14"/>
  <c r="P29" i="14"/>
  <c r="P25" i="14"/>
  <c r="T21" i="14"/>
  <c r="T24" i="13"/>
  <c r="T22" i="13"/>
  <c r="P12" i="13"/>
  <c r="T29" i="25"/>
  <c r="B16" i="25"/>
  <c r="D16" i="23"/>
  <c r="T29" i="22"/>
  <c r="T24" i="19"/>
  <c r="P33" i="17"/>
  <c r="P24" i="17"/>
  <c r="H20" i="17"/>
  <c r="D25" i="16"/>
  <c r="P22" i="16"/>
  <c r="P24" i="14"/>
  <c r="P22" i="14"/>
  <c r="T20" i="14"/>
  <c r="T16" i="14"/>
  <c r="T13" i="14"/>
  <c r="P34" i="13"/>
  <c r="P33" i="13"/>
  <c r="P29" i="13"/>
  <c r="P25" i="13"/>
  <c r="T21" i="13"/>
  <c r="B21" i="11"/>
  <c r="D20" i="11"/>
  <c r="D16" i="11"/>
  <c r="B22" i="10"/>
  <c r="D21" i="10"/>
  <c r="H15" i="10"/>
  <c r="T25" i="25"/>
  <c r="T12" i="25"/>
  <c r="P15" i="23"/>
  <c r="H29" i="22"/>
  <c r="B22" i="20"/>
  <c r="D24" i="19"/>
  <c r="H20" i="19"/>
  <c r="T21" i="17"/>
  <c r="T13" i="17"/>
  <c r="D34" i="16"/>
  <c r="B25" i="16"/>
  <c r="P21" i="14"/>
  <c r="T15" i="14"/>
  <c r="P13" i="14"/>
  <c r="H12" i="14"/>
  <c r="P24" i="13"/>
  <c r="P22" i="13"/>
  <c r="T20" i="13"/>
  <c r="T16" i="13"/>
  <c r="T13" i="13"/>
  <c r="T34" i="11"/>
  <c r="T33" i="11"/>
  <c r="T29" i="11"/>
  <c r="T25" i="11"/>
  <c r="B16" i="11"/>
  <c r="D15" i="11"/>
  <c r="T12" i="11"/>
  <c r="B21" i="10"/>
  <c r="D20" i="10"/>
  <c r="D16" i="10"/>
  <c r="P13" i="38"/>
  <c r="H20" i="31"/>
  <c r="H24" i="28"/>
  <c r="H12" i="25"/>
  <c r="T25" i="22"/>
  <c r="H15" i="19"/>
  <c r="P29" i="17"/>
  <c r="H16" i="17"/>
  <c r="P13" i="17"/>
  <c r="T20" i="16"/>
  <c r="D12" i="16"/>
  <c r="P20" i="14"/>
  <c r="P16" i="14"/>
  <c r="D12" i="14"/>
  <c r="P21" i="13"/>
  <c r="T15" i="13"/>
  <c r="P13" i="13"/>
  <c r="H12" i="13"/>
  <c r="T24" i="11"/>
  <c r="T22" i="11"/>
  <c r="P12" i="11"/>
  <c r="T34" i="10"/>
  <c r="T33" i="10"/>
  <c r="T29" i="10"/>
  <c r="T25" i="10"/>
  <c r="B16" i="10"/>
  <c r="D15" i="10"/>
  <c r="T12" i="10"/>
  <c r="T12" i="38"/>
  <c r="P16" i="29"/>
  <c r="H29" i="26"/>
  <c r="P15" i="26"/>
  <c r="D12" i="25"/>
  <c r="P12" i="23"/>
  <c r="P15" i="22"/>
  <c r="T12" i="20"/>
  <c r="D20" i="19"/>
  <c r="H33" i="17"/>
  <c r="D24" i="17"/>
  <c r="P21" i="17"/>
  <c r="T33" i="16"/>
  <c r="T24" i="16"/>
  <c r="D22" i="16"/>
  <c r="P20" i="16"/>
  <c r="D15" i="16"/>
  <c r="H34" i="14"/>
  <c r="H33" i="14"/>
  <c r="H29" i="14"/>
  <c r="H25" i="14"/>
  <c r="P15" i="14"/>
  <c r="D5" i="14"/>
  <c r="P20" i="13"/>
  <c r="P16" i="13"/>
  <c r="D12" i="13"/>
  <c r="P34" i="11"/>
  <c r="P33" i="11"/>
  <c r="P29" i="11"/>
  <c r="P25" i="11"/>
  <c r="T21" i="11"/>
  <c r="T24" i="10"/>
  <c r="T22" i="10"/>
  <c r="P12" i="10"/>
  <c r="H24" i="40"/>
  <c r="H22" i="28"/>
  <c r="D5" i="23"/>
  <c r="H25" i="22"/>
  <c r="P33" i="20"/>
  <c r="P25" i="20"/>
  <c r="T21" i="20"/>
  <c r="T22" i="19"/>
  <c r="P25" i="17"/>
  <c r="B13" i="17"/>
  <c r="T16" i="16"/>
  <c r="B39" i="14"/>
  <c r="H24" i="14"/>
  <c r="H22" i="14"/>
  <c r="H13" i="14"/>
  <c r="D4" i="14"/>
  <c r="H34" i="13"/>
  <c r="H33" i="13"/>
  <c r="H29" i="13"/>
  <c r="H25" i="13"/>
  <c r="P15" i="13"/>
  <c r="D5" i="13"/>
  <c r="P24" i="11"/>
  <c r="P22" i="11"/>
  <c r="T20" i="11"/>
  <c r="T16" i="11"/>
  <c r="T13" i="11"/>
  <c r="P34" i="10"/>
  <c r="P33" i="10"/>
  <c r="P29" i="10"/>
  <c r="P25" i="10"/>
  <c r="T21" i="10"/>
  <c r="T13" i="37"/>
  <c r="D5" i="29"/>
  <c r="T24" i="26"/>
  <c r="D15" i="22"/>
  <c r="D21" i="20"/>
  <c r="D22" i="19"/>
  <c r="B13" i="19"/>
  <c r="P34" i="17"/>
  <c r="H29" i="17"/>
  <c r="T22" i="17"/>
  <c r="P33" i="16"/>
  <c r="T29" i="16"/>
  <c r="P24" i="16"/>
  <c r="H20" i="16"/>
  <c r="P16" i="16"/>
  <c r="B38" i="14"/>
  <c r="D34" i="14"/>
  <c r="D33" i="14"/>
  <c r="D29" i="14"/>
  <c r="D25" i="14"/>
  <c r="H21" i="14"/>
  <c r="D13" i="14"/>
  <c r="B39" i="13"/>
  <c r="H24" i="13"/>
  <c r="H22" i="13"/>
  <c r="H13" i="13"/>
  <c r="D4" i="13"/>
  <c r="P21" i="11"/>
  <c r="T15" i="11"/>
  <c r="P13" i="11"/>
  <c r="H12" i="11"/>
  <c r="P24" i="10"/>
  <c r="P22" i="10"/>
  <c r="T20" i="10"/>
  <c r="T16" i="10"/>
  <c r="T13" i="10"/>
  <c r="B39" i="28"/>
  <c r="D22" i="22"/>
  <c r="B25" i="17"/>
  <c r="P15" i="17"/>
  <c r="D24" i="14"/>
  <c r="B38" i="13"/>
  <c r="T15" i="10"/>
  <c r="H34" i="8"/>
  <c r="H33" i="8"/>
  <c r="H29" i="8"/>
  <c r="H25" i="8"/>
  <c r="T22" i="26"/>
  <c r="B22" i="22"/>
  <c r="D16" i="20"/>
  <c r="B22" i="19"/>
  <c r="P12" i="17"/>
  <c r="D24" i="13"/>
  <c r="H33" i="11"/>
  <c r="P20" i="10"/>
  <c r="B39" i="8"/>
  <c r="H24" i="8"/>
  <c r="H22" i="8"/>
  <c r="H13" i="8"/>
  <c r="D4" i="8"/>
  <c r="H34" i="7"/>
  <c r="H33" i="7"/>
  <c r="H29" i="7"/>
  <c r="H25" i="7"/>
  <c r="P15" i="7"/>
  <c r="D5" i="7"/>
  <c r="T34" i="5"/>
  <c r="T33" i="5"/>
  <c r="T29" i="5"/>
  <c r="T25" i="5"/>
  <c r="B16" i="5"/>
  <c r="D15" i="5"/>
  <c r="T12" i="5"/>
  <c r="B21" i="4"/>
  <c r="D20" i="4"/>
  <c r="D16" i="4"/>
  <c r="H34" i="23"/>
  <c r="B16" i="20"/>
  <c r="P22" i="17"/>
  <c r="T25" i="16"/>
  <c r="H16" i="16"/>
  <c r="B39" i="11"/>
  <c r="H22" i="11"/>
  <c r="H13" i="11"/>
  <c r="H34" i="10"/>
  <c r="H29" i="10"/>
  <c r="P15" i="10"/>
  <c r="B38" i="8"/>
  <c r="D34" i="8"/>
  <c r="D33" i="8"/>
  <c r="D29" i="8"/>
  <c r="D25" i="8"/>
  <c r="H21" i="8"/>
  <c r="D13" i="8"/>
  <c r="B39" i="7"/>
  <c r="H24" i="7"/>
  <c r="H22" i="7"/>
  <c r="H13" i="7"/>
  <c r="D4" i="7"/>
  <c r="T24" i="5"/>
  <c r="T22" i="5"/>
  <c r="P12" i="5"/>
  <c r="T34" i="4"/>
  <c r="T33" i="4"/>
  <c r="T29" i="4"/>
  <c r="T25" i="4"/>
  <c r="H34" i="17"/>
  <c r="B16" i="16"/>
  <c r="D22" i="14"/>
  <c r="H16" i="14"/>
  <c r="D29" i="13"/>
  <c r="B22" i="11"/>
  <c r="D24" i="10"/>
  <c r="H20" i="10"/>
  <c r="B25" i="8"/>
  <c r="D24" i="8"/>
  <c r="D22" i="8"/>
  <c r="H20" i="8"/>
  <c r="H16" i="8"/>
  <c r="B13" i="8"/>
  <c r="B38" i="7"/>
  <c r="D34" i="7"/>
  <c r="D33" i="7"/>
  <c r="D29" i="7"/>
  <c r="D25" i="7"/>
  <c r="H21" i="7"/>
  <c r="D13" i="7"/>
  <c r="T34" i="25"/>
  <c r="D21" i="17"/>
  <c r="T13" i="16"/>
  <c r="B22" i="14"/>
  <c r="D22" i="13"/>
  <c r="H16" i="13"/>
  <c r="P16" i="11"/>
  <c r="D12" i="11"/>
  <c r="P13" i="10"/>
  <c r="B22" i="8"/>
  <c r="D21" i="8"/>
  <c r="H15" i="8"/>
  <c r="B25" i="7"/>
  <c r="D24" i="7"/>
  <c r="D22" i="7"/>
  <c r="H20" i="7"/>
  <c r="H16" i="7"/>
  <c r="B13" i="7"/>
  <c r="P24" i="5"/>
  <c r="P22" i="5"/>
  <c r="T20" i="5"/>
  <c r="T16" i="5"/>
  <c r="T13" i="5"/>
  <c r="P34" i="4"/>
  <c r="P33" i="4"/>
  <c r="P29" i="4"/>
  <c r="P25" i="4"/>
  <c r="T21" i="4"/>
  <c r="P21" i="25"/>
  <c r="D16" i="14"/>
  <c r="B22" i="13"/>
  <c r="T20" i="35"/>
  <c r="T34" i="16"/>
  <c r="D24" i="16"/>
  <c r="D13" i="16"/>
  <c r="D34" i="13"/>
  <c r="H21" i="13"/>
  <c r="D4" i="11"/>
  <c r="H33" i="10"/>
  <c r="T34" i="8"/>
  <c r="T33" i="8"/>
  <c r="T29" i="8"/>
  <c r="T25" i="8"/>
  <c r="B16" i="8"/>
  <c r="D15" i="8"/>
  <c r="T12" i="8"/>
  <c r="B21" i="7"/>
  <c r="D20" i="7"/>
  <c r="D16" i="7"/>
  <c r="P20" i="5"/>
  <c r="P16" i="5"/>
  <c r="D12" i="5"/>
  <c r="P21" i="4"/>
  <c r="T15" i="4"/>
  <c r="P13" i="4"/>
  <c r="H12" i="4"/>
  <c r="T21" i="16"/>
  <c r="D21" i="14"/>
  <c r="H15" i="14"/>
  <c r="D21" i="11"/>
  <c r="D22" i="10"/>
  <c r="B13" i="10"/>
  <c r="T24" i="8"/>
  <c r="T22" i="8"/>
  <c r="P12" i="8"/>
  <c r="T34" i="7"/>
  <c r="T33" i="7"/>
  <c r="T29" i="7"/>
  <c r="T25" i="7"/>
  <c r="B16" i="7"/>
  <c r="D15" i="7"/>
  <c r="T12" i="7"/>
  <c r="B21" i="14"/>
  <c r="D21" i="13"/>
  <c r="H15" i="13"/>
  <c r="P20" i="11"/>
  <c r="P21" i="10"/>
  <c r="H12" i="10"/>
  <c r="P34" i="8"/>
  <c r="P33" i="8"/>
  <c r="P29" i="8"/>
  <c r="P25" i="8"/>
  <c r="T21" i="8"/>
  <c r="T24" i="7"/>
  <c r="T22" i="7"/>
  <c r="P12" i="7"/>
  <c r="B39" i="5"/>
  <c r="H24" i="5"/>
  <c r="H22" i="5"/>
  <c r="H13" i="5"/>
  <c r="D4" i="5"/>
  <c r="H34" i="4"/>
  <c r="H33" i="4"/>
  <c r="H29" i="4"/>
  <c r="H25" i="4"/>
  <c r="P15" i="4"/>
  <c r="D5" i="4"/>
  <c r="H34" i="22"/>
  <c r="P12" i="19"/>
  <c r="D33" i="16"/>
  <c r="B25" i="14"/>
  <c r="H20" i="14"/>
  <c r="B13" i="14"/>
  <c r="D33" i="13"/>
  <c r="D25" i="13"/>
  <c r="D13" i="13"/>
  <c r="H34" i="11"/>
  <c r="H29" i="11"/>
  <c r="P15" i="11"/>
  <c r="P16" i="10"/>
  <c r="D12" i="10"/>
  <c r="P24" i="8"/>
  <c r="P22" i="8"/>
  <c r="T20" i="8"/>
  <c r="T16" i="8"/>
  <c r="T13" i="8"/>
  <c r="P34" i="7"/>
  <c r="P33" i="7"/>
  <c r="P29" i="7"/>
  <c r="P25" i="7"/>
  <c r="T21" i="7"/>
  <c r="B38" i="5"/>
  <c r="D34" i="5"/>
  <c r="D33" i="5"/>
  <c r="D29" i="5"/>
  <c r="D25" i="5"/>
  <c r="H21" i="5"/>
  <c r="D13" i="5"/>
  <c r="B39" i="4"/>
  <c r="H24" i="4"/>
  <c r="H22" i="4"/>
  <c r="H13" i="4"/>
  <c r="D4" i="4"/>
  <c r="D29" i="29"/>
  <c r="B25" i="13"/>
  <c r="B25" i="10"/>
  <c r="D20" i="8"/>
  <c r="D21" i="7"/>
  <c r="D20" i="5"/>
  <c r="D16" i="5"/>
  <c r="B22" i="4"/>
  <c r="H20" i="4"/>
  <c r="P16" i="4"/>
  <c r="T15" i="8"/>
  <c r="P20" i="8"/>
  <c r="H20" i="5"/>
  <c r="T20" i="50"/>
  <c r="H25" i="10"/>
  <c r="P15" i="8"/>
  <c r="T16" i="4"/>
  <c r="H25" i="17"/>
  <c r="P13" i="8"/>
  <c r="P24" i="7"/>
  <c r="T20" i="7"/>
  <c r="P34" i="5"/>
  <c r="T21" i="5"/>
  <c r="T24" i="4"/>
  <c r="T13" i="4"/>
  <c r="D15" i="4"/>
  <c r="H20" i="13"/>
  <c r="T15" i="7"/>
  <c r="P21" i="5"/>
  <c r="T15" i="5"/>
  <c r="H12" i="5"/>
  <c r="P24" i="4"/>
  <c r="H16" i="4"/>
  <c r="T15" i="17"/>
  <c r="H15" i="11"/>
  <c r="P20" i="7"/>
  <c r="H34" i="5"/>
  <c r="P15" i="5"/>
  <c r="D5" i="5"/>
  <c r="D13" i="4"/>
  <c r="D12" i="7"/>
  <c r="B21" i="20"/>
  <c r="B13" i="13"/>
  <c r="D5" i="11"/>
  <c r="H15" i="7"/>
  <c r="D24" i="5"/>
  <c r="B38" i="4"/>
  <c r="D34" i="4"/>
  <c r="H21" i="4"/>
  <c r="B16" i="4"/>
  <c r="B13" i="4"/>
  <c r="P29" i="16"/>
  <c r="P21" i="8"/>
  <c r="H12" i="8"/>
  <c r="P22" i="7"/>
  <c r="T13" i="7"/>
  <c r="D21" i="5"/>
  <c r="H15" i="5"/>
  <c r="D24" i="4"/>
  <c r="H16" i="10"/>
  <c r="P16" i="8"/>
  <c r="D12" i="8"/>
  <c r="P13" i="7"/>
  <c r="B21" i="5"/>
  <c r="D21" i="4"/>
  <c r="T12" i="4"/>
  <c r="T16" i="7"/>
  <c r="H33" i="5"/>
  <c r="H29" i="5"/>
  <c r="B25" i="5"/>
  <c r="B13" i="5"/>
  <c r="D33" i="4"/>
  <c r="D25" i="4"/>
  <c r="P16" i="7"/>
  <c r="B22" i="5"/>
  <c r="B25" i="4"/>
  <c r="D20" i="14"/>
  <c r="H25" i="11"/>
  <c r="D5" i="8"/>
  <c r="P33" i="5"/>
  <c r="P29" i="5"/>
  <c r="P25" i="5"/>
  <c r="T22" i="4"/>
  <c r="P12" i="4"/>
  <c r="H12" i="7"/>
  <c r="H24" i="11"/>
  <c r="D5" i="10"/>
  <c r="B21" i="8"/>
  <c r="D16" i="8"/>
  <c r="B22" i="7"/>
  <c r="P13" i="5"/>
  <c r="P22" i="4"/>
  <c r="H25" i="5"/>
  <c r="T20" i="4"/>
  <c r="D12" i="4"/>
  <c r="P21" i="7"/>
  <c r="D22" i="5"/>
  <c r="H16" i="5"/>
  <c r="D29" i="4"/>
  <c r="P20" i="4"/>
  <c r="H15" i="4"/>
  <c r="D22" i="4"/>
  <c r="X77" i="42" l="1"/>
  <c r="Z77" i="42" s="1"/>
  <c r="X34" i="36"/>
  <c r="L80" i="36"/>
  <c r="X207" i="3"/>
  <c r="L207" i="3"/>
  <c r="N207" i="3"/>
  <c r="X256" i="3"/>
  <c r="Z256" i="3" s="1"/>
  <c r="L22" i="4"/>
  <c r="N15" i="4"/>
  <c r="X20" i="4"/>
  <c r="L29" i="4"/>
  <c r="N16" i="5"/>
  <c r="L22" i="5"/>
  <c r="X21" i="7"/>
  <c r="D18" i="4"/>
  <c r="F15" i="4"/>
  <c r="F36" i="4"/>
  <c r="F34" i="4"/>
  <c r="F33" i="4"/>
  <c r="F31" i="4"/>
  <c r="F29" i="4"/>
  <c r="F27" i="4"/>
  <c r="F25" i="4"/>
  <c r="F22" i="4"/>
  <c r="F20" i="4"/>
  <c r="F16" i="4"/>
  <c r="F24" i="4"/>
  <c r="F21" i="4"/>
  <c r="F18" i="4"/>
  <c r="L12" i="4"/>
  <c r="Z20" i="4"/>
  <c r="N25" i="5"/>
  <c r="X22" i="4"/>
  <c r="X13" i="5"/>
  <c r="L16" i="8"/>
  <c r="N24" i="11"/>
  <c r="J24" i="7"/>
  <c r="J22" i="7"/>
  <c r="J21" i="7"/>
  <c r="J20" i="7"/>
  <c r="J18" i="7"/>
  <c r="J16" i="7"/>
  <c r="H18" i="7"/>
  <c r="J15" i="7"/>
  <c r="N12" i="7"/>
  <c r="J25" i="7"/>
  <c r="J34" i="7"/>
  <c r="J29" i="7"/>
  <c r="J36" i="7"/>
  <c r="J33" i="7"/>
  <c r="J27" i="7"/>
  <c r="J31" i="7"/>
  <c r="X12" i="4"/>
  <c r="R24" i="4"/>
  <c r="R22" i="4"/>
  <c r="R20" i="4"/>
  <c r="R18" i="4"/>
  <c r="R16" i="4"/>
  <c r="R34" i="4"/>
  <c r="R31" i="4"/>
  <c r="R27" i="4"/>
  <c r="R21" i="4"/>
  <c r="P18" i="4"/>
  <c r="R36" i="4"/>
  <c r="R33" i="4"/>
  <c r="R29" i="4"/>
  <c r="R25" i="4"/>
  <c r="R15" i="4"/>
  <c r="Z22" i="4"/>
  <c r="X25" i="5"/>
  <c r="X29" i="5"/>
  <c r="X33" i="5"/>
  <c r="N25" i="11"/>
  <c r="L20" i="14"/>
  <c r="X16" i="7"/>
  <c r="L25" i="4"/>
  <c r="L33" i="4"/>
  <c r="N29" i="5"/>
  <c r="N33" i="5"/>
  <c r="Z16" i="7"/>
  <c r="V36" i="4"/>
  <c r="V34" i="4"/>
  <c r="V33" i="4"/>
  <c r="V31" i="4"/>
  <c r="V29" i="4"/>
  <c r="V27" i="4"/>
  <c r="V25" i="4"/>
  <c r="V24" i="4"/>
  <c r="V22" i="4"/>
  <c r="V20" i="4"/>
  <c r="V18" i="4"/>
  <c r="V16" i="4"/>
  <c r="V21" i="4"/>
  <c r="T18" i="4"/>
  <c r="Z12" i="4"/>
  <c r="V15" i="4"/>
  <c r="L21" i="4"/>
  <c r="X13" i="7"/>
  <c r="F36" i="8"/>
  <c r="F34" i="8"/>
  <c r="F33" i="8"/>
  <c r="F31" i="8"/>
  <c r="F29" i="8"/>
  <c r="F27" i="8"/>
  <c r="F25" i="8"/>
  <c r="F24" i="8"/>
  <c r="F22" i="8"/>
  <c r="F21" i="8"/>
  <c r="F20" i="8"/>
  <c r="F18" i="8"/>
  <c r="F16" i="8"/>
  <c r="L12" i="8"/>
  <c r="F15" i="8"/>
  <c r="D18" i="8"/>
  <c r="X16" i="8"/>
  <c r="N16" i="10"/>
  <c r="L24" i="4"/>
  <c r="N15" i="5"/>
  <c r="L21" i="5"/>
  <c r="Z13" i="7"/>
  <c r="X22" i="7"/>
  <c r="J24" i="8"/>
  <c r="J21" i="8"/>
  <c r="J20" i="8"/>
  <c r="J18" i="8"/>
  <c r="J16" i="8"/>
  <c r="H18" i="8"/>
  <c r="J15" i="8"/>
  <c r="N12" i="8"/>
  <c r="J31" i="8"/>
  <c r="J36" i="8"/>
  <c r="J29" i="8"/>
  <c r="J22" i="8"/>
  <c r="J34" i="8"/>
  <c r="J27" i="8"/>
  <c r="J33" i="8"/>
  <c r="J25" i="8"/>
  <c r="X21" i="8"/>
  <c r="X29" i="16"/>
  <c r="N21" i="4"/>
  <c r="L34" i="4"/>
  <c r="L24" i="5"/>
  <c r="N15" i="7"/>
  <c r="F36" i="7"/>
  <c r="F34" i="7"/>
  <c r="F33" i="7"/>
  <c r="F31" i="7"/>
  <c r="F29" i="7"/>
  <c r="F27" i="7"/>
  <c r="F25" i="7"/>
  <c r="F24" i="7"/>
  <c r="F22" i="7"/>
  <c r="F21" i="7"/>
  <c r="D18" i="7"/>
  <c r="F15" i="7"/>
  <c r="F16" i="7"/>
  <c r="F20" i="7"/>
  <c r="F18" i="7"/>
  <c r="L12" i="7"/>
  <c r="L13" i="4"/>
  <c r="X15" i="5"/>
  <c r="N34" i="5"/>
  <c r="X20" i="7"/>
  <c r="N15" i="11"/>
  <c r="Z15" i="17"/>
  <c r="N16" i="4"/>
  <c r="X24" i="4"/>
  <c r="J36" i="5"/>
  <c r="J34" i="5"/>
  <c r="J33" i="5"/>
  <c r="J31" i="5"/>
  <c r="J29" i="5"/>
  <c r="J27" i="5"/>
  <c r="J25" i="5"/>
  <c r="J21" i="5"/>
  <c r="J20" i="5"/>
  <c r="J18" i="5"/>
  <c r="J16" i="5"/>
  <c r="N12" i="5"/>
  <c r="J24" i="5"/>
  <c r="H18" i="5"/>
  <c r="J15" i="5"/>
  <c r="J22" i="5"/>
  <c r="Z15" i="5"/>
  <c r="X21" i="5"/>
  <c r="Z15" i="7"/>
  <c r="N20" i="13"/>
  <c r="L15" i="4"/>
  <c r="Z13" i="4"/>
  <c r="Z24" i="4"/>
  <c r="Z21" i="5"/>
  <c r="X34" i="5"/>
  <c r="Z20" i="7"/>
  <c r="X24" i="7"/>
  <c r="X13" i="8"/>
  <c r="N25" i="17"/>
  <c r="Z16" i="4"/>
  <c r="X15" i="8"/>
  <c r="N25" i="10"/>
  <c r="Z20" i="50"/>
  <c r="N20" i="5"/>
  <c r="X20" i="8"/>
  <c r="Z15" i="8"/>
  <c r="X16" i="4"/>
  <c r="N20" i="4"/>
  <c r="L16" i="5"/>
  <c r="L20" i="5"/>
  <c r="L21" i="7"/>
  <c r="L20" i="8"/>
  <c r="L29" i="29"/>
  <c r="N13" i="4"/>
  <c r="N22" i="4"/>
  <c r="N24" i="4"/>
  <c r="L13" i="5"/>
  <c r="N21" i="5"/>
  <c r="L25" i="5"/>
  <c r="L29" i="5"/>
  <c r="L33" i="5"/>
  <c r="L34" i="5"/>
  <c r="Z21" i="7"/>
  <c r="X25" i="7"/>
  <c r="X29" i="7"/>
  <c r="X33" i="7"/>
  <c r="X34" i="7"/>
  <c r="Z13" i="8"/>
  <c r="Z16" i="8"/>
  <c r="Z20" i="8"/>
  <c r="X22" i="8"/>
  <c r="X24" i="8"/>
  <c r="F36" i="10"/>
  <c r="F34" i="10"/>
  <c r="F33" i="10"/>
  <c r="F31" i="10"/>
  <c r="F29" i="10"/>
  <c r="F27" i="10"/>
  <c r="F25" i="10"/>
  <c r="F24" i="10"/>
  <c r="F22" i="10"/>
  <c r="F20" i="10"/>
  <c r="F18" i="10"/>
  <c r="F16" i="10"/>
  <c r="D18" i="10"/>
  <c r="F15" i="10"/>
  <c r="L12" i="10"/>
  <c r="F21" i="10"/>
  <c r="X16" i="10"/>
  <c r="X15" i="11"/>
  <c r="N29" i="11"/>
  <c r="N34" i="11"/>
  <c r="L13" i="13"/>
  <c r="L25" i="13"/>
  <c r="L33" i="13"/>
  <c r="N20" i="14"/>
  <c r="L33" i="16"/>
  <c r="R24" i="19"/>
  <c r="R22" i="19"/>
  <c r="R21" i="19"/>
  <c r="R20" i="19"/>
  <c r="R18" i="19"/>
  <c r="R16" i="19"/>
  <c r="P18" i="19"/>
  <c r="R15" i="19"/>
  <c r="R34" i="19"/>
  <c r="R29" i="19"/>
  <c r="R33" i="19"/>
  <c r="R27" i="19"/>
  <c r="R25" i="19"/>
  <c r="R36" i="19"/>
  <c r="X12" i="19"/>
  <c r="R31" i="19"/>
  <c r="N34" i="22"/>
  <c r="X15" i="4"/>
  <c r="N25" i="4"/>
  <c r="N29" i="4"/>
  <c r="N33" i="4"/>
  <c r="N34" i="4"/>
  <c r="N13" i="5"/>
  <c r="N22" i="5"/>
  <c r="N24" i="5"/>
  <c r="X12" i="7"/>
  <c r="R36" i="7"/>
  <c r="R34" i="7"/>
  <c r="R33" i="7"/>
  <c r="R31" i="7"/>
  <c r="R29" i="7"/>
  <c r="R27" i="7"/>
  <c r="R25" i="7"/>
  <c r="R24" i="7"/>
  <c r="R22" i="7"/>
  <c r="R20" i="7"/>
  <c r="R15" i="7"/>
  <c r="R18" i="7"/>
  <c r="R16" i="7"/>
  <c r="P18" i="7"/>
  <c r="R21" i="7"/>
  <c r="Z22" i="7"/>
  <c r="Z24" i="7"/>
  <c r="Z21" i="8"/>
  <c r="X25" i="8"/>
  <c r="X29" i="8"/>
  <c r="X33" i="8"/>
  <c r="X34" i="8"/>
  <c r="J21" i="10"/>
  <c r="J20" i="10"/>
  <c r="J18" i="10"/>
  <c r="J16" i="10"/>
  <c r="N12" i="10"/>
  <c r="J34" i="10"/>
  <c r="J29" i="10"/>
  <c r="J24" i="10"/>
  <c r="J15" i="10"/>
  <c r="J22" i="10"/>
  <c r="H18" i="10"/>
  <c r="J36" i="10"/>
  <c r="J31" i="10"/>
  <c r="J25" i="10"/>
  <c r="J27" i="10"/>
  <c r="J33" i="10"/>
  <c r="X21" i="10"/>
  <c r="X20" i="11"/>
  <c r="N15" i="13"/>
  <c r="L21" i="13"/>
  <c r="V36" i="7"/>
  <c r="V34" i="7"/>
  <c r="V33" i="7"/>
  <c r="V31" i="7"/>
  <c r="V29" i="7"/>
  <c r="V27" i="7"/>
  <c r="V25" i="7"/>
  <c r="V24" i="7"/>
  <c r="V22" i="7"/>
  <c r="V21" i="7"/>
  <c r="V20" i="7"/>
  <c r="V18" i="7"/>
  <c r="V16" i="7"/>
  <c r="V15" i="7"/>
  <c r="T18" i="7"/>
  <c r="Z12" i="7"/>
  <c r="L15" i="7"/>
  <c r="Z25" i="7"/>
  <c r="Z29" i="7"/>
  <c r="Z33" i="7"/>
  <c r="Z34" i="7"/>
  <c r="R36" i="8"/>
  <c r="R34" i="8"/>
  <c r="R33" i="8"/>
  <c r="R31" i="8"/>
  <c r="R29" i="8"/>
  <c r="R27" i="8"/>
  <c r="R25" i="8"/>
  <c r="R24" i="8"/>
  <c r="R22" i="8"/>
  <c r="R21" i="8"/>
  <c r="R18" i="8"/>
  <c r="P18" i="8"/>
  <c r="X12" i="8"/>
  <c r="R16" i="8"/>
  <c r="R20" i="8"/>
  <c r="R15" i="8"/>
  <c r="Z22" i="8"/>
  <c r="Z24" i="8"/>
  <c r="L22" i="10"/>
  <c r="L21" i="11"/>
  <c r="N15" i="14"/>
  <c r="L21" i="14"/>
  <c r="Z21" i="16"/>
  <c r="N12" i="4"/>
  <c r="J24" i="4"/>
  <c r="J22" i="4"/>
  <c r="J21" i="4"/>
  <c r="J16" i="4"/>
  <c r="J34" i="4"/>
  <c r="J31" i="4"/>
  <c r="J27" i="4"/>
  <c r="J20" i="4"/>
  <c r="J18" i="4"/>
  <c r="J36" i="4"/>
  <c r="J29" i="4"/>
  <c r="J15" i="4"/>
  <c r="H18" i="4"/>
  <c r="J33" i="4"/>
  <c r="J25" i="4"/>
  <c r="X13" i="4"/>
  <c r="Z15" i="4"/>
  <c r="X21" i="4"/>
  <c r="L12" i="5"/>
  <c r="F36" i="5"/>
  <c r="F34" i="5"/>
  <c r="F33" i="5"/>
  <c r="F31" i="5"/>
  <c r="F29" i="5"/>
  <c r="F27" i="5"/>
  <c r="F25" i="5"/>
  <c r="F24" i="5"/>
  <c r="F22" i="5"/>
  <c r="F16" i="5"/>
  <c r="F21" i="5"/>
  <c r="F18" i="5"/>
  <c r="D18" i="5"/>
  <c r="F15" i="5"/>
  <c r="F20" i="5"/>
  <c r="X16" i="5"/>
  <c r="X20" i="5"/>
  <c r="L16" i="7"/>
  <c r="L20" i="7"/>
  <c r="Z12" i="8"/>
  <c r="V24" i="8"/>
  <c r="V22" i="8"/>
  <c r="V21" i="8"/>
  <c r="V20" i="8"/>
  <c r="V18" i="8"/>
  <c r="V16" i="8"/>
  <c r="T18" i="8"/>
  <c r="V15" i="8"/>
  <c r="V36" i="8"/>
  <c r="V29" i="8"/>
  <c r="V34" i="8"/>
  <c r="V27" i="8"/>
  <c r="V33" i="8"/>
  <c r="V25" i="8"/>
  <c r="V31" i="8"/>
  <c r="L15" i="8"/>
  <c r="Z25" i="8"/>
  <c r="Z29" i="8"/>
  <c r="Z33" i="8"/>
  <c r="Z34" i="8"/>
  <c r="N33" i="10"/>
  <c r="N21" i="13"/>
  <c r="L34" i="13"/>
  <c r="L13" i="16"/>
  <c r="L24" i="16"/>
  <c r="Z34" i="16"/>
  <c r="Z20" i="35"/>
  <c r="L16" i="14"/>
  <c r="X21" i="25"/>
  <c r="Z21" i="4"/>
  <c r="X25" i="4"/>
  <c r="X29" i="4"/>
  <c r="X33" i="4"/>
  <c r="X34" i="4"/>
  <c r="Z13" i="5"/>
  <c r="Z16" i="5"/>
  <c r="Z20" i="5"/>
  <c r="X22" i="5"/>
  <c r="X24" i="5"/>
  <c r="N16" i="7"/>
  <c r="N20" i="7"/>
  <c r="L22" i="7"/>
  <c r="L24" i="7"/>
  <c r="N15" i="8"/>
  <c r="L21" i="8"/>
  <c r="X13" i="10"/>
  <c r="F24" i="11"/>
  <c r="F22" i="11"/>
  <c r="F21" i="11"/>
  <c r="D18" i="11"/>
  <c r="F15" i="11"/>
  <c r="L12" i="11"/>
  <c r="F33" i="11"/>
  <c r="F27" i="11"/>
  <c r="F18" i="11"/>
  <c r="F36" i="11"/>
  <c r="F31" i="11"/>
  <c r="F25" i="11"/>
  <c r="F16" i="11"/>
  <c r="F20" i="11"/>
  <c r="F34" i="11"/>
  <c r="F29" i="11"/>
  <c r="X16" i="11"/>
  <c r="N16" i="13"/>
  <c r="L22" i="13"/>
  <c r="Z13" i="16"/>
  <c r="L21" i="17"/>
  <c r="Z34" i="25"/>
  <c r="L13" i="7"/>
  <c r="N21" i="7"/>
  <c r="L25" i="7"/>
  <c r="L29" i="7"/>
  <c r="L33" i="7"/>
  <c r="L34" i="7"/>
  <c r="N16" i="8"/>
  <c r="N20" i="8"/>
  <c r="L22" i="8"/>
  <c r="L24" i="8"/>
  <c r="N20" i="10"/>
  <c r="L24" i="10"/>
  <c r="L29" i="13"/>
  <c r="N16" i="14"/>
  <c r="L22" i="14"/>
  <c r="N34" i="17"/>
  <c r="Z25" i="4"/>
  <c r="Z29" i="4"/>
  <c r="Z33" i="4"/>
  <c r="Z34" i="4"/>
  <c r="R36" i="5"/>
  <c r="R34" i="5"/>
  <c r="R33" i="5"/>
  <c r="R31" i="5"/>
  <c r="R29" i="5"/>
  <c r="R27" i="5"/>
  <c r="R25" i="5"/>
  <c r="R21" i="5"/>
  <c r="P18" i="5"/>
  <c r="R15" i="5"/>
  <c r="X12" i="5"/>
  <c r="R24" i="5"/>
  <c r="R18" i="5"/>
  <c r="R22" i="5"/>
  <c r="R20" i="5"/>
  <c r="R16" i="5"/>
  <c r="Z22" i="5"/>
  <c r="Z24" i="5"/>
  <c r="N13" i="7"/>
  <c r="N22" i="7"/>
  <c r="N24" i="7"/>
  <c r="L13" i="8"/>
  <c r="N21" i="8"/>
  <c r="L25" i="8"/>
  <c r="L29" i="8"/>
  <c r="L33" i="8"/>
  <c r="L34" i="8"/>
  <c r="X15" i="10"/>
  <c r="N29" i="10"/>
  <c r="N34" i="10"/>
  <c r="N13" i="11"/>
  <c r="N22" i="11"/>
  <c r="N16" i="16"/>
  <c r="Z25" i="16"/>
  <c r="X22" i="17"/>
  <c r="N34" i="23"/>
  <c r="L16" i="4"/>
  <c r="L20" i="4"/>
  <c r="V24" i="5"/>
  <c r="V22" i="5"/>
  <c r="V21" i="5"/>
  <c r="T18" i="5"/>
  <c r="V15" i="5"/>
  <c r="V34" i="5"/>
  <c r="V31" i="5"/>
  <c r="V27" i="5"/>
  <c r="V18" i="5"/>
  <c r="Z12" i="5"/>
  <c r="V36" i="5"/>
  <c r="V33" i="5"/>
  <c r="V29" i="5"/>
  <c r="V25" i="5"/>
  <c r="V20" i="5"/>
  <c r="V16" i="5"/>
  <c r="L15" i="5"/>
  <c r="Z25" i="5"/>
  <c r="Z29" i="5"/>
  <c r="Z33" i="5"/>
  <c r="Z34" i="5"/>
  <c r="X15" i="7"/>
  <c r="N25" i="7"/>
  <c r="N29" i="7"/>
  <c r="N33" i="7"/>
  <c r="N34" i="7"/>
  <c r="N13" i="8"/>
  <c r="N22" i="8"/>
  <c r="N24" i="8"/>
  <c r="X20" i="10"/>
  <c r="N33" i="11"/>
  <c r="L24" i="13"/>
  <c r="P18" i="17"/>
  <c r="R15" i="17"/>
  <c r="X12" i="17"/>
  <c r="R36" i="17"/>
  <c r="R20" i="17"/>
  <c r="R33" i="17"/>
  <c r="R24" i="17"/>
  <c r="R16" i="17"/>
  <c r="R29" i="17"/>
  <c r="R21" i="17"/>
  <c r="R25" i="17"/>
  <c r="R34" i="17"/>
  <c r="R18" i="17"/>
  <c r="R22" i="17"/>
  <c r="R31" i="17"/>
  <c r="R27" i="17"/>
  <c r="L16" i="20"/>
  <c r="Z22" i="26"/>
  <c r="N25" i="8"/>
  <c r="N29" i="8"/>
  <c r="N33" i="8"/>
  <c r="N34" i="8"/>
  <c r="Z15" i="10"/>
  <c r="L24" i="14"/>
  <c r="X15" i="17"/>
  <c r="L22" i="22"/>
  <c r="Z13" i="10"/>
  <c r="Z16" i="10"/>
  <c r="Z20" i="10"/>
  <c r="X22" i="10"/>
  <c r="X24" i="10"/>
  <c r="J20" i="11"/>
  <c r="J18" i="11"/>
  <c r="J16" i="11"/>
  <c r="H18" i="11"/>
  <c r="J15" i="11"/>
  <c r="N12" i="11"/>
  <c r="J33" i="11"/>
  <c r="J27" i="11"/>
  <c r="J22" i="11"/>
  <c r="J36" i="11"/>
  <c r="J31" i="11"/>
  <c r="J25" i="11"/>
  <c r="J21" i="11"/>
  <c r="J34" i="11"/>
  <c r="J29" i="11"/>
  <c r="J24" i="11"/>
  <c r="X13" i="11"/>
  <c r="Z15" i="11"/>
  <c r="X21" i="11"/>
  <c r="N13" i="13"/>
  <c r="N22" i="13"/>
  <c r="N24" i="13"/>
  <c r="L13" i="14"/>
  <c r="N21" i="14"/>
  <c r="L25" i="14"/>
  <c r="L29" i="14"/>
  <c r="L33" i="14"/>
  <c r="L34" i="14"/>
  <c r="X16" i="16"/>
  <c r="N20" i="16"/>
  <c r="X24" i="16"/>
  <c r="Z29" i="16"/>
  <c r="X33" i="16"/>
  <c r="Z22" i="17"/>
  <c r="N29" i="17"/>
  <c r="X34" i="17"/>
  <c r="L22" i="19"/>
  <c r="L21" i="20"/>
  <c r="L15" i="22"/>
  <c r="Z24" i="26"/>
  <c r="Z13" i="37"/>
  <c r="Z21" i="10"/>
  <c r="X25" i="10"/>
  <c r="X29" i="10"/>
  <c r="X33" i="10"/>
  <c r="X34" i="10"/>
  <c r="Z13" i="11"/>
  <c r="Z16" i="11"/>
  <c r="Z20" i="11"/>
  <c r="X22" i="11"/>
  <c r="X24" i="11"/>
  <c r="X15" i="13"/>
  <c r="N25" i="13"/>
  <c r="N29" i="13"/>
  <c r="N33" i="13"/>
  <c r="N34" i="13"/>
  <c r="N13" i="14"/>
  <c r="N22" i="14"/>
  <c r="N24" i="14"/>
  <c r="Z16" i="16"/>
  <c r="X25" i="17"/>
  <c r="Z22" i="19"/>
  <c r="Z21" i="20"/>
  <c r="X25" i="20"/>
  <c r="X33" i="20"/>
  <c r="N25" i="22"/>
  <c r="N22" i="28"/>
  <c r="N24" i="40"/>
  <c r="X12" i="10"/>
  <c r="R36" i="10"/>
  <c r="R34" i="10"/>
  <c r="R33" i="10"/>
  <c r="R31" i="10"/>
  <c r="R29" i="10"/>
  <c r="R27" i="10"/>
  <c r="R25" i="10"/>
  <c r="R24" i="10"/>
  <c r="R22" i="10"/>
  <c r="R21" i="10"/>
  <c r="R20" i="10"/>
  <c r="R15" i="10"/>
  <c r="R18" i="10"/>
  <c r="R16" i="10"/>
  <c r="P18" i="10"/>
  <c r="Z22" i="10"/>
  <c r="Z24" i="10"/>
  <c r="Z21" i="11"/>
  <c r="X25" i="11"/>
  <c r="X29" i="11"/>
  <c r="X33" i="11"/>
  <c r="X34" i="11"/>
  <c r="D18" i="13"/>
  <c r="F15" i="13"/>
  <c r="L12" i="13"/>
  <c r="F36" i="13"/>
  <c r="F34" i="13"/>
  <c r="F33" i="13"/>
  <c r="F31" i="13"/>
  <c r="F29" i="13"/>
  <c r="F27" i="13"/>
  <c r="F25" i="13"/>
  <c r="F24" i="13"/>
  <c r="F18" i="13"/>
  <c r="F22" i="13"/>
  <c r="F16" i="13"/>
  <c r="F21" i="13"/>
  <c r="F20" i="13"/>
  <c r="X16" i="13"/>
  <c r="X20" i="13"/>
  <c r="X15" i="14"/>
  <c r="N25" i="14"/>
  <c r="N29" i="14"/>
  <c r="N33" i="14"/>
  <c r="N34" i="14"/>
  <c r="L15" i="16"/>
  <c r="X20" i="16"/>
  <c r="L22" i="16"/>
  <c r="Z24" i="16"/>
  <c r="Z33" i="16"/>
  <c r="X21" i="17"/>
  <c r="L24" i="17"/>
  <c r="N33" i="17"/>
  <c r="L20" i="19"/>
  <c r="V36" i="20"/>
  <c r="V34" i="20"/>
  <c r="V33" i="20"/>
  <c r="V31" i="20"/>
  <c r="V29" i="20"/>
  <c r="V27" i="20"/>
  <c r="V25" i="20"/>
  <c r="V21" i="20"/>
  <c r="T18" i="20"/>
  <c r="V15" i="20"/>
  <c r="V22" i="20"/>
  <c r="V18" i="20"/>
  <c r="Z12" i="20"/>
  <c r="V16" i="20"/>
  <c r="V20" i="20"/>
  <c r="V24" i="20"/>
  <c r="X15" i="22"/>
  <c r="R24" i="23"/>
  <c r="R22" i="23"/>
  <c r="R21" i="23"/>
  <c r="R20" i="23"/>
  <c r="R18" i="23"/>
  <c r="R16" i="23"/>
  <c r="P18" i="23"/>
  <c r="R15" i="23"/>
  <c r="R33" i="23"/>
  <c r="R27" i="23"/>
  <c r="R36" i="23"/>
  <c r="R31" i="23"/>
  <c r="R25" i="23"/>
  <c r="R34" i="23"/>
  <c r="R29" i="23"/>
  <c r="X12" i="23"/>
  <c r="F24" i="25"/>
  <c r="F22" i="25"/>
  <c r="F21" i="25"/>
  <c r="F20" i="25"/>
  <c r="F18" i="25"/>
  <c r="F16" i="25"/>
  <c r="D18" i="25"/>
  <c r="F15" i="25"/>
  <c r="L12" i="25"/>
  <c r="F36" i="25"/>
  <c r="F31" i="25"/>
  <c r="F25" i="25"/>
  <c r="F34" i="25"/>
  <c r="F29" i="25"/>
  <c r="F33" i="25"/>
  <c r="F27" i="25"/>
  <c r="X15" i="26"/>
  <c r="N29" i="26"/>
  <c r="X16" i="29"/>
  <c r="T18" i="38"/>
  <c r="V15" i="38"/>
  <c r="Z12" i="38"/>
  <c r="V36" i="38"/>
  <c r="V34" i="38"/>
  <c r="V33" i="38"/>
  <c r="V31" i="38"/>
  <c r="V29" i="38"/>
  <c r="V27" i="38"/>
  <c r="V25" i="38"/>
  <c r="V21" i="38"/>
  <c r="V22" i="38"/>
  <c r="V16" i="38"/>
  <c r="V20" i="38"/>
  <c r="V18" i="38"/>
  <c r="V24" i="38"/>
  <c r="Z12" i="10"/>
  <c r="V36" i="10"/>
  <c r="V34" i="10"/>
  <c r="V33" i="10"/>
  <c r="V31" i="10"/>
  <c r="V29" i="10"/>
  <c r="V27" i="10"/>
  <c r="V25" i="10"/>
  <c r="V24" i="10"/>
  <c r="V22" i="10"/>
  <c r="V21" i="10"/>
  <c r="V20" i="10"/>
  <c r="V18" i="10"/>
  <c r="V16" i="10"/>
  <c r="T18" i="10"/>
  <c r="V15" i="10"/>
  <c r="L15" i="10"/>
  <c r="Z25" i="10"/>
  <c r="Z29" i="10"/>
  <c r="Z33" i="10"/>
  <c r="Z34" i="10"/>
  <c r="X12" i="11"/>
  <c r="R36" i="11"/>
  <c r="R34" i="11"/>
  <c r="R33" i="11"/>
  <c r="R31" i="11"/>
  <c r="R29" i="11"/>
  <c r="R27" i="11"/>
  <c r="R25" i="11"/>
  <c r="R24" i="11"/>
  <c r="R22" i="11"/>
  <c r="R21" i="11"/>
  <c r="R20" i="11"/>
  <c r="R18" i="11"/>
  <c r="R16" i="11"/>
  <c r="P18" i="11"/>
  <c r="R15" i="11"/>
  <c r="Z22" i="11"/>
  <c r="Z24" i="11"/>
  <c r="N12" i="13"/>
  <c r="J36" i="13"/>
  <c r="J34" i="13"/>
  <c r="J33" i="13"/>
  <c r="J31" i="13"/>
  <c r="J29" i="13"/>
  <c r="J27" i="13"/>
  <c r="J25" i="13"/>
  <c r="J24" i="13"/>
  <c r="J22" i="13"/>
  <c r="J21" i="13"/>
  <c r="J18" i="13"/>
  <c r="H18" i="13"/>
  <c r="J16" i="13"/>
  <c r="J15" i="13"/>
  <c r="J20" i="13"/>
  <c r="X13" i="13"/>
  <c r="Z15" i="13"/>
  <c r="X21" i="13"/>
  <c r="L12" i="14"/>
  <c r="F36" i="14"/>
  <c r="F34" i="14"/>
  <c r="F33" i="14"/>
  <c r="F31" i="14"/>
  <c r="F29" i="14"/>
  <c r="F27" i="14"/>
  <c r="F25" i="14"/>
  <c r="F24" i="14"/>
  <c r="F22" i="14"/>
  <c r="F18" i="14"/>
  <c r="D18" i="14"/>
  <c r="F16" i="14"/>
  <c r="F21" i="14"/>
  <c r="F15" i="14"/>
  <c r="F20" i="14"/>
  <c r="X16" i="14"/>
  <c r="X20" i="14"/>
  <c r="F36" i="16"/>
  <c r="F34" i="16"/>
  <c r="F33" i="16"/>
  <c r="F31" i="16"/>
  <c r="F29" i="16"/>
  <c r="F27" i="16"/>
  <c r="F25" i="16"/>
  <c r="F20" i="16"/>
  <c r="F18" i="16"/>
  <c r="F16" i="16"/>
  <c r="D18" i="16"/>
  <c r="F15" i="16"/>
  <c r="F21" i="16"/>
  <c r="L12" i="16"/>
  <c r="F22" i="16"/>
  <c r="F24" i="16"/>
  <c r="Z20" i="16"/>
  <c r="X13" i="17"/>
  <c r="N16" i="17"/>
  <c r="X29" i="17"/>
  <c r="N15" i="19"/>
  <c r="Z25" i="22"/>
  <c r="J20" i="25"/>
  <c r="J18" i="25"/>
  <c r="J16" i="25"/>
  <c r="H18" i="25"/>
  <c r="J15" i="25"/>
  <c r="N12" i="25"/>
  <c r="J24" i="25"/>
  <c r="J22" i="25"/>
  <c r="J21" i="25"/>
  <c r="J34" i="25"/>
  <c r="J29" i="25"/>
  <c r="J33" i="25"/>
  <c r="J27" i="25"/>
  <c r="J31" i="25"/>
  <c r="J25" i="25"/>
  <c r="J36" i="25"/>
  <c r="N24" i="28"/>
  <c r="N20" i="31"/>
  <c r="X13" i="38"/>
  <c r="L16" i="10"/>
  <c r="L20" i="10"/>
  <c r="V36" i="11"/>
  <c r="V34" i="11"/>
  <c r="V33" i="11"/>
  <c r="V31" i="11"/>
  <c r="V29" i="11"/>
  <c r="V27" i="11"/>
  <c r="V25" i="11"/>
  <c r="V24" i="11"/>
  <c r="V22" i="11"/>
  <c r="V21" i="11"/>
  <c r="V20" i="11"/>
  <c r="V18" i="11"/>
  <c r="V16" i="11"/>
  <c r="T18" i="11"/>
  <c r="V15" i="11"/>
  <c r="Z12" i="11"/>
  <c r="L15" i="11"/>
  <c r="Z25" i="11"/>
  <c r="Z29" i="11"/>
  <c r="Z33" i="11"/>
  <c r="Z34" i="11"/>
  <c r="Z13" i="13"/>
  <c r="Z16" i="13"/>
  <c r="Z20" i="13"/>
  <c r="X22" i="13"/>
  <c r="X24" i="13"/>
  <c r="N12" i="14"/>
  <c r="J36" i="14"/>
  <c r="J34" i="14"/>
  <c r="J33" i="14"/>
  <c r="J31" i="14"/>
  <c r="J29" i="14"/>
  <c r="J27" i="14"/>
  <c r="J25" i="14"/>
  <c r="J24" i="14"/>
  <c r="J22" i="14"/>
  <c r="J21" i="14"/>
  <c r="J20" i="14"/>
  <c r="J18" i="14"/>
  <c r="J16" i="14"/>
  <c r="H18" i="14"/>
  <c r="J15" i="14"/>
  <c r="X13" i="14"/>
  <c r="Z15" i="14"/>
  <c r="X21" i="14"/>
  <c r="L34" i="16"/>
  <c r="Z13" i="17"/>
  <c r="Z21" i="17"/>
  <c r="N20" i="19"/>
  <c r="L24" i="19"/>
  <c r="N29" i="22"/>
  <c r="X15" i="23"/>
  <c r="Z12" i="25"/>
  <c r="V36" i="25"/>
  <c r="V34" i="25"/>
  <c r="V33" i="25"/>
  <c r="V31" i="25"/>
  <c r="V29" i="25"/>
  <c r="V27" i="25"/>
  <c r="V25" i="25"/>
  <c r="V21" i="25"/>
  <c r="V20" i="25"/>
  <c r="V18" i="25"/>
  <c r="V16" i="25"/>
  <c r="T18" i="25"/>
  <c r="V15" i="25"/>
  <c r="V22" i="25"/>
  <c r="V24" i="25"/>
  <c r="Z25" i="25"/>
  <c r="N15" i="10"/>
  <c r="L21" i="10"/>
  <c r="L16" i="11"/>
  <c r="L20" i="11"/>
  <c r="Z21" i="13"/>
  <c r="X25" i="13"/>
  <c r="X29" i="13"/>
  <c r="X33" i="13"/>
  <c r="X34" i="13"/>
  <c r="Z13" i="14"/>
  <c r="Z16" i="14"/>
  <c r="Z20" i="14"/>
  <c r="X22" i="14"/>
  <c r="X24" i="14"/>
  <c r="X22" i="16"/>
  <c r="L25" i="16"/>
  <c r="N20" i="17"/>
  <c r="X24" i="17"/>
  <c r="X33" i="17"/>
  <c r="Z24" i="19"/>
  <c r="Z29" i="22"/>
  <c r="L16" i="23"/>
  <c r="Z29" i="25"/>
  <c r="X12" i="13"/>
  <c r="R36" i="13"/>
  <c r="R34" i="13"/>
  <c r="R33" i="13"/>
  <c r="R31" i="13"/>
  <c r="R29" i="13"/>
  <c r="R27" i="13"/>
  <c r="R25" i="13"/>
  <c r="R24" i="13"/>
  <c r="R22" i="13"/>
  <c r="R21" i="13"/>
  <c r="R20" i="13"/>
  <c r="R18" i="13"/>
  <c r="R16" i="13"/>
  <c r="P18" i="13"/>
  <c r="R15" i="13"/>
  <c r="Z22" i="13"/>
  <c r="Z24" i="13"/>
  <c r="Z21" i="14"/>
  <c r="X25" i="14"/>
  <c r="X29" i="14"/>
  <c r="X33" i="14"/>
  <c r="X34" i="14"/>
  <c r="R20" i="16"/>
  <c r="R18" i="16"/>
  <c r="R16" i="16"/>
  <c r="X12" i="16"/>
  <c r="R34" i="16"/>
  <c r="P18" i="16"/>
  <c r="R31" i="16"/>
  <c r="R22" i="16"/>
  <c r="R15" i="16"/>
  <c r="R27" i="16"/>
  <c r="R36" i="16"/>
  <c r="R33" i="16"/>
  <c r="R24" i="16"/>
  <c r="R25" i="16"/>
  <c r="R21" i="16"/>
  <c r="R29" i="16"/>
  <c r="Z16" i="17"/>
  <c r="L16" i="19"/>
  <c r="L15" i="20"/>
  <c r="L29" i="20"/>
  <c r="X16" i="25"/>
  <c r="N34" i="26"/>
  <c r="L13" i="10"/>
  <c r="N21" i="10"/>
  <c r="L25" i="10"/>
  <c r="L29" i="10"/>
  <c r="L33" i="10"/>
  <c r="L34" i="10"/>
  <c r="N16" i="11"/>
  <c r="N20" i="11"/>
  <c r="L22" i="11"/>
  <c r="L24" i="11"/>
  <c r="V36" i="13"/>
  <c r="V34" i="13"/>
  <c r="V33" i="13"/>
  <c r="V31" i="13"/>
  <c r="V29" i="13"/>
  <c r="V27" i="13"/>
  <c r="V25" i="13"/>
  <c r="V24" i="13"/>
  <c r="V22" i="13"/>
  <c r="V21" i="13"/>
  <c r="V20" i="13"/>
  <c r="V18" i="13"/>
  <c r="V16" i="13"/>
  <c r="T18" i="13"/>
  <c r="V15" i="13"/>
  <c r="Z12" i="13"/>
  <c r="L15" i="13"/>
  <c r="Z25" i="13"/>
  <c r="Z29" i="13"/>
  <c r="Z33" i="13"/>
  <c r="Z34" i="13"/>
  <c r="R36" i="14"/>
  <c r="R34" i="14"/>
  <c r="R33" i="14"/>
  <c r="R31" i="14"/>
  <c r="R29" i="14"/>
  <c r="R27" i="14"/>
  <c r="R25" i="14"/>
  <c r="R24" i="14"/>
  <c r="R22" i="14"/>
  <c r="R21" i="14"/>
  <c r="R20" i="14"/>
  <c r="R18" i="14"/>
  <c r="R16" i="14"/>
  <c r="P18" i="14"/>
  <c r="R15" i="14"/>
  <c r="X12" i="14"/>
  <c r="Z22" i="14"/>
  <c r="Z24" i="14"/>
  <c r="Z12" i="16"/>
  <c r="V36" i="16"/>
  <c r="V34" i="16"/>
  <c r="V33" i="16"/>
  <c r="V31" i="16"/>
  <c r="V29" i="16"/>
  <c r="V27" i="16"/>
  <c r="V25" i="16"/>
  <c r="V22" i="16"/>
  <c r="T18" i="16"/>
  <c r="V15" i="16"/>
  <c r="V20" i="16"/>
  <c r="V24" i="16"/>
  <c r="V16" i="16"/>
  <c r="V21" i="16"/>
  <c r="V18" i="16"/>
  <c r="Z22" i="16"/>
  <c r="L29" i="16"/>
  <c r="X34" i="16"/>
  <c r="N15" i="17"/>
  <c r="L22" i="17"/>
  <c r="Z24" i="17"/>
  <c r="L21" i="19"/>
  <c r="L20" i="20"/>
  <c r="N29" i="23"/>
  <c r="X20" i="26"/>
  <c r="Z13" i="35"/>
  <c r="N13" i="10"/>
  <c r="N22" i="10"/>
  <c r="N24" i="10"/>
  <c r="L13" i="11"/>
  <c r="N21" i="11"/>
  <c r="L25" i="11"/>
  <c r="L29" i="11"/>
  <c r="L33" i="11"/>
  <c r="L34" i="11"/>
  <c r="L16" i="13"/>
  <c r="L20" i="13"/>
  <c r="V24" i="14"/>
  <c r="V22" i="14"/>
  <c r="V21" i="14"/>
  <c r="V20" i="14"/>
  <c r="V18" i="14"/>
  <c r="V16" i="14"/>
  <c r="T18" i="14"/>
  <c r="V15" i="14"/>
  <c r="V36" i="14"/>
  <c r="V29" i="14"/>
  <c r="V34" i="14"/>
  <c r="V27" i="14"/>
  <c r="V33" i="14"/>
  <c r="V25" i="14"/>
  <c r="V31" i="14"/>
  <c r="Z12" i="14"/>
  <c r="L15" i="14"/>
  <c r="Z25" i="14"/>
  <c r="Z29" i="14"/>
  <c r="Z33" i="14"/>
  <c r="Z34" i="14"/>
  <c r="N21" i="16"/>
  <c r="X25" i="16"/>
  <c r="J36" i="17"/>
  <c r="J34" i="17"/>
  <c r="J33" i="17"/>
  <c r="J31" i="17"/>
  <c r="J29" i="17"/>
  <c r="J27" i="17"/>
  <c r="J25" i="17"/>
  <c r="J21" i="17"/>
  <c r="J20" i="17"/>
  <c r="J18" i="17"/>
  <c r="J16" i="17"/>
  <c r="J22" i="17"/>
  <c r="J15" i="17"/>
  <c r="J24" i="17"/>
  <c r="N12" i="17"/>
  <c r="H18" i="17"/>
  <c r="Z20" i="17"/>
  <c r="N16" i="19"/>
  <c r="N15" i="20"/>
  <c r="N29" i="20"/>
  <c r="Z33" i="22"/>
  <c r="L20" i="23"/>
  <c r="N33" i="23"/>
  <c r="F24" i="28"/>
  <c r="F22" i="28"/>
  <c r="F21" i="28"/>
  <c r="F20" i="28"/>
  <c r="F18" i="28"/>
  <c r="F16" i="28"/>
  <c r="D18" i="28"/>
  <c r="F15" i="28"/>
  <c r="L12" i="28"/>
  <c r="F34" i="28"/>
  <c r="F27" i="28"/>
  <c r="F33" i="28"/>
  <c r="F25" i="28"/>
  <c r="F31" i="28"/>
  <c r="F29" i="28"/>
  <c r="F36" i="28"/>
  <c r="X25" i="32"/>
  <c r="L13" i="19"/>
  <c r="N21" i="19"/>
  <c r="L25" i="19"/>
  <c r="L29" i="19"/>
  <c r="L33" i="19"/>
  <c r="L34" i="19"/>
  <c r="N16" i="20"/>
  <c r="N20" i="20"/>
  <c r="L22" i="20"/>
  <c r="L24" i="20"/>
  <c r="N34" i="20"/>
  <c r="N20" i="22"/>
  <c r="Z34" i="22"/>
  <c r="Z24" i="23"/>
  <c r="N13" i="25"/>
  <c r="N22" i="25"/>
  <c r="N21" i="26"/>
  <c r="L25" i="26"/>
  <c r="J20" i="28"/>
  <c r="J18" i="28"/>
  <c r="J16" i="28"/>
  <c r="H18" i="28"/>
  <c r="J15" i="28"/>
  <c r="N12" i="28"/>
  <c r="J24" i="28"/>
  <c r="J22" i="28"/>
  <c r="J36" i="28"/>
  <c r="J29" i="28"/>
  <c r="J34" i="28"/>
  <c r="J27" i="28"/>
  <c r="J21" i="28"/>
  <c r="J33" i="28"/>
  <c r="J25" i="28"/>
  <c r="J31" i="28"/>
  <c r="F21" i="29"/>
  <c r="F20" i="29"/>
  <c r="F18" i="29"/>
  <c r="F16" i="29"/>
  <c r="D18" i="29"/>
  <c r="F15" i="29"/>
  <c r="L12" i="29"/>
  <c r="F36" i="29"/>
  <c r="F34" i="29"/>
  <c r="F33" i="29"/>
  <c r="F31" i="29"/>
  <c r="F29" i="29"/>
  <c r="F27" i="29"/>
  <c r="F25" i="29"/>
  <c r="F24" i="29"/>
  <c r="F22" i="29"/>
  <c r="X20" i="31"/>
  <c r="N33" i="32"/>
  <c r="N25" i="34"/>
  <c r="L20" i="37"/>
  <c r="L16" i="16"/>
  <c r="L20" i="16"/>
  <c r="V36" i="17"/>
  <c r="V34" i="17"/>
  <c r="V33" i="17"/>
  <c r="V31" i="17"/>
  <c r="V29" i="17"/>
  <c r="V27" i="17"/>
  <c r="V25" i="17"/>
  <c r="V24" i="17"/>
  <c r="V22" i="17"/>
  <c r="V16" i="17"/>
  <c r="V21" i="17"/>
  <c r="V18" i="17"/>
  <c r="T18" i="17"/>
  <c r="Z12" i="17"/>
  <c r="V20" i="17"/>
  <c r="V15" i="17"/>
  <c r="L15" i="17"/>
  <c r="Z25" i="17"/>
  <c r="Z29" i="17"/>
  <c r="Z33" i="17"/>
  <c r="Z34" i="17"/>
  <c r="N13" i="19"/>
  <c r="N22" i="19"/>
  <c r="N24" i="19"/>
  <c r="L13" i="20"/>
  <c r="N21" i="20"/>
  <c r="L25" i="20"/>
  <c r="L12" i="22"/>
  <c r="F36" i="22"/>
  <c r="F34" i="22"/>
  <c r="F33" i="22"/>
  <c r="F31" i="22"/>
  <c r="F29" i="22"/>
  <c r="F27" i="22"/>
  <c r="F25" i="22"/>
  <c r="F24" i="22"/>
  <c r="F22" i="22"/>
  <c r="D18" i="22"/>
  <c r="F15" i="22"/>
  <c r="F18" i="22"/>
  <c r="F21" i="22"/>
  <c r="F16" i="22"/>
  <c r="F20" i="22"/>
  <c r="N13" i="23"/>
  <c r="L21" i="23"/>
  <c r="N25" i="26"/>
  <c r="N13" i="28"/>
  <c r="L13" i="29"/>
  <c r="L25" i="29"/>
  <c r="L33" i="29"/>
  <c r="Z22" i="31"/>
  <c r="X25" i="34"/>
  <c r="Z20" i="37"/>
  <c r="N21" i="41"/>
  <c r="N15" i="16"/>
  <c r="L21" i="16"/>
  <c r="L16" i="17"/>
  <c r="L20" i="17"/>
  <c r="X15" i="19"/>
  <c r="N25" i="19"/>
  <c r="N29" i="19"/>
  <c r="N33" i="19"/>
  <c r="N34" i="19"/>
  <c r="N13" i="20"/>
  <c r="N22" i="20"/>
  <c r="N24" i="20"/>
  <c r="X29" i="20"/>
  <c r="V21" i="22"/>
  <c r="V20" i="22"/>
  <c r="V18" i="22"/>
  <c r="V16" i="22"/>
  <c r="T18" i="22"/>
  <c r="V15" i="22"/>
  <c r="V36" i="22"/>
  <c r="V34" i="22"/>
  <c r="V33" i="22"/>
  <c r="V31" i="22"/>
  <c r="V29" i="22"/>
  <c r="V27" i="22"/>
  <c r="V25" i="22"/>
  <c r="V24" i="22"/>
  <c r="Z12" i="22"/>
  <c r="V22" i="22"/>
  <c r="N16" i="22"/>
  <c r="X20" i="22"/>
  <c r="X13" i="25"/>
  <c r="F21" i="26"/>
  <c r="F20" i="26"/>
  <c r="F18" i="26"/>
  <c r="F16" i="26"/>
  <c r="D18" i="26"/>
  <c r="F15" i="26"/>
  <c r="L12" i="26"/>
  <c r="F36" i="26"/>
  <c r="F34" i="26"/>
  <c r="F33" i="26"/>
  <c r="F31" i="26"/>
  <c r="F29" i="26"/>
  <c r="F27" i="26"/>
  <c r="F25" i="26"/>
  <c r="F24" i="26"/>
  <c r="F22" i="26"/>
  <c r="X16" i="26"/>
  <c r="X20" i="28"/>
  <c r="N25" i="29"/>
  <c r="N33" i="29"/>
  <c r="L24" i="31"/>
  <c r="X24" i="37"/>
  <c r="V21" i="44"/>
  <c r="Z12" i="44"/>
  <c r="V27" i="44"/>
  <c r="V20" i="44"/>
  <c r="V36" i="44"/>
  <c r="V33" i="44"/>
  <c r="V24" i="44"/>
  <c r="V16" i="44"/>
  <c r="V29" i="44"/>
  <c r="V25" i="44"/>
  <c r="V34" i="44"/>
  <c r="V18" i="44"/>
  <c r="T18" i="44"/>
  <c r="V22" i="44"/>
  <c r="V31" i="44"/>
  <c r="V15" i="44"/>
  <c r="L12" i="19"/>
  <c r="F36" i="19"/>
  <c r="F34" i="19"/>
  <c r="F33" i="19"/>
  <c r="F31" i="19"/>
  <c r="F29" i="19"/>
  <c r="F27" i="19"/>
  <c r="F25" i="19"/>
  <c r="F24" i="19"/>
  <c r="F22" i="19"/>
  <c r="F21" i="19"/>
  <c r="F16" i="19"/>
  <c r="F20" i="19"/>
  <c r="F15" i="19"/>
  <c r="F18" i="19"/>
  <c r="D18" i="19"/>
  <c r="X16" i="19"/>
  <c r="X20" i="19"/>
  <c r="X15" i="20"/>
  <c r="N25" i="20"/>
  <c r="Z29" i="20"/>
  <c r="X34" i="20"/>
  <c r="L24" i="22"/>
  <c r="N25" i="23"/>
  <c r="L15" i="25"/>
  <c r="Z33" i="25"/>
  <c r="X12" i="26"/>
  <c r="R24" i="26"/>
  <c r="R22" i="26"/>
  <c r="R21" i="26"/>
  <c r="R20" i="26"/>
  <c r="R18" i="26"/>
  <c r="R16" i="26"/>
  <c r="P18" i="26"/>
  <c r="R36" i="26"/>
  <c r="R31" i="26"/>
  <c r="R25" i="26"/>
  <c r="R34" i="26"/>
  <c r="R33" i="26"/>
  <c r="R29" i="26"/>
  <c r="R15" i="26"/>
  <c r="R27" i="26"/>
  <c r="X13" i="28"/>
  <c r="X20" i="29"/>
  <c r="N33" i="34"/>
  <c r="N12" i="19"/>
  <c r="J36" i="19"/>
  <c r="J34" i="19"/>
  <c r="J33" i="19"/>
  <c r="J31" i="19"/>
  <c r="J29" i="19"/>
  <c r="J27" i="19"/>
  <c r="J25" i="19"/>
  <c r="J24" i="19"/>
  <c r="J22" i="19"/>
  <c r="J21" i="19"/>
  <c r="J20" i="19"/>
  <c r="J18" i="19"/>
  <c r="J16" i="19"/>
  <c r="J15" i="19"/>
  <c r="H18" i="19"/>
  <c r="X13" i="19"/>
  <c r="Z15" i="19"/>
  <c r="X21" i="19"/>
  <c r="F36" i="20"/>
  <c r="L12" i="20"/>
  <c r="F33" i="20"/>
  <c r="F25" i="20"/>
  <c r="F24" i="20"/>
  <c r="F22" i="20"/>
  <c r="F27" i="20"/>
  <c r="F21" i="20"/>
  <c r="F20" i="20"/>
  <c r="F29" i="20"/>
  <c r="F15" i="20"/>
  <c r="F34" i="20"/>
  <c r="F18" i="20"/>
  <c r="D18" i="20"/>
  <c r="F16" i="20"/>
  <c r="F31" i="20"/>
  <c r="X16" i="20"/>
  <c r="X20" i="20"/>
  <c r="N33" i="20"/>
  <c r="Z34" i="20"/>
  <c r="X16" i="22"/>
  <c r="L21" i="22"/>
  <c r="N24" i="25"/>
  <c r="L13" i="26"/>
  <c r="L33" i="26"/>
  <c r="N21" i="29"/>
  <c r="L34" i="29"/>
  <c r="Z21" i="32"/>
  <c r="X33" i="34"/>
  <c r="L34" i="41"/>
  <c r="N13" i="16"/>
  <c r="N22" i="16"/>
  <c r="N24" i="16"/>
  <c r="L13" i="17"/>
  <c r="N21" i="17"/>
  <c r="L25" i="17"/>
  <c r="L29" i="17"/>
  <c r="L33" i="17"/>
  <c r="L34" i="17"/>
  <c r="Z13" i="19"/>
  <c r="Z16" i="19"/>
  <c r="Z20" i="19"/>
  <c r="X22" i="19"/>
  <c r="X24" i="19"/>
  <c r="J36" i="20"/>
  <c r="J33" i="20"/>
  <c r="J25" i="20"/>
  <c r="J24" i="20"/>
  <c r="J22" i="20"/>
  <c r="J27" i="20"/>
  <c r="J21" i="20"/>
  <c r="J34" i="20"/>
  <c r="J20" i="20"/>
  <c r="J18" i="20"/>
  <c r="J16" i="20"/>
  <c r="J29" i="20"/>
  <c r="H18" i="20"/>
  <c r="J15" i="20"/>
  <c r="N12" i="20"/>
  <c r="J31" i="20"/>
  <c r="X13" i="20"/>
  <c r="Z15" i="20"/>
  <c r="X21" i="20"/>
  <c r="N33" i="22"/>
  <c r="N15" i="23"/>
  <c r="X20" i="25"/>
  <c r="N33" i="26"/>
  <c r="X15" i="29"/>
  <c r="N34" i="29"/>
  <c r="N34" i="34"/>
  <c r="X15" i="16"/>
  <c r="N25" i="16"/>
  <c r="N29" i="16"/>
  <c r="N33" i="16"/>
  <c r="N34" i="16"/>
  <c r="N13" i="17"/>
  <c r="N22" i="17"/>
  <c r="N24" i="17"/>
  <c r="Z21" i="19"/>
  <c r="X25" i="19"/>
  <c r="X29" i="19"/>
  <c r="X33" i="19"/>
  <c r="X34" i="19"/>
  <c r="Z13" i="20"/>
  <c r="Z16" i="20"/>
  <c r="Z20" i="20"/>
  <c r="X22" i="20"/>
  <c r="X24" i="20"/>
  <c r="Z15" i="25"/>
  <c r="Z15" i="28"/>
  <c r="X21" i="28"/>
  <c r="N13" i="35"/>
  <c r="J24" i="16"/>
  <c r="J22" i="16"/>
  <c r="J21" i="16"/>
  <c r="J29" i="16"/>
  <c r="J25" i="16"/>
  <c r="J18" i="16"/>
  <c r="J34" i="16"/>
  <c r="H18" i="16"/>
  <c r="N12" i="16"/>
  <c r="J31" i="16"/>
  <c r="J15" i="16"/>
  <c r="J27" i="16"/>
  <c r="J20" i="16"/>
  <c r="J36" i="16"/>
  <c r="J16" i="16"/>
  <c r="J33" i="16"/>
  <c r="X13" i="16"/>
  <c r="Z15" i="16"/>
  <c r="X21" i="16"/>
  <c r="F36" i="17"/>
  <c r="F34" i="17"/>
  <c r="F33" i="17"/>
  <c r="F31" i="17"/>
  <c r="F29" i="17"/>
  <c r="F27" i="17"/>
  <c r="F25" i="17"/>
  <c r="F24" i="17"/>
  <c r="F22" i="17"/>
  <c r="D18" i="17"/>
  <c r="F15" i="17"/>
  <c r="F20" i="17"/>
  <c r="F16" i="17"/>
  <c r="F21" i="17"/>
  <c r="L12" i="17"/>
  <c r="F18" i="17"/>
  <c r="X16" i="17"/>
  <c r="X20" i="17"/>
  <c r="V24" i="19"/>
  <c r="V22" i="19"/>
  <c r="V20" i="19"/>
  <c r="V18" i="19"/>
  <c r="V16" i="19"/>
  <c r="T18" i="19"/>
  <c r="V15" i="19"/>
  <c r="V34" i="19"/>
  <c r="V29" i="19"/>
  <c r="V33" i="19"/>
  <c r="V27" i="19"/>
  <c r="V21" i="19"/>
  <c r="V36" i="19"/>
  <c r="Z12" i="19"/>
  <c r="V31" i="19"/>
  <c r="V25" i="19"/>
  <c r="L15" i="19"/>
  <c r="Z25" i="19"/>
  <c r="Z29" i="19"/>
  <c r="Z33" i="19"/>
  <c r="Z34" i="19"/>
  <c r="R36" i="20"/>
  <c r="R34" i="20"/>
  <c r="R33" i="20"/>
  <c r="R31" i="20"/>
  <c r="R29" i="20"/>
  <c r="R27" i="20"/>
  <c r="R25" i="20"/>
  <c r="R21" i="20"/>
  <c r="R20" i="20"/>
  <c r="R18" i="20"/>
  <c r="R16" i="20"/>
  <c r="P18" i="20"/>
  <c r="R15" i="20"/>
  <c r="R22" i="20"/>
  <c r="X12" i="20"/>
  <c r="R24" i="20"/>
  <c r="Z22" i="20"/>
  <c r="Z24" i="20"/>
  <c r="Z25" i="20"/>
  <c r="Z33" i="20"/>
  <c r="N15" i="22"/>
  <c r="Z22" i="23"/>
  <c r="L29" i="26"/>
  <c r="L34" i="26"/>
  <c r="X16" i="28"/>
  <c r="N29" i="29"/>
  <c r="X15" i="34"/>
  <c r="J36" i="38"/>
  <c r="J34" i="38"/>
  <c r="J33" i="38"/>
  <c r="J31" i="38"/>
  <c r="J29" i="38"/>
  <c r="J27" i="38"/>
  <c r="J25" i="38"/>
  <c r="J24" i="38"/>
  <c r="J22" i="38"/>
  <c r="J21" i="38"/>
  <c r="J20" i="38"/>
  <c r="J18" i="38"/>
  <c r="J16" i="38"/>
  <c r="H18" i="38"/>
  <c r="J15" i="38"/>
  <c r="N12" i="38"/>
  <c r="Z22" i="40"/>
  <c r="L16" i="22"/>
  <c r="L20" i="22"/>
  <c r="V20" i="23"/>
  <c r="V18" i="23"/>
  <c r="V16" i="23"/>
  <c r="T18" i="23"/>
  <c r="V15" i="23"/>
  <c r="V24" i="23"/>
  <c r="V22" i="23"/>
  <c r="V36" i="23"/>
  <c r="V31" i="23"/>
  <c r="V25" i="23"/>
  <c r="V21" i="23"/>
  <c r="V34" i="23"/>
  <c r="V29" i="23"/>
  <c r="Z12" i="23"/>
  <c r="V27" i="23"/>
  <c r="V33" i="23"/>
  <c r="L15" i="23"/>
  <c r="Z25" i="23"/>
  <c r="Z29" i="23"/>
  <c r="Z33" i="23"/>
  <c r="Z34" i="23"/>
  <c r="X15" i="25"/>
  <c r="N25" i="25"/>
  <c r="N29" i="25"/>
  <c r="N33" i="25"/>
  <c r="N34" i="25"/>
  <c r="N13" i="26"/>
  <c r="N22" i="26"/>
  <c r="N24" i="26"/>
  <c r="X15" i="28"/>
  <c r="N25" i="28"/>
  <c r="N29" i="28"/>
  <c r="N33" i="28"/>
  <c r="N34" i="28"/>
  <c r="N13" i="29"/>
  <c r="N22" i="29"/>
  <c r="N24" i="29"/>
  <c r="L20" i="31"/>
  <c r="V21" i="32"/>
  <c r="T18" i="32"/>
  <c r="V15" i="32"/>
  <c r="V36" i="32"/>
  <c r="V34" i="32"/>
  <c r="V33" i="32"/>
  <c r="V31" i="32"/>
  <c r="V29" i="32"/>
  <c r="V27" i="32"/>
  <c r="V25" i="32"/>
  <c r="V24" i="32"/>
  <c r="V20" i="32"/>
  <c r="V22" i="32"/>
  <c r="V18" i="32"/>
  <c r="V16" i="32"/>
  <c r="Z12" i="32"/>
  <c r="Z25" i="32"/>
  <c r="X13" i="34"/>
  <c r="X20" i="35"/>
  <c r="R24" i="37"/>
  <c r="R22" i="37"/>
  <c r="R20" i="37"/>
  <c r="R18" i="37"/>
  <c r="R16" i="37"/>
  <c r="P18" i="37"/>
  <c r="R15" i="37"/>
  <c r="R36" i="37"/>
  <c r="R29" i="37"/>
  <c r="R34" i="37"/>
  <c r="R27" i="37"/>
  <c r="R21" i="37"/>
  <c r="R33" i="37"/>
  <c r="R25" i="37"/>
  <c r="R31" i="37"/>
  <c r="X12" i="37"/>
  <c r="Z24" i="37"/>
  <c r="N34" i="41"/>
  <c r="L33" i="20"/>
  <c r="L34" i="20"/>
  <c r="L13" i="22"/>
  <c r="N21" i="22"/>
  <c r="L25" i="22"/>
  <c r="L29" i="22"/>
  <c r="L33" i="22"/>
  <c r="L34" i="22"/>
  <c r="N16" i="23"/>
  <c r="N20" i="23"/>
  <c r="L22" i="23"/>
  <c r="L24" i="23"/>
  <c r="Z13" i="25"/>
  <c r="Z16" i="25"/>
  <c r="Z20" i="25"/>
  <c r="X22" i="25"/>
  <c r="X24" i="25"/>
  <c r="H18" i="26"/>
  <c r="J15" i="26"/>
  <c r="N12" i="26"/>
  <c r="J21" i="26"/>
  <c r="J20" i="26"/>
  <c r="J33" i="26"/>
  <c r="J27" i="26"/>
  <c r="J22" i="26"/>
  <c r="J18" i="26"/>
  <c r="J36" i="26"/>
  <c r="J31" i="26"/>
  <c r="J25" i="26"/>
  <c r="J16" i="26"/>
  <c r="J34" i="26"/>
  <c r="J29" i="26"/>
  <c r="J24" i="26"/>
  <c r="X13" i="26"/>
  <c r="Z15" i="26"/>
  <c r="X21" i="26"/>
  <c r="Z13" i="28"/>
  <c r="Z16" i="28"/>
  <c r="Z20" i="28"/>
  <c r="X22" i="28"/>
  <c r="X24" i="28"/>
  <c r="H18" i="29"/>
  <c r="J15" i="29"/>
  <c r="N12" i="29"/>
  <c r="J21" i="29"/>
  <c r="J22" i="29"/>
  <c r="J34" i="29"/>
  <c r="J27" i="29"/>
  <c r="J33" i="29"/>
  <c r="J25" i="29"/>
  <c r="J20" i="29"/>
  <c r="J31" i="29"/>
  <c r="J24" i="29"/>
  <c r="J18" i="29"/>
  <c r="J36" i="29"/>
  <c r="J16" i="29"/>
  <c r="J29" i="29"/>
  <c r="X13" i="29"/>
  <c r="Z15" i="29"/>
  <c r="X21" i="29"/>
  <c r="Z24" i="31"/>
  <c r="X33" i="32"/>
  <c r="Z15" i="34"/>
  <c r="X21" i="34"/>
  <c r="X25" i="38"/>
  <c r="X33" i="38"/>
  <c r="F24" i="40"/>
  <c r="F22" i="40"/>
  <c r="F20" i="40"/>
  <c r="F18" i="40"/>
  <c r="F16" i="40"/>
  <c r="D18" i="40"/>
  <c r="F15" i="40"/>
  <c r="F21" i="40"/>
  <c r="F36" i="40"/>
  <c r="F33" i="40"/>
  <c r="F29" i="40"/>
  <c r="F25" i="40"/>
  <c r="L12" i="40"/>
  <c r="F31" i="40"/>
  <c r="F27" i="40"/>
  <c r="F34" i="40"/>
  <c r="N13" i="22"/>
  <c r="N22" i="22"/>
  <c r="N24" i="22"/>
  <c r="L13" i="23"/>
  <c r="N21" i="23"/>
  <c r="L25" i="23"/>
  <c r="L29" i="23"/>
  <c r="L33" i="23"/>
  <c r="L34" i="23"/>
  <c r="Z21" i="25"/>
  <c r="X25" i="25"/>
  <c r="X29" i="25"/>
  <c r="X33" i="25"/>
  <c r="X34" i="25"/>
  <c r="Z13" i="26"/>
  <c r="Z16" i="26"/>
  <c r="Z20" i="26"/>
  <c r="X22" i="26"/>
  <c r="X24" i="26"/>
  <c r="Z21" i="28"/>
  <c r="X25" i="28"/>
  <c r="X29" i="28"/>
  <c r="X33" i="28"/>
  <c r="X34" i="28"/>
  <c r="Z13" i="29"/>
  <c r="Z16" i="29"/>
  <c r="Z20" i="29"/>
  <c r="X22" i="29"/>
  <c r="X24" i="29"/>
  <c r="L16" i="31"/>
  <c r="L15" i="32"/>
  <c r="Z33" i="32"/>
  <c r="Z21" i="34"/>
  <c r="X34" i="34"/>
  <c r="L15" i="38"/>
  <c r="Z25" i="38"/>
  <c r="Z33" i="38"/>
  <c r="X25" i="41"/>
  <c r="N22" i="23"/>
  <c r="N24" i="23"/>
  <c r="X12" i="25"/>
  <c r="R36" i="25"/>
  <c r="R34" i="25"/>
  <c r="R33" i="25"/>
  <c r="R31" i="25"/>
  <c r="R29" i="25"/>
  <c r="R27" i="25"/>
  <c r="R25" i="25"/>
  <c r="R24" i="25"/>
  <c r="R22" i="25"/>
  <c r="R21" i="25"/>
  <c r="R20" i="25"/>
  <c r="R15" i="25"/>
  <c r="R18" i="25"/>
  <c r="P18" i="25"/>
  <c r="R16" i="25"/>
  <c r="Z22" i="25"/>
  <c r="Z24" i="25"/>
  <c r="Z21" i="26"/>
  <c r="X25" i="26"/>
  <c r="X29" i="26"/>
  <c r="X33" i="26"/>
  <c r="X34" i="26"/>
  <c r="X12" i="28"/>
  <c r="R36" i="28"/>
  <c r="R34" i="28"/>
  <c r="R33" i="28"/>
  <c r="R31" i="28"/>
  <c r="R29" i="28"/>
  <c r="R27" i="28"/>
  <c r="R25" i="28"/>
  <c r="R24" i="28"/>
  <c r="R22" i="28"/>
  <c r="R21" i="28"/>
  <c r="R15" i="28"/>
  <c r="R20" i="28"/>
  <c r="R18" i="28"/>
  <c r="P18" i="28"/>
  <c r="R16" i="28"/>
  <c r="Z22" i="28"/>
  <c r="Z24" i="28"/>
  <c r="Z21" i="29"/>
  <c r="X25" i="29"/>
  <c r="X29" i="29"/>
  <c r="X33" i="29"/>
  <c r="X34" i="29"/>
  <c r="N16" i="31"/>
  <c r="N15" i="32"/>
  <c r="N29" i="34"/>
  <c r="N22" i="35"/>
  <c r="Z15" i="38"/>
  <c r="X21" i="38"/>
  <c r="Z12" i="28"/>
  <c r="V36" i="28"/>
  <c r="V34" i="28"/>
  <c r="V33" i="28"/>
  <c r="V31" i="28"/>
  <c r="V29" i="28"/>
  <c r="V27" i="28"/>
  <c r="V25" i="28"/>
  <c r="V24" i="28"/>
  <c r="V22" i="28"/>
  <c r="V21" i="28"/>
  <c r="V20" i="28"/>
  <c r="V18" i="28"/>
  <c r="V16" i="28"/>
  <c r="T18" i="28"/>
  <c r="V15" i="28"/>
  <c r="L15" i="28"/>
  <c r="Z25" i="28"/>
  <c r="Z29" i="28"/>
  <c r="Z33" i="28"/>
  <c r="Z34" i="28"/>
  <c r="R36" i="29"/>
  <c r="X12" i="29"/>
  <c r="R34" i="29"/>
  <c r="R33" i="29"/>
  <c r="R31" i="29"/>
  <c r="R29" i="29"/>
  <c r="R27" i="29"/>
  <c r="R25" i="29"/>
  <c r="R24" i="29"/>
  <c r="R22" i="29"/>
  <c r="R21" i="29"/>
  <c r="R20" i="29"/>
  <c r="R18" i="29"/>
  <c r="R16" i="29"/>
  <c r="R15" i="29"/>
  <c r="P18" i="29"/>
  <c r="Z22" i="29"/>
  <c r="Z24" i="29"/>
  <c r="L12" i="31"/>
  <c r="F36" i="31"/>
  <c r="F34" i="31"/>
  <c r="F33" i="31"/>
  <c r="F31" i="31"/>
  <c r="F29" i="31"/>
  <c r="F27" i="31"/>
  <c r="F25" i="31"/>
  <c r="F24" i="31"/>
  <c r="F22" i="31"/>
  <c r="F20" i="31"/>
  <c r="F18" i="31"/>
  <c r="F16" i="31"/>
  <c r="D18" i="31"/>
  <c r="F21" i="31"/>
  <c r="F15" i="31"/>
  <c r="X16" i="31"/>
  <c r="X15" i="32"/>
  <c r="N29" i="32"/>
  <c r="N34" i="32"/>
  <c r="X16" i="35"/>
  <c r="Z21" i="38"/>
  <c r="X34" i="38"/>
  <c r="X15" i="41"/>
  <c r="N12" i="22"/>
  <c r="J21" i="22"/>
  <c r="J20" i="22"/>
  <c r="J18" i="22"/>
  <c r="J16" i="22"/>
  <c r="J29" i="22"/>
  <c r="J33" i="22"/>
  <c r="J36" i="22"/>
  <c r="J24" i="22"/>
  <c r="J27" i="22"/>
  <c r="J31" i="22"/>
  <c r="H18" i="22"/>
  <c r="J25" i="22"/>
  <c r="J15" i="22"/>
  <c r="J34" i="22"/>
  <c r="J22" i="22"/>
  <c r="X13" i="22"/>
  <c r="Z15" i="22"/>
  <c r="X21" i="22"/>
  <c r="L12" i="23"/>
  <c r="F36" i="23"/>
  <c r="F34" i="23"/>
  <c r="F33" i="23"/>
  <c r="F31" i="23"/>
  <c r="F29" i="23"/>
  <c r="F27" i="23"/>
  <c r="F25" i="23"/>
  <c r="F24" i="23"/>
  <c r="F22" i="23"/>
  <c r="F21" i="23"/>
  <c r="F20" i="23"/>
  <c r="F15" i="23"/>
  <c r="F18" i="23"/>
  <c r="D18" i="23"/>
  <c r="F16" i="23"/>
  <c r="X16" i="23"/>
  <c r="X20" i="23"/>
  <c r="L16" i="25"/>
  <c r="L20" i="25"/>
  <c r="Z12" i="26"/>
  <c r="V36" i="26"/>
  <c r="V34" i="26"/>
  <c r="V33" i="26"/>
  <c r="V31" i="26"/>
  <c r="V29" i="26"/>
  <c r="V27" i="26"/>
  <c r="V25" i="26"/>
  <c r="V24" i="26"/>
  <c r="V22" i="26"/>
  <c r="V20" i="26"/>
  <c r="V18" i="26"/>
  <c r="V16" i="26"/>
  <c r="T18" i="26"/>
  <c r="V15" i="26"/>
  <c r="V21" i="26"/>
  <c r="L15" i="26"/>
  <c r="Z25" i="26"/>
  <c r="Z29" i="26"/>
  <c r="Z33" i="26"/>
  <c r="Z34" i="26"/>
  <c r="L16" i="28"/>
  <c r="L20" i="28"/>
  <c r="V36" i="29"/>
  <c r="Z12" i="29"/>
  <c r="V34" i="29"/>
  <c r="V33" i="29"/>
  <c r="V31" i="29"/>
  <c r="V29" i="29"/>
  <c r="V27" i="29"/>
  <c r="V25" i="29"/>
  <c r="V24" i="29"/>
  <c r="V22" i="29"/>
  <c r="V21" i="29"/>
  <c r="V20" i="29"/>
  <c r="V18" i="29"/>
  <c r="V16" i="29"/>
  <c r="T18" i="29"/>
  <c r="V15" i="29"/>
  <c r="L15" i="29"/>
  <c r="Z25" i="29"/>
  <c r="Z29" i="29"/>
  <c r="Z33" i="29"/>
  <c r="Z34" i="29"/>
  <c r="R24" i="31"/>
  <c r="R22" i="31"/>
  <c r="R21" i="31"/>
  <c r="R20" i="31"/>
  <c r="R18" i="31"/>
  <c r="R16" i="31"/>
  <c r="P18" i="31"/>
  <c r="X12" i="31"/>
  <c r="R36" i="31"/>
  <c r="R31" i="31"/>
  <c r="R25" i="31"/>
  <c r="R34" i="31"/>
  <c r="R29" i="31"/>
  <c r="R27" i="31"/>
  <c r="R33" i="31"/>
  <c r="R15" i="31"/>
  <c r="X29" i="32"/>
  <c r="X34" i="32"/>
  <c r="X29" i="34"/>
  <c r="Z16" i="35"/>
  <c r="X22" i="35"/>
  <c r="L16" i="37"/>
  <c r="Z34" i="38"/>
  <c r="X29" i="41"/>
  <c r="Z13" i="22"/>
  <c r="Z16" i="22"/>
  <c r="Z20" i="22"/>
  <c r="X22" i="22"/>
  <c r="X24" i="22"/>
  <c r="N12" i="23"/>
  <c r="J36" i="23"/>
  <c r="J34" i="23"/>
  <c r="J33" i="23"/>
  <c r="J31" i="23"/>
  <c r="J29" i="23"/>
  <c r="J27" i="23"/>
  <c r="J25" i="23"/>
  <c r="J20" i="23"/>
  <c r="J18" i="23"/>
  <c r="J16" i="23"/>
  <c r="H18" i="23"/>
  <c r="J15" i="23"/>
  <c r="J21" i="23"/>
  <c r="J24" i="23"/>
  <c r="J22" i="23"/>
  <c r="X13" i="23"/>
  <c r="Z15" i="23"/>
  <c r="X21" i="23"/>
  <c r="N15" i="25"/>
  <c r="L21" i="25"/>
  <c r="L16" i="26"/>
  <c r="L20" i="26"/>
  <c r="N15" i="28"/>
  <c r="L21" i="28"/>
  <c r="L16" i="29"/>
  <c r="L20" i="29"/>
  <c r="Z29" i="32"/>
  <c r="Z34" i="32"/>
  <c r="N24" i="35"/>
  <c r="Z16" i="37"/>
  <c r="X22" i="37"/>
  <c r="Z21" i="22"/>
  <c r="X25" i="22"/>
  <c r="X29" i="22"/>
  <c r="X33" i="22"/>
  <c r="X34" i="22"/>
  <c r="Z13" i="23"/>
  <c r="Z16" i="23"/>
  <c r="Z20" i="23"/>
  <c r="X22" i="23"/>
  <c r="X24" i="23"/>
  <c r="N16" i="25"/>
  <c r="N20" i="25"/>
  <c r="L22" i="25"/>
  <c r="L24" i="25"/>
  <c r="N15" i="26"/>
  <c r="L21" i="26"/>
  <c r="N16" i="28"/>
  <c r="N20" i="28"/>
  <c r="L22" i="28"/>
  <c r="L24" i="28"/>
  <c r="N15" i="29"/>
  <c r="L21" i="29"/>
  <c r="L22" i="31"/>
  <c r="L21" i="32"/>
  <c r="J36" i="34"/>
  <c r="J34" i="34"/>
  <c r="J33" i="34"/>
  <c r="J31" i="34"/>
  <c r="J29" i="34"/>
  <c r="J27" i="34"/>
  <c r="J25" i="34"/>
  <c r="J21" i="34"/>
  <c r="J20" i="34"/>
  <c r="J18" i="34"/>
  <c r="J16" i="34"/>
  <c r="H18" i="34"/>
  <c r="J15" i="34"/>
  <c r="N12" i="34"/>
  <c r="J24" i="34"/>
  <c r="J22" i="34"/>
  <c r="F24" i="35"/>
  <c r="F22" i="35"/>
  <c r="F21" i="35"/>
  <c r="F20" i="35"/>
  <c r="F18" i="35"/>
  <c r="F16" i="35"/>
  <c r="D18" i="35"/>
  <c r="F15" i="35"/>
  <c r="L12" i="35"/>
  <c r="F31" i="35"/>
  <c r="F36" i="35"/>
  <c r="F29" i="35"/>
  <c r="F34" i="35"/>
  <c r="F33" i="35"/>
  <c r="F27" i="35"/>
  <c r="F25" i="35"/>
  <c r="Z22" i="37"/>
  <c r="X29" i="38"/>
  <c r="R36" i="22"/>
  <c r="R34" i="22"/>
  <c r="R33" i="22"/>
  <c r="R31" i="22"/>
  <c r="R29" i="22"/>
  <c r="R27" i="22"/>
  <c r="R25" i="22"/>
  <c r="R24" i="22"/>
  <c r="R22" i="22"/>
  <c r="R21" i="22"/>
  <c r="R20" i="22"/>
  <c r="R18" i="22"/>
  <c r="R16" i="22"/>
  <c r="X12" i="22"/>
  <c r="P18" i="22"/>
  <c r="R15" i="22"/>
  <c r="Z22" i="22"/>
  <c r="Z24" i="22"/>
  <c r="Z21" i="23"/>
  <c r="X25" i="23"/>
  <c r="X29" i="23"/>
  <c r="X33" i="23"/>
  <c r="X34" i="23"/>
  <c r="L13" i="25"/>
  <c r="N21" i="25"/>
  <c r="L25" i="25"/>
  <c r="L29" i="25"/>
  <c r="L33" i="25"/>
  <c r="L34" i="25"/>
  <c r="N16" i="26"/>
  <c r="N20" i="26"/>
  <c r="L22" i="26"/>
  <c r="L24" i="26"/>
  <c r="L13" i="28"/>
  <c r="N21" i="28"/>
  <c r="L25" i="28"/>
  <c r="L29" i="28"/>
  <c r="L33" i="28"/>
  <c r="L34" i="28"/>
  <c r="N16" i="29"/>
  <c r="N20" i="29"/>
  <c r="L22" i="29"/>
  <c r="L24" i="29"/>
  <c r="N25" i="32"/>
  <c r="X24" i="35"/>
  <c r="Z29" i="38"/>
  <c r="X33" i="41"/>
  <c r="L21" i="43"/>
  <c r="Z13" i="50"/>
  <c r="N15" i="31"/>
  <c r="L21" i="31"/>
  <c r="L16" i="32"/>
  <c r="L20" i="32"/>
  <c r="Z13" i="34"/>
  <c r="Z16" i="34"/>
  <c r="Z20" i="34"/>
  <c r="X22" i="34"/>
  <c r="X24" i="34"/>
  <c r="J24" i="35"/>
  <c r="J22" i="35"/>
  <c r="J20" i="35"/>
  <c r="J18" i="35"/>
  <c r="J16" i="35"/>
  <c r="H18" i="35"/>
  <c r="J15" i="35"/>
  <c r="N12" i="35"/>
  <c r="J31" i="35"/>
  <c r="J36" i="35"/>
  <c r="J29" i="35"/>
  <c r="J34" i="35"/>
  <c r="J27" i="35"/>
  <c r="J33" i="35"/>
  <c r="J25" i="35"/>
  <c r="J21" i="35"/>
  <c r="X13" i="35"/>
  <c r="Z15" i="35"/>
  <c r="X21" i="35"/>
  <c r="V20" i="37"/>
  <c r="V18" i="37"/>
  <c r="V16" i="37"/>
  <c r="Z12" i="37"/>
  <c r="V24" i="37"/>
  <c r="V22" i="37"/>
  <c r="V36" i="37"/>
  <c r="V29" i="37"/>
  <c r="V34" i="37"/>
  <c r="V27" i="37"/>
  <c r="V21" i="37"/>
  <c r="V15" i="37"/>
  <c r="V33" i="37"/>
  <c r="V25" i="37"/>
  <c r="V31" i="37"/>
  <c r="T18" i="37"/>
  <c r="L15" i="37"/>
  <c r="Z25" i="37"/>
  <c r="Z29" i="37"/>
  <c r="Z33" i="37"/>
  <c r="Z34" i="37"/>
  <c r="R21" i="38"/>
  <c r="P18" i="38"/>
  <c r="R15" i="38"/>
  <c r="X12" i="38"/>
  <c r="R36" i="38"/>
  <c r="R34" i="38"/>
  <c r="R33" i="38"/>
  <c r="R31" i="38"/>
  <c r="R29" i="38"/>
  <c r="R27" i="38"/>
  <c r="R25" i="38"/>
  <c r="R22" i="38"/>
  <c r="R16" i="38"/>
  <c r="R24" i="38"/>
  <c r="R20" i="38"/>
  <c r="R18" i="38"/>
  <c r="Z22" i="38"/>
  <c r="Z24" i="38"/>
  <c r="X15" i="40"/>
  <c r="N34" i="40"/>
  <c r="N24" i="41"/>
  <c r="N21" i="43"/>
  <c r="L13" i="31"/>
  <c r="N21" i="31"/>
  <c r="L25" i="31"/>
  <c r="L29" i="31"/>
  <c r="L33" i="31"/>
  <c r="L34" i="31"/>
  <c r="N16" i="32"/>
  <c r="N20" i="32"/>
  <c r="L22" i="32"/>
  <c r="L24" i="32"/>
  <c r="P18" i="34"/>
  <c r="R15" i="34"/>
  <c r="X12" i="34"/>
  <c r="R36" i="34"/>
  <c r="R34" i="34"/>
  <c r="R33" i="34"/>
  <c r="R31" i="34"/>
  <c r="R29" i="34"/>
  <c r="R27" i="34"/>
  <c r="R25" i="34"/>
  <c r="R21" i="34"/>
  <c r="R24" i="34"/>
  <c r="R18" i="34"/>
  <c r="R22" i="34"/>
  <c r="R16" i="34"/>
  <c r="R20" i="34"/>
  <c r="Z22" i="34"/>
  <c r="Z24" i="34"/>
  <c r="Z21" i="35"/>
  <c r="X25" i="35"/>
  <c r="X29" i="35"/>
  <c r="X33" i="35"/>
  <c r="X34" i="35"/>
  <c r="N15" i="37"/>
  <c r="L21" i="37"/>
  <c r="L16" i="38"/>
  <c r="L20" i="38"/>
  <c r="X24" i="40"/>
  <c r="H18" i="41"/>
  <c r="J15" i="41"/>
  <c r="J36" i="41"/>
  <c r="J34" i="41"/>
  <c r="J33" i="41"/>
  <c r="J31" i="41"/>
  <c r="J29" i="41"/>
  <c r="J27" i="41"/>
  <c r="J25" i="41"/>
  <c r="J22" i="41"/>
  <c r="J20" i="41"/>
  <c r="J16" i="41"/>
  <c r="N12" i="41"/>
  <c r="J21" i="41"/>
  <c r="J18" i="41"/>
  <c r="J24" i="41"/>
  <c r="Z15" i="41"/>
  <c r="X21" i="41"/>
  <c r="L34" i="47"/>
  <c r="N13" i="31"/>
  <c r="N22" i="31"/>
  <c r="N24" i="31"/>
  <c r="L13" i="32"/>
  <c r="N21" i="32"/>
  <c r="L25" i="32"/>
  <c r="L29" i="32"/>
  <c r="L33" i="32"/>
  <c r="L34" i="32"/>
  <c r="Z12" i="34"/>
  <c r="V36" i="34"/>
  <c r="V34" i="34"/>
  <c r="V33" i="34"/>
  <c r="V31" i="34"/>
  <c r="V29" i="34"/>
  <c r="V27" i="34"/>
  <c r="V25" i="34"/>
  <c r="V24" i="34"/>
  <c r="V22" i="34"/>
  <c r="V21" i="34"/>
  <c r="T18" i="34"/>
  <c r="V15" i="34"/>
  <c r="V18" i="34"/>
  <c r="V16" i="34"/>
  <c r="V20" i="34"/>
  <c r="L15" i="34"/>
  <c r="Z25" i="34"/>
  <c r="Z29" i="34"/>
  <c r="Z33" i="34"/>
  <c r="Z34" i="34"/>
  <c r="X12" i="35"/>
  <c r="R36" i="35"/>
  <c r="R34" i="35"/>
  <c r="R33" i="35"/>
  <c r="R31" i="35"/>
  <c r="R29" i="35"/>
  <c r="R27" i="35"/>
  <c r="R25" i="35"/>
  <c r="R24" i="35"/>
  <c r="R22" i="35"/>
  <c r="R20" i="35"/>
  <c r="R18" i="35"/>
  <c r="R16" i="35"/>
  <c r="P18" i="35"/>
  <c r="R21" i="35"/>
  <c r="R15" i="35"/>
  <c r="Z22" i="35"/>
  <c r="Z24" i="35"/>
  <c r="N16" i="37"/>
  <c r="N20" i="37"/>
  <c r="L22" i="37"/>
  <c r="L24" i="37"/>
  <c r="N15" i="38"/>
  <c r="L21" i="38"/>
  <c r="X12" i="40"/>
  <c r="R24" i="40"/>
  <c r="R22" i="40"/>
  <c r="R20" i="40"/>
  <c r="R18" i="40"/>
  <c r="R16" i="40"/>
  <c r="R34" i="40"/>
  <c r="R31" i="40"/>
  <c r="R27" i="40"/>
  <c r="R21" i="40"/>
  <c r="R33" i="40"/>
  <c r="P18" i="40"/>
  <c r="R29" i="40"/>
  <c r="R15" i="40"/>
  <c r="R25" i="40"/>
  <c r="R36" i="40"/>
  <c r="Z24" i="40"/>
  <c r="Z21" i="41"/>
  <c r="X34" i="41"/>
  <c r="Z24" i="43"/>
  <c r="N34" i="47"/>
  <c r="X15" i="31"/>
  <c r="N25" i="31"/>
  <c r="N29" i="31"/>
  <c r="N33" i="31"/>
  <c r="N34" i="31"/>
  <c r="N13" i="32"/>
  <c r="N22" i="32"/>
  <c r="N24" i="32"/>
  <c r="L16" i="34"/>
  <c r="L20" i="34"/>
  <c r="Z12" i="35"/>
  <c r="V36" i="35"/>
  <c r="V34" i="35"/>
  <c r="V33" i="35"/>
  <c r="V31" i="35"/>
  <c r="V29" i="35"/>
  <c r="V27" i="35"/>
  <c r="V25" i="35"/>
  <c r="V24" i="35"/>
  <c r="V22" i="35"/>
  <c r="V21" i="35"/>
  <c r="V20" i="35"/>
  <c r="V18" i="35"/>
  <c r="V16" i="35"/>
  <c r="T18" i="35"/>
  <c r="V15" i="35"/>
  <c r="L15" i="35"/>
  <c r="Z25" i="35"/>
  <c r="Z29" i="35"/>
  <c r="Z33" i="35"/>
  <c r="Z34" i="35"/>
  <c r="L13" i="37"/>
  <c r="N21" i="37"/>
  <c r="L25" i="37"/>
  <c r="L29" i="37"/>
  <c r="L33" i="37"/>
  <c r="L34" i="37"/>
  <c r="N16" i="38"/>
  <c r="N20" i="38"/>
  <c r="L22" i="38"/>
  <c r="L24" i="38"/>
  <c r="N16" i="40"/>
  <c r="N20" i="40"/>
  <c r="L22" i="40"/>
  <c r="N15" i="34"/>
  <c r="L21" i="34"/>
  <c r="L16" i="35"/>
  <c r="L20" i="35"/>
  <c r="N13" i="37"/>
  <c r="N22" i="37"/>
  <c r="N24" i="37"/>
  <c r="L13" i="38"/>
  <c r="N21" i="38"/>
  <c r="L25" i="38"/>
  <c r="L29" i="38"/>
  <c r="L33" i="38"/>
  <c r="L34" i="38"/>
  <c r="N13" i="40"/>
  <c r="N22" i="40"/>
  <c r="L13" i="41"/>
  <c r="L25" i="41"/>
  <c r="L29" i="41"/>
  <c r="L33" i="41"/>
  <c r="N12" i="31"/>
  <c r="J24" i="31"/>
  <c r="J22" i="31"/>
  <c r="J21" i="31"/>
  <c r="J20" i="31"/>
  <c r="J18" i="31"/>
  <c r="J16" i="31"/>
  <c r="J33" i="31"/>
  <c r="J27" i="31"/>
  <c r="H18" i="31"/>
  <c r="J36" i="31"/>
  <c r="J31" i="31"/>
  <c r="J25" i="31"/>
  <c r="J15" i="31"/>
  <c r="J29" i="31"/>
  <c r="J34" i="31"/>
  <c r="X13" i="31"/>
  <c r="Z15" i="31"/>
  <c r="X21" i="31"/>
  <c r="L12" i="32"/>
  <c r="F36" i="32"/>
  <c r="F34" i="32"/>
  <c r="F33" i="32"/>
  <c r="F31" i="32"/>
  <c r="F29" i="32"/>
  <c r="F27" i="32"/>
  <c r="F25" i="32"/>
  <c r="F24" i="32"/>
  <c r="F22" i="32"/>
  <c r="F21" i="32"/>
  <c r="D18" i="32"/>
  <c r="F15" i="32"/>
  <c r="F16" i="32"/>
  <c r="F20" i="32"/>
  <c r="F18" i="32"/>
  <c r="X16" i="32"/>
  <c r="X20" i="32"/>
  <c r="N16" i="34"/>
  <c r="N20" i="34"/>
  <c r="L22" i="34"/>
  <c r="L24" i="34"/>
  <c r="N15" i="35"/>
  <c r="L21" i="35"/>
  <c r="X15" i="37"/>
  <c r="N25" i="37"/>
  <c r="N29" i="37"/>
  <c r="N33" i="37"/>
  <c r="N34" i="37"/>
  <c r="N13" i="38"/>
  <c r="N22" i="38"/>
  <c r="N24" i="38"/>
  <c r="N25" i="40"/>
  <c r="N29" i="40"/>
  <c r="N33" i="40"/>
  <c r="N13" i="41"/>
  <c r="N22" i="41"/>
  <c r="X15" i="43"/>
  <c r="X34" i="44"/>
  <c r="N25" i="49"/>
  <c r="Z13" i="31"/>
  <c r="Z16" i="31"/>
  <c r="Z20" i="31"/>
  <c r="X22" i="31"/>
  <c r="X24" i="31"/>
  <c r="J36" i="32"/>
  <c r="J34" i="32"/>
  <c r="J33" i="32"/>
  <c r="J31" i="32"/>
  <c r="J29" i="32"/>
  <c r="J27" i="32"/>
  <c r="J25" i="32"/>
  <c r="J21" i="32"/>
  <c r="J20" i="32"/>
  <c r="J18" i="32"/>
  <c r="J16" i="32"/>
  <c r="H18" i="32"/>
  <c r="J15" i="32"/>
  <c r="J24" i="32"/>
  <c r="J22" i="32"/>
  <c r="N12" i="32"/>
  <c r="X13" i="32"/>
  <c r="Z15" i="32"/>
  <c r="X21" i="32"/>
  <c r="L13" i="34"/>
  <c r="N21" i="34"/>
  <c r="L25" i="34"/>
  <c r="L29" i="34"/>
  <c r="L33" i="34"/>
  <c r="L34" i="34"/>
  <c r="N16" i="35"/>
  <c r="N20" i="35"/>
  <c r="L22" i="35"/>
  <c r="L24" i="35"/>
  <c r="F36" i="37"/>
  <c r="F34" i="37"/>
  <c r="F33" i="37"/>
  <c r="F31" i="37"/>
  <c r="F29" i="37"/>
  <c r="F27" i="37"/>
  <c r="F25" i="37"/>
  <c r="F24" i="37"/>
  <c r="F22" i="37"/>
  <c r="F21" i="37"/>
  <c r="F20" i="37"/>
  <c r="F18" i="37"/>
  <c r="F16" i="37"/>
  <c r="D18" i="37"/>
  <c r="F15" i="37"/>
  <c r="L12" i="37"/>
  <c r="X16" i="37"/>
  <c r="X20" i="37"/>
  <c r="X15" i="38"/>
  <c r="N25" i="38"/>
  <c r="N29" i="38"/>
  <c r="N33" i="38"/>
  <c r="N34" i="38"/>
  <c r="X16" i="40"/>
  <c r="X20" i="40"/>
  <c r="N25" i="41"/>
  <c r="N29" i="41"/>
  <c r="N33" i="41"/>
  <c r="X16" i="43"/>
  <c r="X25" i="49"/>
  <c r="Z21" i="31"/>
  <c r="X25" i="31"/>
  <c r="X29" i="31"/>
  <c r="X33" i="31"/>
  <c r="X34" i="31"/>
  <c r="Z13" i="32"/>
  <c r="Z16" i="32"/>
  <c r="Z20" i="32"/>
  <c r="X22" i="32"/>
  <c r="X24" i="32"/>
  <c r="N13" i="34"/>
  <c r="N22" i="34"/>
  <c r="N24" i="34"/>
  <c r="L13" i="35"/>
  <c r="N21" i="35"/>
  <c r="L25" i="35"/>
  <c r="L29" i="35"/>
  <c r="L33" i="35"/>
  <c r="L34" i="35"/>
  <c r="N12" i="37"/>
  <c r="J36" i="37"/>
  <c r="J34" i="37"/>
  <c r="J33" i="37"/>
  <c r="J31" i="37"/>
  <c r="J29" i="37"/>
  <c r="J27" i="37"/>
  <c r="J25" i="37"/>
  <c r="J24" i="37"/>
  <c r="J22" i="37"/>
  <c r="J21" i="37"/>
  <c r="J20" i="37"/>
  <c r="J18" i="37"/>
  <c r="J16" i="37"/>
  <c r="H18" i="37"/>
  <c r="J15" i="37"/>
  <c r="X13" i="37"/>
  <c r="Z15" i="37"/>
  <c r="X21" i="37"/>
  <c r="L12" i="38"/>
  <c r="F36" i="38"/>
  <c r="F34" i="38"/>
  <c r="F33" i="38"/>
  <c r="F31" i="38"/>
  <c r="F29" i="38"/>
  <c r="F27" i="38"/>
  <c r="F25" i="38"/>
  <c r="F24" i="38"/>
  <c r="F22" i="38"/>
  <c r="F21" i="38"/>
  <c r="F20" i="38"/>
  <c r="F18" i="38"/>
  <c r="F16" i="38"/>
  <c r="D18" i="38"/>
  <c r="F15" i="38"/>
  <c r="X16" i="38"/>
  <c r="X20" i="38"/>
  <c r="Z13" i="40"/>
  <c r="Z16" i="40"/>
  <c r="Z20" i="40"/>
  <c r="X22" i="40"/>
  <c r="X13" i="41"/>
  <c r="N33" i="49"/>
  <c r="X15" i="47"/>
  <c r="X33" i="49"/>
  <c r="V24" i="31"/>
  <c r="V22" i="31"/>
  <c r="V20" i="31"/>
  <c r="V18" i="31"/>
  <c r="V16" i="31"/>
  <c r="T18" i="31"/>
  <c r="V15" i="31"/>
  <c r="Z12" i="31"/>
  <c r="V36" i="31"/>
  <c r="V31" i="31"/>
  <c r="V25" i="31"/>
  <c r="V21" i="31"/>
  <c r="V34" i="31"/>
  <c r="V29" i="31"/>
  <c r="V33" i="31"/>
  <c r="V27" i="31"/>
  <c r="L15" i="31"/>
  <c r="Z25" i="31"/>
  <c r="Z29" i="31"/>
  <c r="Z33" i="31"/>
  <c r="Z34" i="31"/>
  <c r="R36" i="32"/>
  <c r="R34" i="32"/>
  <c r="R33" i="32"/>
  <c r="R31" i="32"/>
  <c r="R29" i="32"/>
  <c r="R27" i="32"/>
  <c r="R25" i="32"/>
  <c r="R21" i="32"/>
  <c r="R20" i="32"/>
  <c r="R18" i="32"/>
  <c r="R16" i="32"/>
  <c r="P18" i="32"/>
  <c r="R15" i="32"/>
  <c r="X12" i="32"/>
  <c r="R24" i="32"/>
  <c r="R22" i="32"/>
  <c r="Z22" i="32"/>
  <c r="Z24" i="32"/>
  <c r="F36" i="34"/>
  <c r="F34" i="34"/>
  <c r="F33" i="34"/>
  <c r="F31" i="34"/>
  <c r="F29" i="34"/>
  <c r="F27" i="34"/>
  <c r="F25" i="34"/>
  <c r="F24" i="34"/>
  <c r="F22" i="34"/>
  <c r="F21" i="34"/>
  <c r="F20" i="34"/>
  <c r="F18" i="34"/>
  <c r="F16" i="34"/>
  <c r="D18" i="34"/>
  <c r="F15" i="34"/>
  <c r="L12" i="34"/>
  <c r="X16" i="34"/>
  <c r="X20" i="34"/>
  <c r="X15" i="35"/>
  <c r="N25" i="35"/>
  <c r="N29" i="35"/>
  <c r="N33" i="35"/>
  <c r="N34" i="35"/>
  <c r="Z21" i="37"/>
  <c r="X25" i="37"/>
  <c r="X29" i="37"/>
  <c r="X33" i="37"/>
  <c r="X34" i="37"/>
  <c r="Z13" i="38"/>
  <c r="Z16" i="38"/>
  <c r="Z20" i="38"/>
  <c r="X22" i="38"/>
  <c r="X24" i="38"/>
  <c r="L24" i="40"/>
  <c r="N15" i="41"/>
  <c r="L21" i="41"/>
  <c r="X33" i="43"/>
  <c r="N21" i="47"/>
  <c r="N13" i="50"/>
  <c r="L13" i="43"/>
  <c r="Z16" i="43"/>
  <c r="L20" i="43"/>
  <c r="X22" i="43"/>
  <c r="X25" i="44"/>
  <c r="Z34" i="44"/>
  <c r="Z21" i="47"/>
  <c r="X34" i="47"/>
  <c r="N21" i="49"/>
  <c r="L34" i="49"/>
  <c r="Z33" i="52"/>
  <c r="J20" i="40"/>
  <c r="J18" i="40"/>
  <c r="J16" i="40"/>
  <c r="N12" i="40"/>
  <c r="H18" i="40"/>
  <c r="J15" i="40"/>
  <c r="J36" i="40"/>
  <c r="J33" i="40"/>
  <c r="J29" i="40"/>
  <c r="J25" i="40"/>
  <c r="J22" i="40"/>
  <c r="J24" i="40"/>
  <c r="J31" i="40"/>
  <c r="J27" i="40"/>
  <c r="J34" i="40"/>
  <c r="J21" i="40"/>
  <c r="X13" i="40"/>
  <c r="Z15" i="40"/>
  <c r="X21" i="40"/>
  <c r="F21" i="41"/>
  <c r="D18" i="41"/>
  <c r="F15" i="41"/>
  <c r="L12" i="41"/>
  <c r="F18" i="41"/>
  <c r="F36" i="41"/>
  <c r="F33" i="41"/>
  <c r="F29" i="41"/>
  <c r="F25" i="41"/>
  <c r="F22" i="41"/>
  <c r="F20" i="41"/>
  <c r="F16" i="41"/>
  <c r="F34" i="41"/>
  <c r="F31" i="41"/>
  <c r="F27" i="41"/>
  <c r="F24" i="41"/>
  <c r="X16" i="41"/>
  <c r="X20" i="41"/>
  <c r="Z15" i="43"/>
  <c r="L25" i="43"/>
  <c r="L16" i="44"/>
  <c r="X21" i="44"/>
  <c r="L24" i="44"/>
  <c r="Z25" i="44"/>
  <c r="N22" i="46"/>
  <c r="L29" i="47"/>
  <c r="X15" i="49"/>
  <c r="N34" i="49"/>
  <c r="X21" i="43"/>
  <c r="Z22" i="43"/>
  <c r="N25" i="43"/>
  <c r="X13" i="44"/>
  <c r="N16" i="44"/>
  <c r="X29" i="44"/>
  <c r="X16" i="46"/>
  <c r="N29" i="47"/>
  <c r="Z21" i="49"/>
  <c r="X34" i="49"/>
  <c r="Z21" i="40"/>
  <c r="X25" i="40"/>
  <c r="X29" i="40"/>
  <c r="X33" i="40"/>
  <c r="X34" i="40"/>
  <c r="Z13" i="41"/>
  <c r="Z16" i="41"/>
  <c r="Z20" i="41"/>
  <c r="X22" i="41"/>
  <c r="X24" i="41"/>
  <c r="X13" i="43"/>
  <c r="L34" i="43"/>
  <c r="Z13" i="44"/>
  <c r="X16" i="44"/>
  <c r="L20" i="44"/>
  <c r="Z21" i="44"/>
  <c r="Z29" i="44"/>
  <c r="Z22" i="46"/>
  <c r="X29" i="47"/>
  <c r="L29" i="49"/>
  <c r="N16" i="50"/>
  <c r="L22" i="50"/>
  <c r="F36" i="43"/>
  <c r="F34" i="43"/>
  <c r="F33" i="43"/>
  <c r="F31" i="43"/>
  <c r="F29" i="43"/>
  <c r="F27" i="43"/>
  <c r="F25" i="43"/>
  <c r="F21" i="43"/>
  <c r="F22" i="43"/>
  <c r="F15" i="43"/>
  <c r="F16" i="43"/>
  <c r="L12" i="43"/>
  <c r="F24" i="43"/>
  <c r="F18" i="43"/>
  <c r="D18" i="43"/>
  <c r="F20" i="43"/>
  <c r="Z13" i="43"/>
  <c r="X20" i="43"/>
  <c r="Z21" i="43"/>
  <c r="N20" i="44"/>
  <c r="X24" i="44"/>
  <c r="X33" i="44"/>
  <c r="N24" i="46"/>
  <c r="N29" i="49"/>
  <c r="N22" i="50"/>
  <c r="L15" i="52"/>
  <c r="Z12" i="40"/>
  <c r="V36" i="40"/>
  <c r="V34" i="40"/>
  <c r="V33" i="40"/>
  <c r="V31" i="40"/>
  <c r="V29" i="40"/>
  <c r="V27" i="40"/>
  <c r="V25" i="40"/>
  <c r="V24" i="40"/>
  <c r="V22" i="40"/>
  <c r="V20" i="40"/>
  <c r="V18" i="40"/>
  <c r="V16" i="40"/>
  <c r="V21" i="40"/>
  <c r="T18" i="40"/>
  <c r="V15" i="40"/>
  <c r="L15" i="40"/>
  <c r="Z25" i="40"/>
  <c r="Z29" i="40"/>
  <c r="Z33" i="40"/>
  <c r="Z34" i="40"/>
  <c r="X12" i="41"/>
  <c r="R36" i="41"/>
  <c r="R34" i="41"/>
  <c r="R33" i="41"/>
  <c r="R31" i="41"/>
  <c r="R29" i="41"/>
  <c r="R27" i="41"/>
  <c r="R25" i="41"/>
  <c r="R21" i="41"/>
  <c r="P18" i="41"/>
  <c r="R15" i="41"/>
  <c r="R20" i="41"/>
  <c r="R16" i="41"/>
  <c r="R24" i="41"/>
  <c r="R18" i="41"/>
  <c r="R22" i="41"/>
  <c r="Z22" i="41"/>
  <c r="Z24" i="41"/>
  <c r="J36" i="43"/>
  <c r="J34" i="43"/>
  <c r="J33" i="43"/>
  <c r="J31" i="43"/>
  <c r="J29" i="43"/>
  <c r="J27" i="43"/>
  <c r="J25" i="43"/>
  <c r="J21" i="43"/>
  <c r="H18" i="43"/>
  <c r="J22" i="43"/>
  <c r="J15" i="43"/>
  <c r="J16" i="43"/>
  <c r="N12" i="43"/>
  <c r="J24" i="43"/>
  <c r="J18" i="43"/>
  <c r="J20" i="43"/>
  <c r="L16" i="43"/>
  <c r="X25" i="43"/>
  <c r="L29" i="43"/>
  <c r="L15" i="44"/>
  <c r="Z16" i="44"/>
  <c r="X20" i="44"/>
  <c r="Z33" i="44"/>
  <c r="F24" i="46"/>
  <c r="F22" i="46"/>
  <c r="F21" i="46"/>
  <c r="F20" i="46"/>
  <c r="F18" i="46"/>
  <c r="F16" i="46"/>
  <c r="D18" i="46"/>
  <c r="F15" i="46"/>
  <c r="L12" i="46"/>
  <c r="F33" i="46"/>
  <c r="F25" i="46"/>
  <c r="F31" i="46"/>
  <c r="F36" i="46"/>
  <c r="F29" i="46"/>
  <c r="F34" i="46"/>
  <c r="F27" i="46"/>
  <c r="X29" i="49"/>
  <c r="Z16" i="50"/>
  <c r="X22" i="50"/>
  <c r="Z15" i="52"/>
  <c r="L16" i="40"/>
  <c r="L20" i="40"/>
  <c r="V36" i="41"/>
  <c r="V34" i="41"/>
  <c r="V33" i="41"/>
  <c r="V31" i="41"/>
  <c r="V29" i="41"/>
  <c r="V27" i="41"/>
  <c r="V25" i="41"/>
  <c r="V24" i="41"/>
  <c r="V22" i="41"/>
  <c r="V21" i="41"/>
  <c r="T18" i="41"/>
  <c r="V15" i="41"/>
  <c r="Z12" i="41"/>
  <c r="V18" i="41"/>
  <c r="V20" i="41"/>
  <c r="V16" i="41"/>
  <c r="L15" i="41"/>
  <c r="Z25" i="41"/>
  <c r="Z29" i="41"/>
  <c r="Z33" i="41"/>
  <c r="Z34" i="41"/>
  <c r="Z20" i="43"/>
  <c r="N29" i="43"/>
  <c r="X34" i="43"/>
  <c r="F36" i="44"/>
  <c r="F34" i="44"/>
  <c r="F33" i="44"/>
  <c r="F31" i="44"/>
  <c r="F29" i="44"/>
  <c r="F27" i="44"/>
  <c r="F25" i="44"/>
  <c r="F24" i="44"/>
  <c r="F22" i="44"/>
  <c r="F20" i="44"/>
  <c r="F18" i="44"/>
  <c r="F16" i="44"/>
  <c r="D18" i="44"/>
  <c r="L12" i="44"/>
  <c r="F15" i="44"/>
  <c r="F21" i="44"/>
  <c r="L22" i="44"/>
  <c r="X12" i="46"/>
  <c r="R24" i="46"/>
  <c r="R22" i="46"/>
  <c r="R21" i="46"/>
  <c r="R20" i="46"/>
  <c r="R18" i="46"/>
  <c r="R16" i="46"/>
  <c r="R33" i="46"/>
  <c r="R25" i="46"/>
  <c r="R31" i="46"/>
  <c r="P18" i="46"/>
  <c r="R36" i="46"/>
  <c r="R29" i="46"/>
  <c r="R34" i="46"/>
  <c r="R27" i="46"/>
  <c r="R15" i="46"/>
  <c r="Z24" i="46"/>
  <c r="L24" i="50"/>
  <c r="N15" i="40"/>
  <c r="L21" i="40"/>
  <c r="L16" i="41"/>
  <c r="L20" i="41"/>
  <c r="N16" i="43"/>
  <c r="J24" i="44"/>
  <c r="J22" i="44"/>
  <c r="J21" i="44"/>
  <c r="J20" i="44"/>
  <c r="J18" i="44"/>
  <c r="J16" i="44"/>
  <c r="J25" i="44"/>
  <c r="H18" i="44"/>
  <c r="N12" i="44"/>
  <c r="J34" i="44"/>
  <c r="J15" i="44"/>
  <c r="J31" i="44"/>
  <c r="J27" i="44"/>
  <c r="J36" i="44"/>
  <c r="J33" i="44"/>
  <c r="J29" i="44"/>
  <c r="Z20" i="44"/>
  <c r="N13" i="46"/>
  <c r="L13" i="47"/>
  <c r="L25" i="47"/>
  <c r="L33" i="47"/>
  <c r="N24" i="50"/>
  <c r="R24" i="43"/>
  <c r="X12" i="43"/>
  <c r="R18" i="43"/>
  <c r="R34" i="43"/>
  <c r="P18" i="43"/>
  <c r="R25" i="43"/>
  <c r="R31" i="43"/>
  <c r="R20" i="43"/>
  <c r="R21" i="43"/>
  <c r="R36" i="43"/>
  <c r="R27" i="43"/>
  <c r="R22" i="43"/>
  <c r="R33" i="43"/>
  <c r="R15" i="43"/>
  <c r="R16" i="43"/>
  <c r="R29" i="43"/>
  <c r="N15" i="43"/>
  <c r="X24" i="43"/>
  <c r="L33" i="43"/>
  <c r="X20" i="46"/>
  <c r="N25" i="47"/>
  <c r="N33" i="47"/>
  <c r="X24" i="50"/>
  <c r="L13" i="40"/>
  <c r="N21" i="40"/>
  <c r="L25" i="40"/>
  <c r="L29" i="40"/>
  <c r="L33" i="40"/>
  <c r="L34" i="40"/>
  <c r="N16" i="41"/>
  <c r="N20" i="41"/>
  <c r="L22" i="41"/>
  <c r="L24" i="41"/>
  <c r="X29" i="43"/>
  <c r="Z15" i="44"/>
  <c r="X22" i="44"/>
  <c r="X25" i="47"/>
  <c r="X33" i="47"/>
  <c r="L13" i="49"/>
  <c r="L25" i="49"/>
  <c r="L33" i="49"/>
  <c r="N20" i="50"/>
  <c r="N20" i="43"/>
  <c r="L22" i="43"/>
  <c r="L24" i="43"/>
  <c r="N15" i="44"/>
  <c r="L21" i="44"/>
  <c r="X15" i="46"/>
  <c r="N25" i="46"/>
  <c r="N29" i="46"/>
  <c r="N33" i="46"/>
  <c r="N34" i="46"/>
  <c r="N13" i="47"/>
  <c r="N22" i="47"/>
  <c r="N24" i="47"/>
  <c r="N13" i="49"/>
  <c r="N22" i="49"/>
  <c r="N24" i="49"/>
  <c r="L13" i="50"/>
  <c r="N21" i="50"/>
  <c r="L25" i="50"/>
  <c r="L29" i="50"/>
  <c r="L33" i="50"/>
  <c r="L34" i="50"/>
  <c r="X15" i="52"/>
  <c r="N29" i="52"/>
  <c r="N34" i="52"/>
  <c r="N13" i="43"/>
  <c r="N22" i="43"/>
  <c r="N24" i="43"/>
  <c r="L13" i="44"/>
  <c r="N21" i="44"/>
  <c r="L25" i="44"/>
  <c r="L29" i="44"/>
  <c r="L33" i="44"/>
  <c r="L34" i="44"/>
  <c r="J20" i="46"/>
  <c r="J18" i="46"/>
  <c r="J16" i="46"/>
  <c r="H18" i="46"/>
  <c r="J15" i="46"/>
  <c r="N12" i="46"/>
  <c r="J24" i="46"/>
  <c r="J22" i="46"/>
  <c r="J33" i="46"/>
  <c r="J25" i="46"/>
  <c r="J31" i="46"/>
  <c r="J36" i="46"/>
  <c r="J29" i="46"/>
  <c r="J34" i="46"/>
  <c r="J27" i="46"/>
  <c r="J21" i="46"/>
  <c r="X13" i="46"/>
  <c r="Z15" i="46"/>
  <c r="X21" i="46"/>
  <c r="F21" i="47"/>
  <c r="F20" i="47"/>
  <c r="F18" i="47"/>
  <c r="F16" i="47"/>
  <c r="D18" i="47"/>
  <c r="F15" i="47"/>
  <c r="L12" i="47"/>
  <c r="F36" i="47"/>
  <c r="F34" i="47"/>
  <c r="F33" i="47"/>
  <c r="F31" i="47"/>
  <c r="F29" i="47"/>
  <c r="F27" i="47"/>
  <c r="F25" i="47"/>
  <c r="F24" i="47"/>
  <c r="F22" i="47"/>
  <c r="X16" i="47"/>
  <c r="X20" i="47"/>
  <c r="F21" i="49"/>
  <c r="F20" i="49"/>
  <c r="F18" i="49"/>
  <c r="F16" i="49"/>
  <c r="D18" i="49"/>
  <c r="F15" i="49"/>
  <c r="L12" i="49"/>
  <c r="F36" i="49"/>
  <c r="F34" i="49"/>
  <c r="F33" i="49"/>
  <c r="F31" i="49"/>
  <c r="F29" i="49"/>
  <c r="F27" i="49"/>
  <c r="F25" i="49"/>
  <c r="F24" i="49"/>
  <c r="F22" i="49"/>
  <c r="X16" i="49"/>
  <c r="X20" i="49"/>
  <c r="X15" i="50"/>
  <c r="N25" i="50"/>
  <c r="N29" i="50"/>
  <c r="N33" i="50"/>
  <c r="N34" i="50"/>
  <c r="X29" i="52"/>
  <c r="Z34" i="52"/>
  <c r="N33" i="43"/>
  <c r="N34" i="43"/>
  <c r="N13" i="44"/>
  <c r="N22" i="44"/>
  <c r="N24" i="44"/>
  <c r="Z13" i="46"/>
  <c r="Z16" i="46"/>
  <c r="Z20" i="46"/>
  <c r="X22" i="46"/>
  <c r="X24" i="46"/>
  <c r="H18" i="47"/>
  <c r="J15" i="47"/>
  <c r="J36" i="47"/>
  <c r="J34" i="47"/>
  <c r="J33" i="47"/>
  <c r="J31" i="47"/>
  <c r="J29" i="47"/>
  <c r="J27" i="47"/>
  <c r="J25" i="47"/>
  <c r="J21" i="47"/>
  <c r="J20" i="47"/>
  <c r="N12" i="47"/>
  <c r="J24" i="47"/>
  <c r="J18" i="47"/>
  <c r="J22" i="47"/>
  <c r="J16" i="47"/>
  <c r="X13" i="47"/>
  <c r="Z15" i="47"/>
  <c r="X21" i="47"/>
  <c r="H18" i="49"/>
  <c r="J15" i="49"/>
  <c r="J36" i="49"/>
  <c r="J34" i="49"/>
  <c r="J33" i="49"/>
  <c r="J31" i="49"/>
  <c r="J29" i="49"/>
  <c r="J27" i="49"/>
  <c r="J25" i="49"/>
  <c r="J21" i="49"/>
  <c r="J20" i="49"/>
  <c r="N12" i="49"/>
  <c r="J24" i="49"/>
  <c r="J18" i="49"/>
  <c r="J22" i="49"/>
  <c r="J16" i="49"/>
  <c r="X13" i="49"/>
  <c r="Z15" i="49"/>
  <c r="X21" i="49"/>
  <c r="F20" i="50"/>
  <c r="F18" i="50"/>
  <c r="F16" i="50"/>
  <c r="D18" i="50"/>
  <c r="F15" i="50"/>
  <c r="F24" i="50"/>
  <c r="F22" i="50"/>
  <c r="L12" i="50"/>
  <c r="F31" i="50"/>
  <c r="F36" i="50"/>
  <c r="F29" i="50"/>
  <c r="F34" i="50"/>
  <c r="F27" i="50"/>
  <c r="F21" i="50"/>
  <c r="F33" i="50"/>
  <c r="F25" i="50"/>
  <c r="X16" i="50"/>
  <c r="X20" i="50"/>
  <c r="Z29" i="52"/>
  <c r="N22" i="53"/>
  <c r="X15" i="44"/>
  <c r="N25" i="44"/>
  <c r="N29" i="44"/>
  <c r="N33" i="44"/>
  <c r="N34" i="44"/>
  <c r="Z21" i="46"/>
  <c r="X25" i="46"/>
  <c r="X29" i="46"/>
  <c r="X33" i="46"/>
  <c r="X34" i="46"/>
  <c r="Z13" i="47"/>
  <c r="Z16" i="47"/>
  <c r="Z20" i="47"/>
  <c r="X22" i="47"/>
  <c r="X24" i="47"/>
  <c r="Z13" i="49"/>
  <c r="Z16" i="49"/>
  <c r="Z20" i="49"/>
  <c r="X22" i="49"/>
  <c r="X24" i="49"/>
  <c r="N12" i="50"/>
  <c r="J36" i="50"/>
  <c r="J34" i="50"/>
  <c r="J33" i="50"/>
  <c r="J31" i="50"/>
  <c r="J29" i="50"/>
  <c r="J27" i="50"/>
  <c r="J25" i="50"/>
  <c r="J24" i="50"/>
  <c r="J22" i="50"/>
  <c r="J20" i="50"/>
  <c r="J18" i="50"/>
  <c r="J16" i="50"/>
  <c r="H18" i="50"/>
  <c r="J21" i="50"/>
  <c r="J15" i="50"/>
  <c r="X13" i="50"/>
  <c r="Z15" i="50"/>
  <c r="X21" i="50"/>
  <c r="N25" i="52"/>
  <c r="X16" i="53"/>
  <c r="J21" i="52"/>
  <c r="J20" i="52"/>
  <c r="J18" i="52"/>
  <c r="J16" i="52"/>
  <c r="H18" i="52"/>
  <c r="J15" i="52"/>
  <c r="J36" i="52"/>
  <c r="J34" i="52"/>
  <c r="J33" i="52"/>
  <c r="J31" i="52"/>
  <c r="J29" i="52"/>
  <c r="J27" i="52"/>
  <c r="J25" i="52"/>
  <c r="J22" i="52"/>
  <c r="N12" i="52"/>
  <c r="J24" i="52"/>
  <c r="X21" i="52"/>
  <c r="Z22" i="53"/>
  <c r="Z12" i="46"/>
  <c r="V36" i="46"/>
  <c r="V34" i="46"/>
  <c r="V33" i="46"/>
  <c r="V31" i="46"/>
  <c r="V29" i="46"/>
  <c r="V27" i="46"/>
  <c r="V25" i="46"/>
  <c r="V24" i="46"/>
  <c r="V22" i="46"/>
  <c r="V20" i="46"/>
  <c r="V18" i="46"/>
  <c r="V16" i="46"/>
  <c r="T18" i="46"/>
  <c r="V15" i="46"/>
  <c r="V21" i="46"/>
  <c r="L15" i="46"/>
  <c r="Z25" i="46"/>
  <c r="Z29" i="46"/>
  <c r="Z33" i="46"/>
  <c r="Z34" i="46"/>
  <c r="X12" i="47"/>
  <c r="R36" i="47"/>
  <c r="R34" i="47"/>
  <c r="R33" i="47"/>
  <c r="R31" i="47"/>
  <c r="R29" i="47"/>
  <c r="R27" i="47"/>
  <c r="R25" i="47"/>
  <c r="R21" i="47"/>
  <c r="R20" i="47"/>
  <c r="R18" i="47"/>
  <c r="R16" i="47"/>
  <c r="P18" i="47"/>
  <c r="R15" i="47"/>
  <c r="R24" i="47"/>
  <c r="R22" i="47"/>
  <c r="Z22" i="47"/>
  <c r="Z24" i="47"/>
  <c r="X12" i="49"/>
  <c r="R36" i="49"/>
  <c r="R34" i="49"/>
  <c r="R33" i="49"/>
  <c r="R31" i="49"/>
  <c r="R29" i="49"/>
  <c r="R27" i="49"/>
  <c r="R25" i="49"/>
  <c r="R21" i="49"/>
  <c r="R20" i="49"/>
  <c r="R18" i="49"/>
  <c r="R16" i="49"/>
  <c r="P18" i="49"/>
  <c r="R15" i="49"/>
  <c r="R24" i="49"/>
  <c r="R22" i="49"/>
  <c r="Z22" i="49"/>
  <c r="Z24" i="49"/>
  <c r="Z21" i="50"/>
  <c r="X25" i="50"/>
  <c r="X29" i="50"/>
  <c r="X33" i="50"/>
  <c r="X34" i="50"/>
  <c r="Z21" i="52"/>
  <c r="X25" i="52"/>
  <c r="N24" i="53"/>
  <c r="L16" i="46"/>
  <c r="L20" i="46"/>
  <c r="Z12" i="47"/>
  <c r="V36" i="47"/>
  <c r="V34" i="47"/>
  <c r="V33" i="47"/>
  <c r="V31" i="47"/>
  <c r="V29" i="47"/>
  <c r="V27" i="47"/>
  <c r="V25" i="47"/>
  <c r="V24" i="47"/>
  <c r="V22" i="47"/>
  <c r="V21" i="47"/>
  <c r="T18" i="47"/>
  <c r="V15" i="47"/>
  <c r="V20" i="47"/>
  <c r="V18" i="47"/>
  <c r="V16" i="47"/>
  <c r="L15" i="47"/>
  <c r="Z25" i="47"/>
  <c r="Z29" i="47"/>
  <c r="Z33" i="47"/>
  <c r="Z34" i="47"/>
  <c r="Z12" i="49"/>
  <c r="V36" i="49"/>
  <c r="V34" i="49"/>
  <c r="V33" i="49"/>
  <c r="V31" i="49"/>
  <c r="V29" i="49"/>
  <c r="V27" i="49"/>
  <c r="V25" i="49"/>
  <c r="V24" i="49"/>
  <c r="V22" i="49"/>
  <c r="V21" i="49"/>
  <c r="T18" i="49"/>
  <c r="V15" i="49"/>
  <c r="V18" i="49"/>
  <c r="V16" i="49"/>
  <c r="V20" i="49"/>
  <c r="L15" i="49"/>
  <c r="Z25" i="49"/>
  <c r="Z29" i="49"/>
  <c r="Z33" i="49"/>
  <c r="Z34" i="49"/>
  <c r="X12" i="50"/>
  <c r="R36" i="50"/>
  <c r="R34" i="50"/>
  <c r="R33" i="50"/>
  <c r="R31" i="50"/>
  <c r="R29" i="50"/>
  <c r="R27" i="50"/>
  <c r="R25" i="50"/>
  <c r="R24" i="50"/>
  <c r="R22" i="50"/>
  <c r="R20" i="50"/>
  <c r="R18" i="50"/>
  <c r="R16" i="50"/>
  <c r="P18" i="50"/>
  <c r="R15" i="50"/>
  <c r="R21" i="50"/>
  <c r="Z22" i="50"/>
  <c r="Z24" i="50"/>
  <c r="Z12" i="52"/>
  <c r="V36" i="52"/>
  <c r="V34" i="52"/>
  <c r="V33" i="52"/>
  <c r="V31" i="52"/>
  <c r="V29" i="52"/>
  <c r="V27" i="52"/>
  <c r="V25" i="52"/>
  <c r="V21" i="52"/>
  <c r="T18" i="52"/>
  <c r="V15" i="52"/>
  <c r="V18" i="52"/>
  <c r="V16" i="52"/>
  <c r="V24" i="52"/>
  <c r="V20" i="52"/>
  <c r="V22" i="52"/>
  <c r="Z25" i="52"/>
  <c r="F24" i="53"/>
  <c r="F22" i="53"/>
  <c r="F21" i="53"/>
  <c r="F20" i="53"/>
  <c r="F18" i="53"/>
  <c r="F16" i="53"/>
  <c r="D18" i="53"/>
  <c r="F15" i="53"/>
  <c r="L12" i="53"/>
  <c r="F33" i="53"/>
  <c r="F25" i="53"/>
  <c r="F31" i="53"/>
  <c r="F36" i="53"/>
  <c r="F29" i="53"/>
  <c r="F34" i="53"/>
  <c r="F27" i="53"/>
  <c r="N15" i="46"/>
  <c r="L21" i="46"/>
  <c r="L16" i="47"/>
  <c r="L20" i="47"/>
  <c r="L16" i="49"/>
  <c r="L20" i="49"/>
  <c r="Z12" i="50"/>
  <c r="V36" i="50"/>
  <c r="V34" i="50"/>
  <c r="V33" i="50"/>
  <c r="V31" i="50"/>
  <c r="V29" i="50"/>
  <c r="V27" i="50"/>
  <c r="V25" i="50"/>
  <c r="V24" i="50"/>
  <c r="V22" i="50"/>
  <c r="V21" i="50"/>
  <c r="V20" i="50"/>
  <c r="V18" i="50"/>
  <c r="V16" i="50"/>
  <c r="T18" i="50"/>
  <c r="V15" i="50"/>
  <c r="L15" i="50"/>
  <c r="Z25" i="50"/>
  <c r="Z29" i="50"/>
  <c r="Z33" i="50"/>
  <c r="Z34" i="50"/>
  <c r="N33" i="52"/>
  <c r="X12" i="53"/>
  <c r="R24" i="53"/>
  <c r="R22" i="53"/>
  <c r="R21" i="53"/>
  <c r="R20" i="53"/>
  <c r="R18" i="53"/>
  <c r="R16" i="53"/>
  <c r="R31" i="53"/>
  <c r="P18" i="53"/>
  <c r="R36" i="53"/>
  <c r="R29" i="53"/>
  <c r="R34" i="53"/>
  <c r="R27" i="53"/>
  <c r="R33" i="53"/>
  <c r="R25" i="53"/>
  <c r="R15" i="53"/>
  <c r="Z24" i="53"/>
  <c r="V24" i="43"/>
  <c r="V22" i="43"/>
  <c r="T18" i="43"/>
  <c r="V34" i="43"/>
  <c r="V25" i="43"/>
  <c r="V20" i="43"/>
  <c r="V31" i="43"/>
  <c r="V21" i="43"/>
  <c r="V36" i="43"/>
  <c r="V27" i="43"/>
  <c r="V15" i="43"/>
  <c r="V33" i="43"/>
  <c r="V16" i="43"/>
  <c r="V18" i="43"/>
  <c r="V29" i="43"/>
  <c r="Z12" i="43"/>
  <c r="L15" i="43"/>
  <c r="Z25" i="43"/>
  <c r="Z29" i="43"/>
  <c r="Z33" i="43"/>
  <c r="Z34" i="43"/>
  <c r="R36" i="44"/>
  <c r="R34" i="44"/>
  <c r="R33" i="44"/>
  <c r="R31" i="44"/>
  <c r="R29" i="44"/>
  <c r="R27" i="44"/>
  <c r="R25" i="44"/>
  <c r="R15" i="44"/>
  <c r="R20" i="44"/>
  <c r="R24" i="44"/>
  <c r="R16" i="44"/>
  <c r="R21" i="44"/>
  <c r="R22" i="44"/>
  <c r="R18" i="44"/>
  <c r="P18" i="44"/>
  <c r="X12" i="44"/>
  <c r="Z22" i="44"/>
  <c r="Z24" i="44"/>
  <c r="N16" i="46"/>
  <c r="N20" i="46"/>
  <c r="L22" i="46"/>
  <c r="L24" i="46"/>
  <c r="N15" i="47"/>
  <c r="L21" i="47"/>
  <c r="N15" i="49"/>
  <c r="L21" i="49"/>
  <c r="L16" i="50"/>
  <c r="L20" i="50"/>
  <c r="X13" i="52"/>
  <c r="N13" i="53"/>
  <c r="L13" i="46"/>
  <c r="N21" i="46"/>
  <c r="L25" i="46"/>
  <c r="L29" i="46"/>
  <c r="L33" i="46"/>
  <c r="L34" i="46"/>
  <c r="N16" i="47"/>
  <c r="N20" i="47"/>
  <c r="L22" i="47"/>
  <c r="L24" i="47"/>
  <c r="N16" i="49"/>
  <c r="N20" i="49"/>
  <c r="L22" i="49"/>
  <c r="L24" i="49"/>
  <c r="N15" i="50"/>
  <c r="L21" i="50"/>
  <c r="X33" i="52"/>
  <c r="X20" i="53"/>
  <c r="F36" i="52"/>
  <c r="F34" i="52"/>
  <c r="F33" i="52"/>
  <c r="F31" i="52"/>
  <c r="F29" i="52"/>
  <c r="F27" i="52"/>
  <c r="F25" i="52"/>
  <c r="F24" i="52"/>
  <c r="F22" i="52"/>
  <c r="F21" i="52"/>
  <c r="F20" i="52"/>
  <c r="F18" i="52"/>
  <c r="F16" i="52"/>
  <c r="D18" i="52"/>
  <c r="F15" i="52"/>
  <c r="L12" i="52"/>
  <c r="X16" i="52"/>
  <c r="X20" i="52"/>
  <c r="X15" i="53"/>
  <c r="N25" i="53"/>
  <c r="N29" i="53"/>
  <c r="N33" i="53"/>
  <c r="N34" i="53"/>
  <c r="Z13" i="52"/>
  <c r="Z16" i="52"/>
  <c r="Z20" i="52"/>
  <c r="X22" i="52"/>
  <c r="X24" i="52"/>
  <c r="J20" i="53"/>
  <c r="J18" i="53"/>
  <c r="J16" i="53"/>
  <c r="H18" i="53"/>
  <c r="J15" i="53"/>
  <c r="N12" i="53"/>
  <c r="J24" i="53"/>
  <c r="J22" i="53"/>
  <c r="J33" i="53"/>
  <c r="J25" i="53"/>
  <c r="J31" i="53"/>
  <c r="J36" i="53"/>
  <c r="J29" i="53"/>
  <c r="J21" i="53"/>
  <c r="J34" i="53"/>
  <c r="J27" i="53"/>
  <c r="X13" i="53"/>
  <c r="Z15" i="53"/>
  <c r="X21" i="53"/>
  <c r="X34" i="52"/>
  <c r="Z13" i="53"/>
  <c r="Z16" i="53"/>
  <c r="Z20" i="53"/>
  <c r="X22" i="53"/>
  <c r="X24" i="53"/>
  <c r="X12" i="52"/>
  <c r="R36" i="52"/>
  <c r="R34" i="52"/>
  <c r="R33" i="52"/>
  <c r="R31" i="52"/>
  <c r="R29" i="52"/>
  <c r="R27" i="52"/>
  <c r="R25" i="52"/>
  <c r="R21" i="52"/>
  <c r="P18" i="52"/>
  <c r="R15" i="52"/>
  <c r="R22" i="52"/>
  <c r="R18" i="52"/>
  <c r="R16" i="52"/>
  <c r="R24" i="52"/>
  <c r="R20" i="52"/>
  <c r="Z22" i="52"/>
  <c r="Z24" i="52"/>
  <c r="Z21" i="53"/>
  <c r="X25" i="53"/>
  <c r="X29" i="53"/>
  <c r="X33" i="53"/>
  <c r="X34" i="53"/>
  <c r="L16" i="52"/>
  <c r="L20" i="52"/>
  <c r="Z12" i="53"/>
  <c r="V36" i="53"/>
  <c r="V34" i="53"/>
  <c r="V33" i="53"/>
  <c r="V31" i="53"/>
  <c r="V29" i="53"/>
  <c r="V27" i="53"/>
  <c r="V25" i="53"/>
  <c r="V24" i="53"/>
  <c r="V22" i="53"/>
  <c r="V20" i="53"/>
  <c r="V18" i="53"/>
  <c r="V16" i="53"/>
  <c r="T18" i="53"/>
  <c r="V15" i="53"/>
  <c r="V21" i="53"/>
  <c r="L15" i="53"/>
  <c r="Z25" i="53"/>
  <c r="Z29" i="53"/>
  <c r="Z33" i="53"/>
  <c r="Z34" i="53"/>
  <c r="N15" i="52"/>
  <c r="L21" i="52"/>
  <c r="L16" i="53"/>
  <c r="L20" i="53"/>
  <c r="N16" i="52"/>
  <c r="N20" i="52"/>
  <c r="L22" i="52"/>
  <c r="L24" i="52"/>
  <c r="N15" i="53"/>
  <c r="L21" i="53"/>
  <c r="L13" i="52"/>
  <c r="N21" i="52"/>
  <c r="L25" i="52"/>
  <c r="L29" i="52"/>
  <c r="L33" i="52"/>
  <c r="L34" i="52"/>
  <c r="N16" i="53"/>
  <c r="N20" i="53"/>
  <c r="L22" i="53"/>
  <c r="L24" i="53"/>
  <c r="N13" i="52"/>
  <c r="N22" i="52"/>
  <c r="N24" i="52"/>
  <c r="L13" i="53"/>
  <c r="N21" i="53"/>
  <c r="L25" i="53"/>
  <c r="L29" i="53"/>
  <c r="L33" i="53"/>
  <c r="L34" i="53"/>
  <c r="N15" i="110"/>
  <c r="Z25" i="111"/>
  <c r="X34" i="110"/>
  <c r="X25" i="110"/>
  <c r="J36" i="111"/>
  <c r="J34" i="111"/>
  <c r="J33" i="111"/>
  <c r="J31" i="111"/>
  <c r="J29" i="111"/>
  <c r="J27" i="111"/>
  <c r="J25" i="111"/>
  <c r="J24" i="111"/>
  <c r="J22" i="111"/>
  <c r="J21" i="111"/>
  <c r="J20" i="111"/>
  <c r="J18" i="111"/>
  <c r="J16" i="111"/>
  <c r="H18" i="111"/>
  <c r="J15" i="111"/>
  <c r="N12" i="111"/>
  <c r="X21" i="111"/>
  <c r="N25" i="112"/>
  <c r="Z12" i="111"/>
  <c r="V36" i="111"/>
  <c r="V34" i="111"/>
  <c r="V33" i="111"/>
  <c r="V31" i="111"/>
  <c r="V29" i="111"/>
  <c r="V27" i="111"/>
  <c r="V25" i="111"/>
  <c r="V21" i="111"/>
  <c r="V20" i="111"/>
  <c r="V18" i="111"/>
  <c r="V16" i="111"/>
  <c r="T18" i="111"/>
  <c r="V15" i="111"/>
  <c r="V24" i="111"/>
  <c r="V22" i="111"/>
  <c r="X29" i="110"/>
  <c r="X13" i="111"/>
  <c r="N29" i="112"/>
  <c r="L21" i="110"/>
  <c r="L15" i="111"/>
  <c r="Z21" i="110"/>
  <c r="Z15" i="111"/>
  <c r="N33" i="112"/>
  <c r="X15" i="112"/>
  <c r="N34" i="112"/>
  <c r="X33" i="110"/>
  <c r="R21" i="110"/>
  <c r="R20" i="110"/>
  <c r="R18" i="110"/>
  <c r="R16" i="110"/>
  <c r="P18" i="110"/>
  <c r="R15" i="110"/>
  <c r="X12" i="110"/>
  <c r="R36" i="110"/>
  <c r="R34" i="110"/>
  <c r="R33" i="110"/>
  <c r="R31" i="110"/>
  <c r="R29" i="110"/>
  <c r="R27" i="110"/>
  <c r="R25" i="110"/>
  <c r="R22" i="110"/>
  <c r="R24" i="110"/>
  <c r="Z22" i="110"/>
  <c r="Z24" i="110"/>
  <c r="Z13" i="111"/>
  <c r="Z16" i="111"/>
  <c r="Z20" i="111"/>
  <c r="X22" i="111"/>
  <c r="X24" i="111"/>
  <c r="F36" i="112"/>
  <c r="F34" i="112"/>
  <c r="F33" i="112"/>
  <c r="F31" i="112"/>
  <c r="F29" i="112"/>
  <c r="F27" i="112"/>
  <c r="F25" i="112"/>
  <c r="F24" i="112"/>
  <c r="F22" i="112"/>
  <c r="F21" i="112"/>
  <c r="F20" i="112"/>
  <c r="F18" i="112"/>
  <c r="F16" i="112"/>
  <c r="D18" i="112"/>
  <c r="F15" i="112"/>
  <c r="L12" i="112"/>
  <c r="X16" i="112"/>
  <c r="X20" i="112"/>
  <c r="T18" i="110"/>
  <c r="V15" i="110"/>
  <c r="V36" i="110"/>
  <c r="V34" i="110"/>
  <c r="V33" i="110"/>
  <c r="V31" i="110"/>
  <c r="V29" i="110"/>
  <c r="V27" i="110"/>
  <c r="V25" i="110"/>
  <c r="V24" i="110"/>
  <c r="V22" i="110"/>
  <c r="V21" i="110"/>
  <c r="Z12" i="110"/>
  <c r="V20" i="110"/>
  <c r="V18" i="110"/>
  <c r="V16" i="110"/>
  <c r="L15" i="110"/>
  <c r="Z25" i="110"/>
  <c r="Z29" i="110"/>
  <c r="Z33" i="110"/>
  <c r="Z34" i="110"/>
  <c r="Z21" i="111"/>
  <c r="X25" i="111"/>
  <c r="X29" i="111"/>
  <c r="X33" i="111"/>
  <c r="X34" i="111"/>
  <c r="J21" i="112"/>
  <c r="J20" i="112"/>
  <c r="J18" i="112"/>
  <c r="J16" i="112"/>
  <c r="H18" i="112"/>
  <c r="J15" i="112"/>
  <c r="N12" i="112"/>
  <c r="J36" i="112"/>
  <c r="J34" i="112"/>
  <c r="J33" i="112"/>
  <c r="J31" i="112"/>
  <c r="J29" i="112"/>
  <c r="J27" i="112"/>
  <c r="J25" i="112"/>
  <c r="J22" i="112"/>
  <c r="J24" i="112"/>
  <c r="X13" i="112"/>
  <c r="Z15" i="112"/>
  <c r="X21" i="112"/>
  <c r="L16" i="110"/>
  <c r="L20" i="110"/>
  <c r="P18" i="111"/>
  <c r="R15" i="111"/>
  <c r="X12" i="111"/>
  <c r="R36" i="111"/>
  <c r="R34" i="111"/>
  <c r="R33" i="111"/>
  <c r="R31" i="111"/>
  <c r="R29" i="111"/>
  <c r="R27" i="111"/>
  <c r="R25" i="111"/>
  <c r="R24" i="111"/>
  <c r="R22" i="111"/>
  <c r="R21" i="111"/>
  <c r="R16" i="111"/>
  <c r="R20" i="111"/>
  <c r="R18" i="111"/>
  <c r="Z22" i="111"/>
  <c r="Z24" i="111"/>
  <c r="Z13" i="112"/>
  <c r="Z16" i="112"/>
  <c r="Z20" i="112"/>
  <c r="X22" i="112"/>
  <c r="X24" i="112"/>
  <c r="Z29" i="111"/>
  <c r="Z33" i="111"/>
  <c r="Z34" i="111"/>
  <c r="Z21" i="112"/>
  <c r="X25" i="112"/>
  <c r="X29" i="112"/>
  <c r="X33" i="112"/>
  <c r="X34" i="112"/>
  <c r="N16" i="110"/>
  <c r="N20" i="110"/>
  <c r="L22" i="110"/>
  <c r="L24" i="110"/>
  <c r="L16" i="111"/>
  <c r="L20" i="111"/>
  <c r="X12" i="112"/>
  <c r="R36" i="112"/>
  <c r="R34" i="112"/>
  <c r="R33" i="112"/>
  <c r="R31" i="112"/>
  <c r="R29" i="112"/>
  <c r="R27" i="112"/>
  <c r="R25" i="112"/>
  <c r="R24" i="112"/>
  <c r="R22" i="112"/>
  <c r="R21" i="112"/>
  <c r="R20" i="112"/>
  <c r="R18" i="112"/>
  <c r="R16" i="112"/>
  <c r="P18" i="112"/>
  <c r="R15" i="112"/>
  <c r="Z22" i="112"/>
  <c r="Z24" i="112"/>
  <c r="L13" i="110"/>
  <c r="N21" i="110"/>
  <c r="L25" i="110"/>
  <c r="L29" i="110"/>
  <c r="L33" i="110"/>
  <c r="L34" i="110"/>
  <c r="N15" i="111"/>
  <c r="L21" i="111"/>
  <c r="Z12" i="112"/>
  <c r="V36" i="112"/>
  <c r="V34" i="112"/>
  <c r="V33" i="112"/>
  <c r="V31" i="112"/>
  <c r="V29" i="112"/>
  <c r="V27" i="112"/>
  <c r="V25" i="112"/>
  <c r="V24" i="112"/>
  <c r="V22" i="112"/>
  <c r="V21" i="112"/>
  <c r="V20" i="112"/>
  <c r="V18" i="112"/>
  <c r="V16" i="112"/>
  <c r="T18" i="112"/>
  <c r="V15" i="112"/>
  <c r="L15" i="112"/>
  <c r="Z25" i="112"/>
  <c r="Z29" i="112"/>
  <c r="Z33" i="112"/>
  <c r="Z34" i="112"/>
  <c r="N13" i="110"/>
  <c r="N22" i="110"/>
  <c r="N24" i="110"/>
  <c r="N16" i="111"/>
  <c r="N20" i="111"/>
  <c r="L22" i="111"/>
  <c r="L24" i="111"/>
  <c r="L16" i="112"/>
  <c r="L20" i="112"/>
  <c r="X15" i="110"/>
  <c r="N25" i="110"/>
  <c r="N29" i="110"/>
  <c r="N33" i="110"/>
  <c r="N34" i="110"/>
  <c r="L13" i="111"/>
  <c r="N21" i="111"/>
  <c r="L25" i="111"/>
  <c r="L29" i="111"/>
  <c r="L33" i="111"/>
  <c r="L34" i="111"/>
  <c r="N15" i="112"/>
  <c r="L21" i="112"/>
  <c r="L12" i="110"/>
  <c r="F36" i="110"/>
  <c r="F34" i="110"/>
  <c r="F33" i="110"/>
  <c r="F31" i="110"/>
  <c r="F29" i="110"/>
  <c r="F27" i="110"/>
  <c r="F25" i="110"/>
  <c r="F24" i="110"/>
  <c r="F22" i="110"/>
  <c r="F21" i="110"/>
  <c r="D18" i="110"/>
  <c r="F15" i="110"/>
  <c r="F20" i="110"/>
  <c r="F16" i="110"/>
  <c r="F18" i="110"/>
  <c r="X16" i="110"/>
  <c r="X20" i="110"/>
  <c r="N13" i="111"/>
  <c r="N22" i="111"/>
  <c r="N24" i="111"/>
  <c r="N16" i="112"/>
  <c r="N20" i="112"/>
  <c r="L22" i="112"/>
  <c r="L24" i="112"/>
  <c r="J36" i="110"/>
  <c r="J34" i="110"/>
  <c r="J33" i="110"/>
  <c r="J31" i="110"/>
  <c r="J29" i="110"/>
  <c r="J27" i="110"/>
  <c r="J25" i="110"/>
  <c r="J24" i="110"/>
  <c r="J22" i="110"/>
  <c r="J21" i="110"/>
  <c r="J20" i="110"/>
  <c r="J18" i="110"/>
  <c r="J16" i="110"/>
  <c r="H18" i="110"/>
  <c r="J15" i="110"/>
  <c r="N12" i="110"/>
  <c r="X13" i="110"/>
  <c r="Z15" i="110"/>
  <c r="X21" i="110"/>
  <c r="X15" i="111"/>
  <c r="N25" i="111"/>
  <c r="N29" i="111"/>
  <c r="N33" i="111"/>
  <c r="N34" i="111"/>
  <c r="L13" i="112"/>
  <c r="N21" i="112"/>
  <c r="L25" i="112"/>
  <c r="L29" i="112"/>
  <c r="L33" i="112"/>
  <c r="L34" i="112"/>
  <c r="Z13" i="110"/>
  <c r="Z16" i="110"/>
  <c r="Z20" i="110"/>
  <c r="X22" i="110"/>
  <c r="X24" i="110"/>
  <c r="F36" i="111"/>
  <c r="F34" i="111"/>
  <c r="F33" i="111"/>
  <c r="F31" i="111"/>
  <c r="F29" i="111"/>
  <c r="F27" i="111"/>
  <c r="F25" i="111"/>
  <c r="F24" i="111"/>
  <c r="F22" i="111"/>
  <c r="F21" i="111"/>
  <c r="F20" i="111"/>
  <c r="F18" i="111"/>
  <c r="F16" i="111"/>
  <c r="D18" i="111"/>
  <c r="F15" i="111"/>
  <c r="L12" i="111"/>
  <c r="X16" i="111"/>
  <c r="X20" i="111"/>
  <c r="N13" i="112"/>
  <c r="N22" i="112"/>
  <c r="N24" i="112"/>
  <c r="Z261" i="3"/>
  <c r="Z312" i="3"/>
  <c r="Z208" i="3"/>
  <c r="Z237" i="3"/>
  <c r="N291" i="3"/>
  <c r="N219" i="3"/>
  <c r="N303" i="3"/>
  <c r="Z267" i="3"/>
  <c r="Z219" i="3"/>
  <c r="N253" i="3"/>
  <c r="Z249" i="3"/>
  <c r="N235" i="3"/>
  <c r="Z253" i="3"/>
  <c r="X26" i="6"/>
  <c r="P31" i="6"/>
  <c r="X31" i="6" s="1"/>
  <c r="Z31" i="6" s="1"/>
  <c r="V263" i="3"/>
  <c r="J281" i="3"/>
  <c r="X263" i="3"/>
  <c r="Z263" i="3" s="1"/>
  <c r="L281" i="3"/>
  <c r="N281" i="3" s="1"/>
  <c r="X303" i="3"/>
  <c r="J34" i="9"/>
  <c r="D12" i="3"/>
  <c r="J145" i="3"/>
  <c r="J149" i="3"/>
  <c r="J153" i="3"/>
  <c r="J157" i="3"/>
  <c r="J161" i="3"/>
  <c r="J165" i="3"/>
  <c r="J169" i="3"/>
  <c r="J173" i="3"/>
  <c r="J177" i="3"/>
  <c r="J181" i="3"/>
  <c r="J185" i="3"/>
  <c r="J189" i="3"/>
  <c r="J193" i="3"/>
  <c r="J197" i="3"/>
  <c r="J201" i="3"/>
  <c r="Z207" i="3"/>
  <c r="J219" i="3"/>
  <c r="V221" i="3"/>
  <c r="V225" i="3"/>
  <c r="V229" i="3"/>
  <c r="J235" i="3"/>
  <c r="N237" i="3"/>
  <c r="J241" i="3"/>
  <c r="V245" i="3"/>
  <c r="V253" i="3"/>
  <c r="J257" i="3"/>
  <c r="V261" i="3"/>
  <c r="J267" i="3"/>
  <c r="V277" i="3"/>
  <c r="J285" i="3"/>
  <c r="J291" i="3"/>
  <c r="V293" i="3"/>
  <c r="V297" i="3"/>
  <c r="V301" i="3"/>
  <c r="Z303" i="3"/>
  <c r="V309" i="3"/>
  <c r="V313" i="3"/>
  <c r="V332" i="3"/>
  <c r="X16" i="6"/>
  <c r="T103" i="9"/>
  <c r="V103" i="9" s="1"/>
  <c r="Z47" i="9"/>
  <c r="X47" i="9"/>
  <c r="X22" i="6"/>
  <c r="V208" i="3"/>
  <c r="L269" i="3"/>
  <c r="N269" i="3" s="1"/>
  <c r="N336" i="3"/>
  <c r="J328" i="3"/>
  <c r="J332" i="3"/>
  <c r="J337" i="3"/>
  <c r="J336" i="3"/>
  <c r="J323" i="3"/>
  <c r="J324" i="3"/>
  <c r="J311" i="3"/>
  <c r="V150" i="3"/>
  <c r="V158" i="3"/>
  <c r="V162" i="3"/>
  <c r="V170" i="3"/>
  <c r="V178" i="3"/>
  <c r="V186" i="3"/>
  <c r="V190" i="3"/>
  <c r="V198" i="3"/>
  <c r="V202" i="3"/>
  <c r="J210" i="3"/>
  <c r="J214" i="3"/>
  <c r="J218" i="3"/>
  <c r="V230" i="3"/>
  <c r="Z232" i="3"/>
  <c r="J234" i="3"/>
  <c r="V238" i="3"/>
  <c r="N242" i="3"/>
  <c r="V250" i="3"/>
  <c r="J256" i="3"/>
  <c r="V258" i="3"/>
  <c r="J266" i="3"/>
  <c r="V270" i="3"/>
  <c r="J274" i="3"/>
  <c r="V282" i="3"/>
  <c r="V286" i="3"/>
  <c r="Z288" i="3"/>
  <c r="J290" i="3"/>
  <c r="N306" i="3"/>
  <c r="Z315" i="3"/>
  <c r="J318" i="3"/>
  <c r="V321" i="3"/>
  <c r="V337" i="3"/>
  <c r="Z16" i="6"/>
  <c r="J28" i="6"/>
  <c r="V207" i="3"/>
  <c r="F67" i="9"/>
  <c r="F31" i="9"/>
  <c r="F98" i="9"/>
  <c r="F97" i="9"/>
  <c r="F80" i="9"/>
  <c r="F79" i="9"/>
  <c r="F68" i="9"/>
  <c r="F99" i="9"/>
  <c r="F91" i="9"/>
  <c r="F87" i="9"/>
  <c r="F75" i="9"/>
  <c r="F74" i="9"/>
  <c r="F70" i="9"/>
  <c r="F69" i="9"/>
  <c r="F62" i="9"/>
  <c r="F61" i="9"/>
  <c r="F42" i="9"/>
  <c r="F38" i="9"/>
  <c r="F34" i="9"/>
  <c r="F93" i="9"/>
  <c r="F92" i="9"/>
  <c r="F81" i="9"/>
  <c r="F53" i="9"/>
  <c r="F52" i="9"/>
  <c r="F29" i="9"/>
  <c r="F103" i="9"/>
  <c r="F101" i="9"/>
  <c r="F88" i="9"/>
  <c r="F76" i="9"/>
  <c r="F64" i="9"/>
  <c r="F63" i="9"/>
  <c r="F44" i="9"/>
  <c r="F43" i="9"/>
  <c r="F105" i="9"/>
  <c r="F83" i="9"/>
  <c r="F82" i="9"/>
  <c r="F71" i="9"/>
  <c r="F39" i="9"/>
  <c r="F35" i="9"/>
  <c r="F96" i="9"/>
  <c r="F73" i="9"/>
  <c r="F60" i="9"/>
  <c r="F54" i="9"/>
  <c r="F48" i="9"/>
  <c r="F45" i="9"/>
  <c r="F23" i="9"/>
  <c r="F94" i="9"/>
  <c r="F85" i="9"/>
  <c r="F78" i="9"/>
  <c r="F51" i="9"/>
  <c r="F110" i="9"/>
  <c r="F57" i="9"/>
  <c r="F37" i="9"/>
  <c r="F32" i="9"/>
  <c r="F27" i="9"/>
  <c r="F24" i="9"/>
  <c r="F86" i="9"/>
  <c r="F58" i="9"/>
  <c r="F46" i="9"/>
  <c r="F40" i="9"/>
  <c r="F30" i="9"/>
  <c r="F107" i="9"/>
  <c r="F72" i="9"/>
  <c r="F55" i="9"/>
  <c r="F33" i="9"/>
  <c r="F21" i="9"/>
  <c r="F20" i="9"/>
  <c r="F95" i="9"/>
  <c r="F65" i="9"/>
  <c r="F50" i="9"/>
  <c r="F28" i="9"/>
  <c r="F25" i="9"/>
  <c r="F19" i="9"/>
  <c r="F17" i="9"/>
  <c r="F15" i="9"/>
  <c r="F84" i="9"/>
  <c r="F77" i="9"/>
  <c r="F59" i="9"/>
  <c r="F36" i="9"/>
  <c r="D17" i="9"/>
  <c r="F56" i="9"/>
  <c r="F47" i="9"/>
  <c r="F22" i="9"/>
  <c r="L12" i="9"/>
  <c r="L249" i="3"/>
  <c r="N249" i="3" s="1"/>
  <c r="J98" i="9"/>
  <c r="J90" i="9"/>
  <c r="J86" i="9"/>
  <c r="J78" i="9"/>
  <c r="J58" i="9"/>
  <c r="J50" i="9"/>
  <c r="J32" i="9"/>
  <c r="J99" i="9"/>
  <c r="J91" i="9"/>
  <c r="J87" i="9"/>
  <c r="J75" i="9"/>
  <c r="J69" i="9"/>
  <c r="J92" i="9"/>
  <c r="J70" i="9"/>
  <c r="J62" i="9"/>
  <c r="J103" i="9"/>
  <c r="J101" i="9"/>
  <c r="J93" i="9"/>
  <c r="J81" i="9"/>
  <c r="J63" i="9"/>
  <c r="J53" i="9"/>
  <c r="J43" i="9"/>
  <c r="J29" i="9"/>
  <c r="J88" i="9"/>
  <c r="J82" i="9"/>
  <c r="J76" i="9"/>
  <c r="J64" i="9"/>
  <c r="J44" i="9"/>
  <c r="J105" i="9"/>
  <c r="J83" i="9"/>
  <c r="J71" i="9"/>
  <c r="J65" i="9"/>
  <c r="J45" i="9"/>
  <c r="J39" i="9"/>
  <c r="J35" i="9"/>
  <c r="J94" i="9"/>
  <c r="J66" i="9"/>
  <c r="J54" i="9"/>
  <c r="J46" i="9"/>
  <c r="J30" i="9"/>
  <c r="J26" i="9"/>
  <c r="J110" i="9"/>
  <c r="J57" i="9"/>
  <c r="J51" i="9"/>
  <c r="J74" i="9"/>
  <c r="J42" i="9"/>
  <c r="J37" i="9"/>
  <c r="J27" i="9"/>
  <c r="J24" i="9"/>
  <c r="J61" i="9"/>
  <c r="J52" i="9"/>
  <c r="J49" i="9"/>
  <c r="J40" i="9"/>
  <c r="J107" i="9"/>
  <c r="J97" i="9"/>
  <c r="J79" i="9"/>
  <c r="J67" i="9"/>
  <c r="J55" i="9"/>
  <c r="J20" i="9"/>
  <c r="J59" i="9"/>
  <c r="J38" i="9"/>
  <c r="J28" i="9"/>
  <c r="J25" i="9"/>
  <c r="H17" i="9"/>
  <c r="J84" i="9"/>
  <c r="J77" i="9"/>
  <c r="J47" i="9"/>
  <c r="J36" i="9"/>
  <c r="J56" i="9"/>
  <c r="J22" i="9"/>
  <c r="N12" i="9"/>
  <c r="J41" i="9"/>
  <c r="J31" i="9"/>
  <c r="J73" i="9"/>
  <c r="Z196" i="12"/>
  <c r="X196" i="12"/>
  <c r="V142" i="3"/>
  <c r="V146" i="3"/>
  <c r="V154" i="3"/>
  <c r="V166" i="3"/>
  <c r="V174" i="3"/>
  <c r="V182" i="3"/>
  <c r="V194" i="3"/>
  <c r="V211" i="3"/>
  <c r="V215" i="3"/>
  <c r="J223" i="3"/>
  <c r="J227" i="3"/>
  <c r="V243" i="3"/>
  <c r="J247" i="3"/>
  <c r="V251" i="3"/>
  <c r="J255" i="3"/>
  <c r="V259" i="3"/>
  <c r="J265" i="3"/>
  <c r="V271" i="3"/>
  <c r="V275" i="3"/>
  <c r="J279" i="3"/>
  <c r="J295" i="3"/>
  <c r="J299" i="3"/>
  <c r="V307" i="3"/>
  <c r="L318" i="3"/>
  <c r="V320" i="3"/>
  <c r="L28" i="6"/>
  <c r="N28" i="6" s="1"/>
  <c r="L20" i="9"/>
  <c r="J48" i="9"/>
  <c r="X52" i="9"/>
  <c r="J80" i="9"/>
  <c r="X82" i="9"/>
  <c r="Z82" i="9" s="1"/>
  <c r="X292" i="18"/>
  <c r="P291" i="18"/>
  <c r="X291" i="18" s="1"/>
  <c r="Z291" i="18" s="1"/>
  <c r="J240" i="3"/>
  <c r="J264" i="3"/>
  <c r="V268" i="3"/>
  <c r="V276" i="3"/>
  <c r="V280" i="3"/>
  <c r="J284" i="3"/>
  <c r="V292" i="3"/>
  <c r="V296" i="3"/>
  <c r="V300" i="3"/>
  <c r="J304" i="3"/>
  <c r="V308" i="3"/>
  <c r="J317" i="3"/>
  <c r="V327" i="3"/>
  <c r="H330" i="3"/>
  <c r="J330" i="3" s="1"/>
  <c r="J17" i="9"/>
  <c r="N20" i="9"/>
  <c r="Z52" i="9"/>
  <c r="J85" i="9"/>
  <c r="F90" i="9"/>
  <c r="X116" i="12"/>
  <c r="Z116" i="12" s="1"/>
  <c r="V116" i="12"/>
  <c r="L214" i="12"/>
  <c r="N214" i="12" s="1"/>
  <c r="Z262" i="18"/>
  <c r="X262" i="18"/>
  <c r="J237" i="3"/>
  <c r="P12" i="3"/>
  <c r="V145" i="3"/>
  <c r="V149" i="3"/>
  <c r="V153" i="3"/>
  <c r="V157" i="3"/>
  <c r="V161" i="3"/>
  <c r="V165" i="3"/>
  <c r="V169" i="3"/>
  <c r="V173" i="3"/>
  <c r="V177" i="3"/>
  <c r="V181" i="3"/>
  <c r="V185" i="3"/>
  <c r="V189" i="3"/>
  <c r="V193" i="3"/>
  <c r="V197" i="3"/>
  <c r="V201" i="3"/>
  <c r="J205" i="3"/>
  <c r="J207" i="3"/>
  <c r="J209" i="3"/>
  <c r="J213" i="3"/>
  <c r="J217" i="3"/>
  <c r="J233" i="3"/>
  <c r="V237" i="3"/>
  <c r="V241" i="3"/>
  <c r="V249" i="3"/>
  <c r="V257" i="3"/>
  <c r="J263" i="3"/>
  <c r="V269" i="3"/>
  <c r="J273" i="3"/>
  <c r="V281" i="3"/>
  <c r="V285" i="3"/>
  <c r="J289" i="3"/>
  <c r="J303" i="3"/>
  <c r="V305" i="3"/>
  <c r="J310" i="3"/>
  <c r="V311" i="3"/>
  <c r="V312" i="3"/>
  <c r="V319" i="3"/>
  <c r="J326" i="3"/>
  <c r="V52" i="9"/>
  <c r="J214" i="12"/>
  <c r="V262" i="18"/>
  <c r="X16" i="27"/>
  <c r="P12" i="27"/>
  <c r="T330" i="3"/>
  <c r="V324" i="3"/>
  <c r="V326" i="3"/>
  <c r="V330" i="3"/>
  <c r="V328" i="3"/>
  <c r="V317" i="3"/>
  <c r="J208" i="3"/>
  <c r="V210" i="3"/>
  <c r="V214" i="3"/>
  <c r="V218" i="3"/>
  <c r="J222" i="3"/>
  <c r="J226" i="3"/>
  <c r="J232" i="3"/>
  <c r="V234" i="3"/>
  <c r="V242" i="3"/>
  <c r="J246" i="3"/>
  <c r="J254" i="3"/>
  <c r="J262" i="3"/>
  <c r="V266" i="3"/>
  <c r="V274" i="3"/>
  <c r="J278" i="3"/>
  <c r="J288" i="3"/>
  <c r="V290" i="3"/>
  <c r="J294" i="3"/>
  <c r="J298" i="3"/>
  <c r="J302" i="3"/>
  <c r="V306" i="3"/>
  <c r="J316" i="3"/>
  <c r="J31" i="6"/>
  <c r="R99" i="9"/>
  <c r="R92" i="9"/>
  <c r="R91" i="9"/>
  <c r="R87" i="9"/>
  <c r="R75" i="9"/>
  <c r="R52" i="9"/>
  <c r="R51" i="9"/>
  <c r="R103" i="9"/>
  <c r="R101" i="9"/>
  <c r="R88" i="9"/>
  <c r="R76" i="9"/>
  <c r="R105" i="9"/>
  <c r="R83" i="9"/>
  <c r="R71" i="9"/>
  <c r="R110" i="9"/>
  <c r="R107" i="9"/>
  <c r="R95" i="9"/>
  <c r="R94" i="9"/>
  <c r="R66" i="9"/>
  <c r="R55" i="9"/>
  <c r="R54" i="9"/>
  <c r="R47" i="9"/>
  <c r="R46" i="9"/>
  <c r="R30" i="9"/>
  <c r="R89" i="9"/>
  <c r="R77" i="9"/>
  <c r="R97" i="9"/>
  <c r="R96" i="9"/>
  <c r="R85" i="9"/>
  <c r="R84" i="9"/>
  <c r="R72" i="9"/>
  <c r="R57" i="9"/>
  <c r="R56" i="9"/>
  <c r="R49" i="9"/>
  <c r="R48" i="9"/>
  <c r="R40" i="9"/>
  <c r="R36" i="9"/>
  <c r="R67" i="9"/>
  <c r="R32" i="9"/>
  <c r="R31" i="9"/>
  <c r="R27" i="9"/>
  <c r="R64" i="9"/>
  <c r="R20" i="9"/>
  <c r="R86" i="9"/>
  <c r="R79" i="9"/>
  <c r="R58" i="9"/>
  <c r="R43" i="9"/>
  <c r="R35" i="9"/>
  <c r="R19" i="9"/>
  <c r="R17" i="9"/>
  <c r="R15" i="9"/>
  <c r="R90" i="9"/>
  <c r="R81" i="9"/>
  <c r="R33" i="9"/>
  <c r="R21" i="9"/>
  <c r="P17" i="9"/>
  <c r="R70" i="9"/>
  <c r="R65" i="9"/>
  <c r="R59" i="9"/>
  <c r="R38" i="9"/>
  <c r="R28" i="9"/>
  <c r="R25" i="9"/>
  <c r="R50" i="9"/>
  <c r="R93" i="9"/>
  <c r="R82" i="9"/>
  <c r="R41" i="9"/>
  <c r="R98" i="9"/>
  <c r="R68" i="9"/>
  <c r="R34" i="9"/>
  <c r="R26" i="9"/>
  <c r="R80" i="9"/>
  <c r="R73" i="9"/>
  <c r="R63" i="9"/>
  <c r="R23" i="9"/>
  <c r="R69" i="9"/>
  <c r="R60" i="9"/>
  <c r="R45" i="9"/>
  <c r="R39" i="9"/>
  <c r="R29" i="9"/>
  <c r="Z20" i="9"/>
  <c r="R37" i="9"/>
  <c r="R61" i="9"/>
  <c r="R78" i="9"/>
  <c r="X92" i="9"/>
  <c r="Z92" i="9" s="1"/>
  <c r="L231" i="15"/>
  <c r="N231" i="15"/>
  <c r="J143" i="3"/>
  <c r="J147" i="3"/>
  <c r="J151" i="3"/>
  <c r="J155" i="3"/>
  <c r="J159" i="3"/>
  <c r="J163" i="3"/>
  <c r="J167" i="3"/>
  <c r="J171" i="3"/>
  <c r="J175" i="3"/>
  <c r="J179" i="3"/>
  <c r="J183" i="3"/>
  <c r="J187" i="3"/>
  <c r="J191" i="3"/>
  <c r="J195" i="3"/>
  <c r="J199" i="3"/>
  <c r="J203" i="3"/>
  <c r="V219" i="3"/>
  <c r="V223" i="3"/>
  <c r="V227" i="3"/>
  <c r="J231" i="3"/>
  <c r="V235" i="3"/>
  <c r="J239" i="3"/>
  <c r="J245" i="3"/>
  <c r="V247" i="3"/>
  <c r="J253" i="3"/>
  <c r="V255" i="3"/>
  <c r="J261" i="3"/>
  <c r="V267" i="3"/>
  <c r="V279" i="3"/>
  <c r="J283" i="3"/>
  <c r="J287" i="3"/>
  <c r="V291" i="3"/>
  <c r="V295" i="3"/>
  <c r="V299" i="3"/>
  <c r="J315" i="3"/>
  <c r="V318" i="3"/>
  <c r="J322" i="3"/>
  <c r="V323" i="3"/>
  <c r="D22" i="6"/>
  <c r="J23" i="9"/>
  <c r="J33" i="9"/>
  <c r="J72" i="9"/>
  <c r="Z218" i="15"/>
  <c r="L266" i="12"/>
  <c r="N266" i="12" s="1"/>
  <c r="J212" i="3"/>
  <c r="J216" i="3"/>
  <c r="J230" i="3"/>
  <c r="V240" i="3"/>
  <c r="J244" i="3"/>
  <c r="J252" i="3"/>
  <c r="V256" i="3"/>
  <c r="J260" i="3"/>
  <c r="V264" i="3"/>
  <c r="J272" i="3"/>
  <c r="V284" i="3"/>
  <c r="V304" i="3"/>
  <c r="J22" i="6"/>
  <c r="J20" i="6"/>
  <c r="J18" i="6"/>
  <c r="J16" i="6"/>
  <c r="J14" i="6"/>
  <c r="H16" i="6"/>
  <c r="J24" i="6"/>
  <c r="D12" i="12"/>
  <c r="N29" i="6"/>
  <c r="J266" i="12"/>
  <c r="V192" i="3"/>
  <c r="V196" i="3"/>
  <c r="V200" i="3"/>
  <c r="V209" i="3"/>
  <c r="V213" i="3"/>
  <c r="V217" i="3"/>
  <c r="J221" i="3"/>
  <c r="J225" i="3"/>
  <c r="J229" i="3"/>
  <c r="V233" i="3"/>
  <c r="J251" i="3"/>
  <c r="J259" i="3"/>
  <c r="V265" i="3"/>
  <c r="J271" i="3"/>
  <c r="V273" i="3"/>
  <c r="J277" i="3"/>
  <c r="V289" i="3"/>
  <c r="J293" i="3"/>
  <c r="J297" i="3"/>
  <c r="J301" i="3"/>
  <c r="J309" i="3"/>
  <c r="V310" i="3"/>
  <c r="L312" i="3"/>
  <c r="N312" i="3" s="1"/>
  <c r="J321" i="3"/>
  <c r="J325" i="3"/>
  <c r="N337" i="3"/>
  <c r="N12" i="6"/>
  <c r="J19" i="9"/>
  <c r="J21" i="9"/>
  <c r="F49" i="9"/>
  <c r="R53" i="9"/>
  <c r="J68" i="9"/>
  <c r="J95" i="9"/>
  <c r="L20" i="12"/>
  <c r="F14" i="6"/>
  <c r="F16" i="6"/>
  <c r="F18" i="6"/>
  <c r="F20" i="6"/>
  <c r="F22" i="6"/>
  <c r="Z15" i="9"/>
  <c r="V37" i="9"/>
  <c r="V51" i="9"/>
  <c r="L59" i="9"/>
  <c r="N59" i="9" s="1"/>
  <c r="V61" i="9"/>
  <c r="Z74" i="9"/>
  <c r="N173" i="12"/>
  <c r="X229" i="12"/>
  <c r="Z229" i="12" s="1"/>
  <c r="L127" i="30"/>
  <c r="N127" i="30" s="1"/>
  <c r="V29" i="9"/>
  <c r="V39" i="9"/>
  <c r="N47" i="9"/>
  <c r="V60" i="9"/>
  <c r="Z69" i="9"/>
  <c r="V87" i="9"/>
  <c r="V91" i="9"/>
  <c r="P265" i="15"/>
  <c r="X265" i="15" s="1"/>
  <c r="Z265" i="15" s="1"/>
  <c r="V23" i="9"/>
  <c r="V45" i="9"/>
  <c r="L55" i="9"/>
  <c r="N55" i="9" s="1"/>
  <c r="V69" i="9"/>
  <c r="V73" i="9"/>
  <c r="X218" i="12"/>
  <c r="L235" i="12"/>
  <c r="N237" i="18"/>
  <c r="R24" i="6"/>
  <c r="V82" i="9"/>
  <c r="V70" i="9"/>
  <c r="V62" i="9"/>
  <c r="V42" i="9"/>
  <c r="V38" i="9"/>
  <c r="V34" i="9"/>
  <c r="V105" i="9"/>
  <c r="V95" i="9"/>
  <c r="V83" i="9"/>
  <c r="V71" i="9"/>
  <c r="V94" i="9"/>
  <c r="V66" i="9"/>
  <c r="V54" i="9"/>
  <c r="V97" i="9"/>
  <c r="V89" i="9"/>
  <c r="V85" i="9"/>
  <c r="V77" i="9"/>
  <c r="V57" i="9"/>
  <c r="V49" i="9"/>
  <c r="V96" i="9"/>
  <c r="V84" i="9"/>
  <c r="V72" i="9"/>
  <c r="V56" i="9"/>
  <c r="V48" i="9"/>
  <c r="V40" i="9"/>
  <c r="V36" i="9"/>
  <c r="V32" i="9"/>
  <c r="V79" i="9"/>
  <c r="V67" i="9"/>
  <c r="V59" i="9"/>
  <c r="V31" i="9"/>
  <c r="V27" i="9"/>
  <c r="V98" i="9"/>
  <c r="V90" i="9"/>
  <c r="V86" i="9"/>
  <c r="V78" i="9"/>
  <c r="V74" i="9"/>
  <c r="V58" i="9"/>
  <c r="V50" i="9"/>
  <c r="V26" i="9"/>
  <c r="V63" i="9"/>
  <c r="V68" i="9"/>
  <c r="L79" i="9"/>
  <c r="N79" i="9" s="1"/>
  <c r="N95" i="9"/>
  <c r="V229" i="12"/>
  <c r="D12" i="15"/>
  <c r="L13" i="15"/>
  <c r="N13" i="15" s="1"/>
  <c r="Z218" i="12"/>
  <c r="N235" i="12"/>
  <c r="L128" i="24"/>
  <c r="N128" i="24"/>
  <c r="L12" i="6"/>
  <c r="Z12" i="9"/>
  <c r="V22" i="9"/>
  <c r="V44" i="9"/>
  <c r="V47" i="9"/>
  <c r="V53" i="9"/>
  <c r="X65" i="9"/>
  <c r="P12" i="12"/>
  <c r="X13" i="12"/>
  <c r="Z13" i="12" s="1"/>
  <c r="J235" i="12"/>
  <c r="V278" i="12"/>
  <c r="L180" i="15"/>
  <c r="N222" i="15"/>
  <c r="L222" i="15"/>
  <c r="T312" i="18"/>
  <c r="V309" i="18"/>
  <c r="Z246" i="18"/>
  <c r="D12" i="24"/>
  <c r="L14" i="24"/>
  <c r="N56" i="24"/>
  <c r="H82" i="24"/>
  <c r="L56" i="24"/>
  <c r="N223" i="12"/>
  <c r="N180" i="15"/>
  <c r="Z213" i="15"/>
  <c r="Z77" i="27"/>
  <c r="V25" i="9"/>
  <c r="V28" i="9"/>
  <c r="V46" i="9"/>
  <c r="N74" i="9"/>
  <c r="V88" i="9"/>
  <c r="V99" i="9"/>
  <c r="J223" i="12"/>
  <c r="L240" i="12"/>
  <c r="P278" i="12"/>
  <c r="X278" i="12" s="1"/>
  <c r="Z278" i="12" s="1"/>
  <c r="X287" i="12"/>
  <c r="L198" i="15"/>
  <c r="N198" i="15" s="1"/>
  <c r="Z226" i="15"/>
  <c r="V226" i="15"/>
  <c r="V14" i="6"/>
  <c r="V16" i="6"/>
  <c r="V18" i="6"/>
  <c r="V20" i="6"/>
  <c r="F26" i="6"/>
  <c r="F28" i="6"/>
  <c r="F29" i="6"/>
  <c r="V21" i="9"/>
  <c r="V30" i="9"/>
  <c r="V33" i="9"/>
  <c r="V55" i="9"/>
  <c r="V65" i="9"/>
  <c r="V81" i="9"/>
  <c r="Z269" i="12"/>
  <c r="D278" i="12"/>
  <c r="L278" i="12" s="1"/>
  <c r="N278" i="12" s="1"/>
  <c r="X196" i="15"/>
  <c r="N57" i="21"/>
  <c r="X61" i="9"/>
  <c r="Z61" i="9" s="1"/>
  <c r="N240" i="12"/>
  <c r="T276" i="15"/>
  <c r="Z196" i="15"/>
  <c r="Z217" i="18"/>
  <c r="J118" i="12"/>
  <c r="J122" i="12"/>
  <c r="J126" i="12"/>
  <c r="J130" i="12"/>
  <c r="J134" i="12"/>
  <c r="J138" i="12"/>
  <c r="J142" i="12"/>
  <c r="J146" i="12"/>
  <c r="J150" i="12"/>
  <c r="J154" i="12"/>
  <c r="J158" i="12"/>
  <c r="J162" i="12"/>
  <c r="J166" i="12"/>
  <c r="H171" i="12"/>
  <c r="V186" i="12"/>
  <c r="V190" i="12"/>
  <c r="V194" i="12"/>
  <c r="V202" i="12"/>
  <c r="J206" i="12"/>
  <c r="V218" i="12"/>
  <c r="J222" i="12"/>
  <c r="V226" i="12"/>
  <c r="J234" i="12"/>
  <c r="J240" i="12"/>
  <c r="V242" i="12"/>
  <c r="J246" i="12"/>
  <c r="J250" i="12"/>
  <c r="V258" i="12"/>
  <c r="V262" i="12"/>
  <c r="V274" i="12"/>
  <c r="J283" i="12"/>
  <c r="J140" i="15"/>
  <c r="J151" i="15"/>
  <c r="J154" i="15"/>
  <c r="J171" i="15"/>
  <c r="J180" i="15"/>
  <c r="J192" i="15"/>
  <c r="J210" i="15"/>
  <c r="Z220" i="15"/>
  <c r="J241" i="15"/>
  <c r="J251" i="15"/>
  <c r="J292" i="18"/>
  <c r="J291" i="18"/>
  <c r="J283" i="18"/>
  <c r="J255" i="18"/>
  <c r="J247" i="18"/>
  <c r="J237" i="18"/>
  <c r="J229" i="18"/>
  <c r="J223" i="18"/>
  <c r="J215" i="18"/>
  <c r="J211" i="18"/>
  <c r="J207" i="18"/>
  <c r="J307" i="18"/>
  <c r="J294" i="18"/>
  <c r="J285" i="18"/>
  <c r="J277" i="18"/>
  <c r="J273" i="18"/>
  <c r="J267" i="18"/>
  <c r="J261" i="18"/>
  <c r="J249" i="18"/>
  <c r="J239" i="18"/>
  <c r="J225" i="18"/>
  <c r="J189" i="18"/>
  <c r="J185" i="18"/>
  <c r="J181" i="18"/>
  <c r="J177" i="18"/>
  <c r="J173" i="18"/>
  <c r="J169" i="18"/>
  <c r="J165" i="18"/>
  <c r="J161" i="18"/>
  <c r="J157" i="18"/>
  <c r="J153" i="18"/>
  <c r="J149" i="18"/>
  <c r="J145" i="18"/>
  <c r="J141" i="18"/>
  <c r="J137" i="18"/>
  <c r="J133" i="18"/>
  <c r="J295" i="18"/>
  <c r="J268" i="18"/>
  <c r="J262" i="18"/>
  <c r="J256" i="18"/>
  <c r="J250" i="18"/>
  <c r="J240" i="18"/>
  <c r="J216" i="18"/>
  <c r="J212" i="18"/>
  <c r="J208" i="18"/>
  <c r="J296" i="18"/>
  <c r="J263" i="18"/>
  <c r="J257" i="18"/>
  <c r="J251" i="18"/>
  <c r="J231" i="18"/>
  <c r="J217" i="18"/>
  <c r="J203" i="18"/>
  <c r="J199" i="18"/>
  <c r="J297" i="18"/>
  <c r="J286" i="18"/>
  <c r="J278" i="18"/>
  <c r="J274" i="18"/>
  <c r="J258" i="18"/>
  <c r="J252" i="18"/>
  <c r="J232" i="18"/>
  <c r="J226" i="18"/>
  <c r="J218" i="18"/>
  <c r="J190" i="18"/>
  <c r="J186" i="18"/>
  <c r="J182" i="18"/>
  <c r="J178" i="18"/>
  <c r="J174" i="18"/>
  <c r="J170" i="18"/>
  <c r="J166" i="18"/>
  <c r="J162" i="18"/>
  <c r="J158" i="18"/>
  <c r="J154" i="18"/>
  <c r="J150" i="18"/>
  <c r="J146" i="18"/>
  <c r="J142" i="18"/>
  <c r="J138" i="18"/>
  <c r="J134" i="18"/>
  <c r="J298" i="18"/>
  <c r="J279" i="18"/>
  <c r="J269" i="18"/>
  <c r="J253" i="18"/>
  <c r="J241" i="18"/>
  <c r="J233" i="18"/>
  <c r="J219" i="18"/>
  <c r="J213" i="18"/>
  <c r="J209" i="18"/>
  <c r="J195" i="18"/>
  <c r="J299" i="18"/>
  <c r="J280" i="18"/>
  <c r="J270" i="18"/>
  <c r="J264" i="18"/>
  <c r="J242" i="18"/>
  <c r="J220" i="18"/>
  <c r="J204" i="18"/>
  <c r="J200" i="18"/>
  <c r="J196" i="18"/>
  <c r="J194" i="18"/>
  <c r="J300" i="18"/>
  <c r="J287" i="18"/>
  <c r="J275" i="18"/>
  <c r="J271" i="18"/>
  <c r="J259" i="18"/>
  <c r="J243" i="18"/>
  <c r="J227" i="18"/>
  <c r="J136" i="18"/>
  <c r="J148" i="18"/>
  <c r="J160" i="18"/>
  <c r="J172" i="18"/>
  <c r="J184" i="18"/>
  <c r="J201" i="18"/>
  <c r="J210" i="18"/>
  <c r="J238" i="18"/>
  <c r="Z239" i="18"/>
  <c r="V239" i="18"/>
  <c r="Z257" i="18"/>
  <c r="J303" i="18"/>
  <c r="F53" i="21"/>
  <c r="F113" i="21"/>
  <c r="N115" i="21"/>
  <c r="J115" i="21"/>
  <c r="N130" i="24"/>
  <c r="J64" i="36"/>
  <c r="V119" i="12"/>
  <c r="V123" i="12"/>
  <c r="V127" i="12"/>
  <c r="V131" i="12"/>
  <c r="V135" i="12"/>
  <c r="V139" i="12"/>
  <c r="V143" i="12"/>
  <c r="V147" i="12"/>
  <c r="V151" i="12"/>
  <c r="V155" i="12"/>
  <c r="V159" i="12"/>
  <c r="V163" i="12"/>
  <c r="V167" i="12"/>
  <c r="J171" i="12"/>
  <c r="J173" i="12"/>
  <c r="J175" i="12"/>
  <c r="J179" i="12"/>
  <c r="J183" i="12"/>
  <c r="J199" i="12"/>
  <c r="V203" i="12"/>
  <c r="V207" i="12"/>
  <c r="V215" i="12"/>
  <c r="J221" i="12"/>
  <c r="V227" i="12"/>
  <c r="J233" i="12"/>
  <c r="J239" i="12"/>
  <c r="J245" i="12"/>
  <c r="V247" i="12"/>
  <c r="V251" i="12"/>
  <c r="V267" i="12"/>
  <c r="V275" i="12"/>
  <c r="J282" i="12"/>
  <c r="V287" i="12"/>
  <c r="J120" i="15"/>
  <c r="J131" i="15"/>
  <c r="J134" i="15"/>
  <c r="J175" i="15"/>
  <c r="J188" i="15"/>
  <c r="J197" i="15"/>
  <c r="L206" i="15"/>
  <c r="Z211" i="15"/>
  <c r="J219" i="15"/>
  <c r="V220" i="15"/>
  <c r="J243" i="15"/>
  <c r="J246" i="15"/>
  <c r="L262" i="15"/>
  <c r="D265" i="15"/>
  <c r="L265" i="15" s="1"/>
  <c r="N265" i="15" s="1"/>
  <c r="J143" i="18"/>
  <c r="J155" i="18"/>
  <c r="J167" i="18"/>
  <c r="J179" i="18"/>
  <c r="H192" i="18"/>
  <c r="J197" i="18"/>
  <c r="N242" i="18"/>
  <c r="J254" i="18"/>
  <c r="J265" i="18"/>
  <c r="L288" i="18"/>
  <c r="N288" i="18" s="1"/>
  <c r="J293" i="18"/>
  <c r="L13" i="27"/>
  <c r="D12" i="27"/>
  <c r="J174" i="12"/>
  <c r="V176" i="12"/>
  <c r="V180" i="12"/>
  <c r="V184" i="12"/>
  <c r="J188" i="12"/>
  <c r="J192" i="12"/>
  <c r="J198" i="12"/>
  <c r="V200" i="12"/>
  <c r="V208" i="12"/>
  <c r="J212" i="12"/>
  <c r="V216" i="12"/>
  <c r="J220" i="12"/>
  <c r="V224" i="12"/>
  <c r="J232" i="12"/>
  <c r="V236" i="12"/>
  <c r="J244" i="12"/>
  <c r="V252" i="12"/>
  <c r="J256" i="12"/>
  <c r="J260" i="12"/>
  <c r="J264" i="12"/>
  <c r="J272" i="12"/>
  <c r="J281" i="12"/>
  <c r="V286" i="12"/>
  <c r="J114" i="15"/>
  <c r="J148" i="15"/>
  <c r="J159" i="15"/>
  <c r="J162" i="15"/>
  <c r="J185" i="15"/>
  <c r="J200" i="15"/>
  <c r="J203" i="15"/>
  <c r="N206" i="15"/>
  <c r="Z231" i="15"/>
  <c r="N236" i="15"/>
  <c r="X241" i="15"/>
  <c r="Z241" i="15" s="1"/>
  <c r="J256" i="15"/>
  <c r="J259" i="15"/>
  <c r="J266" i="15"/>
  <c r="D12" i="18"/>
  <c r="L14" i="18"/>
  <c r="J131" i="18"/>
  <c r="V192" i="18"/>
  <c r="J205" i="18"/>
  <c r="J222" i="18"/>
  <c r="J288" i="18"/>
  <c r="F86" i="21"/>
  <c r="F78" i="21"/>
  <c r="F77" i="21"/>
  <c r="F66" i="21"/>
  <c r="F65" i="21"/>
  <c r="F58" i="21"/>
  <c r="F57" i="21"/>
  <c r="F42" i="21"/>
  <c r="F38" i="21"/>
  <c r="F118" i="21"/>
  <c r="F109" i="21"/>
  <c r="F108" i="21"/>
  <c r="F93" i="21"/>
  <c r="F122" i="21"/>
  <c r="F104" i="21"/>
  <c r="F100" i="21"/>
  <c r="F88" i="21"/>
  <c r="F87" i="21"/>
  <c r="F80" i="21"/>
  <c r="F79" i="21"/>
  <c r="F68" i="21"/>
  <c r="F67" i="21"/>
  <c r="F60" i="21"/>
  <c r="F59" i="21"/>
  <c r="F52" i="21"/>
  <c r="F48" i="21"/>
  <c r="L12" i="21"/>
  <c r="F111" i="21"/>
  <c r="F110" i="21"/>
  <c r="F43" i="21"/>
  <c r="F39" i="21"/>
  <c r="F35" i="21"/>
  <c r="F34" i="21"/>
  <c r="F84" i="21"/>
  <c r="F83" i="21"/>
  <c r="F72" i="21"/>
  <c r="F71" i="21"/>
  <c r="F40" i="21"/>
  <c r="F36" i="21"/>
  <c r="F95" i="21"/>
  <c r="F91" i="21"/>
  <c r="F90" i="21"/>
  <c r="F63" i="21"/>
  <c r="F27" i="21"/>
  <c r="F26" i="21"/>
  <c r="F116" i="21"/>
  <c r="F115" i="21"/>
  <c r="F92" i="21"/>
  <c r="F76" i="21"/>
  <c r="F75" i="21"/>
  <c r="F64" i="21"/>
  <c r="F56" i="21"/>
  <c r="F55" i="21"/>
  <c r="F28" i="21"/>
  <c r="F106" i="21"/>
  <c r="F102" i="21"/>
  <c r="F29" i="21"/>
  <c r="F98" i="21"/>
  <c r="F61" i="21"/>
  <c r="F41" i="21"/>
  <c r="F82" i="21"/>
  <c r="F54" i="21"/>
  <c r="F46" i="21"/>
  <c r="F31" i="21"/>
  <c r="F114" i="21"/>
  <c r="F70" i="21"/>
  <c r="F50" i="21"/>
  <c r="F44" i="21"/>
  <c r="D31" i="21"/>
  <c r="F107" i="21"/>
  <c r="F103" i="21"/>
  <c r="F99" i="21"/>
  <c r="F96" i="21"/>
  <c r="F94" i="21"/>
  <c r="F37" i="21"/>
  <c r="F112" i="21"/>
  <c r="F105" i="21"/>
  <c r="F101" i="21"/>
  <c r="F73" i="21"/>
  <c r="F85" i="21"/>
  <c r="L83" i="21"/>
  <c r="N83" i="21" s="1"/>
  <c r="J83" i="21"/>
  <c r="P12" i="24"/>
  <c r="X126" i="27"/>
  <c r="P125" i="27"/>
  <c r="X125" i="27" s="1"/>
  <c r="Z125" i="27" s="1"/>
  <c r="N123" i="30"/>
  <c r="J117" i="12"/>
  <c r="J121" i="12"/>
  <c r="J125" i="12"/>
  <c r="J129" i="12"/>
  <c r="J133" i="12"/>
  <c r="J137" i="12"/>
  <c r="J141" i="12"/>
  <c r="J145" i="12"/>
  <c r="J149" i="12"/>
  <c r="J153" i="12"/>
  <c r="J157" i="12"/>
  <c r="J161" i="12"/>
  <c r="J165" i="12"/>
  <c r="J169" i="12"/>
  <c r="V185" i="12"/>
  <c r="V189" i="12"/>
  <c r="V193" i="12"/>
  <c r="J197" i="12"/>
  <c r="V201" i="12"/>
  <c r="J205" i="12"/>
  <c r="J211" i="12"/>
  <c r="V213" i="12"/>
  <c r="V225" i="12"/>
  <c r="J231" i="12"/>
  <c r="V241" i="12"/>
  <c r="J249" i="12"/>
  <c r="J255" i="12"/>
  <c r="V257" i="12"/>
  <c r="V261" i="12"/>
  <c r="V265" i="12"/>
  <c r="J271" i="12"/>
  <c r="V273" i="12"/>
  <c r="J280" i="12"/>
  <c r="V285" i="12"/>
  <c r="J128" i="15"/>
  <c r="J139" i="15"/>
  <c r="J142" i="15"/>
  <c r="X180" i="15"/>
  <c r="Z180" i="15" s="1"/>
  <c r="J182" i="15"/>
  <c r="J206" i="15"/>
  <c r="N209" i="15"/>
  <c r="J213" i="15"/>
  <c r="J221" i="15"/>
  <c r="J248" i="15"/>
  <c r="N262" i="15"/>
  <c r="J272" i="15"/>
  <c r="P12" i="18"/>
  <c r="Z250" i="18"/>
  <c r="X250" i="18"/>
  <c r="Z284" i="18"/>
  <c r="L15" i="21"/>
  <c r="F33" i="21"/>
  <c r="F51" i="21"/>
  <c r="F62" i="21"/>
  <c r="J116" i="12"/>
  <c r="V118" i="12"/>
  <c r="V122" i="12"/>
  <c r="V126" i="12"/>
  <c r="V130" i="12"/>
  <c r="V134" i="12"/>
  <c r="V138" i="12"/>
  <c r="V142" i="12"/>
  <c r="V146" i="12"/>
  <c r="V150" i="12"/>
  <c r="V154" i="12"/>
  <c r="V158" i="12"/>
  <c r="V162" i="12"/>
  <c r="V166" i="12"/>
  <c r="J178" i="12"/>
  <c r="J182" i="12"/>
  <c r="J196" i="12"/>
  <c r="V206" i="12"/>
  <c r="J210" i="12"/>
  <c r="V214" i="12"/>
  <c r="V222" i="12"/>
  <c r="J230" i="12"/>
  <c r="V234" i="12"/>
  <c r="J238" i="12"/>
  <c r="V246" i="12"/>
  <c r="V250" i="12"/>
  <c r="J254" i="12"/>
  <c r="V266" i="12"/>
  <c r="J270" i="12"/>
  <c r="J278" i="12"/>
  <c r="J279" i="12"/>
  <c r="V284" i="12"/>
  <c r="J267" i="15"/>
  <c r="J258" i="15"/>
  <c r="J240" i="15"/>
  <c r="J222" i="15"/>
  <c r="J212" i="15"/>
  <c r="J204" i="15"/>
  <c r="J198" i="15"/>
  <c r="J176" i="15"/>
  <c r="J172" i="15"/>
  <c r="J269" i="15"/>
  <c r="J242" i="15"/>
  <c r="J236" i="15"/>
  <c r="J230" i="15"/>
  <c r="J224" i="15"/>
  <c r="J214" i="15"/>
  <c r="J270" i="15"/>
  <c r="J237" i="15"/>
  <c r="J231" i="15"/>
  <c r="J225" i="15"/>
  <c r="J205" i="15"/>
  <c r="J191" i="15"/>
  <c r="J177" i="15"/>
  <c r="J173" i="15"/>
  <c r="J273" i="15"/>
  <c r="J254" i="15"/>
  <c r="J244" i="15"/>
  <c r="J238" i="15"/>
  <c r="J216" i="15"/>
  <c r="J194" i="15"/>
  <c r="J178" i="15"/>
  <c r="J174" i="15"/>
  <c r="J170" i="15"/>
  <c r="J168" i="15"/>
  <c r="J166" i="15"/>
  <c r="J274" i="15"/>
  <c r="J261" i="15"/>
  <c r="J249" i="15"/>
  <c r="J245" i="15"/>
  <c r="J233" i="15"/>
  <c r="J217" i="15"/>
  <c r="J201" i="15"/>
  <c r="H166" i="15"/>
  <c r="J161" i="15"/>
  <c r="J157" i="15"/>
  <c r="J153" i="15"/>
  <c r="J149" i="15"/>
  <c r="J145" i="15"/>
  <c r="J141" i="15"/>
  <c r="J137" i="15"/>
  <c r="J133" i="15"/>
  <c r="J129" i="15"/>
  <c r="J125" i="15"/>
  <c r="J121" i="15"/>
  <c r="J117" i="15"/>
  <c r="N113" i="15"/>
  <c r="J119" i="15"/>
  <c r="J122" i="15"/>
  <c r="J156" i="15"/>
  <c r="X168" i="15"/>
  <c r="Z168" i="15" s="1"/>
  <c r="J190" i="15"/>
  <c r="J209" i="15"/>
  <c r="J215" i="15"/>
  <c r="J227" i="15"/>
  <c r="J235" i="15"/>
  <c r="X236" i="15"/>
  <c r="Z236" i="15" s="1"/>
  <c r="N253" i="15"/>
  <c r="J262" i="15"/>
  <c r="J140" i="18"/>
  <c r="J152" i="18"/>
  <c r="J164" i="18"/>
  <c r="J176" i="18"/>
  <c r="J188" i="18"/>
  <c r="N244" i="18"/>
  <c r="L244" i="18"/>
  <c r="J260" i="18"/>
  <c r="F81" i="21"/>
  <c r="N93" i="27"/>
  <c r="L93" i="27"/>
  <c r="J145" i="30"/>
  <c r="J133" i="30"/>
  <c r="J127" i="30"/>
  <c r="J121" i="30"/>
  <c r="J109" i="30"/>
  <c r="J101" i="30"/>
  <c r="J65" i="30"/>
  <c r="J61" i="30"/>
  <c r="J57" i="30"/>
  <c r="J53" i="30"/>
  <c r="J49" i="30"/>
  <c r="J45" i="30"/>
  <c r="J159" i="30"/>
  <c r="J147" i="30"/>
  <c r="J139" i="30"/>
  <c r="J135" i="30"/>
  <c r="J111" i="30"/>
  <c r="J93" i="30"/>
  <c r="J79" i="30"/>
  <c r="J75" i="30"/>
  <c r="J122" i="30"/>
  <c r="J112" i="30"/>
  <c r="J102" i="30"/>
  <c r="J94" i="30"/>
  <c r="J66" i="30"/>
  <c r="J62" i="30"/>
  <c r="J58" i="30"/>
  <c r="J54" i="30"/>
  <c r="J50" i="30"/>
  <c r="J46" i="30"/>
  <c r="J149" i="30"/>
  <c r="J141" i="30"/>
  <c r="J115" i="30"/>
  <c r="J105" i="30"/>
  <c r="J67" i="30"/>
  <c r="J63" i="30"/>
  <c r="J59" i="30"/>
  <c r="J55" i="30"/>
  <c r="J51" i="30"/>
  <c r="J47" i="30"/>
  <c r="J150" i="30"/>
  <c r="J142" i="30"/>
  <c r="J130" i="30"/>
  <c r="J116" i="30"/>
  <c r="J106" i="30"/>
  <c r="J90" i="30"/>
  <c r="J86" i="30"/>
  <c r="J72" i="30"/>
  <c r="J137" i="30"/>
  <c r="J131" i="30"/>
  <c r="J125" i="30"/>
  <c r="J117" i="30"/>
  <c r="J107" i="30"/>
  <c r="J97" i="30"/>
  <c r="J81" i="30"/>
  <c r="J77" i="30"/>
  <c r="J73" i="30"/>
  <c r="J71" i="30"/>
  <c r="J154" i="30"/>
  <c r="J143" i="30"/>
  <c r="J119" i="30"/>
  <c r="J99" i="30"/>
  <c r="J91" i="30"/>
  <c r="J87" i="30"/>
  <c r="J83" i="30"/>
  <c r="J153" i="30"/>
  <c r="J64" i="30"/>
  <c r="J128" i="30"/>
  <c r="J104" i="30"/>
  <c r="J148" i="30"/>
  <c r="J92" i="30"/>
  <c r="J60" i="30"/>
  <c r="J146" i="30"/>
  <c r="J126" i="30"/>
  <c r="J124" i="30"/>
  <c r="J114" i="30"/>
  <c r="J100" i="30"/>
  <c r="J95" i="30"/>
  <c r="J88" i="30"/>
  <c r="J56" i="30"/>
  <c r="J129" i="30"/>
  <c r="J98" i="30"/>
  <c r="J144" i="30"/>
  <c r="J120" i="30"/>
  <c r="J103" i="30"/>
  <c r="J84" i="30"/>
  <c r="J82" i="30"/>
  <c r="J52" i="30"/>
  <c r="J152" i="30"/>
  <c r="J136" i="30"/>
  <c r="J132" i="30"/>
  <c r="J113" i="30"/>
  <c r="J108" i="30"/>
  <c r="J96" i="30"/>
  <c r="J76" i="30"/>
  <c r="H69" i="30"/>
  <c r="J140" i="30"/>
  <c r="J78" i="30"/>
  <c r="J134" i="30"/>
  <c r="J85" i="30"/>
  <c r="J89" i="30"/>
  <c r="J44" i="30"/>
  <c r="J80" i="30"/>
  <c r="J48" i="30"/>
  <c r="J123" i="30"/>
  <c r="J74" i="30"/>
  <c r="V175" i="12"/>
  <c r="V179" i="12"/>
  <c r="V183" i="12"/>
  <c r="J187" i="12"/>
  <c r="J191" i="12"/>
  <c r="J195" i="12"/>
  <c r="V199" i="12"/>
  <c r="J219" i="12"/>
  <c r="V223" i="12"/>
  <c r="J229" i="12"/>
  <c r="V235" i="12"/>
  <c r="V239" i="12"/>
  <c r="J243" i="12"/>
  <c r="J259" i="12"/>
  <c r="J263" i="12"/>
  <c r="J269" i="12"/>
  <c r="V283" i="12"/>
  <c r="J291" i="12"/>
  <c r="J113" i="15"/>
  <c r="J136" i="15"/>
  <c r="J147" i="15"/>
  <c r="J150" i="15"/>
  <c r="J179" i="15"/>
  <c r="J187" i="15"/>
  <c r="J202" i="15"/>
  <c r="J208" i="15"/>
  <c r="L209" i="15"/>
  <c r="X213" i="15"/>
  <c r="N218" i="15"/>
  <c r="N224" i="15"/>
  <c r="J253" i="15"/>
  <c r="X256" i="15"/>
  <c r="J265" i="15"/>
  <c r="J135" i="18"/>
  <c r="J147" i="18"/>
  <c r="J159" i="18"/>
  <c r="J171" i="18"/>
  <c r="J183" i="18"/>
  <c r="J198" i="18"/>
  <c r="N235" i="18"/>
  <c r="J244" i="18"/>
  <c r="J266" i="18"/>
  <c r="Z267" i="18"/>
  <c r="V267" i="18"/>
  <c r="D291" i="18"/>
  <c r="L291" i="18" s="1"/>
  <c r="N291" i="18" s="1"/>
  <c r="J302" i="18"/>
  <c r="F49" i="21"/>
  <c r="N71" i="21"/>
  <c r="J71" i="21"/>
  <c r="N81" i="21"/>
  <c r="V96" i="24"/>
  <c r="Z75" i="42"/>
  <c r="X75" i="42"/>
  <c r="V75" i="42"/>
  <c r="J152" i="12"/>
  <c r="J156" i="12"/>
  <c r="J160" i="12"/>
  <c r="J164" i="12"/>
  <c r="J168" i="12"/>
  <c r="T171" i="12"/>
  <c r="V188" i="12"/>
  <c r="V192" i="12"/>
  <c r="J204" i="12"/>
  <c r="V212" i="12"/>
  <c r="J218" i="12"/>
  <c r="V220" i="12"/>
  <c r="J228" i="12"/>
  <c r="V232" i="12"/>
  <c r="V240" i="12"/>
  <c r="V244" i="12"/>
  <c r="J248" i="12"/>
  <c r="V256" i="12"/>
  <c r="V260" i="12"/>
  <c r="V264" i="12"/>
  <c r="J268" i="12"/>
  <c r="V272" i="12"/>
  <c r="J276" i="12"/>
  <c r="V282" i="12"/>
  <c r="P12" i="15"/>
  <c r="J116" i="15"/>
  <c r="J127" i="15"/>
  <c r="J130" i="15"/>
  <c r="J164" i="15"/>
  <c r="J196" i="15"/>
  <c r="J199" i="15"/>
  <c r="Z203" i="15"/>
  <c r="J218" i="15"/>
  <c r="J250" i="15"/>
  <c r="Z256" i="15"/>
  <c r="J268" i="15"/>
  <c r="N194" i="18"/>
  <c r="J202" i="18"/>
  <c r="J228" i="18"/>
  <c r="J235" i="18"/>
  <c r="J246" i="18"/>
  <c r="J276" i="18"/>
  <c r="J282" i="18"/>
  <c r="J155" i="30"/>
  <c r="V117" i="12"/>
  <c r="V121" i="12"/>
  <c r="V125" i="12"/>
  <c r="V129" i="12"/>
  <c r="V133" i="12"/>
  <c r="V137" i="12"/>
  <c r="V141" i="12"/>
  <c r="V145" i="12"/>
  <c r="V149" i="12"/>
  <c r="V153" i="12"/>
  <c r="V157" i="12"/>
  <c r="V161" i="12"/>
  <c r="V165" i="12"/>
  <c r="V169" i="12"/>
  <c r="V171" i="12"/>
  <c r="V173" i="12"/>
  <c r="J177" i="12"/>
  <c r="J181" i="12"/>
  <c r="V197" i="12"/>
  <c r="J203" i="12"/>
  <c r="V205" i="12"/>
  <c r="J209" i="12"/>
  <c r="J217" i="12"/>
  <c r="V221" i="12"/>
  <c r="J227" i="12"/>
  <c r="V233" i="12"/>
  <c r="J237" i="12"/>
  <c r="V245" i="12"/>
  <c r="V249" i="12"/>
  <c r="J253" i="12"/>
  <c r="J275" i="12"/>
  <c r="V281" i="12"/>
  <c r="J144" i="15"/>
  <c r="J155" i="15"/>
  <c r="J158" i="15"/>
  <c r="J184" i="15"/>
  <c r="Z191" i="15"/>
  <c r="X224" i="15"/>
  <c r="Z224" i="15" s="1"/>
  <c r="J229" i="15"/>
  <c r="J232" i="15"/>
  <c r="V236" i="15"/>
  <c r="J247" i="15"/>
  <c r="J255" i="15"/>
  <c r="V256" i="15"/>
  <c r="Z262" i="15"/>
  <c r="J271" i="15"/>
  <c r="N217" i="18"/>
  <c r="J221" i="18"/>
  <c r="J224" i="18"/>
  <c r="J230" i="18"/>
  <c r="L237" i="18"/>
  <c r="J272" i="18"/>
  <c r="Z119" i="27"/>
  <c r="J110" i="30"/>
  <c r="R106" i="33"/>
  <c r="R95" i="33"/>
  <c r="R94" i="33"/>
  <c r="R90" i="33"/>
  <c r="R83" i="33"/>
  <c r="R82" i="33"/>
  <c r="R55" i="33"/>
  <c r="R54" i="33"/>
  <c r="R50" i="33"/>
  <c r="R46" i="33"/>
  <c r="P42" i="33"/>
  <c r="R108" i="33"/>
  <c r="R96" i="33"/>
  <c r="R84" i="33"/>
  <c r="R64" i="33"/>
  <c r="R60" i="33"/>
  <c r="R56" i="33"/>
  <c r="R91" i="33"/>
  <c r="R76" i="33"/>
  <c r="R75" i="33"/>
  <c r="R51" i="33"/>
  <c r="R47" i="33"/>
  <c r="R38" i="33"/>
  <c r="R98" i="33"/>
  <c r="R97" i="33"/>
  <c r="R86" i="33"/>
  <c r="R85" i="33"/>
  <c r="R77" i="33"/>
  <c r="R112" i="33"/>
  <c r="R92" i="33"/>
  <c r="R52" i="33"/>
  <c r="R48" i="33"/>
  <c r="R99" i="33"/>
  <c r="R87" i="33"/>
  <c r="R68" i="33"/>
  <c r="R67" i="33"/>
  <c r="R39" i="33"/>
  <c r="R35" i="33"/>
  <c r="R102" i="33"/>
  <c r="R79" i="33"/>
  <c r="R78" i="33"/>
  <c r="R62" i="33"/>
  <c r="R58" i="33"/>
  <c r="R104" i="33"/>
  <c r="R89" i="33"/>
  <c r="R88" i="33"/>
  <c r="R81" i="33"/>
  <c r="R80" i="33"/>
  <c r="R45" i="33"/>
  <c r="R40" i="33"/>
  <c r="R36" i="33"/>
  <c r="X12" i="33"/>
  <c r="Z12" i="33" s="1"/>
  <c r="R107" i="33"/>
  <c r="R65" i="33"/>
  <c r="R61" i="33"/>
  <c r="R105" i="33"/>
  <c r="R73" i="33"/>
  <c r="R63" i="33"/>
  <c r="R59" i="33"/>
  <c r="R34" i="33"/>
  <c r="R93" i="33"/>
  <c r="R103" i="33"/>
  <c r="R66" i="33"/>
  <c r="R71" i="33"/>
  <c r="R74" i="33"/>
  <c r="R69" i="33"/>
  <c r="R42" i="33"/>
  <c r="R37" i="33"/>
  <c r="R53" i="33"/>
  <c r="R70" i="33"/>
  <c r="R57" i="33"/>
  <c r="R72" i="33"/>
  <c r="R49" i="33"/>
  <c r="V174" i="12"/>
  <c r="V178" i="12"/>
  <c r="V182" i="12"/>
  <c r="J186" i="12"/>
  <c r="J190" i="12"/>
  <c r="J194" i="12"/>
  <c r="V198" i="12"/>
  <c r="J202" i="12"/>
  <c r="J208" i="12"/>
  <c r="V210" i="12"/>
  <c r="J216" i="12"/>
  <c r="J226" i="12"/>
  <c r="V230" i="12"/>
  <c r="V238" i="12"/>
  <c r="J242" i="12"/>
  <c r="J252" i="12"/>
  <c r="V254" i="12"/>
  <c r="J258" i="12"/>
  <c r="J262" i="12"/>
  <c r="V270" i="12"/>
  <c r="J274" i="12"/>
  <c r="J124" i="15"/>
  <c r="J135" i="15"/>
  <c r="J138" i="15"/>
  <c r="N169" i="15"/>
  <c r="J181" i="15"/>
  <c r="V191" i="15"/>
  <c r="N193" i="15"/>
  <c r="J220" i="15"/>
  <c r="J223" i="15"/>
  <c r="N226" i="15"/>
  <c r="J252" i="15"/>
  <c r="J278" i="15"/>
  <c r="J132" i="18"/>
  <c r="J144" i="18"/>
  <c r="J156" i="18"/>
  <c r="J168" i="18"/>
  <c r="J180" i="18"/>
  <c r="N239" i="18"/>
  <c r="J289" i="18"/>
  <c r="L136" i="24"/>
  <c r="N136" i="24" s="1"/>
  <c r="V130" i="39"/>
  <c r="V114" i="39"/>
  <c r="V110" i="39"/>
  <c r="V90" i="39"/>
  <c r="V82" i="39"/>
  <c r="V150" i="39"/>
  <c r="V116" i="39"/>
  <c r="V100" i="39"/>
  <c r="V92" i="39"/>
  <c r="V72" i="39"/>
  <c r="V64" i="39"/>
  <c r="V139" i="39"/>
  <c r="V131" i="39"/>
  <c r="V111" i="39"/>
  <c r="V91" i="39"/>
  <c r="V83" i="39"/>
  <c r="V67" i="39"/>
  <c r="V59" i="39"/>
  <c r="V55" i="39"/>
  <c r="V138" i="39"/>
  <c r="V126" i="39"/>
  <c r="V142" i="39"/>
  <c r="V140" i="39"/>
  <c r="V132" i="39"/>
  <c r="V112" i="39"/>
  <c r="V108" i="39"/>
  <c r="V96" i="39"/>
  <c r="V84" i="39"/>
  <c r="V76" i="39"/>
  <c r="V144" i="39"/>
  <c r="V134" i="39"/>
  <c r="V102" i="39"/>
  <c r="V98" i="39"/>
  <c r="V86" i="39"/>
  <c r="V78" i="39"/>
  <c r="V137" i="39"/>
  <c r="V135" i="39"/>
  <c r="V127" i="39"/>
  <c r="V125" i="39"/>
  <c r="V121" i="39"/>
  <c r="V89" i="39"/>
  <c r="V99" i="39"/>
  <c r="V93" i="39"/>
  <c r="V87" i="39"/>
  <c r="V85" i="39"/>
  <c r="V71" i="39"/>
  <c r="V66" i="39"/>
  <c r="V54" i="39"/>
  <c r="V50" i="39"/>
  <c r="V47" i="39"/>
  <c r="V35" i="39"/>
  <c r="V117" i="39"/>
  <c r="V106" i="39"/>
  <c r="V81" i="39"/>
  <c r="V75" i="39"/>
  <c r="V61" i="39"/>
  <c r="V44" i="39"/>
  <c r="V133" i="39"/>
  <c r="V115" i="39"/>
  <c r="V109" i="39"/>
  <c r="V104" i="39"/>
  <c r="V94" i="39"/>
  <c r="V58" i="39"/>
  <c r="V41" i="39"/>
  <c r="V124" i="39"/>
  <c r="V122" i="39"/>
  <c r="V88" i="39"/>
  <c r="V79" i="39"/>
  <c r="V40" i="39"/>
  <c r="V36" i="39"/>
  <c r="V145" i="39"/>
  <c r="V136" i="39"/>
  <c r="V128" i="39"/>
  <c r="V120" i="39"/>
  <c r="V118" i="39"/>
  <c r="V97" i="39"/>
  <c r="V69" i="39"/>
  <c r="V63" i="39"/>
  <c r="V62" i="39"/>
  <c r="V52" i="39"/>
  <c r="V51" i="39"/>
  <c r="V48" i="39"/>
  <c r="T38" i="39"/>
  <c r="V68" i="39"/>
  <c r="V45" i="39"/>
  <c r="V42" i="39"/>
  <c r="V80" i="39"/>
  <c r="V33" i="39"/>
  <c r="V143" i="39"/>
  <c r="V74" i="39"/>
  <c r="V73" i="39"/>
  <c r="V70" i="39"/>
  <c r="V53" i="39"/>
  <c r="V46" i="39"/>
  <c r="V107" i="39"/>
  <c r="V57" i="39"/>
  <c r="V146" i="39"/>
  <c r="V123" i="39"/>
  <c r="V113" i="39"/>
  <c r="V49" i="39"/>
  <c r="V129" i="39"/>
  <c r="V95" i="39"/>
  <c r="V103" i="39"/>
  <c r="V101" i="39"/>
  <c r="V56" i="39"/>
  <c r="V105" i="39"/>
  <c r="V77" i="39"/>
  <c r="V65" i="39"/>
  <c r="V43" i="39"/>
  <c r="V34" i="39"/>
  <c r="V119" i="39"/>
  <c r="P12" i="21"/>
  <c r="N33" i="21"/>
  <c r="N55" i="21"/>
  <c r="Z69" i="21"/>
  <c r="Z98" i="21"/>
  <c r="N107" i="24"/>
  <c r="N114" i="24"/>
  <c r="N134" i="24"/>
  <c r="N125" i="27"/>
  <c r="X102" i="33"/>
  <c r="P101" i="33"/>
  <c r="X101" i="33" s="1"/>
  <c r="Z101" i="33" s="1"/>
  <c r="V181" i="15"/>
  <c r="V185" i="15"/>
  <c r="V189" i="15"/>
  <c r="V197" i="15"/>
  <c r="V213" i="15"/>
  <c r="V221" i="15"/>
  <c r="V229" i="15"/>
  <c r="V241" i="15"/>
  <c r="V257" i="15"/>
  <c r="V267" i="15"/>
  <c r="V132" i="18"/>
  <c r="V136" i="18"/>
  <c r="V140" i="18"/>
  <c r="V144" i="18"/>
  <c r="V148" i="18"/>
  <c r="V152" i="18"/>
  <c r="V156" i="18"/>
  <c r="V160" i="18"/>
  <c r="V164" i="18"/>
  <c r="V168" i="18"/>
  <c r="V172" i="18"/>
  <c r="V176" i="18"/>
  <c r="V180" i="18"/>
  <c r="V184" i="18"/>
  <c r="V188" i="18"/>
  <c r="V224" i="18"/>
  <c r="V228" i="18"/>
  <c r="V236" i="18"/>
  <c r="V248" i="18"/>
  <c r="V260" i="18"/>
  <c r="V272" i="18"/>
  <c r="V276" i="18"/>
  <c r="V284" i="18"/>
  <c r="V292" i="18"/>
  <c r="X13" i="21"/>
  <c r="Z13" i="21" s="1"/>
  <c r="J28" i="21"/>
  <c r="Z34" i="21"/>
  <c r="V40" i="21"/>
  <c r="J42" i="21"/>
  <c r="J55" i="21"/>
  <c r="L57" i="21"/>
  <c r="V60" i="21"/>
  <c r="V69" i="21"/>
  <c r="Z81" i="21"/>
  <c r="J85" i="21"/>
  <c r="Z108" i="21"/>
  <c r="N125" i="24"/>
  <c r="J134" i="24"/>
  <c r="V114" i="15"/>
  <c r="V118" i="15"/>
  <c r="V122" i="15"/>
  <c r="V126" i="15"/>
  <c r="V130" i="15"/>
  <c r="V134" i="15"/>
  <c r="V138" i="15"/>
  <c r="V142" i="15"/>
  <c r="V146" i="15"/>
  <c r="V150" i="15"/>
  <c r="V154" i="15"/>
  <c r="V158" i="15"/>
  <c r="V162" i="15"/>
  <c r="V198" i="15"/>
  <c r="V202" i="15"/>
  <c r="V210" i="15"/>
  <c r="V222" i="15"/>
  <c r="V234" i="15"/>
  <c r="V246" i="15"/>
  <c r="V250" i="15"/>
  <c r="V258" i="15"/>
  <c r="V266" i="15"/>
  <c r="V278" i="15"/>
  <c r="V197" i="18"/>
  <c r="V201" i="18"/>
  <c r="V205" i="18"/>
  <c r="V221" i="18"/>
  <c r="V229" i="18"/>
  <c r="V237" i="18"/>
  <c r="V245" i="18"/>
  <c r="V265" i="18"/>
  <c r="V281" i="18"/>
  <c r="V289" i="18"/>
  <c r="V291" i="18"/>
  <c r="V303" i="18"/>
  <c r="V305" i="18"/>
  <c r="X33" i="21"/>
  <c r="Z33" i="21" s="1"/>
  <c r="L44" i="21"/>
  <c r="N44" i="21" s="1"/>
  <c r="V62" i="21"/>
  <c r="V81" i="21"/>
  <c r="N90" i="21"/>
  <c r="V97" i="21"/>
  <c r="J101" i="21"/>
  <c r="J105" i="21"/>
  <c r="V108" i="21"/>
  <c r="Z56" i="24"/>
  <c r="N95" i="27"/>
  <c r="N97" i="27"/>
  <c r="V62" i="36"/>
  <c r="X62" i="36"/>
  <c r="Z62" i="36" s="1"/>
  <c r="J37" i="21"/>
  <c r="N59" i="21"/>
  <c r="L75" i="21"/>
  <c r="N75" i="21" s="1"/>
  <c r="V88" i="21"/>
  <c r="J90" i="21"/>
  <c r="V118" i="21"/>
  <c r="X85" i="24"/>
  <c r="L118" i="24"/>
  <c r="X97" i="27"/>
  <c r="V131" i="18"/>
  <c r="V235" i="18"/>
  <c r="V287" i="18"/>
  <c r="V301" i="18"/>
  <c r="J109" i="21"/>
  <c r="J93" i="21"/>
  <c r="J87" i="21"/>
  <c r="J79" i="21"/>
  <c r="J67" i="21"/>
  <c r="J59" i="21"/>
  <c r="J29" i="21"/>
  <c r="J122" i="21"/>
  <c r="J110" i="21"/>
  <c r="J104" i="21"/>
  <c r="J100" i="21"/>
  <c r="J88" i="21"/>
  <c r="J80" i="21"/>
  <c r="J68" i="21"/>
  <c r="J60" i="21"/>
  <c r="J52" i="21"/>
  <c r="J48" i="21"/>
  <c r="J111" i="21"/>
  <c r="J81" i="21"/>
  <c r="J69" i="21"/>
  <c r="J61" i="21"/>
  <c r="J43" i="21"/>
  <c r="J39" i="21"/>
  <c r="J35" i="21"/>
  <c r="J33" i="21"/>
  <c r="J112" i="21"/>
  <c r="J94" i="21"/>
  <c r="J82" i="21"/>
  <c r="J70" i="21"/>
  <c r="J62" i="21"/>
  <c r="J44" i="21"/>
  <c r="J95" i="21"/>
  <c r="J91" i="21"/>
  <c r="J73" i="21"/>
  <c r="J63" i="21"/>
  <c r="J27" i="21"/>
  <c r="J114" i="21"/>
  <c r="J106" i="21"/>
  <c r="J102" i="21"/>
  <c r="J96" i="21"/>
  <c r="J74" i="21"/>
  <c r="J54" i="21"/>
  <c r="J50" i="21"/>
  <c r="J46" i="21"/>
  <c r="J107" i="21"/>
  <c r="J103" i="21"/>
  <c r="J99" i="21"/>
  <c r="J77" i="21"/>
  <c r="J65" i="21"/>
  <c r="J57" i="21"/>
  <c r="J51" i="21"/>
  <c r="J47" i="21"/>
  <c r="Z57" i="21"/>
  <c r="X57" i="21"/>
  <c r="Z85" i="24"/>
  <c r="N118" i="24"/>
  <c r="Z97" i="27"/>
  <c r="L19" i="30"/>
  <c r="D12" i="30"/>
  <c r="H146" i="36"/>
  <c r="J146" i="36" s="1"/>
  <c r="N108" i="39"/>
  <c r="V113" i="15"/>
  <c r="V117" i="15"/>
  <c r="V121" i="15"/>
  <c r="V125" i="15"/>
  <c r="V129" i="15"/>
  <c r="V133" i="15"/>
  <c r="V137" i="15"/>
  <c r="V141" i="15"/>
  <c r="V145" i="15"/>
  <c r="V149" i="15"/>
  <c r="V153" i="15"/>
  <c r="V157" i="15"/>
  <c r="V161" i="15"/>
  <c r="V201" i="15"/>
  <c r="V209" i="15"/>
  <c r="V217" i="15"/>
  <c r="V233" i="15"/>
  <c r="V245" i="15"/>
  <c r="V249" i="15"/>
  <c r="V261" i="15"/>
  <c r="V196" i="18"/>
  <c r="V200" i="18"/>
  <c r="V204" i="18"/>
  <c r="L217" i="18"/>
  <c r="V220" i="18"/>
  <c r="X235" i="18"/>
  <c r="Z235" i="18" s="1"/>
  <c r="V244" i="18"/>
  <c r="V264" i="18"/>
  <c r="V280" i="18"/>
  <c r="V288" i="18"/>
  <c r="V300" i="18"/>
  <c r="N12" i="21"/>
  <c r="V26" i="21"/>
  <c r="H31" i="21"/>
  <c r="V57" i="21"/>
  <c r="L65" i="21"/>
  <c r="V68" i="21"/>
  <c r="J75" i="21"/>
  <c r="L77" i="21"/>
  <c r="N77" i="21" s="1"/>
  <c r="V80" i="21"/>
  <c r="V85" i="21"/>
  <c r="V92" i="21"/>
  <c r="Z112" i="21"/>
  <c r="J116" i="21"/>
  <c r="N96" i="24"/>
  <c r="J118" i="24"/>
  <c r="L120" i="24"/>
  <c r="N120" i="24" s="1"/>
  <c r="V97" i="27"/>
  <c r="L100" i="27"/>
  <c r="V194" i="15"/>
  <c r="V218" i="15"/>
  <c r="V238" i="15"/>
  <c r="V254" i="15"/>
  <c r="V262" i="15"/>
  <c r="V274" i="15"/>
  <c r="V276" i="15"/>
  <c r="Z131" i="18"/>
  <c r="V209" i="18"/>
  <c r="V213" i="18"/>
  <c r="V233" i="18"/>
  <c r="V241" i="18"/>
  <c r="V253" i="18"/>
  <c r="V269" i="18"/>
  <c r="V299" i="18"/>
  <c r="V113" i="21"/>
  <c r="V105" i="21"/>
  <c r="V101" i="21"/>
  <c r="V89" i="21"/>
  <c r="V73" i="21"/>
  <c r="V53" i="21"/>
  <c r="V49" i="21"/>
  <c r="V45" i="21"/>
  <c r="V96" i="21"/>
  <c r="V84" i="21"/>
  <c r="V72" i="21"/>
  <c r="V115" i="21"/>
  <c r="V95" i="21"/>
  <c r="V91" i="21"/>
  <c r="V75" i="21"/>
  <c r="V63" i="21"/>
  <c r="V55" i="21"/>
  <c r="V27" i="21"/>
  <c r="V114" i="21"/>
  <c r="V106" i="21"/>
  <c r="V102" i="21"/>
  <c r="V98" i="21"/>
  <c r="V74" i="21"/>
  <c r="V54" i="21"/>
  <c r="V50" i="21"/>
  <c r="V46" i="21"/>
  <c r="V107" i="21"/>
  <c r="V103" i="21"/>
  <c r="V99" i="21"/>
  <c r="V87" i="21"/>
  <c r="V79" i="21"/>
  <c r="V67" i="21"/>
  <c r="V59" i="21"/>
  <c r="V51" i="21"/>
  <c r="V47" i="21"/>
  <c r="V110" i="21"/>
  <c r="V86" i="21"/>
  <c r="V78" i="21"/>
  <c r="V66" i="21"/>
  <c r="V58" i="21"/>
  <c r="V42" i="21"/>
  <c r="V38" i="21"/>
  <c r="V34" i="21"/>
  <c r="V111" i="21"/>
  <c r="V83" i="21"/>
  <c r="V71" i="21"/>
  <c r="V43" i="21"/>
  <c r="V39" i="21"/>
  <c r="V35" i="21"/>
  <c r="J41" i="21"/>
  <c r="V52" i="21"/>
  <c r="J56" i="21"/>
  <c r="N61" i="21"/>
  <c r="V70" i="21"/>
  <c r="J72" i="21"/>
  <c r="Z73" i="21"/>
  <c r="V82" i="21"/>
  <c r="J84" i="21"/>
  <c r="V112" i="21"/>
  <c r="X96" i="24"/>
  <c r="Z96" i="24" s="1"/>
  <c r="Z109" i="24"/>
  <c r="X109" i="24"/>
  <c r="X141" i="30"/>
  <c r="Z141" i="30" s="1"/>
  <c r="H114" i="33"/>
  <c r="N101" i="33"/>
  <c r="V116" i="15"/>
  <c r="V120" i="15"/>
  <c r="V124" i="15"/>
  <c r="V128" i="15"/>
  <c r="V132" i="15"/>
  <c r="V136" i="15"/>
  <c r="V140" i="15"/>
  <c r="V144" i="15"/>
  <c r="V148" i="15"/>
  <c r="V152" i="15"/>
  <c r="V156" i="15"/>
  <c r="V160" i="15"/>
  <c r="V164" i="15"/>
  <c r="V166" i="15"/>
  <c r="V168" i="15"/>
  <c r="V192" i="15"/>
  <c r="V200" i="15"/>
  <c r="V216" i="15"/>
  <c r="V232" i="15"/>
  <c r="V244" i="15"/>
  <c r="V248" i="15"/>
  <c r="V252" i="15"/>
  <c r="V260" i="15"/>
  <c r="V195" i="18"/>
  <c r="V199" i="18"/>
  <c r="V203" i="18"/>
  <c r="V219" i="18"/>
  <c r="V231" i="18"/>
  <c r="V251" i="18"/>
  <c r="V263" i="18"/>
  <c r="V279" i="18"/>
  <c r="T31" i="21"/>
  <c r="J34" i="21"/>
  <c r="J36" i="21"/>
  <c r="V44" i="21"/>
  <c r="V56" i="21"/>
  <c r="Z61" i="21"/>
  <c r="Z75" i="21"/>
  <c r="X77" i="21"/>
  <c r="Z77" i="21" s="1"/>
  <c r="J89" i="21"/>
  <c r="J98" i="21"/>
  <c r="Z118" i="24"/>
  <c r="Z120" i="24"/>
  <c r="L24" i="36"/>
  <c r="D12" i="36"/>
  <c r="V46" i="36"/>
  <c r="Z46" i="36"/>
  <c r="X46" i="36"/>
  <c r="L41" i="39"/>
  <c r="N41" i="39" s="1"/>
  <c r="N94" i="39"/>
  <c r="L94" i="39"/>
  <c r="J56" i="24"/>
  <c r="V58" i="24"/>
  <c r="V62" i="24"/>
  <c r="V66" i="24"/>
  <c r="V70" i="24"/>
  <c r="V74" i="24"/>
  <c r="V78" i="24"/>
  <c r="J82" i="24"/>
  <c r="J84" i="24"/>
  <c r="J86" i="24"/>
  <c r="J90" i="24"/>
  <c r="J94" i="24"/>
  <c r="J110" i="24"/>
  <c r="V114" i="24"/>
  <c r="J120" i="24"/>
  <c r="J128" i="24"/>
  <c r="J136" i="24"/>
  <c r="V142" i="24"/>
  <c r="J47" i="27"/>
  <c r="J51" i="27"/>
  <c r="J55" i="27"/>
  <c r="J59" i="27"/>
  <c r="J77" i="27"/>
  <c r="V79" i="27"/>
  <c r="V83" i="27"/>
  <c r="V87" i="27"/>
  <c r="J93" i="27"/>
  <c r="J103" i="27"/>
  <c r="J109" i="27"/>
  <c r="V111" i="27"/>
  <c r="J115" i="27"/>
  <c r="V119" i="27"/>
  <c r="J123" i="27"/>
  <c r="V129" i="27"/>
  <c r="V114" i="30"/>
  <c r="L123" i="30"/>
  <c r="V128" i="30"/>
  <c r="Z55" i="33"/>
  <c r="Z89" i="33"/>
  <c r="Z34" i="36"/>
  <c r="V34" i="36"/>
  <c r="N80" i="36"/>
  <c r="J80" i="36"/>
  <c r="Z98" i="36"/>
  <c r="J124" i="36"/>
  <c r="N124" i="36"/>
  <c r="J143" i="39"/>
  <c r="J142" i="39"/>
  <c r="J134" i="39"/>
  <c r="J108" i="39"/>
  <c r="J102" i="39"/>
  <c r="J96" i="39"/>
  <c r="J86" i="39"/>
  <c r="J145" i="39"/>
  <c r="J136" i="39"/>
  <c r="J128" i="39"/>
  <c r="J124" i="39"/>
  <c r="J120" i="39"/>
  <c r="J104" i="39"/>
  <c r="J98" i="39"/>
  <c r="J78" i="39"/>
  <c r="J48" i="39"/>
  <c r="J44" i="39"/>
  <c r="J146" i="39"/>
  <c r="J99" i="39"/>
  <c r="J87" i="39"/>
  <c r="J79" i="39"/>
  <c r="J71" i="39"/>
  <c r="J150" i="39"/>
  <c r="J130" i="39"/>
  <c r="J116" i="39"/>
  <c r="J100" i="39"/>
  <c r="J90" i="39"/>
  <c r="J82" i="39"/>
  <c r="J138" i="39"/>
  <c r="J126" i="39"/>
  <c r="J122" i="39"/>
  <c r="J106" i="39"/>
  <c r="J92" i="39"/>
  <c r="J107" i="39"/>
  <c r="J69" i="39"/>
  <c r="J52" i="39"/>
  <c r="H38" i="39"/>
  <c r="J140" i="39"/>
  <c r="J125" i="39"/>
  <c r="J123" i="39"/>
  <c r="J121" i="39"/>
  <c r="J103" i="39"/>
  <c r="J95" i="39"/>
  <c r="J89" i="39"/>
  <c r="J83" i="39"/>
  <c r="J73" i="39"/>
  <c r="J70" i="39"/>
  <c r="J53" i="39"/>
  <c r="J46" i="39"/>
  <c r="J33" i="39"/>
  <c r="J137" i="39"/>
  <c r="J129" i="39"/>
  <c r="J127" i="39"/>
  <c r="J113" i="39"/>
  <c r="J60" i="39"/>
  <c r="J43" i="39"/>
  <c r="J34" i="39"/>
  <c r="J119" i="39"/>
  <c r="J101" i="39"/>
  <c r="J74" i="39"/>
  <c r="J65" i="39"/>
  <c r="J135" i="39"/>
  <c r="J111" i="39"/>
  <c r="J93" i="39"/>
  <c r="J81" i="39"/>
  <c r="J57" i="39"/>
  <c r="J54" i="39"/>
  <c r="J144" i="39"/>
  <c r="J132" i="39"/>
  <c r="J117" i="39"/>
  <c r="J114" i="39"/>
  <c r="J84" i="39"/>
  <c r="J66" i="39"/>
  <c r="J50" i="39"/>
  <c r="J47" i="39"/>
  <c r="J35" i="39"/>
  <c r="J75" i="39"/>
  <c r="J61" i="39"/>
  <c r="J109" i="39"/>
  <c r="J94" i="39"/>
  <c r="J88" i="39"/>
  <c r="J85" i="39"/>
  <c r="J67" i="39"/>
  <c r="J58" i="39"/>
  <c r="J139" i="39"/>
  <c r="J133" i="39"/>
  <c r="J118" i="39"/>
  <c r="J97" i="39"/>
  <c r="J62" i="39"/>
  <c r="J51" i="39"/>
  <c r="J45" i="39"/>
  <c r="J41" i="39"/>
  <c r="J56" i="39"/>
  <c r="J110" i="39"/>
  <c r="X143" i="39"/>
  <c r="Z143" i="39" s="1"/>
  <c r="P142" i="39"/>
  <c r="X142" i="39" s="1"/>
  <c r="V57" i="24"/>
  <c r="V61" i="24"/>
  <c r="V65" i="24"/>
  <c r="V69" i="24"/>
  <c r="V73" i="24"/>
  <c r="V77" i="24"/>
  <c r="J89" i="24"/>
  <c r="J93" i="24"/>
  <c r="J107" i="24"/>
  <c r="J117" i="24"/>
  <c r="V121" i="24"/>
  <c r="V129" i="24"/>
  <c r="J133" i="24"/>
  <c r="V137" i="24"/>
  <c r="J46" i="27"/>
  <c r="J50" i="27"/>
  <c r="J54" i="27"/>
  <c r="J58" i="27"/>
  <c r="H63" i="27"/>
  <c r="V78" i="27"/>
  <c r="V82" i="27"/>
  <c r="V86" i="27"/>
  <c r="V94" i="27"/>
  <c r="J100" i="27"/>
  <c r="V110" i="27"/>
  <c r="J114" i="27"/>
  <c r="J122" i="27"/>
  <c r="V126" i="27"/>
  <c r="V66" i="30"/>
  <c r="N82" i="30"/>
  <c r="V96" i="30"/>
  <c r="N103" i="30"/>
  <c r="V60" i="33"/>
  <c r="V64" i="33"/>
  <c r="Z72" i="33"/>
  <c r="V82" i="33"/>
  <c r="V84" i="33"/>
  <c r="V104" i="33"/>
  <c r="V106" i="33"/>
  <c r="Z76" i="36"/>
  <c r="V78" i="36"/>
  <c r="Z78" i="36"/>
  <c r="J80" i="39"/>
  <c r="Z73" i="42"/>
  <c r="V86" i="24"/>
  <c r="V90" i="24"/>
  <c r="V94" i="24"/>
  <c r="J98" i="24"/>
  <c r="J102" i="24"/>
  <c r="J106" i="24"/>
  <c r="V110" i="24"/>
  <c r="J116" i="24"/>
  <c r="V122" i="24"/>
  <c r="J126" i="24"/>
  <c r="V130" i="24"/>
  <c r="V138" i="24"/>
  <c r="D141" i="24"/>
  <c r="L141" i="24" s="1"/>
  <c r="J146" i="24"/>
  <c r="V47" i="27"/>
  <c r="V51" i="27"/>
  <c r="V55" i="27"/>
  <c r="V59" i="27"/>
  <c r="J65" i="27"/>
  <c r="J67" i="27"/>
  <c r="J71" i="27"/>
  <c r="J75" i="27"/>
  <c r="J91" i="27"/>
  <c r="V95" i="27"/>
  <c r="J99" i="27"/>
  <c r="V103" i="27"/>
  <c r="J107" i="27"/>
  <c r="V115" i="27"/>
  <c r="J121" i="27"/>
  <c r="V123" i="27"/>
  <c r="V125" i="27"/>
  <c r="J133" i="27"/>
  <c r="V149" i="30"/>
  <c r="V141" i="30"/>
  <c r="V129" i="30"/>
  <c r="V113" i="30"/>
  <c r="V105" i="30"/>
  <c r="V89" i="30"/>
  <c r="V85" i="30"/>
  <c r="V131" i="30"/>
  <c r="V115" i="30"/>
  <c r="V107" i="30"/>
  <c r="V71" i="30"/>
  <c r="V67" i="30"/>
  <c r="V63" i="30"/>
  <c r="V59" i="30"/>
  <c r="V55" i="30"/>
  <c r="V51" i="30"/>
  <c r="V47" i="30"/>
  <c r="V152" i="30"/>
  <c r="V150" i="30"/>
  <c r="V142" i="30"/>
  <c r="V130" i="30"/>
  <c r="V118" i="30"/>
  <c r="V106" i="30"/>
  <c r="V98" i="30"/>
  <c r="V90" i="30"/>
  <c r="V86" i="30"/>
  <c r="V82" i="30"/>
  <c r="T69" i="30"/>
  <c r="V69" i="30" s="1"/>
  <c r="V153" i="30"/>
  <c r="V155" i="30"/>
  <c r="V143" i="30"/>
  <c r="V127" i="30"/>
  <c r="V119" i="30"/>
  <c r="V99" i="30"/>
  <c r="V91" i="30"/>
  <c r="V87" i="30"/>
  <c r="V83" i="30"/>
  <c r="V146" i="30"/>
  <c r="V138" i="30"/>
  <c r="V134" i="30"/>
  <c r="V126" i="30"/>
  <c r="V110" i="30"/>
  <c r="V78" i="30"/>
  <c r="V74" i="30"/>
  <c r="V145" i="30"/>
  <c r="V133" i="30"/>
  <c r="V121" i="30"/>
  <c r="V109" i="30"/>
  <c r="V101" i="30"/>
  <c r="V93" i="30"/>
  <c r="V65" i="30"/>
  <c r="V61" i="30"/>
  <c r="V57" i="30"/>
  <c r="V53" i="30"/>
  <c r="V49" i="30"/>
  <c r="V45" i="30"/>
  <c r="V159" i="30"/>
  <c r="V147" i="30"/>
  <c r="V139" i="30"/>
  <c r="V135" i="30"/>
  <c r="V123" i="30"/>
  <c r="V111" i="30"/>
  <c r="V103" i="30"/>
  <c r="V95" i="30"/>
  <c r="V79" i="30"/>
  <c r="V75" i="30"/>
  <c r="L71" i="30"/>
  <c r="Z123" i="30"/>
  <c r="V125" i="30"/>
  <c r="N66" i="33"/>
  <c r="V72" i="33"/>
  <c r="V80" i="33"/>
  <c r="V88" i="33"/>
  <c r="Z74" i="36"/>
  <c r="V74" i="36"/>
  <c r="X78" i="36"/>
  <c r="D12" i="39"/>
  <c r="J49" i="39"/>
  <c r="J115" i="39"/>
  <c r="L69" i="42"/>
  <c r="N69" i="42" s="1"/>
  <c r="T82" i="24"/>
  <c r="V135" i="24"/>
  <c r="N71" i="30"/>
  <c r="L95" i="30"/>
  <c r="L107" i="30"/>
  <c r="L131" i="30"/>
  <c r="N131" i="30" s="1"/>
  <c r="V107" i="33"/>
  <c r="V73" i="33"/>
  <c r="V37" i="33"/>
  <c r="V91" i="33"/>
  <c r="V75" i="33"/>
  <c r="V51" i="33"/>
  <c r="V47" i="33"/>
  <c r="V98" i="33"/>
  <c r="V86" i="33"/>
  <c r="V66" i="33"/>
  <c r="V38" i="33"/>
  <c r="V34" i="33"/>
  <c r="V97" i="33"/>
  <c r="V85" i="33"/>
  <c r="V77" i="33"/>
  <c r="V65" i="33"/>
  <c r="V61" i="33"/>
  <c r="V57" i="33"/>
  <c r="V112" i="33"/>
  <c r="V92" i="33"/>
  <c r="V101" i="33"/>
  <c r="V99" i="33"/>
  <c r="V87" i="33"/>
  <c r="V79" i="33"/>
  <c r="V67" i="33"/>
  <c r="V39" i="33"/>
  <c r="V35" i="33"/>
  <c r="V102" i="33"/>
  <c r="V78" i="33"/>
  <c r="V70" i="33"/>
  <c r="V62" i="33"/>
  <c r="V58" i="33"/>
  <c r="V103" i="33"/>
  <c r="V93" i="33"/>
  <c r="V89" i="33"/>
  <c r="V81" i="33"/>
  <c r="V69" i="33"/>
  <c r="V53" i="33"/>
  <c r="V49" i="33"/>
  <c r="V45" i="33"/>
  <c r="V105" i="33"/>
  <c r="V95" i="33"/>
  <c r="V83" i="33"/>
  <c r="V71" i="33"/>
  <c r="V63" i="33"/>
  <c r="V59" i="33"/>
  <c r="V55" i="33"/>
  <c r="T42" i="33"/>
  <c r="V42" i="33"/>
  <c r="V54" i="33"/>
  <c r="V56" i="33"/>
  <c r="V108" i="33"/>
  <c r="P12" i="36"/>
  <c r="X13" i="36"/>
  <c r="Z13" i="36" s="1"/>
  <c r="P12" i="39"/>
  <c r="J76" i="39"/>
  <c r="X80" i="39"/>
  <c r="Z80" i="39" s="1"/>
  <c r="N95" i="30"/>
  <c r="Z103" i="30"/>
  <c r="N107" i="30"/>
  <c r="N52" i="39"/>
  <c r="N69" i="39"/>
  <c r="V85" i="24"/>
  <c r="V89" i="24"/>
  <c r="V93" i="24"/>
  <c r="J97" i="24"/>
  <c r="J101" i="24"/>
  <c r="J105" i="24"/>
  <c r="V109" i="24"/>
  <c r="J113" i="24"/>
  <c r="V117" i="24"/>
  <c r="X120" i="24"/>
  <c r="X128" i="24"/>
  <c r="V133" i="24"/>
  <c r="J141" i="24"/>
  <c r="J142" i="24"/>
  <c r="J44" i="27"/>
  <c r="V46" i="27"/>
  <c r="V50" i="27"/>
  <c r="V54" i="27"/>
  <c r="V58" i="27"/>
  <c r="J70" i="27"/>
  <c r="J74" i="27"/>
  <c r="J88" i="27"/>
  <c r="X93" i="27"/>
  <c r="Z93" i="27" s="1"/>
  <c r="J98" i="27"/>
  <c r="V102" i="27"/>
  <c r="J106" i="27"/>
  <c r="X109" i="27"/>
  <c r="Z109" i="27" s="1"/>
  <c r="J112" i="27"/>
  <c r="V114" i="27"/>
  <c r="J118" i="27"/>
  <c r="L119" i="27"/>
  <c r="V122" i="27"/>
  <c r="D125" i="27"/>
  <c r="L125" i="27" s="1"/>
  <c r="J129" i="27"/>
  <c r="V84" i="30"/>
  <c r="X149" i="30"/>
  <c r="Z149" i="30" s="1"/>
  <c r="V154" i="30"/>
  <c r="L15" i="33"/>
  <c r="D12" i="33"/>
  <c r="Z45" i="33"/>
  <c r="V50" i="33"/>
  <c r="V74" i="33"/>
  <c r="N95" i="33"/>
  <c r="T142" i="36"/>
  <c r="V32" i="36"/>
  <c r="N112" i="36"/>
  <c r="Z136" i="36"/>
  <c r="Z33" i="39"/>
  <c r="L52" i="39"/>
  <c r="N67" i="39"/>
  <c r="L69" i="39"/>
  <c r="Z76" i="39"/>
  <c r="Z78" i="39"/>
  <c r="J58" i="24"/>
  <c r="J62" i="24"/>
  <c r="J66" i="24"/>
  <c r="J70" i="24"/>
  <c r="J74" i="24"/>
  <c r="J78" i="24"/>
  <c r="J96" i="24"/>
  <c r="V98" i="24"/>
  <c r="V102" i="24"/>
  <c r="V106" i="24"/>
  <c r="V118" i="24"/>
  <c r="V126" i="24"/>
  <c r="V134" i="24"/>
  <c r="V146" i="24"/>
  <c r="L44" i="27"/>
  <c r="N44" i="27" s="1"/>
  <c r="V67" i="27"/>
  <c r="V71" i="27"/>
  <c r="V75" i="27"/>
  <c r="J79" i="27"/>
  <c r="J83" i="27"/>
  <c r="J87" i="27"/>
  <c r="V91" i="27"/>
  <c r="J97" i="27"/>
  <c r="V99" i="27"/>
  <c r="X102" i="27"/>
  <c r="Z102" i="27" s="1"/>
  <c r="V107" i="27"/>
  <c r="J111" i="27"/>
  <c r="J128" i="27"/>
  <c r="V133" i="27"/>
  <c r="Z71" i="30"/>
  <c r="Z93" i="30"/>
  <c r="Z112" i="30"/>
  <c r="V117" i="30"/>
  <c r="V120" i="30"/>
  <c r="V122" i="30"/>
  <c r="V144" i="30"/>
  <c r="V36" i="33"/>
  <c r="V48" i="33"/>
  <c r="N83" i="33"/>
  <c r="J63" i="39"/>
  <c r="L118" i="39"/>
  <c r="N118" i="39" s="1"/>
  <c r="N119" i="42"/>
  <c r="V59" i="24"/>
  <c r="V63" i="24"/>
  <c r="V67" i="24"/>
  <c r="V71" i="24"/>
  <c r="V75" i="24"/>
  <c r="V79" i="24"/>
  <c r="J87" i="24"/>
  <c r="J91" i="24"/>
  <c r="J95" i="24"/>
  <c r="V107" i="24"/>
  <c r="V115" i="24"/>
  <c r="J123" i="24"/>
  <c r="J131" i="24"/>
  <c r="J139" i="24"/>
  <c r="T63" i="27"/>
  <c r="V80" i="27"/>
  <c r="V84" i="27"/>
  <c r="J96" i="27"/>
  <c r="V100" i="27"/>
  <c r="V120" i="27"/>
  <c r="J127" i="27"/>
  <c r="V54" i="30"/>
  <c r="V56" i="30"/>
  <c r="V81" i="30"/>
  <c r="V88" i="30"/>
  <c r="Z95" i="30"/>
  <c r="Z98" i="30"/>
  <c r="X105" i="30"/>
  <c r="Z105" i="30" s="1"/>
  <c r="V112" i="30"/>
  <c r="V124" i="30"/>
  <c r="V137" i="30"/>
  <c r="D152" i="30"/>
  <c r="L152" i="30" s="1"/>
  <c r="N152" i="30" s="1"/>
  <c r="L153" i="30"/>
  <c r="N153" i="30" s="1"/>
  <c r="L55" i="33"/>
  <c r="N55" i="33" s="1"/>
  <c r="L79" i="33"/>
  <c r="N79" i="33" s="1"/>
  <c r="Z95" i="33"/>
  <c r="N98" i="36"/>
  <c r="Z112" i="36"/>
  <c r="J77" i="39"/>
  <c r="V88" i="24"/>
  <c r="V92" i="24"/>
  <c r="J100" i="24"/>
  <c r="J104" i="24"/>
  <c r="J112" i="24"/>
  <c r="V116" i="24"/>
  <c r="J122" i="24"/>
  <c r="V124" i="24"/>
  <c r="J130" i="24"/>
  <c r="V45" i="27"/>
  <c r="V49" i="27"/>
  <c r="V53" i="27"/>
  <c r="V57" i="27"/>
  <c r="V61" i="27"/>
  <c r="V63" i="27"/>
  <c r="V65" i="27"/>
  <c r="J69" i="27"/>
  <c r="J73" i="27"/>
  <c r="V89" i="27"/>
  <c r="J95" i="27"/>
  <c r="J105" i="27"/>
  <c r="V113" i="27"/>
  <c r="J117" i="27"/>
  <c r="J125" i="27"/>
  <c r="P12" i="30"/>
  <c r="V77" i="30"/>
  <c r="V97" i="30"/>
  <c r="Z100" i="30"/>
  <c r="V102" i="30"/>
  <c r="V148" i="30"/>
  <c r="V40" i="33"/>
  <c r="J55" i="33"/>
  <c r="V68" i="33"/>
  <c r="X81" i="33"/>
  <c r="Z81" i="33" s="1"/>
  <c r="Z83" i="33"/>
  <c r="L64" i="36"/>
  <c r="N64" i="36" s="1"/>
  <c r="J105" i="39"/>
  <c r="J35" i="33"/>
  <c r="J39" i="33"/>
  <c r="J67" i="33"/>
  <c r="J87" i="33"/>
  <c r="J99" i="33"/>
  <c r="V36" i="36"/>
  <c r="V40" i="36"/>
  <c r="V44" i="36"/>
  <c r="J48" i="36"/>
  <c r="J52" i="36"/>
  <c r="J56" i="36"/>
  <c r="V60" i="36"/>
  <c r="J72" i="36"/>
  <c r="V76" i="36"/>
  <c r="V84" i="36"/>
  <c r="J92" i="36"/>
  <c r="J98" i="36"/>
  <c r="V100" i="36"/>
  <c r="J104" i="36"/>
  <c r="J108" i="36"/>
  <c r="V112" i="36"/>
  <c r="V116" i="36"/>
  <c r="V120" i="36"/>
  <c r="V132" i="36"/>
  <c r="J142" i="36"/>
  <c r="L88" i="39"/>
  <c r="N88" i="39" s="1"/>
  <c r="Z69" i="42"/>
  <c r="V69" i="42"/>
  <c r="H78" i="57"/>
  <c r="N16" i="57"/>
  <c r="J57" i="33"/>
  <c r="J61" i="33"/>
  <c r="J65" i="33"/>
  <c r="J77" i="33"/>
  <c r="J85" i="33"/>
  <c r="J97" i="33"/>
  <c r="V110" i="36"/>
  <c r="J114" i="36"/>
  <c r="J118" i="36"/>
  <c r="J122" i="36"/>
  <c r="J130" i="36"/>
  <c r="J139" i="36"/>
  <c r="V144" i="36"/>
  <c r="Z98" i="39"/>
  <c r="X118" i="39"/>
  <c r="N130" i="39"/>
  <c r="J129" i="42"/>
  <c r="J121" i="42"/>
  <c r="J107" i="42"/>
  <c r="J101" i="42"/>
  <c r="J81" i="42"/>
  <c r="J71" i="42"/>
  <c r="J41" i="42"/>
  <c r="J37" i="42"/>
  <c r="J122" i="42"/>
  <c r="J116" i="42"/>
  <c r="J112" i="42"/>
  <c r="J108" i="42"/>
  <c r="J96" i="42"/>
  <c r="J82" i="42"/>
  <c r="J72" i="42"/>
  <c r="J64" i="42"/>
  <c r="J132" i="42"/>
  <c r="J131" i="42"/>
  <c r="J123" i="42"/>
  <c r="J91" i="42"/>
  <c r="J83" i="42"/>
  <c r="J73" i="42"/>
  <c r="J55" i="42"/>
  <c r="J51" i="42"/>
  <c r="J47" i="42"/>
  <c r="J133" i="42"/>
  <c r="J124" i="42"/>
  <c r="J102" i="42"/>
  <c r="J84" i="42"/>
  <c r="J74" i="42"/>
  <c r="J56" i="42"/>
  <c r="J42" i="42"/>
  <c r="J38" i="42"/>
  <c r="J134" i="42"/>
  <c r="J125" i="42"/>
  <c r="J117" i="42"/>
  <c r="J113" i="42"/>
  <c r="J109" i="42"/>
  <c r="J97" i="42"/>
  <c r="J85" i="42"/>
  <c r="J75" i="42"/>
  <c r="J65" i="42"/>
  <c r="J57" i="42"/>
  <c r="J29" i="42"/>
  <c r="J135" i="42"/>
  <c r="J103" i="42"/>
  <c r="J99" i="42"/>
  <c r="J93" i="42"/>
  <c r="J87" i="42"/>
  <c r="J77" i="42"/>
  <c r="J59" i="42"/>
  <c r="J43" i="42"/>
  <c r="J39" i="42"/>
  <c r="J35" i="42"/>
  <c r="J33" i="42"/>
  <c r="J126" i="42"/>
  <c r="J118" i="42"/>
  <c r="J114" i="42"/>
  <c r="J110" i="42"/>
  <c r="J104" i="42"/>
  <c r="J94" i="42"/>
  <c r="J88" i="42"/>
  <c r="J78" i="42"/>
  <c r="J66" i="42"/>
  <c r="J60" i="42"/>
  <c r="H31" i="42"/>
  <c r="J139" i="42"/>
  <c r="J119" i="42"/>
  <c r="J105" i="42"/>
  <c r="J89" i="42"/>
  <c r="J67" i="42"/>
  <c r="J61" i="42"/>
  <c r="J53" i="42"/>
  <c r="J49" i="42"/>
  <c r="J120" i="42"/>
  <c r="J100" i="42"/>
  <c r="J68" i="42"/>
  <c r="J62" i="42"/>
  <c r="J44" i="42"/>
  <c r="J40" i="42"/>
  <c r="J36" i="42"/>
  <c r="J70" i="42"/>
  <c r="J76" i="42"/>
  <c r="J115" i="42"/>
  <c r="J128" i="42"/>
  <c r="J38" i="33"/>
  <c r="J76" i="33"/>
  <c r="J110" i="33"/>
  <c r="V35" i="36"/>
  <c r="V39" i="36"/>
  <c r="V43" i="36"/>
  <c r="J47" i="36"/>
  <c r="J51" i="36"/>
  <c r="J55" i="36"/>
  <c r="V59" i="36"/>
  <c r="J63" i="36"/>
  <c r="J69" i="36"/>
  <c r="J79" i="36"/>
  <c r="V83" i="36"/>
  <c r="J89" i="36"/>
  <c r="V99" i="36"/>
  <c r="J107" i="36"/>
  <c r="V115" i="36"/>
  <c r="V119" i="36"/>
  <c r="V123" i="36"/>
  <c r="J129" i="36"/>
  <c r="V131" i="36"/>
  <c r="J138" i="36"/>
  <c r="Z69" i="39"/>
  <c r="Z118" i="39"/>
  <c r="X14" i="42"/>
  <c r="P12" i="42"/>
  <c r="X56" i="42"/>
  <c r="Z56" i="42" s="1"/>
  <c r="V56" i="42"/>
  <c r="N62" i="42"/>
  <c r="L62" i="42"/>
  <c r="J95" i="42"/>
  <c r="Z60" i="51"/>
  <c r="J47" i="33"/>
  <c r="J51" i="33"/>
  <c r="J75" i="33"/>
  <c r="J91" i="33"/>
  <c r="J108" i="33"/>
  <c r="J28" i="36"/>
  <c r="J46" i="36"/>
  <c r="V48" i="36"/>
  <c r="V52" i="36"/>
  <c r="V56" i="36"/>
  <c r="J62" i="36"/>
  <c r="J68" i="36"/>
  <c r="V72" i="36"/>
  <c r="J78" i="36"/>
  <c r="J88" i="36"/>
  <c r="V92" i="36"/>
  <c r="J96" i="36"/>
  <c r="V104" i="36"/>
  <c r="V108" i="36"/>
  <c r="V124" i="36"/>
  <c r="J128" i="36"/>
  <c r="J136" i="36"/>
  <c r="J137" i="36"/>
  <c r="Z88" i="39"/>
  <c r="X94" i="39"/>
  <c r="Z142" i="39"/>
  <c r="J80" i="42"/>
  <c r="F48" i="45"/>
  <c r="X100" i="45"/>
  <c r="Z100" i="45" s="1"/>
  <c r="L26" i="42"/>
  <c r="N26" i="42" s="1"/>
  <c r="L45" i="42"/>
  <c r="N45" i="42" s="1"/>
  <c r="X124" i="42"/>
  <c r="Z124" i="42" s="1"/>
  <c r="J83" i="33"/>
  <c r="J95" i="33"/>
  <c r="J106" i="33"/>
  <c r="V70" i="36"/>
  <c r="J76" i="36"/>
  <c r="J86" i="36"/>
  <c r="V90" i="36"/>
  <c r="V98" i="36"/>
  <c r="V102" i="36"/>
  <c r="J106" i="36"/>
  <c r="J112" i="36"/>
  <c r="V114" i="36"/>
  <c r="V118" i="36"/>
  <c r="V122" i="36"/>
  <c r="J126" i="36"/>
  <c r="V130" i="36"/>
  <c r="J134" i="36"/>
  <c r="V140" i="36"/>
  <c r="V142" i="36"/>
  <c r="L13" i="39"/>
  <c r="N13" i="39" s="1"/>
  <c r="X76" i="39"/>
  <c r="X130" i="39"/>
  <c r="Z130" i="39" s="1"/>
  <c r="J26" i="42"/>
  <c r="J45" i="42"/>
  <c r="J111" i="42"/>
  <c r="J127" i="42"/>
  <c r="X13" i="33"/>
  <c r="Z13" i="33" s="1"/>
  <c r="J42" i="33"/>
  <c r="J44" i="33"/>
  <c r="J46" i="33"/>
  <c r="J50" i="33"/>
  <c r="J54" i="33"/>
  <c r="J72" i="33"/>
  <c r="J82" i="33"/>
  <c r="J90" i="33"/>
  <c r="J94" i="33"/>
  <c r="J105" i="33"/>
  <c r="V47" i="36"/>
  <c r="V51" i="36"/>
  <c r="V55" i="36"/>
  <c r="V63" i="36"/>
  <c r="J67" i="36"/>
  <c r="V71" i="36"/>
  <c r="J75" i="36"/>
  <c r="V79" i="36"/>
  <c r="J85" i="36"/>
  <c r="V91" i="36"/>
  <c r="J95" i="36"/>
  <c r="V103" i="36"/>
  <c r="V107" i="36"/>
  <c r="J111" i="36"/>
  <c r="J133" i="36"/>
  <c r="V139" i="36"/>
  <c r="Z85" i="39"/>
  <c r="L108" i="39"/>
  <c r="D12" i="42"/>
  <c r="J45" i="33"/>
  <c r="J59" i="33"/>
  <c r="J63" i="33"/>
  <c r="J71" i="33"/>
  <c r="J81" i="33"/>
  <c r="J89" i="33"/>
  <c r="J104" i="33"/>
  <c r="V28" i="36"/>
  <c r="J32" i="36"/>
  <c r="J34" i="36"/>
  <c r="J36" i="36"/>
  <c r="J40" i="36"/>
  <c r="J44" i="36"/>
  <c r="J60" i="36"/>
  <c r="V64" i="36"/>
  <c r="V68" i="36"/>
  <c r="J74" i="36"/>
  <c r="V80" i="36"/>
  <c r="J84" i="36"/>
  <c r="V88" i="36"/>
  <c r="V96" i="36"/>
  <c r="J100" i="36"/>
  <c r="J116" i="36"/>
  <c r="J120" i="36"/>
  <c r="V128" i="36"/>
  <c r="J132" i="36"/>
  <c r="V138" i="36"/>
  <c r="L13" i="42"/>
  <c r="N13" i="42" s="1"/>
  <c r="Z45" i="42"/>
  <c r="V45" i="42"/>
  <c r="L75" i="42"/>
  <c r="J86" i="42"/>
  <c r="J90" i="42"/>
  <c r="J92" i="42"/>
  <c r="J98" i="42"/>
  <c r="F101" i="45"/>
  <c r="F100" i="45"/>
  <c r="F93" i="45"/>
  <c r="F89" i="45"/>
  <c r="F61" i="45"/>
  <c r="F60" i="45"/>
  <c r="F37" i="45"/>
  <c r="F33" i="45"/>
  <c r="F84" i="45"/>
  <c r="F72" i="45"/>
  <c r="F71" i="45"/>
  <c r="F52" i="45"/>
  <c r="F51" i="45"/>
  <c r="F24" i="45"/>
  <c r="F79" i="45"/>
  <c r="F47" i="45"/>
  <c r="F43" i="45"/>
  <c r="F102" i="45"/>
  <c r="F94" i="45"/>
  <c r="F90" i="45"/>
  <c r="F86" i="45"/>
  <c r="F85" i="45"/>
  <c r="F74" i="45"/>
  <c r="F73" i="45"/>
  <c r="F62" i="45"/>
  <c r="F54" i="45"/>
  <c r="F53" i="45"/>
  <c r="F38" i="45"/>
  <c r="F34" i="45"/>
  <c r="F30" i="45"/>
  <c r="F29" i="45"/>
  <c r="F81" i="45"/>
  <c r="F80" i="45"/>
  <c r="F104" i="45"/>
  <c r="F95" i="45"/>
  <c r="F91" i="45"/>
  <c r="F87" i="45"/>
  <c r="F55" i="45"/>
  <c r="F39" i="45"/>
  <c r="F35" i="45"/>
  <c r="F31" i="45"/>
  <c r="F108" i="45"/>
  <c r="F82" i="45"/>
  <c r="F66" i="45"/>
  <c r="F65" i="45"/>
  <c r="F22" i="45"/>
  <c r="F21" i="45"/>
  <c r="F97" i="45"/>
  <c r="F96" i="45"/>
  <c r="F77" i="45"/>
  <c r="F57" i="45"/>
  <c r="F56" i="45"/>
  <c r="F49" i="45"/>
  <c r="F45" i="45"/>
  <c r="F41" i="45"/>
  <c r="F40" i="45"/>
  <c r="F99" i="45"/>
  <c r="F98" i="45"/>
  <c r="F83" i="45"/>
  <c r="F59" i="45"/>
  <c r="F58" i="45"/>
  <c r="F23" i="45"/>
  <c r="F67" i="45"/>
  <c r="F50" i="45"/>
  <c r="F78" i="45"/>
  <c r="F70" i="45"/>
  <c r="F63" i="45"/>
  <c r="F32" i="45"/>
  <c r="F28" i="45"/>
  <c r="F68" i="45"/>
  <c r="F75" i="45"/>
  <c r="F42" i="45"/>
  <c r="F36" i="45"/>
  <c r="F88" i="45"/>
  <c r="F64" i="45"/>
  <c r="F44" i="45"/>
  <c r="F26" i="45"/>
  <c r="D26" i="45"/>
  <c r="L12" i="45"/>
  <c r="F76" i="45"/>
  <c r="X17" i="48"/>
  <c r="J84" i="45"/>
  <c r="J72" i="45"/>
  <c r="J52" i="45"/>
  <c r="J24" i="45"/>
  <c r="J85" i="45"/>
  <c r="J79" i="45"/>
  <c r="J73" i="45"/>
  <c r="J53" i="45"/>
  <c r="J47" i="45"/>
  <c r="J43" i="45"/>
  <c r="J29" i="45"/>
  <c r="J102" i="45"/>
  <c r="J94" i="45"/>
  <c r="J90" i="45"/>
  <c r="J86" i="45"/>
  <c r="J80" i="45"/>
  <c r="J74" i="45"/>
  <c r="J62" i="45"/>
  <c r="J54" i="45"/>
  <c r="J38" i="45"/>
  <c r="J34" i="45"/>
  <c r="J30" i="45"/>
  <c r="J28" i="45"/>
  <c r="J26" i="45"/>
  <c r="N12" i="45"/>
  <c r="J81" i="45"/>
  <c r="J75" i="45"/>
  <c r="J63" i="45"/>
  <c r="H26" i="45"/>
  <c r="J104" i="45"/>
  <c r="J76" i="45"/>
  <c r="J64" i="45"/>
  <c r="J48" i="45"/>
  <c r="J44" i="45"/>
  <c r="J108" i="45"/>
  <c r="J96" i="45"/>
  <c r="J82" i="45"/>
  <c r="J66" i="45"/>
  <c r="J56" i="45"/>
  <c r="J40" i="45"/>
  <c r="J22" i="45"/>
  <c r="J97" i="45"/>
  <c r="J77" i="45"/>
  <c r="J67" i="45"/>
  <c r="J57" i="45"/>
  <c r="J49" i="45"/>
  <c r="J45" i="45"/>
  <c r="J41" i="45"/>
  <c r="J98" i="45"/>
  <c r="J92" i="45"/>
  <c r="J88" i="45"/>
  <c r="J68" i="45"/>
  <c r="J58" i="45"/>
  <c r="J36" i="45"/>
  <c r="J32" i="45"/>
  <c r="J100" i="45"/>
  <c r="J78" i="45"/>
  <c r="J70" i="45"/>
  <c r="J60" i="45"/>
  <c r="J50" i="45"/>
  <c r="J46" i="45"/>
  <c r="J42" i="45"/>
  <c r="J39" i="45"/>
  <c r="J35" i="45"/>
  <c r="J65" i="45"/>
  <c r="J89" i="45"/>
  <c r="J87" i="45"/>
  <c r="J83" i="45"/>
  <c r="J91" i="45"/>
  <c r="J55" i="45"/>
  <c r="J93" i="45"/>
  <c r="J61" i="45"/>
  <c r="J95" i="45"/>
  <c r="J59" i="45"/>
  <c r="J51" i="45"/>
  <c r="J101" i="45"/>
  <c r="J99" i="45"/>
  <c r="J69" i="45"/>
  <c r="J71" i="45"/>
  <c r="J31" i="45"/>
  <c r="J23" i="45"/>
  <c r="J21" i="45"/>
  <c r="J69" i="33"/>
  <c r="J79" i="33"/>
  <c r="J93" i="33"/>
  <c r="J101" i="33"/>
  <c r="V134" i="36"/>
  <c r="N63" i="39"/>
  <c r="N80" i="39"/>
  <c r="J46" i="42"/>
  <c r="J69" i="42"/>
  <c r="J79" i="42"/>
  <c r="Z84" i="42"/>
  <c r="X84" i="42"/>
  <c r="J37" i="45"/>
  <c r="F92" i="45"/>
  <c r="N55" i="48"/>
  <c r="L55" i="48"/>
  <c r="V84" i="42"/>
  <c r="V96" i="42"/>
  <c r="V108" i="42"/>
  <c r="V112" i="42"/>
  <c r="V116" i="42"/>
  <c r="V124" i="42"/>
  <c r="V132" i="42"/>
  <c r="N104" i="45"/>
  <c r="L104" i="45"/>
  <c r="D12" i="48"/>
  <c r="L13" i="48"/>
  <c r="N13" i="48" s="1"/>
  <c r="Z17" i="48"/>
  <c r="T76" i="48"/>
  <c r="N53" i="48"/>
  <c r="P73" i="48"/>
  <c r="X73" i="48" s="1"/>
  <c r="H82" i="56"/>
  <c r="N16" i="56"/>
  <c r="J27" i="101"/>
  <c r="V73" i="42"/>
  <c r="V81" i="42"/>
  <c r="V101" i="42"/>
  <c r="V121" i="42"/>
  <c r="V129" i="42"/>
  <c r="V131" i="42"/>
  <c r="V96" i="45"/>
  <c r="V76" i="45"/>
  <c r="V64" i="45"/>
  <c r="V56" i="45"/>
  <c r="V48" i="45"/>
  <c r="V44" i="45"/>
  <c r="V40" i="45"/>
  <c r="V95" i="45"/>
  <c r="V91" i="45"/>
  <c r="V87" i="45"/>
  <c r="V67" i="45"/>
  <c r="V55" i="45"/>
  <c r="V39" i="45"/>
  <c r="V35" i="45"/>
  <c r="V31" i="45"/>
  <c r="V108" i="45"/>
  <c r="V98" i="45"/>
  <c r="V82" i="45"/>
  <c r="V66" i="45"/>
  <c r="V58" i="45"/>
  <c r="V22" i="45"/>
  <c r="V97" i="45"/>
  <c r="V77" i="45"/>
  <c r="V69" i="45"/>
  <c r="V57" i="45"/>
  <c r="V49" i="45"/>
  <c r="V45" i="45"/>
  <c r="V41" i="45"/>
  <c r="V100" i="45"/>
  <c r="V92" i="45"/>
  <c r="V88" i="45"/>
  <c r="V68" i="45"/>
  <c r="V60" i="45"/>
  <c r="V36" i="45"/>
  <c r="V32" i="45"/>
  <c r="V78" i="45"/>
  <c r="V70" i="45"/>
  <c r="V50" i="45"/>
  <c r="V46" i="45"/>
  <c r="V42" i="45"/>
  <c r="V101" i="45"/>
  <c r="V93" i="45"/>
  <c r="V89" i="45"/>
  <c r="V85" i="45"/>
  <c r="V73" i="45"/>
  <c r="V61" i="45"/>
  <c r="V53" i="45"/>
  <c r="V37" i="45"/>
  <c r="V33" i="45"/>
  <c r="V29" i="45"/>
  <c r="V84" i="45"/>
  <c r="V80" i="45"/>
  <c r="V72" i="45"/>
  <c r="V52" i="45"/>
  <c r="V28" i="45"/>
  <c r="V26" i="45"/>
  <c r="V24" i="45"/>
  <c r="V104" i="45"/>
  <c r="V102" i="45"/>
  <c r="V94" i="45"/>
  <c r="V90" i="45"/>
  <c r="V86" i="45"/>
  <c r="V74" i="45"/>
  <c r="V62" i="45"/>
  <c r="V54" i="45"/>
  <c r="V38" i="45"/>
  <c r="V34" i="45"/>
  <c r="V30" i="45"/>
  <c r="L60" i="45"/>
  <c r="N60" i="45" s="1"/>
  <c r="V79" i="45"/>
  <c r="L49" i="48"/>
  <c r="N49" i="48" s="1"/>
  <c r="X55" i="48"/>
  <c r="Z55" i="48" s="1"/>
  <c r="Z73" i="48"/>
  <c r="N74" i="69"/>
  <c r="J74" i="69"/>
  <c r="V46" i="42"/>
  <c r="V50" i="42"/>
  <c r="V54" i="42"/>
  <c r="V70" i="42"/>
  <c r="V82" i="42"/>
  <c r="V90" i="42"/>
  <c r="V106" i="42"/>
  <c r="V122" i="42"/>
  <c r="N104" i="51"/>
  <c r="V63" i="42"/>
  <c r="V71" i="42"/>
  <c r="V79" i="42"/>
  <c r="V95" i="42"/>
  <c r="V107" i="42"/>
  <c r="V111" i="42"/>
  <c r="V115" i="42"/>
  <c r="V127" i="42"/>
  <c r="V23" i="45"/>
  <c r="T26" i="45"/>
  <c r="X60" i="45"/>
  <c r="Z60" i="45" s="1"/>
  <c r="L41" i="48"/>
  <c r="N41" i="48" s="1"/>
  <c r="N43" i="48"/>
  <c r="N45" i="48"/>
  <c r="P12" i="51"/>
  <c r="V89" i="42"/>
  <c r="V105" i="42"/>
  <c r="J17" i="48"/>
  <c r="H76" i="48"/>
  <c r="Z19" i="48"/>
  <c r="X49" i="48"/>
  <c r="Z49" i="48" s="1"/>
  <c r="N66" i="57"/>
  <c r="L66" i="57"/>
  <c r="V26" i="42"/>
  <c r="V62" i="42"/>
  <c r="V66" i="42"/>
  <c r="V78" i="42"/>
  <c r="V94" i="42"/>
  <c r="V110" i="42"/>
  <c r="V114" i="42"/>
  <c r="V118" i="42"/>
  <c r="V126" i="42"/>
  <c r="N28" i="45"/>
  <c r="V47" i="45"/>
  <c r="Z43" i="48"/>
  <c r="Z47" i="48"/>
  <c r="N88" i="51"/>
  <c r="V35" i="42"/>
  <c r="V39" i="42"/>
  <c r="V43" i="42"/>
  <c r="V59" i="42"/>
  <c r="V67" i="42"/>
  <c r="V87" i="42"/>
  <c r="V99" i="42"/>
  <c r="V103" i="42"/>
  <c r="V119" i="42"/>
  <c r="P12" i="45"/>
  <c r="X28" i="45"/>
  <c r="Z28" i="45" s="1"/>
  <c r="V59" i="45"/>
  <c r="X80" i="45"/>
  <c r="V48" i="42"/>
  <c r="V52" i="42"/>
  <c r="V60" i="42"/>
  <c r="V76" i="42"/>
  <c r="V88" i="42"/>
  <c r="V92" i="42"/>
  <c r="V104" i="42"/>
  <c r="T137" i="42"/>
  <c r="V137" i="42" s="1"/>
  <c r="V51" i="45"/>
  <c r="V75" i="45"/>
  <c r="Z80" i="45"/>
  <c r="D12" i="51"/>
  <c r="L18" i="51"/>
  <c r="N76" i="56"/>
  <c r="V57" i="42"/>
  <c r="V65" i="42"/>
  <c r="V77" i="42"/>
  <c r="V85" i="42"/>
  <c r="V93" i="42"/>
  <c r="V97" i="42"/>
  <c r="V109" i="42"/>
  <c r="V113" i="42"/>
  <c r="V117" i="42"/>
  <c r="V125" i="42"/>
  <c r="V135" i="42"/>
  <c r="V43" i="45"/>
  <c r="N98" i="45"/>
  <c r="L100" i="45"/>
  <c r="N100" i="45" s="1"/>
  <c r="X60" i="51"/>
  <c r="N19" i="58"/>
  <c r="R15" i="48"/>
  <c r="R17" i="48"/>
  <c r="R19" i="48"/>
  <c r="V21" i="48"/>
  <c r="V25" i="48"/>
  <c r="V29" i="48"/>
  <c r="J33" i="48"/>
  <c r="R34" i="48"/>
  <c r="J37" i="48"/>
  <c r="R38" i="48"/>
  <c r="J43" i="48"/>
  <c r="R46" i="48"/>
  <c r="R47" i="48"/>
  <c r="V49" i="48"/>
  <c r="J55" i="48"/>
  <c r="R58" i="48"/>
  <c r="J61" i="48"/>
  <c r="V65" i="48"/>
  <c r="J69" i="48"/>
  <c r="R73" i="48"/>
  <c r="R74" i="48"/>
  <c r="J42" i="51"/>
  <c r="J46" i="51"/>
  <c r="J50" i="51"/>
  <c r="J54" i="51"/>
  <c r="T57" i="51"/>
  <c r="V74" i="51"/>
  <c r="V78" i="51"/>
  <c r="J88" i="51"/>
  <c r="V89" i="51"/>
  <c r="J99" i="51"/>
  <c r="V107" i="51"/>
  <c r="L112" i="51"/>
  <c r="D109" i="51"/>
  <c r="L109" i="51" s="1"/>
  <c r="N109" i="51" s="1"/>
  <c r="L21" i="55"/>
  <c r="N21" i="55" s="1"/>
  <c r="R47" i="56"/>
  <c r="F49" i="56"/>
  <c r="R62" i="56"/>
  <c r="R64" i="56"/>
  <c r="L76" i="56"/>
  <c r="D16" i="57"/>
  <c r="X40" i="57"/>
  <c r="Z40" i="57" s="1"/>
  <c r="Z42" i="57"/>
  <c r="Z30" i="58"/>
  <c r="X30" i="58"/>
  <c r="V15" i="48"/>
  <c r="V17" i="48"/>
  <c r="V19" i="48"/>
  <c r="J23" i="48"/>
  <c r="R24" i="48"/>
  <c r="J27" i="48"/>
  <c r="R28" i="48"/>
  <c r="J41" i="48"/>
  <c r="R44" i="48"/>
  <c r="R45" i="48"/>
  <c r="V47" i="48"/>
  <c r="J53" i="48"/>
  <c r="R56" i="48"/>
  <c r="R57" i="48"/>
  <c r="V63" i="48"/>
  <c r="J67" i="48"/>
  <c r="V71" i="48"/>
  <c r="V73" i="48"/>
  <c r="V60" i="51"/>
  <c r="V64" i="51"/>
  <c r="V68" i="51"/>
  <c r="J72" i="51"/>
  <c r="J76" i="51"/>
  <c r="J80" i="51"/>
  <c r="V84" i="51"/>
  <c r="J87" i="51"/>
  <c r="J95" i="51"/>
  <c r="F63" i="56"/>
  <c r="F18" i="56"/>
  <c r="F16" i="56"/>
  <c r="F14" i="56"/>
  <c r="F78" i="56"/>
  <c r="F70" i="56"/>
  <c r="F58" i="56"/>
  <c r="F57" i="56"/>
  <c r="F46" i="56"/>
  <c r="F38" i="56"/>
  <c r="F34" i="56"/>
  <c r="F30" i="56"/>
  <c r="F29" i="56"/>
  <c r="D16" i="56"/>
  <c r="F25" i="56"/>
  <c r="F21" i="56"/>
  <c r="F64" i="56"/>
  <c r="F48" i="56"/>
  <c r="F47" i="56"/>
  <c r="F82" i="56"/>
  <c r="F80" i="56"/>
  <c r="F71" i="56"/>
  <c r="F59" i="56"/>
  <c r="F39" i="56"/>
  <c r="F35" i="56"/>
  <c r="F31" i="56"/>
  <c r="F73" i="56"/>
  <c r="F72" i="56"/>
  <c r="F41" i="56"/>
  <c r="F40" i="56"/>
  <c r="F68" i="56"/>
  <c r="F67" i="56"/>
  <c r="F60" i="56"/>
  <c r="F52" i="56"/>
  <c r="F51" i="56"/>
  <c r="F36" i="56"/>
  <c r="F32" i="56"/>
  <c r="L12" i="56"/>
  <c r="F89" i="56"/>
  <c r="F86" i="56"/>
  <c r="F75" i="56"/>
  <c r="F74" i="56"/>
  <c r="F43" i="56"/>
  <c r="F42" i="56"/>
  <c r="F27" i="56"/>
  <c r="F23" i="56"/>
  <c r="F77" i="56"/>
  <c r="F76" i="56"/>
  <c r="F69" i="56"/>
  <c r="F45" i="56"/>
  <c r="F44" i="56"/>
  <c r="F37" i="56"/>
  <c r="F33" i="56"/>
  <c r="F26" i="56"/>
  <c r="F54" i="56"/>
  <c r="R55" i="56"/>
  <c r="L72" i="56"/>
  <c r="P16" i="57"/>
  <c r="Z44" i="57"/>
  <c r="X54" i="57"/>
  <c r="Z64" i="57"/>
  <c r="L14" i="58"/>
  <c r="D16" i="58"/>
  <c r="N18" i="58"/>
  <c r="X59" i="58"/>
  <c r="Z59" i="58" s="1"/>
  <c r="Z49" i="59"/>
  <c r="X49" i="59"/>
  <c r="V20" i="48"/>
  <c r="V24" i="48"/>
  <c r="V28" i="48"/>
  <c r="J32" i="48"/>
  <c r="R33" i="48"/>
  <c r="J36" i="48"/>
  <c r="R37" i="48"/>
  <c r="J40" i="48"/>
  <c r="V44" i="48"/>
  <c r="J52" i="48"/>
  <c r="V56" i="48"/>
  <c r="J60" i="48"/>
  <c r="R61" i="48"/>
  <c r="R62" i="48"/>
  <c r="V64" i="48"/>
  <c r="R69" i="48"/>
  <c r="R70" i="48"/>
  <c r="J41" i="51"/>
  <c r="J45" i="51"/>
  <c r="J49" i="51"/>
  <c r="J53" i="51"/>
  <c r="V73" i="51"/>
  <c r="V77" i="51"/>
  <c r="V81" i="51"/>
  <c r="V99" i="51"/>
  <c r="D22" i="54"/>
  <c r="R19" i="56"/>
  <c r="N72" i="56"/>
  <c r="V33" i="48"/>
  <c r="V37" i="48"/>
  <c r="R42" i="48"/>
  <c r="R43" i="48"/>
  <c r="V45" i="48"/>
  <c r="J51" i="48"/>
  <c r="R54" i="48"/>
  <c r="R55" i="48"/>
  <c r="V57" i="48"/>
  <c r="V61" i="48"/>
  <c r="V69" i="48"/>
  <c r="J110" i="51"/>
  <c r="J109" i="51"/>
  <c r="J111" i="51"/>
  <c r="J112" i="51"/>
  <c r="J101" i="51"/>
  <c r="J91" i="51"/>
  <c r="J113" i="51"/>
  <c r="J102" i="51"/>
  <c r="J104" i="51"/>
  <c r="J96" i="51"/>
  <c r="J106" i="51"/>
  <c r="J98" i="51"/>
  <c r="J86" i="51"/>
  <c r="X13" i="51"/>
  <c r="Z13" i="51" s="1"/>
  <c r="J40" i="51"/>
  <c r="V42" i="51"/>
  <c r="V46" i="51"/>
  <c r="V50" i="51"/>
  <c r="V54" i="51"/>
  <c r="J62" i="51"/>
  <c r="J66" i="51"/>
  <c r="J70" i="51"/>
  <c r="V82" i="51"/>
  <c r="N86" i="51"/>
  <c r="V88" i="51"/>
  <c r="V96" i="51"/>
  <c r="N98" i="51"/>
  <c r="N101" i="51"/>
  <c r="L106" i="51"/>
  <c r="J117" i="51"/>
  <c r="V23" i="55"/>
  <c r="V22" i="55"/>
  <c r="V40" i="55"/>
  <c r="V37" i="55"/>
  <c r="V35" i="55"/>
  <c r="V25" i="55"/>
  <c r="V24" i="55"/>
  <c r="V27" i="55"/>
  <c r="V28" i="55"/>
  <c r="Z12" i="55"/>
  <c r="V19" i="55"/>
  <c r="X12" i="55"/>
  <c r="V33" i="55"/>
  <c r="V31" i="55"/>
  <c r="V29" i="55"/>
  <c r="V21" i="55"/>
  <c r="T16" i="55"/>
  <c r="X16" i="55" s="1"/>
  <c r="Z19" i="55"/>
  <c r="L25" i="55"/>
  <c r="L40" i="56"/>
  <c r="R49" i="56"/>
  <c r="L18" i="57"/>
  <c r="X52" i="57"/>
  <c r="Z47" i="58"/>
  <c r="R72" i="56"/>
  <c r="R71" i="56"/>
  <c r="R59" i="56"/>
  <c r="R40" i="56"/>
  <c r="R39" i="56"/>
  <c r="R35" i="56"/>
  <c r="R31" i="56"/>
  <c r="R84" i="56"/>
  <c r="R67" i="56"/>
  <c r="R66" i="56"/>
  <c r="R51" i="56"/>
  <c r="R50" i="56"/>
  <c r="R26" i="56"/>
  <c r="R22" i="56"/>
  <c r="R89" i="56"/>
  <c r="R86" i="56"/>
  <c r="R74" i="56"/>
  <c r="R73" i="56"/>
  <c r="R42" i="56"/>
  <c r="R41" i="56"/>
  <c r="R68" i="56"/>
  <c r="R61" i="56"/>
  <c r="R60" i="56"/>
  <c r="R53" i="56"/>
  <c r="R52" i="56"/>
  <c r="R36" i="56"/>
  <c r="R32" i="56"/>
  <c r="X12" i="56"/>
  <c r="R76" i="56"/>
  <c r="R75" i="56"/>
  <c r="R44" i="56"/>
  <c r="R43" i="56"/>
  <c r="R27" i="56"/>
  <c r="R23" i="56"/>
  <c r="R77" i="56"/>
  <c r="R69" i="56"/>
  <c r="R45" i="56"/>
  <c r="R37" i="56"/>
  <c r="R33" i="56"/>
  <c r="R18" i="56"/>
  <c r="R16" i="56"/>
  <c r="R14" i="56"/>
  <c r="R57" i="56"/>
  <c r="R56" i="56"/>
  <c r="R29" i="56"/>
  <c r="R28" i="56"/>
  <c r="R24" i="56"/>
  <c r="R20" i="56"/>
  <c r="P16" i="56"/>
  <c r="R63" i="56"/>
  <c r="R82" i="56"/>
  <c r="R80" i="56"/>
  <c r="R25" i="56"/>
  <c r="R21" i="56"/>
  <c r="R34" i="56"/>
  <c r="N40" i="56"/>
  <c r="N42" i="56"/>
  <c r="R46" i="56"/>
  <c r="R54" i="56"/>
  <c r="N18" i="57"/>
  <c r="Z52" i="57"/>
  <c r="V23" i="48"/>
  <c r="V27" i="48"/>
  <c r="J31" i="48"/>
  <c r="R32" i="48"/>
  <c r="J35" i="48"/>
  <c r="R36" i="48"/>
  <c r="J39" i="48"/>
  <c r="R40" i="48"/>
  <c r="R41" i="48"/>
  <c r="V43" i="48"/>
  <c r="J49" i="48"/>
  <c r="R52" i="48"/>
  <c r="R53" i="48"/>
  <c r="V55" i="48"/>
  <c r="J59" i="48"/>
  <c r="R60" i="48"/>
  <c r="V67" i="48"/>
  <c r="H119" i="51"/>
  <c r="V72" i="51"/>
  <c r="V76" i="51"/>
  <c r="V80" i="51"/>
  <c r="J85" i="51"/>
  <c r="V91" i="51"/>
  <c r="X92" i="51"/>
  <c r="J94" i="51"/>
  <c r="X98" i="51"/>
  <c r="Z98" i="51" s="1"/>
  <c r="X21" i="55"/>
  <c r="Z21" i="55" s="1"/>
  <c r="L18" i="56"/>
  <c r="N18" i="56" s="1"/>
  <c r="R30" i="56"/>
  <c r="R38" i="56"/>
  <c r="N44" i="56"/>
  <c r="X72" i="56"/>
  <c r="Z72" i="56" s="1"/>
  <c r="P77" i="58"/>
  <c r="X16" i="58"/>
  <c r="V74" i="59"/>
  <c r="J30" i="48"/>
  <c r="V32" i="48"/>
  <c r="V36" i="48"/>
  <c r="V40" i="48"/>
  <c r="J48" i="48"/>
  <c r="V52" i="48"/>
  <c r="V60" i="48"/>
  <c r="V68" i="48"/>
  <c r="J76" i="48"/>
  <c r="V41" i="51"/>
  <c r="V45" i="51"/>
  <c r="V49" i="51"/>
  <c r="V53" i="51"/>
  <c r="J57" i="51"/>
  <c r="J59" i="51"/>
  <c r="J61" i="51"/>
  <c r="J65" i="51"/>
  <c r="J69" i="51"/>
  <c r="J90" i="51"/>
  <c r="J97" i="51"/>
  <c r="J100" i="51"/>
  <c r="J105" i="51"/>
  <c r="Z23" i="55"/>
  <c r="L27" i="55"/>
  <c r="X18" i="56"/>
  <c r="Z50" i="57"/>
  <c r="L68" i="58"/>
  <c r="N68" i="58" s="1"/>
  <c r="X69" i="45"/>
  <c r="Z69" i="45" s="1"/>
  <c r="L75" i="45"/>
  <c r="N75" i="45" s="1"/>
  <c r="R22" i="48"/>
  <c r="R26" i="48"/>
  <c r="V41" i="48"/>
  <c r="J47" i="48"/>
  <c r="R50" i="48"/>
  <c r="R51" i="48"/>
  <c r="V53" i="48"/>
  <c r="J65" i="48"/>
  <c r="R66" i="48"/>
  <c r="J73" i="48"/>
  <c r="J74" i="48"/>
  <c r="R78" i="48"/>
  <c r="V102" i="51"/>
  <c r="V94" i="51"/>
  <c r="V93" i="51"/>
  <c r="V117" i="51"/>
  <c r="V103" i="51"/>
  <c r="V95" i="51"/>
  <c r="V106" i="51"/>
  <c r="V110" i="51"/>
  <c r="V90" i="51"/>
  <c r="V112" i="51"/>
  <c r="V100" i="51"/>
  <c r="V92" i="51"/>
  <c r="L59" i="51"/>
  <c r="N59" i="51" s="1"/>
  <c r="J60" i="51"/>
  <c r="V62" i="51"/>
  <c r="V66" i="51"/>
  <c r="V70" i="51"/>
  <c r="J74" i="51"/>
  <c r="J78" i="51"/>
  <c r="J84" i="51"/>
  <c r="X111" i="51"/>
  <c r="P109" i="51"/>
  <c r="X109" i="51" s="1"/>
  <c r="Z109" i="51" s="1"/>
  <c r="P33" i="55"/>
  <c r="Z18" i="56"/>
  <c r="Z40" i="56"/>
  <c r="R48" i="56"/>
  <c r="L55" i="61"/>
  <c r="N55" i="61" s="1"/>
  <c r="Z12" i="48"/>
  <c r="J20" i="48"/>
  <c r="V22" i="48"/>
  <c r="V26" i="48"/>
  <c r="R31" i="48"/>
  <c r="J34" i="48"/>
  <c r="R35" i="48"/>
  <c r="J38" i="48"/>
  <c r="R39" i="48"/>
  <c r="J46" i="48"/>
  <c r="V50" i="48"/>
  <c r="J58" i="48"/>
  <c r="R59" i="48"/>
  <c r="J64" i="48"/>
  <c r="V66" i="48"/>
  <c r="V78" i="48"/>
  <c r="J43" i="51"/>
  <c r="J47" i="51"/>
  <c r="J51" i="51"/>
  <c r="J55" i="51"/>
  <c r="V71" i="51"/>
  <c r="V75" i="51"/>
  <c r="V79" i="51"/>
  <c r="J83" i="51"/>
  <c r="V86" i="51"/>
  <c r="J89" i="51"/>
  <c r="J93" i="51"/>
  <c r="V98" i="51"/>
  <c r="V101" i="51"/>
  <c r="J107" i="51"/>
  <c r="V111" i="51"/>
  <c r="J119" i="51"/>
  <c r="X40" i="56"/>
  <c r="Z42" i="56"/>
  <c r="R58" i="56"/>
  <c r="F62" i="56"/>
  <c r="R65" i="56"/>
  <c r="Z29" i="57"/>
  <c r="L42" i="57"/>
  <c r="N42" i="57" s="1"/>
  <c r="V35" i="48"/>
  <c r="V39" i="48"/>
  <c r="J45" i="48"/>
  <c r="R48" i="48"/>
  <c r="V51" i="48"/>
  <c r="J57" i="48"/>
  <c r="J63" i="48"/>
  <c r="V40" i="51"/>
  <c r="V44" i="51"/>
  <c r="V48" i="51"/>
  <c r="V52" i="51"/>
  <c r="J64" i="51"/>
  <c r="J68" i="51"/>
  <c r="J82" i="51"/>
  <c r="V85" i="51"/>
  <c r="V113" i="51"/>
  <c r="Z27" i="55"/>
  <c r="T82" i="56"/>
  <c r="N44" i="57"/>
  <c r="N60" i="57"/>
  <c r="Z64" i="58"/>
  <c r="H16" i="54"/>
  <c r="L16" i="54" s="1"/>
  <c r="R19" i="55"/>
  <c r="F25" i="55"/>
  <c r="F26" i="55"/>
  <c r="J27" i="55"/>
  <c r="F37" i="55"/>
  <c r="F40" i="55"/>
  <c r="J14" i="56"/>
  <c r="J16" i="56"/>
  <c r="J18" i="56"/>
  <c r="J20" i="56"/>
  <c r="J24" i="56"/>
  <c r="J28" i="56"/>
  <c r="V40" i="56"/>
  <c r="V48" i="56"/>
  <c r="J56" i="56"/>
  <c r="V64" i="56"/>
  <c r="V72" i="56"/>
  <c r="F14" i="57"/>
  <c r="F16" i="57"/>
  <c r="F18" i="57"/>
  <c r="V22" i="57"/>
  <c r="V26" i="57"/>
  <c r="J30" i="57"/>
  <c r="R31" i="57"/>
  <c r="J34" i="57"/>
  <c r="R35" i="57"/>
  <c r="J38" i="57"/>
  <c r="R39" i="57"/>
  <c r="R40" i="57"/>
  <c r="V42" i="57"/>
  <c r="V49" i="57"/>
  <c r="V50" i="57"/>
  <c r="R54" i="57"/>
  <c r="R62" i="57"/>
  <c r="F65" i="57"/>
  <c r="J66" i="57"/>
  <c r="V70" i="57"/>
  <c r="F73" i="57"/>
  <c r="F85" i="57"/>
  <c r="L12" i="58"/>
  <c r="F18" i="58"/>
  <c r="V22" i="58"/>
  <c r="V27" i="58"/>
  <c r="F42" i="58"/>
  <c r="V43" i="58"/>
  <c r="V47" i="58"/>
  <c r="Z53" i="58"/>
  <c r="Z62" i="58"/>
  <c r="X64" i="58"/>
  <c r="V81" i="58"/>
  <c r="F19" i="59"/>
  <c r="F17" i="59"/>
  <c r="F15" i="59"/>
  <c r="F55" i="59"/>
  <c r="F39" i="59"/>
  <c r="F35" i="59"/>
  <c r="D17" i="59"/>
  <c r="F70" i="59"/>
  <c r="F62" i="59"/>
  <c r="F46" i="59"/>
  <c r="F30" i="59"/>
  <c r="F26" i="59"/>
  <c r="F22" i="59"/>
  <c r="L12" i="59"/>
  <c r="F64" i="59"/>
  <c r="F63" i="59"/>
  <c r="F56" i="59"/>
  <c r="F48" i="59"/>
  <c r="F47" i="59"/>
  <c r="F40" i="59"/>
  <c r="F36" i="59"/>
  <c r="F32" i="59"/>
  <c r="F31" i="59"/>
  <c r="F76" i="59"/>
  <c r="F50" i="59"/>
  <c r="F49" i="59"/>
  <c r="F65" i="59"/>
  <c r="F57" i="59"/>
  <c r="F41" i="59"/>
  <c r="F37" i="59"/>
  <c r="F33" i="59"/>
  <c r="F52" i="59"/>
  <c r="F51" i="59"/>
  <c r="F28" i="59"/>
  <c r="F24" i="59"/>
  <c r="F54" i="59"/>
  <c r="F53" i="59"/>
  <c r="F38" i="59"/>
  <c r="F34" i="59"/>
  <c r="H17" i="59"/>
  <c r="F21" i="59"/>
  <c r="V26" i="59"/>
  <c r="V28" i="59"/>
  <c r="J56" i="59"/>
  <c r="N63" i="59"/>
  <c r="F67" i="59"/>
  <c r="V70" i="59"/>
  <c r="V49" i="60"/>
  <c r="V41" i="60"/>
  <c r="V52" i="60"/>
  <c r="V44" i="60"/>
  <c r="V36" i="60"/>
  <c r="V32" i="60"/>
  <c r="Z12" i="60"/>
  <c r="V51" i="60"/>
  <c r="V43" i="60"/>
  <c r="V27" i="60"/>
  <c r="V23" i="60"/>
  <c r="V19" i="60"/>
  <c r="X12" i="60"/>
  <c r="V69" i="60"/>
  <c r="V66" i="60"/>
  <c r="V64" i="60"/>
  <c r="V53" i="60"/>
  <c r="V45" i="60"/>
  <c r="V37" i="60"/>
  <c r="V33" i="60"/>
  <c r="V29" i="60"/>
  <c r="T16" i="60"/>
  <c r="V55" i="60"/>
  <c r="V47" i="60"/>
  <c r="V54" i="60"/>
  <c r="V38" i="60"/>
  <c r="V34" i="60"/>
  <c r="V30" i="60"/>
  <c r="V57" i="60"/>
  <c r="V25" i="60"/>
  <c r="V21" i="60"/>
  <c r="V39" i="60"/>
  <c r="V35" i="60"/>
  <c r="V31" i="60"/>
  <c r="L53" i="61"/>
  <c r="N53" i="61" s="1"/>
  <c r="V57" i="61"/>
  <c r="L14" i="54"/>
  <c r="R24" i="54"/>
  <c r="X14" i="55"/>
  <c r="F23" i="55"/>
  <c r="F24" i="55"/>
  <c r="J25" i="55"/>
  <c r="R28" i="55"/>
  <c r="J37" i="55"/>
  <c r="J40" i="55"/>
  <c r="V30" i="56"/>
  <c r="V34" i="56"/>
  <c r="V38" i="56"/>
  <c r="J44" i="56"/>
  <c r="V46" i="56"/>
  <c r="J54" i="56"/>
  <c r="V58" i="56"/>
  <c r="J62" i="56"/>
  <c r="V70" i="56"/>
  <c r="J76" i="56"/>
  <c r="V78" i="56"/>
  <c r="V80" i="56"/>
  <c r="V82" i="56"/>
  <c r="J14" i="57"/>
  <c r="J16" i="57"/>
  <c r="J18" i="57"/>
  <c r="J20" i="57"/>
  <c r="R21" i="57"/>
  <c r="J24" i="57"/>
  <c r="R25" i="57"/>
  <c r="J28" i="57"/>
  <c r="F33" i="57"/>
  <c r="F37" i="57"/>
  <c r="V40" i="57"/>
  <c r="F44" i="57"/>
  <c r="F45" i="57"/>
  <c r="R47" i="57"/>
  <c r="V53" i="57"/>
  <c r="F56" i="57"/>
  <c r="R57" i="57"/>
  <c r="Z58" i="57"/>
  <c r="F64" i="57"/>
  <c r="J73" i="57"/>
  <c r="X14" i="58"/>
  <c r="X19" i="58"/>
  <c r="Z19" i="58" s="1"/>
  <c r="V24" i="58"/>
  <c r="V29" i="58"/>
  <c r="F41" i="58"/>
  <c r="V49" i="58"/>
  <c r="F60" i="58"/>
  <c r="V64" i="58"/>
  <c r="N31" i="59"/>
  <c r="J50" i="59"/>
  <c r="V56" i="59"/>
  <c r="Z63" i="59"/>
  <c r="V68" i="59"/>
  <c r="F81" i="59"/>
  <c r="L19" i="60"/>
  <c r="N19" i="60" s="1"/>
  <c r="V14" i="61"/>
  <c r="V30" i="61"/>
  <c r="V47" i="56"/>
  <c r="V63" i="56"/>
  <c r="J75" i="56"/>
  <c r="F69" i="57"/>
  <c r="F68" i="57"/>
  <c r="F61" i="57"/>
  <c r="F60" i="57"/>
  <c r="F53" i="57"/>
  <c r="F52" i="57"/>
  <c r="F70" i="57"/>
  <c r="F63" i="57"/>
  <c r="F47" i="57"/>
  <c r="F46" i="57"/>
  <c r="J33" i="57"/>
  <c r="J37" i="57"/>
  <c r="J45" i="57"/>
  <c r="V47" i="57"/>
  <c r="V48" i="57"/>
  <c r="F51" i="57"/>
  <c r="J56" i="57"/>
  <c r="V57" i="57"/>
  <c r="V58" i="57"/>
  <c r="R66" i="57"/>
  <c r="R69" i="57"/>
  <c r="F72" i="57"/>
  <c r="V70" i="58"/>
  <c r="V62" i="58"/>
  <c r="V54" i="58"/>
  <c r="V69" i="58"/>
  <c r="V61" i="58"/>
  <c r="V45" i="58"/>
  <c r="V37" i="58"/>
  <c r="V33" i="58"/>
  <c r="T16" i="58"/>
  <c r="V72" i="58"/>
  <c r="V46" i="58"/>
  <c r="V38" i="58"/>
  <c r="V34" i="58"/>
  <c r="V30" i="58"/>
  <c r="V48" i="58"/>
  <c r="V59" i="58"/>
  <c r="V51" i="58"/>
  <c r="V39" i="58"/>
  <c r="V35" i="58"/>
  <c r="V31" i="58"/>
  <c r="V68" i="58"/>
  <c r="V60" i="58"/>
  <c r="V52" i="58"/>
  <c r="V40" i="58"/>
  <c r="V36" i="58"/>
  <c r="V32" i="58"/>
  <c r="Z12" i="58"/>
  <c r="N41" i="58"/>
  <c r="V42" i="58"/>
  <c r="F48" i="58"/>
  <c r="V55" i="58"/>
  <c r="F63" i="58"/>
  <c r="T74" i="59"/>
  <c r="N29" i="60"/>
  <c r="X66" i="63"/>
  <c r="Z66" i="63" s="1"/>
  <c r="T131" i="70"/>
  <c r="V63" i="70"/>
  <c r="L12" i="54"/>
  <c r="P16" i="54"/>
  <c r="D16" i="55"/>
  <c r="F21" i="55"/>
  <c r="F22" i="55"/>
  <c r="J23" i="55"/>
  <c r="F31" i="55"/>
  <c r="F33" i="55"/>
  <c r="J35" i="55"/>
  <c r="V20" i="56"/>
  <c r="V24" i="56"/>
  <c r="V28" i="56"/>
  <c r="J52" i="56"/>
  <c r="V56" i="56"/>
  <c r="J60" i="56"/>
  <c r="J68" i="56"/>
  <c r="J74" i="56"/>
  <c r="J86" i="56"/>
  <c r="J89" i="56"/>
  <c r="J67" i="57"/>
  <c r="J85" i="57"/>
  <c r="J82" i="57"/>
  <c r="J54" i="57"/>
  <c r="J71" i="57"/>
  <c r="J74" i="57"/>
  <c r="J64" i="57"/>
  <c r="J48" i="57"/>
  <c r="F23" i="57"/>
  <c r="F27" i="57"/>
  <c r="V30" i="57"/>
  <c r="V34" i="57"/>
  <c r="V38" i="57"/>
  <c r="F42" i="57"/>
  <c r="F43" i="57"/>
  <c r="J44" i="57"/>
  <c r="J51" i="57"/>
  <c r="J60" i="57"/>
  <c r="R61" i="57"/>
  <c r="R65" i="57"/>
  <c r="V69" i="57"/>
  <c r="J72" i="57"/>
  <c r="F76" i="57"/>
  <c r="F82" i="57"/>
  <c r="R85" i="57"/>
  <c r="X12" i="58"/>
  <c r="V19" i="58"/>
  <c r="F54" i="58"/>
  <c r="Z68" i="58"/>
  <c r="L72" i="58"/>
  <c r="V84" i="58"/>
  <c r="Z31" i="59"/>
  <c r="L29" i="60"/>
  <c r="N55" i="60"/>
  <c r="J56" i="61"/>
  <c r="J47" i="61"/>
  <c r="J29" i="61"/>
  <c r="H16" i="61"/>
  <c r="J69" i="61"/>
  <c r="J62" i="61"/>
  <c r="J48" i="61"/>
  <c r="J38" i="61"/>
  <c r="J34" i="61"/>
  <c r="J30" i="61"/>
  <c r="J49" i="61"/>
  <c r="J25" i="61"/>
  <c r="J21" i="61"/>
  <c r="J57" i="61"/>
  <c r="J50" i="61"/>
  <c r="J51" i="61"/>
  <c r="J39" i="61"/>
  <c r="J35" i="61"/>
  <c r="J31" i="61"/>
  <c r="J64" i="61"/>
  <c r="J41" i="61"/>
  <c r="J58" i="61"/>
  <c r="J52" i="61"/>
  <c r="J42" i="61"/>
  <c r="J36" i="61"/>
  <c r="J32" i="61"/>
  <c r="N12" i="61"/>
  <c r="J53" i="61"/>
  <c r="J43" i="61"/>
  <c r="J27" i="61"/>
  <c r="J23" i="61"/>
  <c r="L12" i="61"/>
  <c r="J66" i="61"/>
  <c r="J60" i="61"/>
  <c r="J55" i="61"/>
  <c r="J45" i="61"/>
  <c r="J37" i="61"/>
  <c r="J33" i="61"/>
  <c r="J19" i="61"/>
  <c r="X19" i="67"/>
  <c r="P12" i="69"/>
  <c r="X13" i="69"/>
  <c r="Z19" i="67"/>
  <c r="T16" i="54"/>
  <c r="H16" i="55"/>
  <c r="F19" i="55"/>
  <c r="F20" i="55"/>
  <c r="V14" i="56"/>
  <c r="V16" i="56"/>
  <c r="V18" i="56"/>
  <c r="V54" i="56"/>
  <c r="V62" i="56"/>
  <c r="J66" i="56"/>
  <c r="J72" i="56"/>
  <c r="J84" i="56"/>
  <c r="V20" i="57"/>
  <c r="V24" i="57"/>
  <c r="V28" i="57"/>
  <c r="J32" i="57"/>
  <c r="J36" i="57"/>
  <c r="F40" i="57"/>
  <c r="F41" i="57"/>
  <c r="J42" i="57"/>
  <c r="N50" i="57"/>
  <c r="V52" i="57"/>
  <c r="J55" i="57"/>
  <c r="R56" i="57"/>
  <c r="F59" i="57"/>
  <c r="J76" i="57"/>
  <c r="V44" i="58"/>
  <c r="F53" i="58"/>
  <c r="F59" i="58"/>
  <c r="F62" i="58"/>
  <c r="V63" i="58"/>
  <c r="V65" i="58"/>
  <c r="V79" i="58"/>
  <c r="P62" i="60"/>
  <c r="X16" i="60"/>
  <c r="Z19" i="60"/>
  <c r="V51" i="61"/>
  <c r="V39" i="61"/>
  <c r="V35" i="61"/>
  <c r="V31" i="61"/>
  <c r="V42" i="61"/>
  <c r="V26" i="61"/>
  <c r="V22" i="61"/>
  <c r="V53" i="61"/>
  <c r="V41" i="61"/>
  <c r="V64" i="61"/>
  <c r="V52" i="61"/>
  <c r="V44" i="61"/>
  <c r="V36" i="61"/>
  <c r="V32" i="61"/>
  <c r="Z12" i="61"/>
  <c r="V58" i="61"/>
  <c r="V55" i="61"/>
  <c r="V43" i="61"/>
  <c r="V27" i="61"/>
  <c r="V23" i="61"/>
  <c r="V19" i="61"/>
  <c r="V66" i="61"/>
  <c r="V54" i="61"/>
  <c r="V46" i="61"/>
  <c r="V60" i="61"/>
  <c r="V45" i="61"/>
  <c r="V37" i="61"/>
  <c r="V33" i="61"/>
  <c r="V29" i="61"/>
  <c r="T16" i="61"/>
  <c r="V48" i="61"/>
  <c r="V28" i="61"/>
  <c r="V24" i="61"/>
  <c r="V20" i="61"/>
  <c r="V69" i="61"/>
  <c r="V47" i="61"/>
  <c r="V49" i="61"/>
  <c r="V25" i="61"/>
  <c r="V21" i="61"/>
  <c r="V14" i="54"/>
  <c r="V16" i="54"/>
  <c r="V18" i="54"/>
  <c r="V20" i="54"/>
  <c r="J14" i="55"/>
  <c r="J16" i="55"/>
  <c r="J18" i="55"/>
  <c r="F29" i="55"/>
  <c r="V19" i="56"/>
  <c r="V23" i="56"/>
  <c r="V27" i="56"/>
  <c r="J31" i="56"/>
  <c r="J35" i="56"/>
  <c r="J39" i="56"/>
  <c r="V43" i="56"/>
  <c r="J49" i="56"/>
  <c r="V55" i="56"/>
  <c r="J59" i="56"/>
  <c r="J65" i="56"/>
  <c r="J71" i="56"/>
  <c r="V75" i="56"/>
  <c r="R74" i="57"/>
  <c r="R68" i="57"/>
  <c r="R67" i="57"/>
  <c r="R60" i="57"/>
  <c r="R59" i="57"/>
  <c r="R52" i="57"/>
  <c r="R51" i="57"/>
  <c r="T16" i="57"/>
  <c r="R19" i="57"/>
  <c r="F22" i="57"/>
  <c r="F26" i="57"/>
  <c r="V29" i="57"/>
  <c r="V33" i="57"/>
  <c r="V37" i="57"/>
  <c r="J41" i="57"/>
  <c r="V45" i="57"/>
  <c r="V46" i="57"/>
  <c r="F49" i="57"/>
  <c r="J50" i="57"/>
  <c r="V51" i="57"/>
  <c r="F54" i="57"/>
  <c r="J59" i="57"/>
  <c r="R64" i="57"/>
  <c r="L71" i="57"/>
  <c r="N71" i="57" s="1"/>
  <c r="R72" i="57"/>
  <c r="V73" i="57"/>
  <c r="V18" i="58"/>
  <c r="V23" i="58"/>
  <c r="V28" i="58"/>
  <c r="F30" i="58"/>
  <c r="Z51" i="58"/>
  <c r="N53" i="58"/>
  <c r="X72" i="58"/>
  <c r="J55" i="59"/>
  <c r="J39" i="59"/>
  <c r="J35" i="59"/>
  <c r="J70" i="59"/>
  <c r="J62" i="59"/>
  <c r="J46" i="59"/>
  <c r="J30" i="59"/>
  <c r="J26" i="59"/>
  <c r="J22" i="59"/>
  <c r="N12" i="59"/>
  <c r="J63" i="59"/>
  <c r="J47" i="59"/>
  <c r="J31" i="59"/>
  <c r="J49" i="59"/>
  <c r="J27" i="59"/>
  <c r="J23" i="59"/>
  <c r="J65" i="59"/>
  <c r="J57" i="59"/>
  <c r="J51" i="59"/>
  <c r="J41" i="59"/>
  <c r="J37" i="59"/>
  <c r="J33" i="59"/>
  <c r="J81" i="59"/>
  <c r="J78" i="59"/>
  <c r="J66" i="59"/>
  <c r="J58" i="59"/>
  <c r="J52" i="59"/>
  <c r="J42" i="59"/>
  <c r="J28" i="59"/>
  <c r="J24" i="59"/>
  <c r="J67" i="59"/>
  <c r="J59" i="59"/>
  <c r="J53" i="59"/>
  <c r="J43" i="59"/>
  <c r="J69" i="59"/>
  <c r="J61" i="59"/>
  <c r="J45" i="59"/>
  <c r="J29" i="59"/>
  <c r="J25" i="59"/>
  <c r="J21" i="59"/>
  <c r="J19" i="59"/>
  <c r="J17" i="59"/>
  <c r="J15" i="59"/>
  <c r="L15" i="59"/>
  <c r="L19" i="59"/>
  <c r="N19" i="59" s="1"/>
  <c r="J38" i="59"/>
  <c r="J40" i="59"/>
  <c r="F68" i="59"/>
  <c r="Z29" i="60"/>
  <c r="V40" i="60"/>
  <c r="V50" i="60"/>
  <c r="X57" i="60"/>
  <c r="D62" i="61"/>
  <c r="L16" i="61"/>
  <c r="V16" i="61"/>
  <c r="L19" i="61"/>
  <c r="N19" i="61" s="1"/>
  <c r="Z44" i="61"/>
  <c r="V32" i="56"/>
  <c r="V36" i="56"/>
  <c r="V44" i="56"/>
  <c r="V52" i="56"/>
  <c r="V60" i="56"/>
  <c r="J64" i="56"/>
  <c r="V68" i="56"/>
  <c r="V76" i="56"/>
  <c r="J80" i="56"/>
  <c r="J82" i="56"/>
  <c r="V71" i="57"/>
  <c r="V72" i="57"/>
  <c r="V64" i="57"/>
  <c r="V56" i="57"/>
  <c r="V85" i="57"/>
  <c r="V82" i="57"/>
  <c r="V80" i="57"/>
  <c r="V54" i="57"/>
  <c r="V14" i="57"/>
  <c r="V16" i="57"/>
  <c r="V18" i="57"/>
  <c r="J26" i="57"/>
  <c r="X29" i="57"/>
  <c r="F31" i="57"/>
  <c r="F35" i="57"/>
  <c r="F39" i="57"/>
  <c r="J40" i="57"/>
  <c r="X46" i="57"/>
  <c r="Z46" i="57" s="1"/>
  <c r="F48" i="57"/>
  <c r="J49" i="57"/>
  <c r="F58" i="57"/>
  <c r="R63" i="57"/>
  <c r="F67" i="57"/>
  <c r="J70" i="57"/>
  <c r="R82" i="57"/>
  <c r="Z41" i="58"/>
  <c r="F46" i="58"/>
  <c r="V50" i="58"/>
  <c r="V67" i="58"/>
  <c r="Z70" i="58"/>
  <c r="Z72" i="58"/>
  <c r="J26" i="54"/>
  <c r="J28" i="54"/>
  <c r="J29" i="54"/>
  <c r="J21" i="56"/>
  <c r="J25" i="56"/>
  <c r="V41" i="56"/>
  <c r="J47" i="56"/>
  <c r="V53" i="56"/>
  <c r="V61" i="56"/>
  <c r="V73" i="56"/>
  <c r="X12" i="57"/>
  <c r="V19" i="57"/>
  <c r="V23" i="57"/>
  <c r="V27" i="57"/>
  <c r="J31" i="57"/>
  <c r="R32" i="57"/>
  <c r="J35" i="57"/>
  <c r="R36" i="57"/>
  <c r="J39" i="57"/>
  <c r="V43" i="57"/>
  <c r="R55" i="57"/>
  <c r="N58" i="57"/>
  <c r="V60" i="57"/>
  <c r="F62" i="57"/>
  <c r="V63" i="57"/>
  <c r="V68" i="57"/>
  <c r="R76" i="57"/>
  <c r="F80" i="57"/>
  <c r="V16" i="58"/>
  <c r="V25" i="58"/>
  <c r="L30" i="58"/>
  <c r="N30" i="58" s="1"/>
  <c r="F33" i="58"/>
  <c r="F36" i="58"/>
  <c r="F39" i="58"/>
  <c r="V41" i="58"/>
  <c r="F52" i="58"/>
  <c r="L64" i="58"/>
  <c r="V51" i="59"/>
  <c r="V27" i="59"/>
  <c r="V23" i="59"/>
  <c r="V76" i="59"/>
  <c r="V66" i="59"/>
  <c r="V58" i="59"/>
  <c r="V50" i="59"/>
  <c r="V42" i="59"/>
  <c r="V65" i="59"/>
  <c r="V57" i="59"/>
  <c r="V53" i="59"/>
  <c r="V41" i="59"/>
  <c r="V37" i="59"/>
  <c r="V33" i="59"/>
  <c r="V67" i="59"/>
  <c r="V59" i="59"/>
  <c r="V43" i="59"/>
  <c r="V19" i="59"/>
  <c r="V17" i="59"/>
  <c r="V15" i="59"/>
  <c r="V69" i="59"/>
  <c r="V61" i="59"/>
  <c r="V45" i="59"/>
  <c r="V29" i="59"/>
  <c r="V25" i="59"/>
  <c r="V21" i="59"/>
  <c r="V63" i="59"/>
  <c r="V55" i="59"/>
  <c r="V47" i="59"/>
  <c r="V39" i="59"/>
  <c r="V35" i="59"/>
  <c r="V31" i="59"/>
  <c r="V49" i="59"/>
  <c r="V20" i="59"/>
  <c r="V30" i="59"/>
  <c r="V32" i="59"/>
  <c r="V34" i="59"/>
  <c r="V36" i="59"/>
  <c r="V38" i="59"/>
  <c r="N47" i="59"/>
  <c r="L49" i="59"/>
  <c r="N49" i="59" s="1"/>
  <c r="N53" i="59"/>
  <c r="J68" i="59"/>
  <c r="Z19" i="61"/>
  <c r="X19" i="61"/>
  <c r="N58" i="67"/>
  <c r="L12" i="55"/>
  <c r="F27" i="55"/>
  <c r="V22" i="56"/>
  <c r="V26" i="56"/>
  <c r="J34" i="56"/>
  <c r="J38" i="56"/>
  <c r="V42" i="56"/>
  <c r="J46" i="56"/>
  <c r="V50" i="56"/>
  <c r="J58" i="56"/>
  <c r="V66" i="56"/>
  <c r="J70" i="56"/>
  <c r="V74" i="56"/>
  <c r="V84" i="56"/>
  <c r="V86" i="56"/>
  <c r="Z12" i="57"/>
  <c r="F21" i="57"/>
  <c r="F25" i="57"/>
  <c r="V32" i="57"/>
  <c r="V36" i="57"/>
  <c r="R41" i="57"/>
  <c r="R42" i="57"/>
  <c r="V44" i="57"/>
  <c r="R50" i="57"/>
  <c r="J53" i="57"/>
  <c r="V55" i="57"/>
  <c r="F57" i="57"/>
  <c r="J58" i="57"/>
  <c r="V59" i="57"/>
  <c r="J62" i="57"/>
  <c r="F66" i="57"/>
  <c r="R71" i="57"/>
  <c r="F74" i="57"/>
  <c r="J80" i="57"/>
  <c r="F77" i="58"/>
  <c r="F75" i="58"/>
  <c r="F66" i="58"/>
  <c r="F58" i="58"/>
  <c r="F50" i="58"/>
  <c r="F49" i="58"/>
  <c r="F26" i="58"/>
  <c r="F22" i="58"/>
  <c r="F79" i="58"/>
  <c r="F67" i="58"/>
  <c r="F27" i="58"/>
  <c r="F23" i="58"/>
  <c r="F69" i="58"/>
  <c r="F68" i="58"/>
  <c r="F61" i="58"/>
  <c r="F56" i="58"/>
  <c r="F55" i="58"/>
  <c r="F44" i="58"/>
  <c r="F43" i="58"/>
  <c r="F28" i="58"/>
  <c r="F24" i="58"/>
  <c r="F20" i="58"/>
  <c r="F19" i="58"/>
  <c r="F71" i="58"/>
  <c r="F70" i="58"/>
  <c r="F73" i="58"/>
  <c r="F72" i="58"/>
  <c r="F65" i="58"/>
  <c r="F64" i="58"/>
  <c r="F57" i="58"/>
  <c r="F29" i="58"/>
  <c r="F25" i="58"/>
  <c r="F21" i="58"/>
  <c r="L19" i="58"/>
  <c r="V20" i="58"/>
  <c r="X43" i="58"/>
  <c r="Z43" i="58" s="1"/>
  <c r="V56" i="58"/>
  <c r="N64" i="58"/>
  <c r="V75" i="58"/>
  <c r="Z19" i="59"/>
  <c r="V40" i="59"/>
  <c r="X47" i="59"/>
  <c r="Z47" i="59" s="1"/>
  <c r="X53" i="59"/>
  <c r="Z53" i="59" s="1"/>
  <c r="J14" i="61"/>
  <c r="J22" i="61"/>
  <c r="J24" i="61"/>
  <c r="V38" i="61"/>
  <c r="J40" i="61"/>
  <c r="F72" i="79"/>
  <c r="F60" i="79"/>
  <c r="F59" i="79"/>
  <c r="F48" i="79"/>
  <c r="F47" i="79"/>
  <c r="F32" i="79"/>
  <c r="F28" i="79"/>
  <c r="F82" i="79"/>
  <c r="F80" i="79"/>
  <c r="F67" i="79"/>
  <c r="F66" i="79"/>
  <c r="F19" i="79"/>
  <c r="F84" i="79"/>
  <c r="F50" i="79"/>
  <c r="F49" i="79"/>
  <c r="F42" i="79"/>
  <c r="F68" i="79"/>
  <c r="F52" i="79"/>
  <c r="F51" i="79"/>
  <c r="F74" i="79"/>
  <c r="F62" i="79"/>
  <c r="F54" i="79"/>
  <c r="F53" i="79"/>
  <c r="F30" i="79"/>
  <c r="F26" i="79"/>
  <c r="F25" i="79"/>
  <c r="F69" i="79"/>
  <c r="F24" i="79"/>
  <c r="F22" i="79"/>
  <c r="F78" i="79"/>
  <c r="F77" i="79"/>
  <c r="F58" i="79"/>
  <c r="F57" i="79"/>
  <c r="F46" i="79"/>
  <c r="F45" i="79"/>
  <c r="F18" i="79"/>
  <c r="F17" i="79"/>
  <c r="F27" i="79"/>
  <c r="F40" i="79"/>
  <c r="F65" i="79"/>
  <c r="F44" i="79"/>
  <c r="F38" i="79"/>
  <c r="F33" i="79"/>
  <c r="L12" i="79"/>
  <c r="F36" i="79"/>
  <c r="F75" i="79"/>
  <c r="F70" i="79"/>
  <c r="F63" i="79"/>
  <c r="F56" i="79"/>
  <c r="F73" i="79"/>
  <c r="F89" i="79"/>
  <c r="F61" i="79"/>
  <c r="F41" i="79"/>
  <c r="F34" i="79"/>
  <c r="F31" i="79"/>
  <c r="F20" i="79"/>
  <c r="F39" i="79"/>
  <c r="F71" i="79"/>
  <c r="F43" i="79"/>
  <c r="F37" i="79"/>
  <c r="F35" i="79"/>
  <c r="F29" i="79"/>
  <c r="F76" i="79"/>
  <c r="F86" i="79"/>
  <c r="D22" i="79"/>
  <c r="F64" i="79"/>
  <c r="F55" i="79"/>
  <c r="J30" i="58"/>
  <c r="J48" i="58"/>
  <c r="R79" i="58"/>
  <c r="X12" i="59"/>
  <c r="Z12" i="59" s="1"/>
  <c r="R22" i="59"/>
  <c r="R26" i="59"/>
  <c r="R30" i="59"/>
  <c r="R31" i="59"/>
  <c r="R46" i="59"/>
  <c r="R47" i="59"/>
  <c r="R62" i="59"/>
  <c r="R63" i="59"/>
  <c r="R70" i="59"/>
  <c r="H16" i="60"/>
  <c r="F19" i="60"/>
  <c r="F20" i="60"/>
  <c r="F24" i="60"/>
  <c r="F28" i="60"/>
  <c r="J29" i="60"/>
  <c r="J47" i="60"/>
  <c r="R48" i="60"/>
  <c r="R56" i="60"/>
  <c r="R57" i="60"/>
  <c r="F58" i="61"/>
  <c r="F57" i="61"/>
  <c r="L14" i="61"/>
  <c r="R30" i="61"/>
  <c r="R34" i="61"/>
  <c r="R38" i="61"/>
  <c r="F53" i="61"/>
  <c r="F54" i="61"/>
  <c r="X14" i="63"/>
  <c r="N19" i="63"/>
  <c r="J24" i="63"/>
  <c r="X42" i="63"/>
  <c r="Z42" i="63" s="1"/>
  <c r="N47" i="63"/>
  <c r="J52" i="63"/>
  <c r="J58" i="63"/>
  <c r="J65" i="63"/>
  <c r="R66" i="63"/>
  <c r="R74" i="63"/>
  <c r="V90" i="63"/>
  <c r="V101" i="63"/>
  <c r="X14" i="67"/>
  <c r="R19" i="67"/>
  <c r="J23" i="67"/>
  <c r="V39" i="67"/>
  <c r="V45" i="67"/>
  <c r="V47" i="67"/>
  <c r="V54" i="67"/>
  <c r="R65" i="67"/>
  <c r="J72" i="67"/>
  <c r="D12" i="68"/>
  <c r="Z127" i="68"/>
  <c r="X127" i="68"/>
  <c r="V127" i="68"/>
  <c r="N25" i="69"/>
  <c r="J25" i="69"/>
  <c r="L74" i="69"/>
  <c r="F64" i="60"/>
  <c r="P16" i="61"/>
  <c r="R20" i="61"/>
  <c r="R24" i="61"/>
  <c r="R28" i="61"/>
  <c r="R29" i="61"/>
  <c r="J100" i="63"/>
  <c r="J92" i="63"/>
  <c r="J88" i="63"/>
  <c r="J76" i="63"/>
  <c r="J66" i="63"/>
  <c r="J56" i="63"/>
  <c r="J42" i="63"/>
  <c r="J36" i="63"/>
  <c r="J32" i="63"/>
  <c r="N12" i="63"/>
  <c r="J113" i="63"/>
  <c r="J67" i="63"/>
  <c r="J43" i="63"/>
  <c r="J27" i="63"/>
  <c r="J23" i="63"/>
  <c r="J118" i="63"/>
  <c r="J115" i="63"/>
  <c r="J101" i="63"/>
  <c r="J93" i="63"/>
  <c r="J89" i="63"/>
  <c r="J83" i="63"/>
  <c r="J77" i="63"/>
  <c r="J69" i="63"/>
  <c r="J57" i="63"/>
  <c r="J37" i="63"/>
  <c r="J33" i="63"/>
  <c r="J19" i="63"/>
  <c r="J103" i="63"/>
  <c r="J95" i="63"/>
  <c r="J71" i="63"/>
  <c r="J59" i="63"/>
  <c r="J51" i="63"/>
  <c r="J45" i="63"/>
  <c r="J29" i="63"/>
  <c r="J108" i="63"/>
  <c r="J99" i="63"/>
  <c r="J91" i="63"/>
  <c r="J87" i="63"/>
  <c r="J75" i="63"/>
  <c r="J63" i="63"/>
  <c r="J39" i="63"/>
  <c r="J35" i="63"/>
  <c r="J31" i="63"/>
  <c r="V14" i="63"/>
  <c r="N29" i="63"/>
  <c r="V34" i="63"/>
  <c r="J49" i="63"/>
  <c r="V66" i="63"/>
  <c r="V74" i="63"/>
  <c r="V81" i="63"/>
  <c r="N83" i="63"/>
  <c r="J97" i="63"/>
  <c r="V14" i="67"/>
  <c r="L115" i="68"/>
  <c r="N115" i="68" s="1"/>
  <c r="J115" i="68"/>
  <c r="X61" i="80"/>
  <c r="Z61" i="80" s="1"/>
  <c r="H16" i="58"/>
  <c r="J45" i="58"/>
  <c r="R48" i="58"/>
  <c r="R49" i="58"/>
  <c r="J63" i="58"/>
  <c r="J71" i="58"/>
  <c r="R75" i="58"/>
  <c r="R77" i="58"/>
  <c r="P17" i="59"/>
  <c r="R21" i="59"/>
  <c r="R25" i="59"/>
  <c r="R29" i="59"/>
  <c r="R45" i="59"/>
  <c r="R61" i="59"/>
  <c r="R69" i="59"/>
  <c r="F23" i="60"/>
  <c r="F27" i="60"/>
  <c r="F42" i="60"/>
  <c r="F43" i="60"/>
  <c r="J44" i="60"/>
  <c r="R47" i="60"/>
  <c r="F50" i="60"/>
  <c r="F51" i="60"/>
  <c r="J52" i="60"/>
  <c r="F60" i="60"/>
  <c r="F62" i="60"/>
  <c r="J64" i="60"/>
  <c r="R14" i="61"/>
  <c r="R16" i="61"/>
  <c r="R18" i="61"/>
  <c r="R33" i="61"/>
  <c r="R37" i="61"/>
  <c r="F40" i="61"/>
  <c r="F41" i="61"/>
  <c r="R45" i="61"/>
  <c r="F64" i="61"/>
  <c r="L12" i="63"/>
  <c r="R19" i="63"/>
  <c r="J21" i="63"/>
  <c r="J26" i="63"/>
  <c r="V36" i="63"/>
  <c r="R41" i="63"/>
  <c r="V42" i="63"/>
  <c r="X47" i="63"/>
  <c r="Z47" i="63" s="1"/>
  <c r="R52" i="63"/>
  <c r="J54" i="63"/>
  <c r="R62" i="63"/>
  <c r="V65" i="63"/>
  <c r="J68" i="63"/>
  <c r="V70" i="63"/>
  <c r="J72" i="63"/>
  <c r="J80" i="63"/>
  <c r="J86" i="63"/>
  <c r="R87" i="63"/>
  <c r="X94" i="63"/>
  <c r="Z94" i="63" s="1"/>
  <c r="L16" i="67"/>
  <c r="D65" i="67"/>
  <c r="Z18" i="67"/>
  <c r="J44" i="67"/>
  <c r="L46" i="67"/>
  <c r="N46" i="67" s="1"/>
  <c r="H130" i="68"/>
  <c r="N65" i="70"/>
  <c r="L116" i="70"/>
  <c r="N116" i="70" s="1"/>
  <c r="R65" i="58"/>
  <c r="R73" i="58"/>
  <c r="R34" i="59"/>
  <c r="R38" i="59"/>
  <c r="R54" i="59"/>
  <c r="L12" i="60"/>
  <c r="F32" i="60"/>
  <c r="F36" i="60"/>
  <c r="R62" i="61"/>
  <c r="R60" i="61"/>
  <c r="R64" i="61"/>
  <c r="R57" i="61"/>
  <c r="R56" i="61"/>
  <c r="R19" i="61"/>
  <c r="F22" i="61"/>
  <c r="F26" i="61"/>
  <c r="R54" i="61"/>
  <c r="R55" i="61"/>
  <c r="R66" i="61"/>
  <c r="R102" i="63"/>
  <c r="R101" i="63"/>
  <c r="R94" i="63"/>
  <c r="R93" i="63"/>
  <c r="R89" i="63"/>
  <c r="R77" i="63"/>
  <c r="R70" i="63"/>
  <c r="R69" i="63"/>
  <c r="R58" i="63"/>
  <c r="R57" i="63"/>
  <c r="R37" i="63"/>
  <c r="R33" i="63"/>
  <c r="R18" i="63"/>
  <c r="R16" i="63"/>
  <c r="R14" i="63"/>
  <c r="R84" i="63"/>
  <c r="R45" i="63"/>
  <c r="R44" i="63"/>
  <c r="R29" i="63"/>
  <c r="R28" i="63"/>
  <c r="R24" i="63"/>
  <c r="R20" i="63"/>
  <c r="R106" i="63"/>
  <c r="R105" i="63"/>
  <c r="R90" i="63"/>
  <c r="R79" i="63"/>
  <c r="R78" i="63"/>
  <c r="R47" i="63"/>
  <c r="R46" i="63"/>
  <c r="R38" i="63"/>
  <c r="R34" i="63"/>
  <c r="R30" i="63"/>
  <c r="R108" i="63"/>
  <c r="R80" i="63"/>
  <c r="R48" i="63"/>
  <c r="R100" i="63"/>
  <c r="R92" i="63"/>
  <c r="R88" i="63"/>
  <c r="R76" i="63"/>
  <c r="R56" i="63"/>
  <c r="R36" i="63"/>
  <c r="R32" i="63"/>
  <c r="X12" i="63"/>
  <c r="D16" i="63"/>
  <c r="J18" i="63"/>
  <c r="V38" i="63"/>
  <c r="V41" i="63"/>
  <c r="R49" i="63"/>
  <c r="R55" i="63"/>
  <c r="V58" i="63"/>
  <c r="J60" i="63"/>
  <c r="R61" i="63"/>
  <c r="J64" i="63"/>
  <c r="V69" i="63"/>
  <c r="N72" i="63"/>
  <c r="V78" i="63"/>
  <c r="V89" i="63"/>
  <c r="R97" i="63"/>
  <c r="R103" i="63"/>
  <c r="J109" i="63"/>
  <c r="J61" i="67"/>
  <c r="J45" i="67"/>
  <c r="J37" i="67"/>
  <c r="J33" i="67"/>
  <c r="J19" i="67"/>
  <c r="J46" i="67"/>
  <c r="J28" i="67"/>
  <c r="J24" i="67"/>
  <c r="J20" i="67"/>
  <c r="J18" i="67"/>
  <c r="J16" i="67"/>
  <c r="J14" i="67"/>
  <c r="J63" i="67"/>
  <c r="J55" i="67"/>
  <c r="J47" i="67"/>
  <c r="J65" i="67"/>
  <c r="J48" i="67"/>
  <c r="J38" i="67"/>
  <c r="J34" i="67"/>
  <c r="J30" i="67"/>
  <c r="J49" i="67"/>
  <c r="J25" i="67"/>
  <c r="J56" i="67"/>
  <c r="J50" i="67"/>
  <c r="J67" i="67"/>
  <c r="J51" i="67"/>
  <c r="J39" i="67"/>
  <c r="J35" i="67"/>
  <c r="J31" i="67"/>
  <c r="J69" i="67"/>
  <c r="J58" i="67"/>
  <c r="J52" i="67"/>
  <c r="J42" i="67"/>
  <c r="J36" i="67"/>
  <c r="J32" i="67"/>
  <c r="N12" i="67"/>
  <c r="V18" i="67"/>
  <c r="V30" i="67"/>
  <c r="V34" i="67"/>
  <c r="J57" i="67"/>
  <c r="J60" i="67"/>
  <c r="N70" i="75"/>
  <c r="L70" i="75"/>
  <c r="V96" i="63"/>
  <c r="V84" i="63"/>
  <c r="V72" i="63"/>
  <c r="V60" i="63"/>
  <c r="V52" i="63"/>
  <c r="V44" i="63"/>
  <c r="V28" i="63"/>
  <c r="V24" i="63"/>
  <c r="V20" i="63"/>
  <c r="V105" i="63"/>
  <c r="V103" i="63"/>
  <c r="V95" i="63"/>
  <c r="V79" i="63"/>
  <c r="V71" i="63"/>
  <c r="V59" i="63"/>
  <c r="V51" i="63"/>
  <c r="V47" i="63"/>
  <c r="V107" i="63"/>
  <c r="V97" i="63"/>
  <c r="V85" i="63"/>
  <c r="V73" i="63"/>
  <c r="V61" i="63"/>
  <c r="V53" i="63"/>
  <c r="V25" i="63"/>
  <c r="V21" i="63"/>
  <c r="V111" i="63"/>
  <c r="V109" i="63"/>
  <c r="V99" i="63"/>
  <c r="V91" i="63"/>
  <c r="V87" i="63"/>
  <c r="V75" i="63"/>
  <c r="V63" i="63"/>
  <c r="V55" i="63"/>
  <c r="V39" i="63"/>
  <c r="V35" i="63"/>
  <c r="V31" i="63"/>
  <c r="V118" i="63"/>
  <c r="V115" i="63"/>
  <c r="V113" i="63"/>
  <c r="V83" i="63"/>
  <c r="V67" i="63"/>
  <c r="V43" i="63"/>
  <c r="V27" i="63"/>
  <c r="V23" i="63"/>
  <c r="V19" i="63"/>
  <c r="V49" i="63"/>
  <c r="V57" i="63"/>
  <c r="V62" i="63"/>
  <c r="V94" i="63"/>
  <c r="V100" i="63"/>
  <c r="J81" i="73"/>
  <c r="J42" i="58"/>
  <c r="J54" i="58"/>
  <c r="R63" i="58"/>
  <c r="R64" i="58"/>
  <c r="J68" i="58"/>
  <c r="R71" i="58"/>
  <c r="R72" i="58"/>
  <c r="R24" i="59"/>
  <c r="R28" i="59"/>
  <c r="R52" i="59"/>
  <c r="R53" i="59"/>
  <c r="R19" i="60"/>
  <c r="F22" i="60"/>
  <c r="F26" i="60"/>
  <c r="J41" i="60"/>
  <c r="J49" i="60"/>
  <c r="F57" i="60"/>
  <c r="F58" i="60"/>
  <c r="R64" i="60"/>
  <c r="X12" i="61"/>
  <c r="R32" i="61"/>
  <c r="R36" i="61"/>
  <c r="R52" i="61"/>
  <c r="R53" i="61"/>
  <c r="Z12" i="63"/>
  <c r="H16" i="63"/>
  <c r="X18" i="63"/>
  <c r="Z18" i="63" s="1"/>
  <c r="R26" i="63"/>
  <c r="J28" i="63"/>
  <c r="V29" i="63"/>
  <c r="R54" i="63"/>
  <c r="X55" i="63"/>
  <c r="Z55" i="63" s="1"/>
  <c r="R72" i="63"/>
  <c r="V80" i="63"/>
  <c r="J82" i="63"/>
  <c r="R72" i="67"/>
  <c r="R69" i="67"/>
  <c r="R38" i="67"/>
  <c r="R34" i="67"/>
  <c r="R30" i="67"/>
  <c r="R50" i="67"/>
  <c r="R49" i="67"/>
  <c r="R25" i="67"/>
  <c r="R21" i="67"/>
  <c r="R56" i="67"/>
  <c r="R67" i="67"/>
  <c r="R51" i="67"/>
  <c r="R40" i="67"/>
  <c r="R39" i="67"/>
  <c r="R35" i="67"/>
  <c r="R31" i="67"/>
  <c r="R26" i="67"/>
  <c r="R58" i="67"/>
  <c r="R57" i="67"/>
  <c r="R42" i="67"/>
  <c r="R41" i="67"/>
  <c r="R53" i="67"/>
  <c r="R52" i="67"/>
  <c r="R36" i="67"/>
  <c r="R32" i="67"/>
  <c r="X12" i="67"/>
  <c r="R61" i="67"/>
  <c r="R46" i="67"/>
  <c r="R45" i="67"/>
  <c r="R37" i="67"/>
  <c r="R33" i="67"/>
  <c r="R18" i="67"/>
  <c r="R16" i="67"/>
  <c r="R14" i="67"/>
  <c r="N16" i="67"/>
  <c r="J22" i="67"/>
  <c r="J29" i="67"/>
  <c r="R44" i="67"/>
  <c r="X46" i="67"/>
  <c r="N110" i="68"/>
  <c r="X100" i="70"/>
  <c r="Z100" i="70" s="1"/>
  <c r="X55" i="61"/>
  <c r="Z55" i="61" s="1"/>
  <c r="V26" i="63"/>
  <c r="V33" i="63"/>
  <c r="V54" i="63"/>
  <c r="V93" i="63"/>
  <c r="J102" i="63"/>
  <c r="V65" i="67"/>
  <c r="V63" i="67"/>
  <c r="V49" i="67"/>
  <c r="V25" i="67"/>
  <c r="V21" i="67"/>
  <c r="V56" i="67"/>
  <c r="V40" i="67"/>
  <c r="V67" i="67"/>
  <c r="V51" i="67"/>
  <c r="V58" i="67"/>
  <c r="V42" i="67"/>
  <c r="V26" i="67"/>
  <c r="V22" i="67"/>
  <c r="V69" i="67"/>
  <c r="V57" i="67"/>
  <c r="V53" i="67"/>
  <c r="V41" i="67"/>
  <c r="V60" i="67"/>
  <c r="V52" i="67"/>
  <c r="V44" i="67"/>
  <c r="V36" i="67"/>
  <c r="V32" i="67"/>
  <c r="Z12" i="67"/>
  <c r="V72" i="67"/>
  <c r="V59" i="67"/>
  <c r="V43" i="67"/>
  <c r="V27" i="67"/>
  <c r="V23" i="67"/>
  <c r="V19" i="67"/>
  <c r="V48" i="67"/>
  <c r="V28" i="67"/>
  <c r="V24" i="67"/>
  <c r="V20" i="67"/>
  <c r="P65" i="67"/>
  <c r="Z44" i="67"/>
  <c r="Z46" i="67"/>
  <c r="Z55" i="69"/>
  <c r="X55" i="69"/>
  <c r="R50" i="59"/>
  <c r="R51" i="59"/>
  <c r="R76" i="59"/>
  <c r="F48" i="60"/>
  <c r="F55" i="60"/>
  <c r="F56" i="60"/>
  <c r="R22" i="61"/>
  <c r="R26" i="61"/>
  <c r="F29" i="61"/>
  <c r="F30" i="61"/>
  <c r="F34" i="61"/>
  <c r="F38" i="61"/>
  <c r="F69" i="61"/>
  <c r="V18" i="63"/>
  <c r="J20" i="63"/>
  <c r="R23" i="63"/>
  <c r="R40" i="63"/>
  <c r="V46" i="63"/>
  <c r="J50" i="63"/>
  <c r="R67" i="63"/>
  <c r="R71" i="63"/>
  <c r="J74" i="63"/>
  <c r="R75" i="63"/>
  <c r="V77" i="63"/>
  <c r="N79" i="63"/>
  <c r="R82" i="63"/>
  <c r="R85" i="63"/>
  <c r="R96" i="63"/>
  <c r="N105" i="63"/>
  <c r="V106" i="63"/>
  <c r="R118" i="63"/>
  <c r="L14" i="67"/>
  <c r="T16" i="67"/>
  <c r="X16" i="67" s="1"/>
  <c r="R22" i="67"/>
  <c r="J26" i="67"/>
  <c r="R43" i="67"/>
  <c r="V46" i="67"/>
  <c r="R48" i="67"/>
  <c r="N50" i="67"/>
  <c r="J54" i="67"/>
  <c r="R60" i="67"/>
  <c r="R63" i="67"/>
  <c r="V55" i="69"/>
  <c r="R19" i="58"/>
  <c r="R42" i="58"/>
  <c r="R43" i="58"/>
  <c r="J51" i="58"/>
  <c r="R54" i="58"/>
  <c r="R55" i="58"/>
  <c r="J59" i="58"/>
  <c r="R23" i="59"/>
  <c r="R27" i="59"/>
  <c r="F21" i="60"/>
  <c r="F25" i="60"/>
  <c r="R41" i="60"/>
  <c r="R42" i="60"/>
  <c r="J48" i="60"/>
  <c r="R49" i="60"/>
  <c r="R50" i="60"/>
  <c r="J56" i="60"/>
  <c r="R60" i="60"/>
  <c r="R62" i="60"/>
  <c r="R31" i="61"/>
  <c r="R35" i="61"/>
  <c r="R39" i="61"/>
  <c r="R40" i="61"/>
  <c r="F46" i="61"/>
  <c r="F47" i="61"/>
  <c r="R51" i="61"/>
  <c r="F56" i="61"/>
  <c r="L60" i="61"/>
  <c r="P16" i="63"/>
  <c r="J22" i="63"/>
  <c r="R35" i="63"/>
  <c r="V37" i="63"/>
  <c r="R43" i="63"/>
  <c r="N45" i="63"/>
  <c r="L52" i="63"/>
  <c r="N52" i="63" s="1"/>
  <c r="J53" i="63"/>
  <c r="R59" i="63"/>
  <c r="V64" i="63"/>
  <c r="V68" i="63"/>
  <c r="J79" i="63"/>
  <c r="V82" i="63"/>
  <c r="V86" i="63"/>
  <c r="V88" i="63"/>
  <c r="J90" i="63"/>
  <c r="X102" i="63"/>
  <c r="Z102" i="63" s="1"/>
  <c r="J105" i="63"/>
  <c r="V16" i="67"/>
  <c r="R29" i="67"/>
  <c r="Z60" i="67"/>
  <c r="H69" i="67"/>
  <c r="X88" i="68"/>
  <c r="R67" i="58"/>
  <c r="R32" i="59"/>
  <c r="R36" i="59"/>
  <c r="R40" i="59"/>
  <c r="R48" i="59"/>
  <c r="R49" i="59"/>
  <c r="R56" i="59"/>
  <c r="D16" i="60"/>
  <c r="J21" i="60"/>
  <c r="R22" i="60"/>
  <c r="J25" i="60"/>
  <c r="R26" i="60"/>
  <c r="F29" i="60"/>
  <c r="F30" i="60"/>
  <c r="F34" i="60"/>
  <c r="F38" i="60"/>
  <c r="F19" i="61"/>
  <c r="F20" i="61"/>
  <c r="F24" i="61"/>
  <c r="F28" i="61"/>
  <c r="F55" i="61"/>
  <c r="F60" i="61"/>
  <c r="J14" i="63"/>
  <c r="T16" i="63"/>
  <c r="R25" i="63"/>
  <c r="J30" i="63"/>
  <c r="V40" i="63"/>
  <c r="V48" i="63"/>
  <c r="R50" i="63"/>
  <c r="V56" i="63"/>
  <c r="J81" i="63"/>
  <c r="J84" i="63"/>
  <c r="R95" i="63"/>
  <c r="J98" i="63"/>
  <c r="J111" i="63"/>
  <c r="V31" i="67"/>
  <c r="V33" i="67"/>
  <c r="R59" i="67"/>
  <c r="Z88" i="68"/>
  <c r="X66" i="70"/>
  <c r="Z66" i="70" s="1"/>
  <c r="F47" i="63"/>
  <c r="F48" i="63"/>
  <c r="F79" i="63"/>
  <c r="F80" i="63"/>
  <c r="F105" i="63"/>
  <c r="F107" i="63"/>
  <c r="F57" i="67"/>
  <c r="P12" i="68"/>
  <c r="N118" i="68"/>
  <c r="F29" i="69"/>
  <c r="V37" i="69"/>
  <c r="F41" i="69"/>
  <c r="Z50" i="69"/>
  <c r="V65" i="69"/>
  <c r="V70" i="69"/>
  <c r="V100" i="70"/>
  <c r="V102" i="70"/>
  <c r="V126" i="70"/>
  <c r="V133" i="70"/>
  <c r="D12" i="72"/>
  <c r="L57" i="72"/>
  <c r="N57" i="72" s="1"/>
  <c r="Z57" i="74"/>
  <c r="V57" i="74"/>
  <c r="X99" i="68"/>
  <c r="N101" i="68"/>
  <c r="L101" i="68"/>
  <c r="Z118" i="68"/>
  <c r="F69" i="69"/>
  <c r="F68" i="69"/>
  <c r="F53" i="69"/>
  <c r="F52" i="69"/>
  <c r="F24" i="69"/>
  <c r="F22" i="69"/>
  <c r="F79" i="69"/>
  <c r="F77" i="69"/>
  <c r="F44" i="69"/>
  <c r="F40" i="69"/>
  <c r="F36" i="69"/>
  <c r="F35" i="69"/>
  <c r="D22" i="69"/>
  <c r="F81" i="69"/>
  <c r="F63" i="69"/>
  <c r="F31" i="69"/>
  <c r="F27" i="69"/>
  <c r="F70" i="69"/>
  <c r="F65" i="69"/>
  <c r="F64" i="69"/>
  <c r="F86" i="69"/>
  <c r="F83" i="69"/>
  <c r="F56" i="69"/>
  <c r="F55" i="69"/>
  <c r="F32" i="69"/>
  <c r="F28" i="69"/>
  <c r="F71" i="69"/>
  <c r="F47" i="69"/>
  <c r="F46" i="69"/>
  <c r="F19" i="69"/>
  <c r="F66" i="69"/>
  <c r="F58" i="69"/>
  <c r="F57" i="69"/>
  <c r="F42" i="69"/>
  <c r="F38" i="69"/>
  <c r="L12" i="69"/>
  <c r="F17" i="69"/>
  <c r="X25" i="69"/>
  <c r="Z25" i="69" s="1"/>
  <c r="V52" i="69"/>
  <c r="L59" i="69"/>
  <c r="N59" i="69" s="1"/>
  <c r="N64" i="69"/>
  <c r="V81" i="69"/>
  <c r="X65" i="70"/>
  <c r="X90" i="70"/>
  <c r="P125" i="70"/>
  <c r="X125" i="70" s="1"/>
  <c r="Z125" i="70" s="1"/>
  <c r="Z71" i="72"/>
  <c r="X71" i="72"/>
  <c r="F83" i="75"/>
  <c r="F82" i="75"/>
  <c r="F71" i="75"/>
  <c r="F70" i="75"/>
  <c r="F59" i="75"/>
  <c r="F58" i="75"/>
  <c r="F43" i="75"/>
  <c r="F39" i="75"/>
  <c r="F78" i="75"/>
  <c r="F61" i="75"/>
  <c r="F60" i="75"/>
  <c r="F79" i="75"/>
  <c r="F63" i="75"/>
  <c r="F62" i="75"/>
  <c r="F34" i="75"/>
  <c r="F30" i="75"/>
  <c r="F86" i="75"/>
  <c r="F85" i="75"/>
  <c r="F74" i="75"/>
  <c r="F73" i="75"/>
  <c r="F54" i="75"/>
  <c r="F50" i="75"/>
  <c r="F46" i="75"/>
  <c r="F45" i="75"/>
  <c r="F65" i="75"/>
  <c r="F64" i="75"/>
  <c r="F41" i="75"/>
  <c r="F37" i="75"/>
  <c r="F89" i="75"/>
  <c r="F80" i="75"/>
  <c r="F81" i="75"/>
  <c r="F77" i="75"/>
  <c r="F76" i="75"/>
  <c r="F69" i="75"/>
  <c r="F68" i="75"/>
  <c r="F57" i="75"/>
  <c r="F56" i="75"/>
  <c r="F84" i="75"/>
  <c r="F52" i="75"/>
  <c r="F90" i="75"/>
  <c r="F67" i="75"/>
  <c r="F48" i="75"/>
  <c r="F40" i="75"/>
  <c r="F35" i="75"/>
  <c r="F38" i="75"/>
  <c r="L12" i="75"/>
  <c r="N12" i="75" s="1"/>
  <c r="F72" i="75"/>
  <c r="F94" i="75"/>
  <c r="F53" i="75"/>
  <c r="F49" i="75"/>
  <c r="D32" i="75"/>
  <c r="F75" i="75"/>
  <c r="F42" i="75"/>
  <c r="F55" i="75"/>
  <c r="F47" i="75"/>
  <c r="F66" i="75"/>
  <c r="F19" i="63"/>
  <c r="F20" i="63"/>
  <c r="F24" i="63"/>
  <c r="F28" i="63"/>
  <c r="F44" i="63"/>
  <c r="F83" i="63"/>
  <c r="F84" i="63"/>
  <c r="F115" i="63"/>
  <c r="F118" i="63"/>
  <c r="F21" i="67"/>
  <c r="F25" i="67"/>
  <c r="F48" i="67"/>
  <c r="F49" i="67"/>
  <c r="F65" i="67"/>
  <c r="V52" i="68"/>
  <c r="N77" i="68"/>
  <c r="J80" i="68"/>
  <c r="J82" i="68"/>
  <c r="J89" i="68"/>
  <c r="J101" i="68"/>
  <c r="Z110" i="68"/>
  <c r="N112" i="68"/>
  <c r="V118" i="68"/>
  <c r="J44" i="69"/>
  <c r="J40" i="69"/>
  <c r="J36" i="69"/>
  <c r="J81" i="69"/>
  <c r="J63" i="69"/>
  <c r="J31" i="69"/>
  <c r="J27" i="69"/>
  <c r="J17" i="69"/>
  <c r="J70" i="69"/>
  <c r="J64" i="69"/>
  <c r="J54" i="69"/>
  <c r="J18" i="69"/>
  <c r="J83" i="69"/>
  <c r="J71" i="69"/>
  <c r="J57" i="69"/>
  <c r="J47" i="69"/>
  <c r="J19" i="69"/>
  <c r="J72" i="69"/>
  <c r="J66" i="69"/>
  <c r="J58" i="69"/>
  <c r="J48" i="69"/>
  <c r="J42" i="69"/>
  <c r="J38" i="69"/>
  <c r="N12" i="69"/>
  <c r="J73" i="69"/>
  <c r="J59" i="69"/>
  <c r="J49" i="69"/>
  <c r="J33" i="69"/>
  <c r="J29" i="69"/>
  <c r="V25" i="69"/>
  <c r="V27" i="69"/>
  <c r="V29" i="69"/>
  <c r="V41" i="69"/>
  <c r="V46" i="69"/>
  <c r="F59" i="69"/>
  <c r="X64" i="69"/>
  <c r="Z74" i="69"/>
  <c r="V122" i="70"/>
  <c r="V127" i="70"/>
  <c r="V109" i="70"/>
  <c r="V101" i="70"/>
  <c r="V93" i="70"/>
  <c r="V85" i="70"/>
  <c r="V81" i="70"/>
  <c r="V77" i="70"/>
  <c r="V116" i="70"/>
  <c r="V108" i="70"/>
  <c r="V104" i="70"/>
  <c r="V92" i="70"/>
  <c r="V76" i="70"/>
  <c r="V72" i="70"/>
  <c r="V68" i="70"/>
  <c r="V131" i="70"/>
  <c r="V115" i="70"/>
  <c r="V103" i="70"/>
  <c r="V95" i="70"/>
  <c r="V59" i="70"/>
  <c r="V55" i="70"/>
  <c r="V51" i="70"/>
  <c r="V47" i="70"/>
  <c r="V110" i="70"/>
  <c r="V94" i="70"/>
  <c r="V86" i="70"/>
  <c r="V82" i="70"/>
  <c r="V78" i="70"/>
  <c r="V128" i="70"/>
  <c r="V117" i="70"/>
  <c r="V105" i="70"/>
  <c r="V97" i="70"/>
  <c r="V73" i="70"/>
  <c r="V69" i="70"/>
  <c r="V112" i="70"/>
  <c r="V96" i="70"/>
  <c r="V88" i="70"/>
  <c r="V60" i="70"/>
  <c r="V56" i="70"/>
  <c r="V52" i="70"/>
  <c r="V48" i="70"/>
  <c r="V44" i="70"/>
  <c r="V123" i="70"/>
  <c r="V119" i="70"/>
  <c r="V111" i="70"/>
  <c r="V87" i="70"/>
  <c r="V83" i="70"/>
  <c r="V79" i="70"/>
  <c r="V118" i="70"/>
  <c r="V106" i="70"/>
  <c r="V98" i="70"/>
  <c r="V90" i="70"/>
  <c r="V74" i="70"/>
  <c r="V70" i="70"/>
  <c r="V66" i="70"/>
  <c r="D12" i="70"/>
  <c r="V53" i="70"/>
  <c r="V71" i="70"/>
  <c r="N36" i="74"/>
  <c r="N97" i="74"/>
  <c r="Z99" i="68"/>
  <c r="V72" i="69"/>
  <c r="V56" i="69"/>
  <c r="V48" i="69"/>
  <c r="V32" i="69"/>
  <c r="V28" i="69"/>
  <c r="V71" i="69"/>
  <c r="V59" i="69"/>
  <c r="V47" i="69"/>
  <c r="V19" i="69"/>
  <c r="V74" i="69"/>
  <c r="V66" i="69"/>
  <c r="V58" i="69"/>
  <c r="V50" i="69"/>
  <c r="V42" i="69"/>
  <c r="V38" i="69"/>
  <c r="V73" i="69"/>
  <c r="V68" i="69"/>
  <c r="V60" i="69"/>
  <c r="V77" i="69"/>
  <c r="V75" i="69"/>
  <c r="V67" i="69"/>
  <c r="V51" i="69"/>
  <c r="V43" i="69"/>
  <c r="V39" i="69"/>
  <c r="V35" i="69"/>
  <c r="T22" i="69"/>
  <c r="V62" i="69"/>
  <c r="V34" i="69"/>
  <c r="V30" i="69"/>
  <c r="V26" i="69"/>
  <c r="V69" i="69"/>
  <c r="V53" i="69"/>
  <c r="V17" i="69"/>
  <c r="H86" i="69"/>
  <c r="J86" i="69" s="1"/>
  <c r="V31" i="69"/>
  <c r="V36" i="69"/>
  <c r="V57" i="69"/>
  <c r="Z65" i="70"/>
  <c r="Z90" i="70"/>
  <c r="N100" i="73"/>
  <c r="L100" i="73"/>
  <c r="J34" i="75"/>
  <c r="X15" i="76"/>
  <c r="P12" i="76"/>
  <c r="F50" i="63"/>
  <c r="F82" i="63"/>
  <c r="F46" i="67"/>
  <c r="F47" i="67"/>
  <c r="F55" i="67"/>
  <c r="L13" i="68"/>
  <c r="N13" i="68" s="1"/>
  <c r="J70" i="68"/>
  <c r="J84" i="68"/>
  <c r="J86" i="68"/>
  <c r="X115" i="68"/>
  <c r="Z115" i="68" s="1"/>
  <c r="X17" i="69"/>
  <c r="Z17" i="69" s="1"/>
  <c r="J22" i="69"/>
  <c r="V24" i="69"/>
  <c r="F26" i="69"/>
  <c r="V33" i="69"/>
  <c r="V45" i="69"/>
  <c r="L50" i="69"/>
  <c r="N50" i="69" s="1"/>
  <c r="N61" i="69"/>
  <c r="Z64" i="69"/>
  <c r="F75" i="69"/>
  <c r="V65" i="70"/>
  <c r="V125" i="70"/>
  <c r="Z95" i="73"/>
  <c r="V95" i="73"/>
  <c r="X90" i="74"/>
  <c r="Z90" i="74" s="1"/>
  <c r="V64" i="69"/>
  <c r="T91" i="72"/>
  <c r="X84" i="73"/>
  <c r="Z84" i="73" s="1"/>
  <c r="F69" i="78"/>
  <c r="F72" i="78"/>
  <c r="F54" i="78"/>
  <c r="F53" i="78"/>
  <c r="F38" i="78"/>
  <c r="F34" i="78"/>
  <c r="F25" i="78"/>
  <c r="F21" i="78"/>
  <c r="F20" i="78"/>
  <c r="F71" i="78"/>
  <c r="F56" i="78"/>
  <c r="F55" i="78"/>
  <c r="F48" i="78"/>
  <c r="F44" i="78"/>
  <c r="L12" i="78"/>
  <c r="F77" i="78"/>
  <c r="F64" i="78"/>
  <c r="F39" i="78"/>
  <c r="F35" i="78"/>
  <c r="F26" i="78"/>
  <c r="F22" i="78"/>
  <c r="F65" i="78"/>
  <c r="F57" i="78"/>
  <c r="F49" i="78"/>
  <c r="F45" i="78"/>
  <c r="F41" i="78"/>
  <c r="F40" i="78"/>
  <c r="F66" i="78"/>
  <c r="F36" i="78"/>
  <c r="F32" i="78"/>
  <c r="F31" i="78"/>
  <c r="F73" i="78"/>
  <c r="F59" i="78"/>
  <c r="F58" i="78"/>
  <c r="F30" i="78"/>
  <c r="F28" i="78"/>
  <c r="F23" i="78"/>
  <c r="F50" i="78"/>
  <c r="F46" i="78"/>
  <c r="F42" i="78"/>
  <c r="D28" i="78"/>
  <c r="F52" i="78"/>
  <c r="F51" i="78"/>
  <c r="F24" i="78"/>
  <c r="F63" i="78"/>
  <c r="F61" i="78"/>
  <c r="F33" i="78"/>
  <c r="F43" i="78"/>
  <c r="F37" i="78"/>
  <c r="F70" i="78"/>
  <c r="F47" i="78"/>
  <c r="F60" i="78"/>
  <c r="F36" i="63"/>
  <c r="F55" i="63"/>
  <c r="F56" i="63"/>
  <c r="F76" i="63"/>
  <c r="F88" i="63"/>
  <c r="F92" i="63"/>
  <c r="F100" i="63"/>
  <c r="F111" i="63"/>
  <c r="F60" i="67"/>
  <c r="V101" i="68"/>
  <c r="J111" i="68"/>
  <c r="F37" i="69"/>
  <c r="V40" i="69"/>
  <c r="L61" i="69"/>
  <c r="L68" i="69"/>
  <c r="N68" i="69" s="1"/>
  <c r="J79" i="69"/>
  <c r="L95" i="70"/>
  <c r="N95" i="70" s="1"/>
  <c r="L104" i="70"/>
  <c r="N104" i="70" s="1"/>
  <c r="V129" i="70"/>
  <c r="F40" i="63"/>
  <c r="F41" i="63"/>
  <c r="F49" i="63"/>
  <c r="F64" i="63"/>
  <c r="F65" i="63"/>
  <c r="F72" i="67"/>
  <c r="F69" i="67"/>
  <c r="F53" i="67"/>
  <c r="F54" i="67"/>
  <c r="J124" i="68"/>
  <c r="J108" i="68"/>
  <c r="J98" i="68"/>
  <c r="J94" i="68"/>
  <c r="J90" i="68"/>
  <c r="J125" i="68"/>
  <c r="J117" i="68"/>
  <c r="J109" i="68"/>
  <c r="J99" i="68"/>
  <c r="J85" i="68"/>
  <c r="J81" i="68"/>
  <c r="J118" i="68"/>
  <c r="J110" i="68"/>
  <c r="J100" i="68"/>
  <c r="J72" i="68"/>
  <c r="J68" i="68"/>
  <c r="J64" i="68"/>
  <c r="J60" i="68"/>
  <c r="J56" i="68"/>
  <c r="J113" i="68"/>
  <c r="J103" i="68"/>
  <c r="J73" i="68"/>
  <c r="J69" i="68"/>
  <c r="J65" i="68"/>
  <c r="J61" i="68"/>
  <c r="J57" i="68"/>
  <c r="J53" i="68"/>
  <c r="J132" i="68"/>
  <c r="J120" i="68"/>
  <c r="J104" i="68"/>
  <c r="J96" i="68"/>
  <c r="J92" i="68"/>
  <c r="J78" i="68"/>
  <c r="J87" i="68"/>
  <c r="J83" i="68"/>
  <c r="J79" i="68"/>
  <c r="J77" i="68"/>
  <c r="J75" i="68"/>
  <c r="J55" i="68"/>
  <c r="J67" i="68"/>
  <c r="N88" i="68"/>
  <c r="J95" i="68"/>
  <c r="X101" i="68"/>
  <c r="J105" i="68"/>
  <c r="Z106" i="68"/>
  <c r="J121" i="68"/>
  <c r="Z122" i="68"/>
  <c r="F34" i="69"/>
  <c r="J37" i="69"/>
  <c r="J50" i="69"/>
  <c r="N55" i="69"/>
  <c r="L55" i="69"/>
  <c r="J65" i="69"/>
  <c r="V50" i="70"/>
  <c r="V89" i="70"/>
  <c r="V91" i="70"/>
  <c r="D12" i="73"/>
  <c r="T102" i="73"/>
  <c r="P12" i="70"/>
  <c r="L81" i="73"/>
  <c r="N81" i="73" s="1"/>
  <c r="L89" i="75"/>
  <c r="D88" i="75"/>
  <c r="L88" i="75" s="1"/>
  <c r="N88" i="75" s="1"/>
  <c r="N54" i="80"/>
  <c r="V55" i="68"/>
  <c r="V59" i="68"/>
  <c r="V63" i="68"/>
  <c r="V67" i="68"/>
  <c r="V71" i="68"/>
  <c r="V99" i="68"/>
  <c r="V107" i="68"/>
  <c r="V123" i="68"/>
  <c r="J78" i="70"/>
  <c r="J82" i="70"/>
  <c r="J86" i="70"/>
  <c r="J94" i="70"/>
  <c r="J104" i="70"/>
  <c r="J110" i="70"/>
  <c r="J116" i="70"/>
  <c r="P12" i="72"/>
  <c r="H27" i="72"/>
  <c r="N40" i="72"/>
  <c r="J108" i="74"/>
  <c r="V80" i="68"/>
  <c r="V84" i="68"/>
  <c r="V108" i="68"/>
  <c r="V116" i="68"/>
  <c r="V124" i="68"/>
  <c r="D127" i="68"/>
  <c r="L127" i="68" s="1"/>
  <c r="J47" i="70"/>
  <c r="J51" i="70"/>
  <c r="J55" i="70"/>
  <c r="J59" i="70"/>
  <c r="J77" i="70"/>
  <c r="J93" i="70"/>
  <c r="J103" i="70"/>
  <c r="J109" i="70"/>
  <c r="J115" i="70"/>
  <c r="J34" i="72"/>
  <c r="J40" i="72"/>
  <c r="J61" i="72"/>
  <c r="J74" i="72"/>
  <c r="Z36" i="73"/>
  <c r="X36" i="73"/>
  <c r="Z68" i="73"/>
  <c r="V68" i="73"/>
  <c r="X67" i="74"/>
  <c r="Z67" i="74" s="1"/>
  <c r="Z101" i="74"/>
  <c r="J62" i="75"/>
  <c r="V89" i="68"/>
  <c r="V93" i="68"/>
  <c r="V97" i="68"/>
  <c r="V105" i="68"/>
  <c r="V121" i="68"/>
  <c r="J68" i="70"/>
  <c r="J72" i="70"/>
  <c r="J76" i="70"/>
  <c r="J92" i="70"/>
  <c r="J102" i="70"/>
  <c r="J108" i="70"/>
  <c r="J122" i="70"/>
  <c r="J58" i="72"/>
  <c r="L80" i="72"/>
  <c r="Z85" i="74"/>
  <c r="N82" i="75"/>
  <c r="J81" i="70"/>
  <c r="J85" i="70"/>
  <c r="L126" i="70"/>
  <c r="D125" i="70"/>
  <c r="L125" i="70" s="1"/>
  <c r="N125" i="70" s="1"/>
  <c r="Z51" i="72"/>
  <c r="X51" i="72"/>
  <c r="Z59" i="72"/>
  <c r="X59" i="72"/>
  <c r="N80" i="72"/>
  <c r="P12" i="73"/>
  <c r="X14" i="73"/>
  <c r="Z56" i="73"/>
  <c r="X56" i="73"/>
  <c r="D12" i="74"/>
  <c r="L14" i="74"/>
  <c r="N96" i="76"/>
  <c r="J96" i="76"/>
  <c r="J127" i="70"/>
  <c r="J129" i="70"/>
  <c r="J46" i="70"/>
  <c r="J50" i="70"/>
  <c r="J54" i="70"/>
  <c r="J58" i="70"/>
  <c r="H63" i="70"/>
  <c r="J100" i="70"/>
  <c r="J114" i="70"/>
  <c r="J121" i="70"/>
  <c r="J70" i="72"/>
  <c r="J62" i="72"/>
  <c r="J50" i="72"/>
  <c r="J46" i="72"/>
  <c r="J42" i="72"/>
  <c r="J85" i="72"/>
  <c r="J77" i="72"/>
  <c r="J71" i="72"/>
  <c r="J63" i="72"/>
  <c r="J51" i="72"/>
  <c r="J37" i="72"/>
  <c r="J33" i="72"/>
  <c r="J72" i="72"/>
  <c r="J64" i="72"/>
  <c r="J89" i="72"/>
  <c r="J73" i="72"/>
  <c r="J65" i="72"/>
  <c r="J53" i="72"/>
  <c r="J47" i="72"/>
  <c r="J43" i="72"/>
  <c r="J67" i="72"/>
  <c r="J55" i="72"/>
  <c r="J25" i="72"/>
  <c r="J68" i="72"/>
  <c r="J56" i="72"/>
  <c r="J48" i="72"/>
  <c r="J44" i="72"/>
  <c r="J30" i="72"/>
  <c r="J79" i="72"/>
  <c r="J75" i="72"/>
  <c r="J57" i="72"/>
  <c r="J39" i="72"/>
  <c r="J35" i="72"/>
  <c r="J31" i="72"/>
  <c r="J29" i="72"/>
  <c r="J82" i="72"/>
  <c r="J76" i="72"/>
  <c r="J60" i="72"/>
  <c r="J36" i="72"/>
  <c r="J32" i="72"/>
  <c r="J22" i="72"/>
  <c r="J23" i="72"/>
  <c r="N65" i="72"/>
  <c r="L65" i="72"/>
  <c r="J80" i="72"/>
  <c r="J98" i="74"/>
  <c r="X110" i="74"/>
  <c r="Z110" i="74" s="1"/>
  <c r="N57" i="79"/>
  <c r="J57" i="79"/>
  <c r="T75" i="68"/>
  <c r="V88" i="68"/>
  <c r="V92" i="68"/>
  <c r="V96" i="68"/>
  <c r="V104" i="68"/>
  <c r="V120" i="68"/>
  <c r="V132" i="68"/>
  <c r="X61" i="69"/>
  <c r="Z61" i="69" s="1"/>
  <c r="J65" i="70"/>
  <c r="J67" i="70"/>
  <c r="J71" i="70"/>
  <c r="J75" i="70"/>
  <c r="J91" i="70"/>
  <c r="J99" i="70"/>
  <c r="L100" i="70"/>
  <c r="J107" i="70"/>
  <c r="L121" i="70"/>
  <c r="J126" i="70"/>
  <c r="J52" i="72"/>
  <c r="N55" i="72"/>
  <c r="N67" i="72"/>
  <c r="J69" i="72"/>
  <c r="L57" i="73"/>
  <c r="J115" i="74"/>
  <c r="J109" i="74"/>
  <c r="J105" i="74"/>
  <c r="J89" i="74"/>
  <c r="J81" i="74"/>
  <c r="J65" i="74"/>
  <c r="J61" i="74"/>
  <c r="J119" i="74"/>
  <c r="J118" i="74"/>
  <c r="J110" i="74"/>
  <c r="J90" i="74"/>
  <c r="J52" i="74"/>
  <c r="J48" i="74"/>
  <c r="J44" i="74"/>
  <c r="J40" i="74"/>
  <c r="J111" i="74"/>
  <c r="J99" i="74"/>
  <c r="J91" i="74"/>
  <c r="J75" i="74"/>
  <c r="J71" i="74"/>
  <c r="J57" i="74"/>
  <c r="J120" i="74"/>
  <c r="J112" i="74"/>
  <c r="J106" i="74"/>
  <c r="J92" i="74"/>
  <c r="J82" i="74"/>
  <c r="J66" i="74"/>
  <c r="J62" i="74"/>
  <c r="J58" i="74"/>
  <c r="J56" i="74"/>
  <c r="J36" i="74"/>
  <c r="J113" i="74"/>
  <c r="J93" i="74"/>
  <c r="J83" i="74"/>
  <c r="J67" i="74"/>
  <c r="H54" i="74"/>
  <c r="J49" i="74"/>
  <c r="J45" i="74"/>
  <c r="J41" i="74"/>
  <c r="J37" i="74"/>
  <c r="J121" i="74"/>
  <c r="J114" i="74"/>
  <c r="J100" i="74"/>
  <c r="J94" i="74"/>
  <c r="J84" i="74"/>
  <c r="J76" i="74"/>
  <c r="J72" i="74"/>
  <c r="J68" i="74"/>
  <c r="J107" i="74"/>
  <c r="J101" i="74"/>
  <c r="J95" i="74"/>
  <c r="J85" i="74"/>
  <c r="J63" i="74"/>
  <c r="J59" i="74"/>
  <c r="J102" i="74"/>
  <c r="J86" i="74"/>
  <c r="J50" i="74"/>
  <c r="J46" i="74"/>
  <c r="J42" i="74"/>
  <c r="J38" i="74"/>
  <c r="J116" i="74"/>
  <c r="J103" i="74"/>
  <c r="J97" i="74"/>
  <c r="J87" i="74"/>
  <c r="J79" i="74"/>
  <c r="J51" i="74"/>
  <c r="J47" i="74"/>
  <c r="J43" i="74"/>
  <c r="J39" i="74"/>
  <c r="J96" i="74"/>
  <c r="J104" i="74"/>
  <c r="N90" i="76"/>
  <c r="V53" i="68"/>
  <c r="V57" i="68"/>
  <c r="V61" i="68"/>
  <c r="V65" i="68"/>
  <c r="V69" i="68"/>
  <c r="V73" i="68"/>
  <c r="V75" i="68"/>
  <c r="V77" i="68"/>
  <c r="V113" i="68"/>
  <c r="J66" i="70"/>
  <c r="J80" i="70"/>
  <c r="J84" i="70"/>
  <c r="J90" i="70"/>
  <c r="X95" i="70"/>
  <c r="Z95" i="70" s="1"/>
  <c r="J120" i="70"/>
  <c r="J125" i="70"/>
  <c r="L29" i="72"/>
  <c r="N29" i="72" s="1"/>
  <c r="L73" i="72"/>
  <c r="N73" i="72" s="1"/>
  <c r="N57" i="73"/>
  <c r="J78" i="74"/>
  <c r="J88" i="74"/>
  <c r="V78" i="68"/>
  <c r="V82" i="68"/>
  <c r="V86" i="68"/>
  <c r="J45" i="70"/>
  <c r="J49" i="70"/>
  <c r="J53" i="70"/>
  <c r="J57" i="70"/>
  <c r="J61" i="70"/>
  <c r="J89" i="70"/>
  <c r="J113" i="70"/>
  <c r="J119" i="70"/>
  <c r="X121" i="70"/>
  <c r="Z121" i="70" s="1"/>
  <c r="X29" i="72"/>
  <c r="Z29" i="72" s="1"/>
  <c r="J41" i="72"/>
  <c r="J45" i="72"/>
  <c r="Z63" i="72"/>
  <c r="X63" i="72"/>
  <c r="Z85" i="72"/>
  <c r="X85" i="72"/>
  <c r="J57" i="73"/>
  <c r="P12" i="74"/>
  <c r="J80" i="74"/>
  <c r="L86" i="76"/>
  <c r="N86" i="76" s="1"/>
  <c r="V24" i="72"/>
  <c r="V52" i="72"/>
  <c r="V64" i="72"/>
  <c r="V72" i="72"/>
  <c r="J45" i="73"/>
  <c r="J49" i="73"/>
  <c r="H54" i="73"/>
  <c r="V69" i="73"/>
  <c r="V73" i="73"/>
  <c r="V77" i="73"/>
  <c r="V85" i="73"/>
  <c r="J93" i="73"/>
  <c r="V97" i="73"/>
  <c r="T54" i="74"/>
  <c r="V67" i="74"/>
  <c r="V71" i="74"/>
  <c r="V75" i="74"/>
  <c r="V83" i="74"/>
  <c r="V91" i="74"/>
  <c r="V99" i="74"/>
  <c r="V111" i="74"/>
  <c r="P118" i="74"/>
  <c r="X118" i="74" s="1"/>
  <c r="Z118" i="74" s="1"/>
  <c r="V120" i="74"/>
  <c r="N45" i="75"/>
  <c r="X56" i="75"/>
  <c r="Z56" i="75" s="1"/>
  <c r="L62" i="75"/>
  <c r="N62" i="75" s="1"/>
  <c r="V85" i="75"/>
  <c r="L96" i="76"/>
  <c r="N98" i="76"/>
  <c r="V101" i="76"/>
  <c r="N104" i="76"/>
  <c r="J104" i="76"/>
  <c r="X111" i="76"/>
  <c r="P109" i="76"/>
  <c r="X109" i="76" s="1"/>
  <c r="Z109" i="76" s="1"/>
  <c r="Z51" i="78"/>
  <c r="V51" i="72"/>
  <c r="V63" i="72"/>
  <c r="V71" i="72"/>
  <c r="V83" i="72"/>
  <c r="V85" i="72"/>
  <c r="V87" i="72"/>
  <c r="J80" i="73"/>
  <c r="V84" i="73"/>
  <c r="J90" i="73"/>
  <c r="J100" i="73"/>
  <c r="V70" i="74"/>
  <c r="V74" i="74"/>
  <c r="V90" i="74"/>
  <c r="V98" i="74"/>
  <c r="V110" i="74"/>
  <c r="V116" i="74"/>
  <c r="V118" i="74"/>
  <c r="V125" i="74"/>
  <c r="P12" i="75"/>
  <c r="X13" i="75"/>
  <c r="Z13" i="75" s="1"/>
  <c r="Z34" i="75"/>
  <c r="Z62" i="75"/>
  <c r="N66" i="75"/>
  <c r="N68" i="75"/>
  <c r="V75" i="75"/>
  <c r="V63" i="76"/>
  <c r="Z71" i="76"/>
  <c r="N84" i="76"/>
  <c r="J84" i="76"/>
  <c r="V113" i="76"/>
  <c r="V40" i="78"/>
  <c r="N60" i="78"/>
  <c r="V51" i="79"/>
  <c r="V32" i="72"/>
  <c r="V36" i="72"/>
  <c r="V60" i="72"/>
  <c r="V76" i="72"/>
  <c r="V45" i="73"/>
  <c r="V49" i="73"/>
  <c r="J61" i="73"/>
  <c r="J65" i="73"/>
  <c r="J79" i="73"/>
  <c r="J89" i="73"/>
  <c r="V93" i="73"/>
  <c r="V39" i="74"/>
  <c r="V43" i="74"/>
  <c r="V47" i="74"/>
  <c r="V51" i="74"/>
  <c r="V79" i="74"/>
  <c r="V87" i="74"/>
  <c r="V103" i="74"/>
  <c r="H32" i="75"/>
  <c r="V34" i="75"/>
  <c r="V62" i="75"/>
  <c r="J68" i="75"/>
  <c r="V79" i="75"/>
  <c r="D12" i="76"/>
  <c r="Z90" i="76"/>
  <c r="V65" i="78"/>
  <c r="L69" i="78"/>
  <c r="D68" i="78"/>
  <c r="L68" i="78" s="1"/>
  <c r="N68" i="78" s="1"/>
  <c r="V41" i="72"/>
  <c r="V45" i="72"/>
  <c r="V49" i="72"/>
  <c r="V61" i="72"/>
  <c r="V69" i="72"/>
  <c r="V81" i="72"/>
  <c r="V58" i="73"/>
  <c r="V62" i="73"/>
  <c r="V66" i="73"/>
  <c r="J70" i="73"/>
  <c r="J74" i="73"/>
  <c r="J78" i="73"/>
  <c r="V82" i="73"/>
  <c r="J88" i="73"/>
  <c r="J98" i="73"/>
  <c r="V104" i="73"/>
  <c r="V60" i="74"/>
  <c r="V64" i="74"/>
  <c r="V80" i="74"/>
  <c r="V88" i="74"/>
  <c r="V96" i="74"/>
  <c r="V104" i="74"/>
  <c r="V108" i="74"/>
  <c r="V47" i="75"/>
  <c r="V51" i="75"/>
  <c r="V55" i="75"/>
  <c r="Z60" i="75"/>
  <c r="X68" i="75"/>
  <c r="Z68" i="75" s="1"/>
  <c r="Z40" i="76"/>
  <c r="V26" i="78"/>
  <c r="V56" i="78"/>
  <c r="V58" i="78"/>
  <c r="D12" i="82"/>
  <c r="L13" i="82"/>
  <c r="V69" i="74"/>
  <c r="V73" i="74"/>
  <c r="V77" i="74"/>
  <c r="V97" i="74"/>
  <c r="V73" i="75"/>
  <c r="V70" i="76"/>
  <c r="P12" i="78"/>
  <c r="X14" i="78"/>
  <c r="V22" i="78"/>
  <c r="V31" i="72"/>
  <c r="V35" i="72"/>
  <c r="V39" i="72"/>
  <c r="V59" i="72"/>
  <c r="V75" i="72"/>
  <c r="V79" i="72"/>
  <c r="V36" i="73"/>
  <c r="V40" i="73"/>
  <c r="V44" i="73"/>
  <c r="V48" i="73"/>
  <c r="V52" i="73"/>
  <c r="V54" i="73"/>
  <c r="V56" i="73"/>
  <c r="J60" i="73"/>
  <c r="J64" i="73"/>
  <c r="V80" i="73"/>
  <c r="J86" i="73"/>
  <c r="V92" i="73"/>
  <c r="J96" i="73"/>
  <c r="V38" i="74"/>
  <c r="V42" i="74"/>
  <c r="V46" i="74"/>
  <c r="V50" i="74"/>
  <c r="V78" i="74"/>
  <c r="V86" i="74"/>
  <c r="V102" i="74"/>
  <c r="V115" i="74"/>
  <c r="V36" i="75"/>
  <c r="X45" i="75"/>
  <c r="Z45" i="75" s="1"/>
  <c r="L76" i="75"/>
  <c r="N76" i="75" s="1"/>
  <c r="V53" i="76"/>
  <c r="V66" i="76"/>
  <c r="P68" i="78"/>
  <c r="X68" i="78" s="1"/>
  <c r="Z68" i="78" s="1"/>
  <c r="V17" i="79"/>
  <c r="D32" i="85"/>
  <c r="V68" i="72"/>
  <c r="V80" i="72"/>
  <c r="L86" i="73"/>
  <c r="V89" i="73"/>
  <c r="X92" i="73"/>
  <c r="Z92" i="73" s="1"/>
  <c r="J95" i="73"/>
  <c r="L36" i="74"/>
  <c r="L56" i="74"/>
  <c r="N56" i="74" s="1"/>
  <c r="V59" i="74"/>
  <c r="V63" i="74"/>
  <c r="X78" i="74"/>
  <c r="Z78" i="74" s="1"/>
  <c r="L92" i="74"/>
  <c r="V95" i="74"/>
  <c r="V107" i="74"/>
  <c r="L112" i="74"/>
  <c r="V88" i="75"/>
  <c r="V86" i="75"/>
  <c r="V74" i="75"/>
  <c r="V66" i="75"/>
  <c r="V54" i="75"/>
  <c r="V50" i="75"/>
  <c r="V46" i="75"/>
  <c r="V89" i="75"/>
  <c r="V65" i="75"/>
  <c r="V41" i="75"/>
  <c r="V37" i="75"/>
  <c r="V90" i="75"/>
  <c r="V80" i="75"/>
  <c r="V76" i="75"/>
  <c r="V68" i="75"/>
  <c r="V56" i="75"/>
  <c r="V82" i="75"/>
  <c r="V70" i="75"/>
  <c r="V58" i="75"/>
  <c r="V42" i="75"/>
  <c r="V38" i="75"/>
  <c r="V81" i="75"/>
  <c r="V77" i="75"/>
  <c r="V69" i="75"/>
  <c r="V57" i="75"/>
  <c r="V94" i="75"/>
  <c r="V60" i="75"/>
  <c r="V52" i="75"/>
  <c r="V48" i="75"/>
  <c r="V83" i="75"/>
  <c r="V71" i="75"/>
  <c r="V59" i="75"/>
  <c r="V43" i="75"/>
  <c r="V39" i="75"/>
  <c r="V35" i="75"/>
  <c r="V84" i="75"/>
  <c r="V72" i="75"/>
  <c r="V64" i="75"/>
  <c r="T32" i="75"/>
  <c r="V32" i="75" s="1"/>
  <c r="V63" i="75"/>
  <c r="V102" i="76"/>
  <c r="V94" i="76"/>
  <c r="V82" i="76"/>
  <c r="V54" i="76"/>
  <c r="V50" i="76"/>
  <c r="V46" i="76"/>
  <c r="V42" i="76"/>
  <c r="V93" i="76"/>
  <c r="V81" i="76"/>
  <c r="V77" i="76"/>
  <c r="V73" i="76"/>
  <c r="V104" i="76"/>
  <c r="V96" i="76"/>
  <c r="V84" i="76"/>
  <c r="V68" i="76"/>
  <c r="V64" i="76"/>
  <c r="V60" i="76"/>
  <c r="V117" i="76"/>
  <c r="V103" i="76"/>
  <c r="V95" i="76"/>
  <c r="V83" i="76"/>
  <c r="V59" i="76"/>
  <c r="V57" i="76"/>
  <c r="V55" i="76"/>
  <c r="V51" i="76"/>
  <c r="V47" i="76"/>
  <c r="V43" i="76"/>
  <c r="V106" i="76"/>
  <c r="V98" i="76"/>
  <c r="V86" i="76"/>
  <c r="V78" i="76"/>
  <c r="V74" i="76"/>
  <c r="T57" i="76"/>
  <c r="V105" i="76"/>
  <c r="V97" i="76"/>
  <c r="V85" i="76"/>
  <c r="V69" i="76"/>
  <c r="V65" i="76"/>
  <c r="V61" i="76"/>
  <c r="V88" i="76"/>
  <c r="V52" i="76"/>
  <c r="V48" i="76"/>
  <c r="V44" i="76"/>
  <c r="V40" i="76"/>
  <c r="V109" i="76"/>
  <c r="V107" i="76"/>
  <c r="V99" i="76"/>
  <c r="V87" i="76"/>
  <c r="V79" i="76"/>
  <c r="V75" i="76"/>
  <c r="V71" i="76"/>
  <c r="V110" i="76"/>
  <c r="V90" i="76"/>
  <c r="V112" i="76"/>
  <c r="V100" i="76"/>
  <c r="V92" i="76"/>
  <c r="V80" i="76"/>
  <c r="V76" i="76"/>
  <c r="V72" i="76"/>
  <c r="V45" i="76"/>
  <c r="V49" i="76"/>
  <c r="V69" i="78"/>
  <c r="V63" i="78"/>
  <c r="V77" i="78"/>
  <c r="V72" i="78"/>
  <c r="V57" i="78"/>
  <c r="V49" i="78"/>
  <c r="V45" i="78"/>
  <c r="V41" i="78"/>
  <c r="T28" i="78"/>
  <c r="V68" i="78"/>
  <c r="V66" i="78"/>
  <c r="V60" i="78"/>
  <c r="V36" i="78"/>
  <c r="V32" i="78"/>
  <c r="V73" i="78"/>
  <c r="V59" i="78"/>
  <c r="V51" i="78"/>
  <c r="V23" i="78"/>
  <c r="V62" i="78"/>
  <c r="V50" i="78"/>
  <c r="V46" i="78"/>
  <c r="V42" i="78"/>
  <c r="V61" i="78"/>
  <c r="V53" i="78"/>
  <c r="V37" i="78"/>
  <c r="V33" i="78"/>
  <c r="V52" i="78"/>
  <c r="V24" i="78"/>
  <c r="V20" i="78"/>
  <c r="V70" i="78"/>
  <c r="V55" i="78"/>
  <c r="V47" i="78"/>
  <c r="V43" i="78"/>
  <c r="V54" i="78"/>
  <c r="V38" i="78"/>
  <c r="V34" i="78"/>
  <c r="V25" i="78"/>
  <c r="V21" i="78"/>
  <c r="V64" i="78"/>
  <c r="V39" i="78"/>
  <c r="V35" i="78"/>
  <c r="V31" i="78"/>
  <c r="V28" i="78"/>
  <c r="V25" i="72"/>
  <c r="V27" i="72"/>
  <c r="V29" i="72"/>
  <c r="V57" i="72"/>
  <c r="J38" i="73"/>
  <c r="J42" i="73"/>
  <c r="J46" i="73"/>
  <c r="J50" i="73"/>
  <c r="J68" i="73"/>
  <c r="V70" i="73"/>
  <c r="V74" i="73"/>
  <c r="V78" i="73"/>
  <c r="J84" i="73"/>
  <c r="V90" i="73"/>
  <c r="J94" i="73"/>
  <c r="V98" i="73"/>
  <c r="V100" i="73"/>
  <c r="V102" i="73"/>
  <c r="V68" i="74"/>
  <c r="V72" i="74"/>
  <c r="V76" i="74"/>
  <c r="V84" i="74"/>
  <c r="V100" i="74"/>
  <c r="N35" i="75"/>
  <c r="V61" i="75"/>
  <c r="J76" i="75"/>
  <c r="L82" i="75"/>
  <c r="V41" i="76"/>
  <c r="V71" i="78"/>
  <c r="N64" i="80"/>
  <c r="L64" i="80"/>
  <c r="V30" i="72"/>
  <c r="V34" i="72"/>
  <c r="V38" i="72"/>
  <c r="V54" i="72"/>
  <c r="V66" i="72"/>
  <c r="V74" i="72"/>
  <c r="V51" i="73"/>
  <c r="J59" i="73"/>
  <c r="J63" i="73"/>
  <c r="J67" i="73"/>
  <c r="V79" i="73"/>
  <c r="V37" i="74"/>
  <c r="V41" i="74"/>
  <c r="V45" i="74"/>
  <c r="V49" i="74"/>
  <c r="V85" i="74"/>
  <c r="V93" i="74"/>
  <c r="V101" i="74"/>
  <c r="V113" i="74"/>
  <c r="V121" i="74"/>
  <c r="J30" i="75"/>
  <c r="L34" i="75"/>
  <c r="N34" i="75" s="1"/>
  <c r="X35" i="75"/>
  <c r="Z35" i="75" s="1"/>
  <c r="N56" i="75"/>
  <c r="L58" i="75"/>
  <c r="X76" i="75"/>
  <c r="Z76" i="75" s="1"/>
  <c r="V78" i="75"/>
  <c r="P88" i="75"/>
  <c r="X88" i="75" s="1"/>
  <c r="Z88" i="75" s="1"/>
  <c r="N60" i="76"/>
  <c r="V62" i="76"/>
  <c r="V89" i="76"/>
  <c r="Z31" i="78"/>
  <c r="N51" i="78"/>
  <c r="J51" i="78"/>
  <c r="L53" i="78"/>
  <c r="N53" i="78" s="1"/>
  <c r="V51" i="80"/>
  <c r="V43" i="80"/>
  <c r="V27" i="80"/>
  <c r="V23" i="80"/>
  <c r="V64" i="80"/>
  <c r="V62" i="80"/>
  <c r="V54" i="80"/>
  <c r="V42" i="80"/>
  <c r="V53" i="80"/>
  <c r="V45" i="80"/>
  <c r="V37" i="80"/>
  <c r="V33" i="80"/>
  <c r="V56" i="80"/>
  <c r="V44" i="80"/>
  <c r="V28" i="80"/>
  <c r="V24" i="80"/>
  <c r="V55" i="80"/>
  <c r="V47" i="80"/>
  <c r="V15" i="80"/>
  <c r="V68" i="80"/>
  <c r="V57" i="80"/>
  <c r="V29" i="80"/>
  <c r="V25" i="80"/>
  <c r="V21" i="80"/>
  <c r="V48" i="80"/>
  <c r="V20" i="80"/>
  <c r="V16" i="80"/>
  <c r="V61" i="80"/>
  <c r="V49" i="80"/>
  <c r="V41" i="80"/>
  <c r="V46" i="80"/>
  <c r="V58" i="80"/>
  <c r="V30" i="80"/>
  <c r="V60" i="80"/>
  <c r="V52" i="80"/>
  <c r="V36" i="80"/>
  <c r="V26" i="80"/>
  <c r="V40" i="80"/>
  <c r="V34" i="80"/>
  <c r="V32" i="80"/>
  <c r="V50" i="80"/>
  <c r="V38" i="80"/>
  <c r="V59" i="80"/>
  <c r="T18" i="80"/>
  <c r="V35" i="80"/>
  <c r="V22" i="80"/>
  <c r="V39" i="80"/>
  <c r="H28" i="82"/>
  <c r="J70" i="75"/>
  <c r="J82" i="75"/>
  <c r="J94" i="75"/>
  <c r="J52" i="76"/>
  <c r="H57" i="76"/>
  <c r="J86" i="76"/>
  <c r="J98" i="76"/>
  <c r="J106" i="76"/>
  <c r="J43" i="78"/>
  <c r="J47" i="78"/>
  <c r="J53" i="78"/>
  <c r="J63" i="78"/>
  <c r="H22" i="79"/>
  <c r="R30" i="79"/>
  <c r="J48" i="79"/>
  <c r="L57" i="79"/>
  <c r="R60" i="79"/>
  <c r="V80" i="79"/>
  <c r="J39" i="80"/>
  <c r="J35" i="80"/>
  <c r="J31" i="80"/>
  <c r="J21" i="80"/>
  <c r="J58" i="80"/>
  <c r="J26" i="80"/>
  <c r="J22" i="80"/>
  <c r="J20" i="80"/>
  <c r="J59" i="80"/>
  <c r="J49" i="80"/>
  <c r="H18" i="80"/>
  <c r="L12" i="80"/>
  <c r="N12" i="80" s="1"/>
  <c r="J60" i="80"/>
  <c r="J50" i="80"/>
  <c r="J40" i="80"/>
  <c r="J36" i="80"/>
  <c r="J32" i="80"/>
  <c r="J61" i="80"/>
  <c r="J51" i="80"/>
  <c r="J41" i="80"/>
  <c r="J27" i="80"/>
  <c r="J23" i="80"/>
  <c r="J62" i="80"/>
  <c r="J53" i="80"/>
  <c r="J43" i="80"/>
  <c r="J37" i="80"/>
  <c r="J33" i="80"/>
  <c r="J64" i="80"/>
  <c r="J54" i="80"/>
  <c r="J44" i="80"/>
  <c r="J28" i="80"/>
  <c r="J24" i="80"/>
  <c r="J57" i="80"/>
  <c r="J47" i="80"/>
  <c r="J29" i="80"/>
  <c r="J25" i="80"/>
  <c r="J15" i="80"/>
  <c r="R48" i="80"/>
  <c r="L54" i="80"/>
  <c r="R55" i="80"/>
  <c r="N59" i="80"/>
  <c r="Z20" i="81"/>
  <c r="X20" i="81"/>
  <c r="Z121" i="84"/>
  <c r="V23" i="85"/>
  <c r="Z23" i="85"/>
  <c r="Z59" i="80"/>
  <c r="J121" i="84"/>
  <c r="J115" i="84"/>
  <c r="J103" i="84"/>
  <c r="J93" i="84"/>
  <c r="J75" i="84"/>
  <c r="J71" i="84"/>
  <c r="J57" i="84"/>
  <c r="J122" i="84"/>
  <c r="J110" i="84"/>
  <c r="J104" i="84"/>
  <c r="J94" i="84"/>
  <c r="J82" i="84"/>
  <c r="J66" i="84"/>
  <c r="J62" i="84"/>
  <c r="J58" i="84"/>
  <c r="J56" i="84"/>
  <c r="J123" i="84"/>
  <c r="J111" i="84"/>
  <c r="J105" i="84"/>
  <c r="J95" i="84"/>
  <c r="J83" i="84"/>
  <c r="J124" i="84"/>
  <c r="J125" i="84"/>
  <c r="J97" i="84"/>
  <c r="J85" i="84"/>
  <c r="J63" i="84"/>
  <c r="J59" i="84"/>
  <c r="J126" i="84"/>
  <c r="J117" i="84"/>
  <c r="J113" i="84"/>
  <c r="J99" i="84"/>
  <c r="J87" i="84"/>
  <c r="J77" i="84"/>
  <c r="J73" i="84"/>
  <c r="J128" i="84"/>
  <c r="J118" i="84"/>
  <c r="J100" i="84"/>
  <c r="J88" i="84"/>
  <c r="J78" i="84"/>
  <c r="J64" i="84"/>
  <c r="J60" i="84"/>
  <c r="J109" i="84"/>
  <c r="J91" i="84"/>
  <c r="J81" i="84"/>
  <c r="J65" i="84"/>
  <c r="J61" i="84"/>
  <c r="J98" i="84"/>
  <c r="J68" i="84"/>
  <c r="J43" i="84"/>
  <c r="J108" i="84"/>
  <c r="J40" i="84"/>
  <c r="J116" i="84"/>
  <c r="J112" i="84"/>
  <c r="J101" i="84"/>
  <c r="J96" i="84"/>
  <c r="J50" i="84"/>
  <c r="J37" i="84"/>
  <c r="J114" i="84"/>
  <c r="J47" i="84"/>
  <c r="J119" i="84"/>
  <c r="J92" i="84"/>
  <c r="H54" i="84"/>
  <c r="J44" i="84"/>
  <c r="J106" i="84"/>
  <c r="J69" i="84"/>
  <c r="J41" i="84"/>
  <c r="J38" i="84"/>
  <c r="J90" i="84"/>
  <c r="J76" i="84"/>
  <c r="J67" i="84"/>
  <c r="J51" i="84"/>
  <c r="J132" i="84"/>
  <c r="J79" i="84"/>
  <c r="J74" i="84"/>
  <c r="J48" i="84"/>
  <c r="J120" i="84"/>
  <c r="J107" i="84"/>
  <c r="J102" i="84"/>
  <c r="J89" i="84"/>
  <c r="J84" i="84"/>
  <c r="J80" i="84"/>
  <c r="J70" i="84"/>
  <c r="J36" i="84"/>
  <c r="P12" i="84"/>
  <c r="J46" i="84"/>
  <c r="J72" i="84"/>
  <c r="J47" i="75"/>
  <c r="J51" i="75"/>
  <c r="J55" i="75"/>
  <c r="J67" i="75"/>
  <c r="J75" i="75"/>
  <c r="J90" i="75"/>
  <c r="J43" i="76"/>
  <c r="J47" i="76"/>
  <c r="J51" i="76"/>
  <c r="J55" i="76"/>
  <c r="J83" i="76"/>
  <c r="J95" i="76"/>
  <c r="J103" i="76"/>
  <c r="J117" i="76"/>
  <c r="J42" i="78"/>
  <c r="J46" i="78"/>
  <c r="J50" i="78"/>
  <c r="J60" i="78"/>
  <c r="J68" i="78"/>
  <c r="R68" i="79"/>
  <c r="R53" i="79"/>
  <c r="R52" i="79"/>
  <c r="R25" i="79"/>
  <c r="R20" i="79"/>
  <c r="R43" i="79"/>
  <c r="R39" i="79"/>
  <c r="R35" i="79"/>
  <c r="R24" i="79"/>
  <c r="R75" i="79"/>
  <c r="R74" i="79"/>
  <c r="R63" i="79"/>
  <c r="R62" i="79"/>
  <c r="R55" i="79"/>
  <c r="R54" i="79"/>
  <c r="R77" i="79"/>
  <c r="R76" i="79"/>
  <c r="R64" i="79"/>
  <c r="R57" i="79"/>
  <c r="R56" i="79"/>
  <c r="R45" i="79"/>
  <c r="R44" i="79"/>
  <c r="R40" i="79"/>
  <c r="R36" i="79"/>
  <c r="R78" i="79"/>
  <c r="R59" i="79"/>
  <c r="R58" i="79"/>
  <c r="R47" i="79"/>
  <c r="R46" i="79"/>
  <c r="R80" i="79"/>
  <c r="R66" i="79"/>
  <c r="R65" i="79"/>
  <c r="R41" i="79"/>
  <c r="R37" i="79"/>
  <c r="R84" i="79"/>
  <c r="R51" i="79"/>
  <c r="R50" i="79"/>
  <c r="R42" i="79"/>
  <c r="R38" i="79"/>
  <c r="X12" i="79"/>
  <c r="Z12" i="79" s="1"/>
  <c r="J26" i="79"/>
  <c r="J29" i="79"/>
  <c r="R48" i="79"/>
  <c r="L59" i="79"/>
  <c r="J66" i="79"/>
  <c r="J71" i="79"/>
  <c r="V78" i="79"/>
  <c r="X15" i="80"/>
  <c r="Z15" i="80" s="1"/>
  <c r="J30" i="80"/>
  <c r="N45" i="80"/>
  <c r="J52" i="80"/>
  <c r="J52" i="84"/>
  <c r="J66" i="75"/>
  <c r="J80" i="75"/>
  <c r="J88" i="75"/>
  <c r="J89" i="75"/>
  <c r="J64" i="76"/>
  <c r="J68" i="76"/>
  <c r="J82" i="76"/>
  <c r="J94" i="76"/>
  <c r="L13" i="78"/>
  <c r="N13" i="78" s="1"/>
  <c r="J23" i="78"/>
  <c r="H28" i="78"/>
  <c r="J59" i="78"/>
  <c r="X13" i="79"/>
  <c r="R18" i="79"/>
  <c r="P22" i="79"/>
  <c r="R22" i="79" s="1"/>
  <c r="R32" i="79"/>
  <c r="V52" i="79"/>
  <c r="J54" i="79"/>
  <c r="V64" i="79"/>
  <c r="V76" i="79"/>
  <c r="J42" i="80"/>
  <c r="J45" i="80"/>
  <c r="T22" i="81"/>
  <c r="N26" i="82"/>
  <c r="L26" i="82"/>
  <c r="N91" i="84"/>
  <c r="Z108" i="84"/>
  <c r="Z17" i="87"/>
  <c r="J65" i="75"/>
  <c r="J73" i="76"/>
  <c r="J77" i="76"/>
  <c r="J81" i="76"/>
  <c r="J93" i="76"/>
  <c r="J28" i="78"/>
  <c r="J30" i="78"/>
  <c r="J32" i="78"/>
  <c r="J36" i="78"/>
  <c r="J58" i="78"/>
  <c r="J66" i="78"/>
  <c r="J20" i="79"/>
  <c r="J31" i="79"/>
  <c r="N34" i="79"/>
  <c r="J45" i="79"/>
  <c r="J68" i="79"/>
  <c r="L70" i="79"/>
  <c r="N70" i="79" s="1"/>
  <c r="R21" i="80"/>
  <c r="Z18" i="81"/>
  <c r="X18" i="81"/>
  <c r="J39" i="84"/>
  <c r="J89" i="87"/>
  <c r="J91" i="87"/>
  <c r="J93" i="87"/>
  <c r="J94" i="87"/>
  <c r="J86" i="87"/>
  <c r="J82" i="87"/>
  <c r="J76" i="87"/>
  <c r="J96" i="87"/>
  <c r="J87" i="87"/>
  <c r="J83" i="87"/>
  <c r="J79" i="87"/>
  <c r="J73" i="87"/>
  <c r="J102" i="87"/>
  <c r="J90" i="87"/>
  <c r="J81" i="87"/>
  <c r="J69" i="87"/>
  <c r="J61" i="87"/>
  <c r="J53" i="87"/>
  <c r="J35" i="87"/>
  <c r="H22" i="87"/>
  <c r="J75" i="87"/>
  <c r="J70" i="87"/>
  <c r="J62" i="87"/>
  <c r="J44" i="87"/>
  <c r="J40" i="87"/>
  <c r="J36" i="87"/>
  <c r="J88" i="87"/>
  <c r="J71" i="87"/>
  <c r="J63" i="87"/>
  <c r="J31" i="87"/>
  <c r="J27" i="87"/>
  <c r="J17" i="87"/>
  <c r="J72" i="87"/>
  <c r="J64" i="87"/>
  <c r="J54" i="87"/>
  <c r="J18" i="87"/>
  <c r="J84" i="87"/>
  <c r="J65" i="87"/>
  <c r="J45" i="87"/>
  <c r="J41" i="87"/>
  <c r="J37" i="87"/>
  <c r="J66" i="87"/>
  <c r="J46" i="87"/>
  <c r="J32" i="87"/>
  <c r="J28" i="87"/>
  <c r="J67" i="87"/>
  <c r="J55" i="87"/>
  <c r="J47" i="87"/>
  <c r="J19" i="87"/>
  <c r="J80" i="87"/>
  <c r="J77" i="87"/>
  <c r="J56" i="87"/>
  <c r="J48" i="87"/>
  <c r="J42" i="87"/>
  <c r="J38" i="87"/>
  <c r="J59" i="87"/>
  <c r="J51" i="87"/>
  <c r="J43" i="87"/>
  <c r="J39" i="87"/>
  <c r="J25" i="87"/>
  <c r="J52" i="87"/>
  <c r="J60" i="87"/>
  <c r="J58" i="87"/>
  <c r="J50" i="87"/>
  <c r="J92" i="87"/>
  <c r="J29" i="87"/>
  <c r="J22" i="87"/>
  <c r="J85" i="87"/>
  <c r="J74" i="87"/>
  <c r="J33" i="87"/>
  <c r="J95" i="87"/>
  <c r="J78" i="87"/>
  <c r="J68" i="87"/>
  <c r="J98" i="87"/>
  <c r="J57" i="87"/>
  <c r="J49" i="87"/>
  <c r="J30" i="87"/>
  <c r="J24" i="87"/>
  <c r="J20" i="87"/>
  <c r="J46" i="75"/>
  <c r="J50" i="75"/>
  <c r="J54" i="75"/>
  <c r="J64" i="75"/>
  <c r="J74" i="75"/>
  <c r="J86" i="75"/>
  <c r="J42" i="76"/>
  <c r="J46" i="76"/>
  <c r="J50" i="76"/>
  <c r="J54" i="76"/>
  <c r="J92" i="76"/>
  <c r="J102" i="76"/>
  <c r="D109" i="76"/>
  <c r="L109" i="76" s="1"/>
  <c r="N109" i="76" s="1"/>
  <c r="J113" i="76"/>
  <c r="J31" i="78"/>
  <c r="J41" i="78"/>
  <c r="J45" i="78"/>
  <c r="J49" i="78"/>
  <c r="J57" i="78"/>
  <c r="R26" i="79"/>
  <c r="J34" i="79"/>
  <c r="X45" i="79"/>
  <c r="R71" i="79"/>
  <c r="Z45" i="80"/>
  <c r="J56" i="80"/>
  <c r="J68" i="80"/>
  <c r="Z14" i="81"/>
  <c r="X14" i="81"/>
  <c r="L17" i="82"/>
  <c r="N17" i="82" s="1"/>
  <c r="X89" i="84"/>
  <c r="J91" i="76"/>
  <c r="J101" i="76"/>
  <c r="J112" i="76"/>
  <c r="J77" i="78"/>
  <c r="J70" i="78"/>
  <c r="J73" i="78"/>
  <c r="J22" i="78"/>
  <c r="J26" i="78"/>
  <c r="J40" i="78"/>
  <c r="J65" i="78"/>
  <c r="J67" i="79"/>
  <c r="J49" i="79"/>
  <c r="J19" i="79"/>
  <c r="J84" i="79"/>
  <c r="J50" i="79"/>
  <c r="J42" i="79"/>
  <c r="J38" i="79"/>
  <c r="N12" i="79"/>
  <c r="J73" i="79"/>
  <c r="J61" i="79"/>
  <c r="J51" i="79"/>
  <c r="J53" i="79"/>
  <c r="J43" i="79"/>
  <c r="J39" i="79"/>
  <c r="J35" i="79"/>
  <c r="J75" i="79"/>
  <c r="J69" i="79"/>
  <c r="J63" i="79"/>
  <c r="J55" i="79"/>
  <c r="J76" i="79"/>
  <c r="J70" i="79"/>
  <c r="J64" i="79"/>
  <c r="J56" i="79"/>
  <c r="J44" i="79"/>
  <c r="J40" i="79"/>
  <c r="J36" i="79"/>
  <c r="J65" i="79"/>
  <c r="J59" i="79"/>
  <c r="J47" i="79"/>
  <c r="J41" i="79"/>
  <c r="J37" i="79"/>
  <c r="J17" i="79"/>
  <c r="J25" i="79"/>
  <c r="J28" i="79"/>
  <c r="R61" i="79"/>
  <c r="R73" i="79"/>
  <c r="R61" i="80"/>
  <c r="R60" i="80"/>
  <c r="R41" i="80"/>
  <c r="R40" i="80"/>
  <c r="R36" i="80"/>
  <c r="R32" i="80"/>
  <c r="R52" i="80"/>
  <c r="R51" i="80"/>
  <c r="R27" i="80"/>
  <c r="R23" i="80"/>
  <c r="R62" i="80"/>
  <c r="R43" i="80"/>
  <c r="R42" i="80"/>
  <c r="R66" i="80"/>
  <c r="R64" i="80"/>
  <c r="R54" i="80"/>
  <c r="R53" i="80"/>
  <c r="R37" i="80"/>
  <c r="R33" i="80"/>
  <c r="R45" i="80"/>
  <c r="R44" i="80"/>
  <c r="R28" i="80"/>
  <c r="R24" i="80"/>
  <c r="R68" i="80"/>
  <c r="R47" i="80"/>
  <c r="R46" i="80"/>
  <c r="R38" i="80"/>
  <c r="R34" i="80"/>
  <c r="R15" i="80"/>
  <c r="R73" i="80"/>
  <c r="R70" i="80"/>
  <c r="R57" i="80"/>
  <c r="R30" i="80"/>
  <c r="R29" i="80"/>
  <c r="R25" i="80"/>
  <c r="R59" i="80"/>
  <c r="R58" i="80"/>
  <c r="R26" i="80"/>
  <c r="R22" i="80"/>
  <c r="P18" i="80"/>
  <c r="X12" i="80"/>
  <c r="Z12" i="80" s="1"/>
  <c r="X47" i="80"/>
  <c r="Z47" i="80" s="1"/>
  <c r="J22" i="81"/>
  <c r="J20" i="81"/>
  <c r="J18" i="81"/>
  <c r="J16" i="81"/>
  <c r="J14" i="81"/>
  <c r="H16" i="81"/>
  <c r="J24" i="81"/>
  <c r="J29" i="81"/>
  <c r="J26" i="81"/>
  <c r="L12" i="81"/>
  <c r="L35" i="84"/>
  <c r="N35" i="84" s="1"/>
  <c r="J45" i="84"/>
  <c r="Z89" i="84"/>
  <c r="J72" i="75"/>
  <c r="J84" i="75"/>
  <c r="J72" i="76"/>
  <c r="J76" i="76"/>
  <c r="J80" i="76"/>
  <c r="J90" i="76"/>
  <c r="J100" i="76"/>
  <c r="J111" i="76"/>
  <c r="J35" i="78"/>
  <c r="J39" i="78"/>
  <c r="J64" i="78"/>
  <c r="R31" i="79"/>
  <c r="N77" i="79"/>
  <c r="J80" i="79"/>
  <c r="R16" i="80"/>
  <c r="J46" i="80"/>
  <c r="N12" i="81"/>
  <c r="P12" i="82"/>
  <c r="X14" i="82"/>
  <c r="J35" i="84"/>
  <c r="J49" i="84"/>
  <c r="J35" i="75"/>
  <c r="J49" i="75"/>
  <c r="J53" i="75"/>
  <c r="J61" i="75"/>
  <c r="J41" i="76"/>
  <c r="J45" i="76"/>
  <c r="J49" i="76"/>
  <c r="J53" i="76"/>
  <c r="J71" i="76"/>
  <c r="J89" i="76"/>
  <c r="J109" i="76"/>
  <c r="J110" i="76"/>
  <c r="N12" i="78"/>
  <c r="J44" i="78"/>
  <c r="J48" i="78"/>
  <c r="J56" i="78"/>
  <c r="J71" i="78"/>
  <c r="V75" i="79"/>
  <c r="V63" i="79"/>
  <c r="V55" i="79"/>
  <c r="V43" i="79"/>
  <c r="V39" i="79"/>
  <c r="V35" i="79"/>
  <c r="T22" i="79"/>
  <c r="V74" i="79"/>
  <c r="V70" i="79"/>
  <c r="V62" i="79"/>
  <c r="V54" i="79"/>
  <c r="V30" i="79"/>
  <c r="V26" i="79"/>
  <c r="V77" i="79"/>
  <c r="V69" i="79"/>
  <c r="V57" i="79"/>
  <c r="V45" i="79"/>
  <c r="V71" i="79"/>
  <c r="V59" i="79"/>
  <c r="V47" i="79"/>
  <c r="V65" i="79"/>
  <c r="V49" i="79"/>
  <c r="V41" i="79"/>
  <c r="V37" i="79"/>
  <c r="V72" i="79"/>
  <c r="V60" i="79"/>
  <c r="V48" i="79"/>
  <c r="V32" i="79"/>
  <c r="V28" i="79"/>
  <c r="V73" i="79"/>
  <c r="V61" i="79"/>
  <c r="V53" i="79"/>
  <c r="V33" i="79"/>
  <c r="V29" i="79"/>
  <c r="V25" i="79"/>
  <c r="X17" i="79"/>
  <c r="Z17" i="79" s="1"/>
  <c r="J24" i="79"/>
  <c r="J30" i="79"/>
  <c r="V31" i="79"/>
  <c r="J33" i="79"/>
  <c r="R34" i="79"/>
  <c r="J46" i="79"/>
  <c r="N51" i="79"/>
  <c r="V56" i="79"/>
  <c r="V58" i="79"/>
  <c r="J60" i="79"/>
  <c r="J77" i="79"/>
  <c r="V84" i="79"/>
  <c r="R20" i="80"/>
  <c r="J48" i="80"/>
  <c r="J55" i="80"/>
  <c r="R56" i="80"/>
  <c r="R24" i="81"/>
  <c r="R29" i="81"/>
  <c r="R26" i="81"/>
  <c r="X12" i="81"/>
  <c r="P16" i="81"/>
  <c r="R16" i="81"/>
  <c r="V32" i="82"/>
  <c r="T35" i="82"/>
  <c r="J60" i="75"/>
  <c r="J78" i="75"/>
  <c r="J40" i="76"/>
  <c r="J62" i="76"/>
  <c r="J66" i="76"/>
  <c r="J70" i="76"/>
  <c r="J21" i="78"/>
  <c r="J25" i="78"/>
  <c r="J55" i="78"/>
  <c r="R17" i="79"/>
  <c r="R28" i="79"/>
  <c r="Z34" i="79"/>
  <c r="V36" i="79"/>
  <c r="X51" i="79"/>
  <c r="Z51" i="79" s="1"/>
  <c r="R70" i="79"/>
  <c r="J72" i="79"/>
  <c r="X77" i="79"/>
  <c r="Z77" i="79" s="1"/>
  <c r="R31" i="80"/>
  <c r="R39" i="80"/>
  <c r="N41" i="80"/>
  <c r="L41" i="80"/>
  <c r="N24" i="82"/>
  <c r="L24" i="82"/>
  <c r="J86" i="84"/>
  <c r="Z123" i="84"/>
  <c r="V123" i="84"/>
  <c r="J26" i="87"/>
  <c r="J34" i="87"/>
  <c r="F34" i="80"/>
  <c r="F38" i="80"/>
  <c r="F45" i="80"/>
  <c r="F46" i="80"/>
  <c r="F68" i="80"/>
  <c r="J17" i="82"/>
  <c r="L56" i="84"/>
  <c r="N56" i="84" s="1"/>
  <c r="V20" i="85"/>
  <c r="D12" i="87"/>
  <c r="X17" i="87"/>
  <c r="X62" i="87"/>
  <c r="Z62" i="87" s="1"/>
  <c r="N53" i="88"/>
  <c r="Z77" i="88"/>
  <c r="X77" i="88"/>
  <c r="F33" i="80"/>
  <c r="F37" i="80"/>
  <c r="F52" i="80"/>
  <c r="F53" i="80"/>
  <c r="V14" i="81"/>
  <c r="V16" i="81"/>
  <c r="V18" i="81"/>
  <c r="V20" i="81"/>
  <c r="F26" i="81"/>
  <c r="V18" i="82"/>
  <c r="J22" i="82"/>
  <c r="J24" i="82"/>
  <c r="J26" i="82"/>
  <c r="J28" i="82"/>
  <c r="N67" i="84"/>
  <c r="Z91" i="84"/>
  <c r="N95" i="84"/>
  <c r="N111" i="84"/>
  <c r="J17" i="85"/>
  <c r="J34" i="85"/>
  <c r="J18" i="85"/>
  <c r="J23" i="85"/>
  <c r="J24" i="85"/>
  <c r="J22" i="85"/>
  <c r="J20" i="85"/>
  <c r="J25" i="85"/>
  <c r="H20" i="85"/>
  <c r="J26" i="85"/>
  <c r="L27" i="85"/>
  <c r="V44" i="88"/>
  <c r="F41" i="80"/>
  <c r="F42" i="80"/>
  <c r="F61" i="80"/>
  <c r="F62" i="80"/>
  <c r="Z57" i="84"/>
  <c r="X95" i="84"/>
  <c r="Z95" i="84" s="1"/>
  <c r="X111" i="84"/>
  <c r="Z111" i="84" s="1"/>
  <c r="J20" i="82"/>
  <c r="R23" i="85"/>
  <c r="R18" i="85"/>
  <c r="R22" i="85"/>
  <c r="R20" i="85"/>
  <c r="R25" i="85"/>
  <c r="R24" i="85"/>
  <c r="P20" i="85"/>
  <c r="R27" i="85"/>
  <c r="R26" i="85"/>
  <c r="R28" i="85"/>
  <c r="X12" i="85"/>
  <c r="Z12" i="85" s="1"/>
  <c r="R30" i="85"/>
  <c r="R16" i="85"/>
  <c r="R34" i="85"/>
  <c r="V67" i="88"/>
  <c r="V59" i="88"/>
  <c r="V51" i="88"/>
  <c r="V43" i="88"/>
  <c r="V39" i="88"/>
  <c r="V78" i="88"/>
  <c r="V62" i="88"/>
  <c r="V50" i="88"/>
  <c r="V34" i="88"/>
  <c r="V30" i="88"/>
  <c r="V26" i="88"/>
  <c r="V73" i="88"/>
  <c r="V61" i="88"/>
  <c r="V53" i="88"/>
  <c r="V25" i="88"/>
  <c r="V21" i="88"/>
  <c r="V90" i="88"/>
  <c r="V80" i="88"/>
  <c r="V68" i="88"/>
  <c r="V52" i="88"/>
  <c r="V79" i="88"/>
  <c r="V63" i="88"/>
  <c r="V35" i="88"/>
  <c r="V31" i="88"/>
  <c r="V27" i="88"/>
  <c r="V82" i="88"/>
  <c r="V74" i="88"/>
  <c r="V70" i="88"/>
  <c r="V54" i="88"/>
  <c r="V18" i="88"/>
  <c r="V81" i="88"/>
  <c r="V69" i="88"/>
  <c r="V45" i="88"/>
  <c r="V41" i="88"/>
  <c r="V64" i="88"/>
  <c r="V56" i="88"/>
  <c r="V32" i="88"/>
  <c r="V28" i="88"/>
  <c r="V83" i="88"/>
  <c r="V75" i="88"/>
  <c r="V71" i="88"/>
  <c r="V55" i="88"/>
  <c r="V47" i="88"/>
  <c r="V19" i="88"/>
  <c r="V77" i="88"/>
  <c r="V65" i="88"/>
  <c r="V57" i="88"/>
  <c r="V49" i="88"/>
  <c r="V33" i="88"/>
  <c r="V29" i="88"/>
  <c r="V58" i="88"/>
  <c r="V84" i="88"/>
  <c r="V36" i="88"/>
  <c r="V72" i="88"/>
  <c r="V76" i="88"/>
  <c r="V38" i="88"/>
  <c r="T23" i="88"/>
  <c r="V20" i="88"/>
  <c r="V86" i="88"/>
  <c r="V40" i="88"/>
  <c r="V42" i="88"/>
  <c r="V60" i="88"/>
  <c r="V46" i="88"/>
  <c r="V37" i="88"/>
  <c r="X25" i="88"/>
  <c r="Z25" i="88" s="1"/>
  <c r="X59" i="92"/>
  <c r="Z59" i="92" s="1"/>
  <c r="D18" i="80"/>
  <c r="F32" i="80"/>
  <c r="F36" i="80"/>
  <c r="F40" i="80"/>
  <c r="F59" i="80"/>
  <c r="F60" i="80"/>
  <c r="D16" i="81"/>
  <c r="V17" i="82"/>
  <c r="L83" i="84"/>
  <c r="Z93" i="84"/>
  <c r="V95" i="84"/>
  <c r="N99" i="84"/>
  <c r="L101" i="84"/>
  <c r="N101" i="84" s="1"/>
  <c r="V111" i="84"/>
  <c r="L48" i="87"/>
  <c r="N48" i="87" s="1"/>
  <c r="N56" i="87"/>
  <c r="L56" i="87"/>
  <c r="L61" i="80"/>
  <c r="N61" i="80" s="1"/>
  <c r="X17" i="82"/>
  <c r="Z17" i="82" s="1"/>
  <c r="N83" i="84"/>
  <c r="N85" i="84"/>
  <c r="L25" i="87"/>
  <c r="N25" i="87" s="1"/>
  <c r="F21" i="80"/>
  <c r="F22" i="80"/>
  <c r="F26" i="80"/>
  <c r="L50" i="80"/>
  <c r="X56" i="80"/>
  <c r="Z56" i="80" s="1"/>
  <c r="F58" i="80"/>
  <c r="V35" i="84"/>
  <c r="N78" i="84"/>
  <c r="L85" i="84"/>
  <c r="Z104" i="84"/>
  <c r="N128" i="84"/>
  <c r="L128" i="84"/>
  <c r="F32" i="85"/>
  <c r="F30" i="85"/>
  <c r="F17" i="85"/>
  <c r="F16" i="85"/>
  <c r="F34" i="85"/>
  <c r="F18" i="85"/>
  <c r="F39" i="85"/>
  <c r="F36" i="85"/>
  <c r="F24" i="85"/>
  <c r="F23" i="85"/>
  <c r="F22" i="85"/>
  <c r="F20" i="85"/>
  <c r="F28" i="85"/>
  <c r="F27" i="85"/>
  <c r="L12" i="85"/>
  <c r="N12" i="85" s="1"/>
  <c r="F26" i="85"/>
  <c r="N64" i="87"/>
  <c r="F30" i="80"/>
  <c r="F31" i="80"/>
  <c r="F35" i="80"/>
  <c r="F39" i="80"/>
  <c r="F70" i="80"/>
  <c r="F73" i="80"/>
  <c r="V20" i="82"/>
  <c r="V22" i="82"/>
  <c r="V24" i="82"/>
  <c r="V26" i="82"/>
  <c r="D12" i="84"/>
  <c r="X35" i="84"/>
  <c r="Z35" i="84" s="1"/>
  <c r="T54" i="84"/>
  <c r="V54" i="84" s="1"/>
  <c r="Z83" i="84"/>
  <c r="N123" i="84"/>
  <c r="V32" i="85"/>
  <c r="T36" i="85"/>
  <c r="X70" i="87"/>
  <c r="Z70" i="87" s="1"/>
  <c r="F15" i="80"/>
  <c r="F16" i="80"/>
  <c r="F47" i="80"/>
  <c r="L13" i="84"/>
  <c r="N13" i="84" s="1"/>
  <c r="V83" i="84"/>
  <c r="N87" i="84"/>
  <c r="L89" i="84"/>
  <c r="N89" i="84" s="1"/>
  <c r="Z101" i="84"/>
  <c r="X123" i="84"/>
  <c r="V85" i="84"/>
  <c r="V97" i="84"/>
  <c r="V105" i="84"/>
  <c r="V125" i="84"/>
  <c r="V27" i="87"/>
  <c r="V31" i="87"/>
  <c r="V63" i="87"/>
  <c r="V71" i="87"/>
  <c r="Z93" i="87"/>
  <c r="R21" i="88"/>
  <c r="L53" i="88"/>
  <c r="R55" i="88"/>
  <c r="R75" i="88"/>
  <c r="J18" i="91"/>
  <c r="J55" i="91"/>
  <c r="V36" i="84"/>
  <c r="V40" i="84"/>
  <c r="V44" i="84"/>
  <c r="V48" i="84"/>
  <c r="V52" i="84"/>
  <c r="V56" i="84"/>
  <c r="V92" i="84"/>
  <c r="V104" i="84"/>
  <c r="V120" i="84"/>
  <c r="V26" i="87"/>
  <c r="V30" i="87"/>
  <c r="V34" i="87"/>
  <c r="V62" i="87"/>
  <c r="V70" i="87"/>
  <c r="N26" i="88"/>
  <c r="J36" i="91"/>
  <c r="V81" i="84"/>
  <c r="V93" i="84"/>
  <c r="V109" i="84"/>
  <c r="V121" i="84"/>
  <c r="P12" i="87"/>
  <c r="T22" i="87"/>
  <c r="V35" i="87"/>
  <c r="V39" i="87"/>
  <c r="V43" i="87"/>
  <c r="V51" i="87"/>
  <c r="V59" i="87"/>
  <c r="N89" i="87"/>
  <c r="L15" i="88"/>
  <c r="N15" i="88" s="1"/>
  <c r="D12" i="88"/>
  <c r="H92" i="88"/>
  <c r="T102" i="91"/>
  <c r="Z16" i="91"/>
  <c r="X89" i="91"/>
  <c r="Z89" i="91" s="1"/>
  <c r="V132" i="84"/>
  <c r="V95" i="87"/>
  <c r="V75" i="87"/>
  <c r="V94" i="87"/>
  <c r="V87" i="87"/>
  <c r="V83" i="87"/>
  <c r="V79" i="87"/>
  <c r="V78" i="87"/>
  <c r="V102" i="87"/>
  <c r="V91" i="87"/>
  <c r="V93" i="87"/>
  <c r="V85" i="87"/>
  <c r="V81" i="87"/>
  <c r="V20" i="87"/>
  <c r="V22" i="87"/>
  <c r="V24" i="87"/>
  <c r="V52" i="87"/>
  <c r="V60" i="87"/>
  <c r="V68" i="87"/>
  <c r="V74" i="87"/>
  <c r="V96" i="87"/>
  <c r="V51" i="84"/>
  <c r="V79" i="84"/>
  <c r="V91" i="84"/>
  <c r="V107" i="84"/>
  <c r="V119" i="84"/>
  <c r="V25" i="87"/>
  <c r="V29" i="87"/>
  <c r="V33" i="87"/>
  <c r="V49" i="87"/>
  <c r="V57" i="87"/>
  <c r="L76" i="87"/>
  <c r="V80" i="87"/>
  <c r="X89" i="87"/>
  <c r="N91" i="87"/>
  <c r="L91" i="87"/>
  <c r="R84" i="88"/>
  <c r="R77" i="88"/>
  <c r="R76" i="88"/>
  <c r="R72" i="88"/>
  <c r="R49" i="88"/>
  <c r="R48" i="88"/>
  <c r="R20" i="88"/>
  <c r="R86" i="88"/>
  <c r="R67" i="88"/>
  <c r="R60" i="88"/>
  <c r="R59" i="88"/>
  <c r="R43" i="88"/>
  <c r="R39" i="88"/>
  <c r="R78" i="88"/>
  <c r="R51" i="88"/>
  <c r="R50" i="88"/>
  <c r="R34" i="88"/>
  <c r="R30" i="88"/>
  <c r="R73" i="88"/>
  <c r="R62" i="88"/>
  <c r="R61" i="88"/>
  <c r="R90" i="88"/>
  <c r="R68" i="88"/>
  <c r="R53" i="88"/>
  <c r="R52" i="88"/>
  <c r="R44" i="88"/>
  <c r="R40" i="88"/>
  <c r="R25" i="88"/>
  <c r="R23" i="88"/>
  <c r="R80" i="88"/>
  <c r="R79" i="88"/>
  <c r="R63" i="88"/>
  <c r="R36" i="88"/>
  <c r="R35" i="88"/>
  <c r="R31" i="88"/>
  <c r="R27" i="88"/>
  <c r="P23" i="88"/>
  <c r="R74" i="88"/>
  <c r="R54" i="88"/>
  <c r="R82" i="88"/>
  <c r="R81" i="88"/>
  <c r="R70" i="88"/>
  <c r="R69" i="88"/>
  <c r="R45" i="88"/>
  <c r="R41" i="88"/>
  <c r="R37" i="88"/>
  <c r="R18" i="88"/>
  <c r="R64" i="88"/>
  <c r="R32" i="88"/>
  <c r="R28" i="88"/>
  <c r="X12" i="88"/>
  <c r="Z12" i="88" s="1"/>
  <c r="R47" i="88"/>
  <c r="R46" i="88"/>
  <c r="R42" i="88"/>
  <c r="R38" i="88"/>
  <c r="R26" i="88"/>
  <c r="X47" i="88"/>
  <c r="Z51" i="88"/>
  <c r="J94" i="91"/>
  <c r="J86" i="91"/>
  <c r="J82" i="91"/>
  <c r="J78" i="91"/>
  <c r="J66" i="91"/>
  <c r="J56" i="91"/>
  <c r="J95" i="91"/>
  <c r="J87" i="91"/>
  <c r="J57" i="91"/>
  <c r="J96" i="91"/>
  <c r="J89" i="91"/>
  <c r="J83" i="91"/>
  <c r="J79" i="91"/>
  <c r="J67" i="91"/>
  <c r="J59" i="91"/>
  <c r="J41" i="91"/>
  <c r="J27" i="91"/>
  <c r="J23" i="91"/>
  <c r="J99" i="91"/>
  <c r="J98" i="91"/>
  <c r="J90" i="91"/>
  <c r="J60" i="91"/>
  <c r="J42" i="91"/>
  <c r="J100" i="91"/>
  <c r="J91" i="91"/>
  <c r="J73" i="91"/>
  <c r="J61" i="91"/>
  <c r="J102" i="91"/>
  <c r="J92" i="91"/>
  <c r="J84" i="91"/>
  <c r="J80" i="91"/>
  <c r="J68" i="91"/>
  <c r="J69" i="91"/>
  <c r="J63" i="91"/>
  <c r="J51" i="91"/>
  <c r="J45" i="91"/>
  <c r="J93" i="91"/>
  <c r="J85" i="91"/>
  <c r="J81" i="91"/>
  <c r="J75" i="91"/>
  <c r="J65" i="91"/>
  <c r="J53" i="91"/>
  <c r="J29" i="91"/>
  <c r="J25" i="91"/>
  <c r="J21" i="91"/>
  <c r="J106" i="91"/>
  <c r="J37" i="91"/>
  <c r="H16" i="91"/>
  <c r="J22" i="91"/>
  <c r="J43" i="91"/>
  <c r="J32" i="91"/>
  <c r="J40" i="91"/>
  <c r="J35" i="91"/>
  <c r="J20" i="91"/>
  <c r="J71" i="91"/>
  <c r="J54" i="91"/>
  <c r="J48" i="91"/>
  <c r="J30" i="91"/>
  <c r="J64" i="91"/>
  <c r="J46" i="91"/>
  <c r="J38" i="91"/>
  <c r="J33" i="91"/>
  <c r="J104" i="91"/>
  <c r="J58" i="91"/>
  <c r="J52" i="91"/>
  <c r="J76" i="91"/>
  <c r="J49" i="91"/>
  <c r="J28" i="91"/>
  <c r="N12" i="91"/>
  <c r="J44" i="91"/>
  <c r="J31" i="91"/>
  <c r="J26" i="91"/>
  <c r="L12" i="91"/>
  <c r="J88" i="91"/>
  <c r="J74" i="91"/>
  <c r="J70" i="91"/>
  <c r="J50" i="91"/>
  <c r="J47" i="91"/>
  <c r="J39" i="91"/>
  <c r="J34" i="91"/>
  <c r="L125" i="84"/>
  <c r="N125" i="84" s="1"/>
  <c r="V38" i="87"/>
  <c r="V42" i="87"/>
  <c r="V50" i="87"/>
  <c r="V58" i="87"/>
  <c r="V77" i="87"/>
  <c r="N79" i="87"/>
  <c r="Z89" i="87"/>
  <c r="Z47" i="88"/>
  <c r="J16" i="91"/>
  <c r="V77" i="84"/>
  <c r="V89" i="84"/>
  <c r="V101" i="84"/>
  <c r="V113" i="84"/>
  <c r="V117" i="84"/>
  <c r="L13" i="85"/>
  <c r="N13" i="85" s="1"/>
  <c r="V27" i="85"/>
  <c r="V19" i="87"/>
  <c r="V47" i="87"/>
  <c r="V55" i="87"/>
  <c r="V67" i="87"/>
  <c r="L79" i="87"/>
  <c r="V82" i="87"/>
  <c r="V89" i="87"/>
  <c r="X49" i="88"/>
  <c r="Z49" i="88" s="1"/>
  <c r="R56" i="88"/>
  <c r="R58" i="88"/>
  <c r="J19" i="91"/>
  <c r="V38" i="84"/>
  <c r="V42" i="84"/>
  <c r="V46" i="84"/>
  <c r="V50" i="84"/>
  <c r="V78" i="84"/>
  <c r="V86" i="84"/>
  <c r="V98" i="84"/>
  <c r="V106" i="84"/>
  <c r="V118" i="84"/>
  <c r="V126" i="84"/>
  <c r="V128" i="84"/>
  <c r="V28" i="87"/>
  <c r="V32" i="87"/>
  <c r="V48" i="87"/>
  <c r="V56" i="87"/>
  <c r="V73" i="87"/>
  <c r="V84" i="87"/>
  <c r="V59" i="84"/>
  <c r="V63" i="84"/>
  <c r="V87" i="84"/>
  <c r="V37" i="87"/>
  <c r="V41" i="87"/>
  <c r="V45" i="87"/>
  <c r="V65" i="87"/>
  <c r="V86" i="87"/>
  <c r="N95" i="87"/>
  <c r="R19" i="88"/>
  <c r="R33" i="88"/>
  <c r="L16" i="91"/>
  <c r="J24" i="91"/>
  <c r="P12" i="92"/>
  <c r="X13" i="92"/>
  <c r="Z13" i="92" s="1"/>
  <c r="J37" i="88"/>
  <c r="J41" i="88"/>
  <c r="J45" i="88"/>
  <c r="J69" i="88"/>
  <c r="J81" i="88"/>
  <c r="F109" i="91"/>
  <c r="F106" i="91"/>
  <c r="F71" i="91"/>
  <c r="F55" i="91"/>
  <c r="F54" i="91"/>
  <c r="F47" i="91"/>
  <c r="F39" i="91"/>
  <c r="F35" i="91"/>
  <c r="F94" i="91"/>
  <c r="F86" i="91"/>
  <c r="F82" i="91"/>
  <c r="F78" i="91"/>
  <c r="F77" i="91"/>
  <c r="F66" i="91"/>
  <c r="F26" i="91"/>
  <c r="F96" i="91"/>
  <c r="F95" i="91"/>
  <c r="F88" i="91"/>
  <c r="F87" i="91"/>
  <c r="F72" i="91"/>
  <c r="F48" i="91"/>
  <c r="F40" i="91"/>
  <c r="F36" i="91"/>
  <c r="F32" i="91"/>
  <c r="F83" i="91"/>
  <c r="F79" i="91"/>
  <c r="F67" i="91"/>
  <c r="F59" i="91"/>
  <c r="F58" i="91"/>
  <c r="F99" i="91"/>
  <c r="F90" i="91"/>
  <c r="F89" i="91"/>
  <c r="F100" i="91"/>
  <c r="F98" i="91"/>
  <c r="F73" i="91"/>
  <c r="F92" i="91"/>
  <c r="F91" i="91"/>
  <c r="F84" i="91"/>
  <c r="F80" i="91"/>
  <c r="F68" i="91"/>
  <c r="F44" i="91"/>
  <c r="F43" i="91"/>
  <c r="F28" i="91"/>
  <c r="F24" i="91"/>
  <c r="F20" i="91"/>
  <c r="F19" i="91"/>
  <c r="F104" i="91"/>
  <c r="F74" i="91"/>
  <c r="F70" i="91"/>
  <c r="F69" i="91"/>
  <c r="F46" i="91"/>
  <c r="F45" i="91"/>
  <c r="F38" i="91"/>
  <c r="F34" i="91"/>
  <c r="L14" i="91"/>
  <c r="V22" i="91"/>
  <c r="V27" i="91"/>
  <c r="V29" i="91"/>
  <c r="V32" i="91"/>
  <c r="F42" i="91"/>
  <c r="R53" i="91"/>
  <c r="V79" i="91"/>
  <c r="R89" i="91"/>
  <c r="Z91" i="91"/>
  <c r="X95" i="91"/>
  <c r="Z95" i="91" s="1"/>
  <c r="N51" i="92"/>
  <c r="N53" i="92"/>
  <c r="Z57" i="92"/>
  <c r="Z61" i="92"/>
  <c r="J72" i="92"/>
  <c r="N25" i="93"/>
  <c r="J23" i="88"/>
  <c r="J25" i="88"/>
  <c r="J27" i="88"/>
  <c r="J31" i="88"/>
  <c r="J35" i="88"/>
  <c r="J53" i="88"/>
  <c r="J63" i="88"/>
  <c r="J79" i="88"/>
  <c r="P16" i="91"/>
  <c r="R19" i="91"/>
  <c r="R47" i="91"/>
  <c r="V59" i="91"/>
  <c r="F61" i="91"/>
  <c r="V68" i="91"/>
  <c r="R72" i="91"/>
  <c r="F76" i="91"/>
  <c r="Z77" i="91"/>
  <c r="V84" i="91"/>
  <c r="V86" i="91"/>
  <c r="J28" i="92"/>
  <c r="Z47" i="92"/>
  <c r="Z49" i="92"/>
  <c r="Z53" i="92"/>
  <c r="N81" i="92"/>
  <c r="J26" i="88"/>
  <c r="J40" i="88"/>
  <c r="J44" i="88"/>
  <c r="J52" i="88"/>
  <c r="J62" i="88"/>
  <c r="J68" i="88"/>
  <c r="J90" i="88"/>
  <c r="R14" i="91"/>
  <c r="R16" i="91"/>
  <c r="R18" i="91"/>
  <c r="Z19" i="91"/>
  <c r="R34" i="91"/>
  <c r="R39" i="91"/>
  <c r="R50" i="91"/>
  <c r="R55" i="91"/>
  <c r="R62" i="91"/>
  <c r="J51" i="88"/>
  <c r="J61" i="88"/>
  <c r="J73" i="88"/>
  <c r="R99" i="91"/>
  <c r="R98" i="91"/>
  <c r="R83" i="91"/>
  <c r="R79" i="91"/>
  <c r="R67" i="91"/>
  <c r="R60" i="91"/>
  <c r="R59" i="91"/>
  <c r="R100" i="91"/>
  <c r="R91" i="91"/>
  <c r="R90" i="91"/>
  <c r="R43" i="91"/>
  <c r="R42" i="91"/>
  <c r="R102" i="91"/>
  <c r="R92" i="91"/>
  <c r="R84" i="91"/>
  <c r="R80" i="91"/>
  <c r="R69" i="91"/>
  <c r="R68" i="91"/>
  <c r="R45" i="91"/>
  <c r="R44" i="91"/>
  <c r="R28" i="91"/>
  <c r="R24" i="91"/>
  <c r="R20" i="91"/>
  <c r="R64" i="91"/>
  <c r="R63" i="91"/>
  <c r="R52" i="91"/>
  <c r="R51" i="91"/>
  <c r="R104" i="91"/>
  <c r="R75" i="91"/>
  <c r="R74" i="91"/>
  <c r="R70" i="91"/>
  <c r="R109" i="91"/>
  <c r="R106" i="91"/>
  <c r="R93" i="91"/>
  <c r="R85" i="91"/>
  <c r="R81" i="91"/>
  <c r="R65" i="91"/>
  <c r="R77" i="91"/>
  <c r="R76" i="91"/>
  <c r="R95" i="91"/>
  <c r="R94" i="91"/>
  <c r="R87" i="91"/>
  <c r="R86" i="91"/>
  <c r="R82" i="91"/>
  <c r="R78" i="91"/>
  <c r="R66" i="91"/>
  <c r="R26" i="91"/>
  <c r="R22" i="91"/>
  <c r="R21" i="91"/>
  <c r="R31" i="91"/>
  <c r="R36" i="91"/>
  <c r="R61" i="91"/>
  <c r="V82" i="91"/>
  <c r="V88" i="91"/>
  <c r="X51" i="92"/>
  <c r="Z51" i="92" s="1"/>
  <c r="Z83" i="92"/>
  <c r="Z85" i="92"/>
  <c r="J79" i="93"/>
  <c r="J61" i="93"/>
  <c r="J51" i="93"/>
  <c r="J80" i="93"/>
  <c r="J72" i="93"/>
  <c r="J68" i="93"/>
  <c r="J52" i="93"/>
  <c r="J53" i="93"/>
  <c r="J73" i="93"/>
  <c r="J69" i="93"/>
  <c r="J63" i="93"/>
  <c r="J55" i="93"/>
  <c r="J45" i="93"/>
  <c r="J41" i="93"/>
  <c r="J74" i="93"/>
  <c r="J64" i="93"/>
  <c r="J56" i="93"/>
  <c r="J87" i="93"/>
  <c r="J75" i="93"/>
  <c r="J57" i="93"/>
  <c r="J70" i="93"/>
  <c r="J58" i="93"/>
  <c r="J46" i="93"/>
  <c r="J42" i="93"/>
  <c r="J38" i="93"/>
  <c r="J65" i="93"/>
  <c r="J59" i="93"/>
  <c r="J47" i="93"/>
  <c r="J33" i="93"/>
  <c r="J77" i="93"/>
  <c r="J71" i="93"/>
  <c r="J67" i="93"/>
  <c r="J49" i="93"/>
  <c r="J40" i="93"/>
  <c r="J30" i="93"/>
  <c r="J43" i="93"/>
  <c r="J34" i="93"/>
  <c r="J21" i="93"/>
  <c r="J82" i="93"/>
  <c r="J26" i="93"/>
  <c r="J66" i="93"/>
  <c r="J31" i="93"/>
  <c r="J27" i="93"/>
  <c r="J25" i="93"/>
  <c r="H23" i="93"/>
  <c r="J35" i="93"/>
  <c r="J62" i="93"/>
  <c r="J60" i="93"/>
  <c r="J50" i="93"/>
  <c r="J39" i="93"/>
  <c r="J36" i="93"/>
  <c r="J32" i="93"/>
  <c r="J28" i="93"/>
  <c r="J18" i="93"/>
  <c r="J83" i="93"/>
  <c r="J48" i="93"/>
  <c r="J44" i="93"/>
  <c r="J19" i="93"/>
  <c r="J78" i="93"/>
  <c r="J37" i="93"/>
  <c r="J29" i="93"/>
  <c r="X25" i="93"/>
  <c r="Z25" i="93" s="1"/>
  <c r="J30" i="88"/>
  <c r="J34" i="88"/>
  <c r="J50" i="88"/>
  <c r="J60" i="88"/>
  <c r="J78" i="88"/>
  <c r="J86" i="88"/>
  <c r="J88" i="88"/>
  <c r="V102" i="91"/>
  <c r="V100" i="91"/>
  <c r="V90" i="91"/>
  <c r="V62" i="91"/>
  <c r="V50" i="91"/>
  <c r="V42" i="91"/>
  <c r="V73" i="91"/>
  <c r="V69" i="91"/>
  <c r="V61" i="91"/>
  <c r="V49" i="91"/>
  <c r="V45" i="91"/>
  <c r="V37" i="91"/>
  <c r="V33" i="91"/>
  <c r="V92" i="91"/>
  <c r="V75" i="91"/>
  <c r="V63" i="91"/>
  <c r="V51" i="91"/>
  <c r="V109" i="91"/>
  <c r="V106" i="91"/>
  <c r="V104" i="91"/>
  <c r="V74" i="91"/>
  <c r="V70" i="91"/>
  <c r="V54" i="91"/>
  <c r="V46" i="91"/>
  <c r="V38" i="91"/>
  <c r="V34" i="91"/>
  <c r="V30" i="91"/>
  <c r="V93" i="91"/>
  <c r="V85" i="91"/>
  <c r="V81" i="91"/>
  <c r="V77" i="91"/>
  <c r="V65" i="91"/>
  <c r="V76" i="91"/>
  <c r="V95" i="91"/>
  <c r="V87" i="91"/>
  <c r="V71" i="91"/>
  <c r="V55" i="91"/>
  <c r="V47" i="91"/>
  <c r="V39" i="91"/>
  <c r="V35" i="91"/>
  <c r="V31" i="91"/>
  <c r="V89" i="91"/>
  <c r="V57" i="91"/>
  <c r="V41" i="91"/>
  <c r="V14" i="91"/>
  <c r="V16" i="91"/>
  <c r="V18" i="91"/>
  <c r="V21" i="91"/>
  <c r="V26" i="91"/>
  <c r="V28" i="91"/>
  <c r="V36" i="91"/>
  <c r="V44" i="91"/>
  <c r="R49" i="91"/>
  <c r="V66" i="91"/>
  <c r="V80" i="91"/>
  <c r="V94" i="91"/>
  <c r="R96" i="91"/>
  <c r="F82" i="92"/>
  <c r="F81" i="92"/>
  <c r="F77" i="92"/>
  <c r="F73" i="92"/>
  <c r="F72" i="92"/>
  <c r="F65" i="92"/>
  <c r="F33" i="92"/>
  <c r="F29" i="92"/>
  <c r="F84" i="92"/>
  <c r="F83" i="92"/>
  <c r="F56" i="92"/>
  <c r="F48" i="92"/>
  <c r="F47" i="92"/>
  <c r="F20" i="92"/>
  <c r="F67" i="92"/>
  <c r="F66" i="92"/>
  <c r="F43" i="92"/>
  <c r="F39" i="92"/>
  <c r="F86" i="92"/>
  <c r="F85" i="92"/>
  <c r="F78" i="92"/>
  <c r="F74" i="92"/>
  <c r="F58" i="92"/>
  <c r="F57" i="92"/>
  <c r="F50" i="92"/>
  <c r="F49" i="92"/>
  <c r="F34" i="92"/>
  <c r="F30" i="92"/>
  <c r="F69" i="92"/>
  <c r="F68" i="92"/>
  <c r="F21" i="92"/>
  <c r="F60" i="92"/>
  <c r="F59" i="92"/>
  <c r="F52" i="92"/>
  <c r="F51" i="92"/>
  <c r="F44" i="92"/>
  <c r="F40" i="92"/>
  <c r="F90" i="92"/>
  <c r="F88" i="92"/>
  <c r="F79" i="92"/>
  <c r="F75" i="92"/>
  <c r="F35" i="92"/>
  <c r="F31" i="92"/>
  <c r="F27" i="92"/>
  <c r="F26" i="92"/>
  <c r="F92" i="92"/>
  <c r="F70" i="92"/>
  <c r="F62" i="92"/>
  <c r="F61" i="92"/>
  <c r="F54" i="92"/>
  <c r="F53" i="92"/>
  <c r="F25" i="92"/>
  <c r="F23" i="92"/>
  <c r="F80" i="92"/>
  <c r="F76" i="92"/>
  <c r="F64" i="92"/>
  <c r="F63" i="92"/>
  <c r="F32" i="92"/>
  <c r="F28" i="92"/>
  <c r="L12" i="92"/>
  <c r="N12" i="92" s="1"/>
  <c r="D23" i="92"/>
  <c r="X26" i="92"/>
  <c r="Z26" i="92" s="1"/>
  <c r="Z81" i="92"/>
  <c r="J76" i="93"/>
  <c r="J39" i="88"/>
  <c r="J43" i="88"/>
  <c r="J49" i="88"/>
  <c r="J59" i="88"/>
  <c r="J67" i="88"/>
  <c r="J77" i="88"/>
  <c r="X12" i="91"/>
  <c r="L43" i="91"/>
  <c r="F60" i="91"/>
  <c r="L69" i="91"/>
  <c r="V78" i="91"/>
  <c r="F85" i="91"/>
  <c r="V96" i="91"/>
  <c r="J83" i="92"/>
  <c r="J77" i="92"/>
  <c r="J73" i="92"/>
  <c r="J65" i="92"/>
  <c r="J84" i="92"/>
  <c r="J66" i="92"/>
  <c r="J56" i="92"/>
  <c r="J48" i="92"/>
  <c r="J20" i="92"/>
  <c r="J85" i="92"/>
  <c r="J67" i="92"/>
  <c r="J57" i="92"/>
  <c r="J49" i="92"/>
  <c r="J43" i="92"/>
  <c r="J39" i="92"/>
  <c r="J86" i="92"/>
  <c r="J78" i="92"/>
  <c r="J74" i="92"/>
  <c r="J68" i="92"/>
  <c r="J58" i="92"/>
  <c r="J50" i="92"/>
  <c r="J34" i="92"/>
  <c r="J30" i="92"/>
  <c r="J69" i="92"/>
  <c r="J59" i="92"/>
  <c r="J51" i="92"/>
  <c r="J21" i="92"/>
  <c r="J88" i="92"/>
  <c r="J60" i="92"/>
  <c r="J52" i="92"/>
  <c r="J44" i="92"/>
  <c r="J40" i="92"/>
  <c r="J26" i="92"/>
  <c r="J79" i="92"/>
  <c r="J75" i="92"/>
  <c r="J61" i="92"/>
  <c r="J53" i="92"/>
  <c r="J35" i="92"/>
  <c r="J31" i="92"/>
  <c r="J27" i="92"/>
  <c r="J25" i="92"/>
  <c r="J92" i="92"/>
  <c r="J70" i="92"/>
  <c r="J62" i="92"/>
  <c r="J54" i="92"/>
  <c r="J36" i="92"/>
  <c r="H23" i="92"/>
  <c r="J63" i="92"/>
  <c r="J45" i="92"/>
  <c r="J41" i="92"/>
  <c r="J37" i="92"/>
  <c r="J81" i="92"/>
  <c r="J71" i="92"/>
  <c r="J55" i="92"/>
  <c r="J19" i="92"/>
  <c r="F71" i="92"/>
  <c r="Z59" i="93"/>
  <c r="X59" i="93"/>
  <c r="J58" i="88"/>
  <c r="J66" i="88"/>
  <c r="J72" i="88"/>
  <c r="J76" i="88"/>
  <c r="J84" i="88"/>
  <c r="R23" i="91"/>
  <c r="R58" i="91"/>
  <c r="N69" i="91"/>
  <c r="F75" i="91"/>
  <c r="J80" i="92"/>
  <c r="J82" i="92"/>
  <c r="H103" i="95"/>
  <c r="J103" i="95" s="1"/>
  <c r="J29" i="88"/>
  <c r="J33" i="88"/>
  <c r="J47" i="88"/>
  <c r="J57" i="88"/>
  <c r="J65" i="88"/>
  <c r="R33" i="91"/>
  <c r="R38" i="91"/>
  <c r="R41" i="91"/>
  <c r="R46" i="91"/>
  <c r="F63" i="91"/>
  <c r="V64" i="91"/>
  <c r="R71" i="91"/>
  <c r="R73" i="91"/>
  <c r="N87" i="91"/>
  <c r="J29" i="92"/>
  <c r="F41" i="92"/>
  <c r="F45" i="92"/>
  <c r="L63" i="92"/>
  <c r="D12" i="93"/>
  <c r="J54" i="93"/>
  <c r="J38" i="88"/>
  <c r="J42" i="88"/>
  <c r="J46" i="88"/>
  <c r="L47" i="88"/>
  <c r="N47" i="88" s="1"/>
  <c r="X53" i="88"/>
  <c r="Z53" i="88" s="1"/>
  <c r="J56" i="88"/>
  <c r="R25" i="91"/>
  <c r="R30" i="91"/>
  <c r="R35" i="91"/>
  <c r="R48" i="91"/>
  <c r="R54" i="91"/>
  <c r="F81" i="91"/>
  <c r="V83" i="91"/>
  <c r="F93" i="91"/>
  <c r="N63" i="92"/>
  <c r="J76" i="92"/>
  <c r="T85" i="93"/>
  <c r="N26" i="94"/>
  <c r="J19" i="88"/>
  <c r="J55" i="88"/>
  <c r="J71" i="88"/>
  <c r="J75" i="88"/>
  <c r="N19" i="91"/>
  <c r="V25" i="91"/>
  <c r="R40" i="91"/>
  <c r="X41" i="91"/>
  <c r="Z41" i="91" s="1"/>
  <c r="V48" i="91"/>
  <c r="F50" i="91"/>
  <c r="F53" i="91"/>
  <c r="R57" i="91"/>
  <c r="F65" i="91"/>
  <c r="V67" i="91"/>
  <c r="Z69" i="91"/>
  <c r="N77" i="91"/>
  <c r="Z87" i="91"/>
  <c r="X98" i="91"/>
  <c r="Z98" i="91" s="1"/>
  <c r="F55" i="92"/>
  <c r="N59" i="92"/>
  <c r="N61" i="92"/>
  <c r="F94" i="92"/>
  <c r="V39" i="92"/>
  <c r="V43" i="92"/>
  <c r="V51" i="92"/>
  <c r="V59" i="92"/>
  <c r="V67" i="92"/>
  <c r="V21" i="93"/>
  <c r="V23" i="93"/>
  <c r="V25" i="93"/>
  <c r="R30" i="93"/>
  <c r="L36" i="93"/>
  <c r="N36" i="93" s="1"/>
  <c r="X47" i="93"/>
  <c r="Z47" i="93" s="1"/>
  <c r="Z49" i="93"/>
  <c r="Z51" i="93"/>
  <c r="Z55" i="93"/>
  <c r="D12" i="94"/>
  <c r="L26" i="94"/>
  <c r="Z36" i="94"/>
  <c r="D98" i="91"/>
  <c r="L98" i="91" s="1"/>
  <c r="N98" i="91" s="1"/>
  <c r="V29" i="92"/>
  <c r="V33" i="92"/>
  <c r="V49" i="92"/>
  <c r="V57" i="92"/>
  <c r="V65" i="92"/>
  <c r="V73" i="92"/>
  <c r="V77" i="92"/>
  <c r="V85" i="92"/>
  <c r="R20" i="93"/>
  <c r="R33" i="93"/>
  <c r="V40" i="93"/>
  <c r="Z63" i="93"/>
  <c r="V74" i="93"/>
  <c r="V80" i="93"/>
  <c r="X26" i="94"/>
  <c r="L56" i="94"/>
  <c r="N62" i="94"/>
  <c r="N50" i="95"/>
  <c r="L50" i="95"/>
  <c r="V38" i="92"/>
  <c r="V42" i="92"/>
  <c r="V46" i="92"/>
  <c r="V66" i="92"/>
  <c r="V82" i="92"/>
  <c r="R29" i="93"/>
  <c r="V33" i="93"/>
  <c r="V42" i="93"/>
  <c r="Z26" i="94"/>
  <c r="N56" i="94"/>
  <c r="N60" i="94"/>
  <c r="X62" i="94"/>
  <c r="V19" i="92"/>
  <c r="V47" i="92"/>
  <c r="V55" i="92"/>
  <c r="V71" i="92"/>
  <c r="V83" i="92"/>
  <c r="R63" i="93"/>
  <c r="R62" i="93"/>
  <c r="R55" i="93"/>
  <c r="R54" i="93"/>
  <c r="R74" i="93"/>
  <c r="R73" i="93"/>
  <c r="R69" i="93"/>
  <c r="R45" i="93"/>
  <c r="R64" i="93"/>
  <c r="R57" i="93"/>
  <c r="R56" i="93"/>
  <c r="R70" i="93"/>
  <c r="R59" i="93"/>
  <c r="R58" i="93"/>
  <c r="R47" i="93"/>
  <c r="R46" i="93"/>
  <c r="R42" i="93"/>
  <c r="R38" i="93"/>
  <c r="R66" i="93"/>
  <c r="R65" i="93"/>
  <c r="R77" i="93"/>
  <c r="R76" i="93"/>
  <c r="R60" i="93"/>
  <c r="R49" i="93"/>
  <c r="R48" i="93"/>
  <c r="R71" i="93"/>
  <c r="R67" i="93"/>
  <c r="R43" i="93"/>
  <c r="R39" i="93"/>
  <c r="R79" i="93"/>
  <c r="R78" i="93"/>
  <c r="R51" i="93"/>
  <c r="R50" i="93"/>
  <c r="R34" i="93"/>
  <c r="R80" i="93"/>
  <c r="R72" i="93"/>
  <c r="R68" i="93"/>
  <c r="R53" i="93"/>
  <c r="R52" i="93"/>
  <c r="V37" i="93"/>
  <c r="V52" i="93"/>
  <c r="Z62" i="94"/>
  <c r="N24" i="95"/>
  <c r="F80" i="97"/>
  <c r="V28" i="92"/>
  <c r="V32" i="92"/>
  <c r="V64" i="92"/>
  <c r="V72" i="92"/>
  <c r="V76" i="92"/>
  <c r="V80" i="92"/>
  <c r="V73" i="93"/>
  <c r="V69" i="93"/>
  <c r="V57" i="93"/>
  <c r="V45" i="93"/>
  <c r="V64" i="93"/>
  <c r="V56" i="93"/>
  <c r="V87" i="93"/>
  <c r="V75" i="93"/>
  <c r="V59" i="93"/>
  <c r="V47" i="93"/>
  <c r="V77" i="93"/>
  <c r="V65" i="93"/>
  <c r="V49" i="93"/>
  <c r="V76" i="93"/>
  <c r="V60" i="93"/>
  <c r="V48" i="93"/>
  <c r="V79" i="93"/>
  <c r="V71" i="93"/>
  <c r="V67" i="93"/>
  <c r="V51" i="93"/>
  <c r="V78" i="93"/>
  <c r="V50" i="93"/>
  <c r="V61" i="93"/>
  <c r="V53" i="93"/>
  <c r="V85" i="93"/>
  <c r="V83" i="93"/>
  <c r="V63" i="93"/>
  <c r="V55" i="93"/>
  <c r="R19" i="93"/>
  <c r="X36" i="93"/>
  <c r="Z36" i="93" s="1"/>
  <c r="R44" i="93"/>
  <c r="V46" i="93"/>
  <c r="N66" i="93"/>
  <c r="R83" i="93"/>
  <c r="N25" i="94"/>
  <c r="N79" i="94"/>
  <c r="L26" i="92"/>
  <c r="N26" i="92" s="1"/>
  <c r="V37" i="92"/>
  <c r="V41" i="92"/>
  <c r="V45" i="92"/>
  <c r="X72" i="92"/>
  <c r="Z72" i="92" s="1"/>
  <c r="V81" i="92"/>
  <c r="L88" i="92"/>
  <c r="X12" i="93"/>
  <c r="Z12" i="93" s="1"/>
  <c r="V19" i="93"/>
  <c r="R28" i="93"/>
  <c r="R32" i="93"/>
  <c r="R36" i="93"/>
  <c r="V39" i="93"/>
  <c r="V44" i="93"/>
  <c r="V58" i="93"/>
  <c r="V62" i="93"/>
  <c r="V68" i="93"/>
  <c r="Z60" i="94"/>
  <c r="Z24" i="95"/>
  <c r="Z46" i="95"/>
  <c r="Z48" i="95"/>
  <c r="V54" i="92"/>
  <c r="V62" i="92"/>
  <c r="V70" i="92"/>
  <c r="V92" i="92"/>
  <c r="R18" i="93"/>
  <c r="V28" i="93"/>
  <c r="V32" i="93"/>
  <c r="R35" i="93"/>
  <c r="P12" i="94"/>
  <c r="X13" i="94"/>
  <c r="Z13" i="94" s="1"/>
  <c r="N67" i="94"/>
  <c r="X48" i="95"/>
  <c r="F94" i="97"/>
  <c r="F98" i="97"/>
  <c r="F96" i="97"/>
  <c r="F87" i="97"/>
  <c r="F100" i="97"/>
  <c r="F89" i="97"/>
  <c r="F88" i="97"/>
  <c r="F105" i="97"/>
  <c r="F102" i="97"/>
  <c r="F91" i="97"/>
  <c r="F90" i="97"/>
  <c r="F84" i="97"/>
  <c r="F67" i="97"/>
  <c r="F43" i="97"/>
  <c r="F39" i="97"/>
  <c r="F93" i="97"/>
  <c r="F74" i="97"/>
  <c r="F58" i="97"/>
  <c r="F57" i="97"/>
  <c r="F50" i="97"/>
  <c r="F49" i="97"/>
  <c r="F34" i="97"/>
  <c r="F30" i="97"/>
  <c r="F81" i="97"/>
  <c r="F69" i="97"/>
  <c r="F68" i="97"/>
  <c r="F21" i="97"/>
  <c r="F60" i="97"/>
  <c r="F59" i="97"/>
  <c r="F52" i="97"/>
  <c r="F51" i="97"/>
  <c r="F44" i="97"/>
  <c r="F40" i="97"/>
  <c r="F75" i="97"/>
  <c r="F35" i="97"/>
  <c r="F31" i="97"/>
  <c r="F27" i="97"/>
  <c r="F26" i="97"/>
  <c r="F85" i="97"/>
  <c r="F82" i="97"/>
  <c r="F70" i="97"/>
  <c r="F62" i="97"/>
  <c r="F61" i="97"/>
  <c r="F54" i="97"/>
  <c r="F53" i="97"/>
  <c r="F25" i="97"/>
  <c r="F23" i="97"/>
  <c r="F77" i="97"/>
  <c r="F76" i="97"/>
  <c r="F45" i="97"/>
  <c r="F41" i="97"/>
  <c r="F37" i="97"/>
  <c r="F36" i="97"/>
  <c r="D23" i="97"/>
  <c r="F92" i="97"/>
  <c r="F64" i="97"/>
  <c r="F63" i="97"/>
  <c r="F32" i="97"/>
  <c r="F28" i="97"/>
  <c r="L12" i="97"/>
  <c r="N12" i="97" s="1"/>
  <c r="F71" i="97"/>
  <c r="F55" i="97"/>
  <c r="F19" i="97"/>
  <c r="F18" i="97"/>
  <c r="F73" i="97"/>
  <c r="F72" i="97"/>
  <c r="F33" i="97"/>
  <c r="F29" i="97"/>
  <c r="F78" i="97"/>
  <c r="F46" i="97"/>
  <c r="F66" i="97"/>
  <c r="F56" i="97"/>
  <c r="F47" i="97"/>
  <c r="F86" i="97"/>
  <c r="F79" i="97"/>
  <c r="F38" i="97"/>
  <c r="F83" i="97"/>
  <c r="V27" i="92"/>
  <c r="V31" i="92"/>
  <c r="V35" i="92"/>
  <c r="V63" i="92"/>
  <c r="V75" i="92"/>
  <c r="V79" i="92"/>
  <c r="V35" i="93"/>
  <c r="V36" i="93"/>
  <c r="R41" i="93"/>
  <c r="L53" i="93"/>
  <c r="N53" i="93" s="1"/>
  <c r="Z66" i="93"/>
  <c r="R75" i="93"/>
  <c r="Z79" i="94"/>
  <c r="F48" i="97"/>
  <c r="T23" i="92"/>
  <c r="V36" i="92"/>
  <c r="V40" i="92"/>
  <c r="V44" i="92"/>
  <c r="V52" i="92"/>
  <c r="V18" i="93"/>
  <c r="P23" i="93"/>
  <c r="R27" i="93"/>
  <c r="R31" i="93"/>
  <c r="V41" i="93"/>
  <c r="L47" i="93"/>
  <c r="N49" i="93"/>
  <c r="N55" i="93"/>
  <c r="V66" i="93"/>
  <c r="Z77" i="93"/>
  <c r="R82" i="93"/>
  <c r="Z25" i="94"/>
  <c r="N47" i="93"/>
  <c r="X53" i="93"/>
  <c r="Z53" i="93" s="1"/>
  <c r="L59" i="93"/>
  <c r="F65" i="97"/>
  <c r="T23" i="94"/>
  <c r="V36" i="94"/>
  <c r="V40" i="94"/>
  <c r="V44" i="94"/>
  <c r="J48" i="94"/>
  <c r="V52" i="94"/>
  <c r="J58" i="94"/>
  <c r="J68" i="94"/>
  <c r="V72" i="94"/>
  <c r="V76" i="94"/>
  <c r="J80" i="94"/>
  <c r="V28" i="95"/>
  <c r="V32" i="95"/>
  <c r="J36" i="95"/>
  <c r="R37" i="95"/>
  <c r="J40" i="95"/>
  <c r="R41" i="95"/>
  <c r="J44" i="95"/>
  <c r="R45" i="95"/>
  <c r="R46" i="95"/>
  <c r="V48" i="95"/>
  <c r="X56" i="95"/>
  <c r="Z77" i="95"/>
  <c r="Z90" i="95"/>
  <c r="Z26" i="97"/>
  <c r="V26" i="94"/>
  <c r="V30" i="94"/>
  <c r="V34" i="94"/>
  <c r="J38" i="94"/>
  <c r="J42" i="94"/>
  <c r="J46" i="94"/>
  <c r="V50" i="94"/>
  <c r="J56" i="94"/>
  <c r="V62" i="94"/>
  <c r="J66" i="94"/>
  <c r="V70" i="94"/>
  <c r="J74" i="94"/>
  <c r="J78" i="94"/>
  <c r="V82" i="94"/>
  <c r="V84" i="94"/>
  <c r="V18" i="95"/>
  <c r="J22" i="95"/>
  <c r="J24" i="95"/>
  <c r="J26" i="95"/>
  <c r="R27" i="95"/>
  <c r="J30" i="95"/>
  <c r="R31" i="95"/>
  <c r="J34" i="95"/>
  <c r="V46" i="95"/>
  <c r="V51" i="95"/>
  <c r="Z56" i="95"/>
  <c r="V58" i="95"/>
  <c r="J73" i="95"/>
  <c r="R94" i="95"/>
  <c r="N61" i="97"/>
  <c r="L72" i="97"/>
  <c r="Z76" i="97"/>
  <c r="J19" i="94"/>
  <c r="V39" i="94"/>
  <c r="V43" i="94"/>
  <c r="V51" i="94"/>
  <c r="J55" i="94"/>
  <c r="V59" i="94"/>
  <c r="J65" i="94"/>
  <c r="V71" i="94"/>
  <c r="V75" i="94"/>
  <c r="D12" i="95"/>
  <c r="R17" i="95"/>
  <c r="J25" i="95"/>
  <c r="V27" i="95"/>
  <c r="V31" i="95"/>
  <c r="R36" i="95"/>
  <c r="J39" i="95"/>
  <c r="R40" i="95"/>
  <c r="J43" i="95"/>
  <c r="R44" i="95"/>
  <c r="V56" i="95"/>
  <c r="R67" i="95"/>
  <c r="R105" i="95"/>
  <c r="N72" i="97"/>
  <c r="X96" i="97"/>
  <c r="V20" i="94"/>
  <c r="J28" i="94"/>
  <c r="J32" i="94"/>
  <c r="V48" i="94"/>
  <c r="V60" i="94"/>
  <c r="J64" i="94"/>
  <c r="V68" i="94"/>
  <c r="V80" i="94"/>
  <c r="J105" i="95"/>
  <c r="J93" i="95"/>
  <c r="J71" i="95"/>
  <c r="J65" i="95"/>
  <c r="J94" i="95"/>
  <c r="J76" i="95"/>
  <c r="J72" i="95"/>
  <c r="J66" i="95"/>
  <c r="J95" i="95"/>
  <c r="J87" i="95"/>
  <c r="J83" i="95"/>
  <c r="J77" i="95"/>
  <c r="J67" i="95"/>
  <c r="J55" i="95"/>
  <c r="J78" i="95"/>
  <c r="J96" i="95"/>
  <c r="J88" i="95"/>
  <c r="J84" i="95"/>
  <c r="J68" i="95"/>
  <c r="J58" i="95"/>
  <c r="J50" i="95"/>
  <c r="J97" i="95"/>
  <c r="J79" i="95"/>
  <c r="J98" i="95"/>
  <c r="J80" i="95"/>
  <c r="J74" i="95"/>
  <c r="J60" i="95"/>
  <c r="J52" i="95"/>
  <c r="J89" i="95"/>
  <c r="J85" i="95"/>
  <c r="J81" i="95"/>
  <c r="J69" i="95"/>
  <c r="J61" i="95"/>
  <c r="J53" i="95"/>
  <c r="J91" i="95"/>
  <c r="J75" i="95"/>
  <c r="J63" i="95"/>
  <c r="J20" i="95"/>
  <c r="V36" i="95"/>
  <c r="V40" i="95"/>
  <c r="V44" i="95"/>
  <c r="V69" i="95"/>
  <c r="J82" i="95"/>
  <c r="V29" i="94"/>
  <c r="V33" i="94"/>
  <c r="J37" i="94"/>
  <c r="J41" i="94"/>
  <c r="J45" i="94"/>
  <c r="V49" i="94"/>
  <c r="V57" i="94"/>
  <c r="V69" i="94"/>
  <c r="J73" i="94"/>
  <c r="J77" i="94"/>
  <c r="V81" i="94"/>
  <c r="P22" i="95"/>
  <c r="R26" i="95"/>
  <c r="J29" i="95"/>
  <c r="R30" i="95"/>
  <c r="J33" i="95"/>
  <c r="R34" i="95"/>
  <c r="R35" i="95"/>
  <c r="J49" i="95"/>
  <c r="R55" i="95"/>
  <c r="J57" i="95"/>
  <c r="J62" i="95"/>
  <c r="J64" i="95"/>
  <c r="V76" i="95"/>
  <c r="V78" i="95"/>
  <c r="Z72" i="97"/>
  <c r="J36" i="94"/>
  <c r="V38" i="94"/>
  <c r="V42" i="94"/>
  <c r="V46" i="94"/>
  <c r="J54" i="94"/>
  <c r="V58" i="94"/>
  <c r="V66" i="94"/>
  <c r="V74" i="94"/>
  <c r="V78" i="94"/>
  <c r="J88" i="94"/>
  <c r="R22" i="95"/>
  <c r="R24" i="95"/>
  <c r="V26" i="95"/>
  <c r="V30" i="95"/>
  <c r="V34" i="95"/>
  <c r="J38" i="95"/>
  <c r="R39" i="95"/>
  <c r="J42" i="95"/>
  <c r="R43" i="95"/>
  <c r="J48" i="95"/>
  <c r="V50" i="95"/>
  <c r="V53" i="95"/>
  <c r="V55" i="95"/>
  <c r="J59" i="95"/>
  <c r="X62" i="95"/>
  <c r="Z62" i="95" s="1"/>
  <c r="R87" i="95"/>
  <c r="Z25" i="97"/>
  <c r="N47" i="97"/>
  <c r="V67" i="94"/>
  <c r="V79" i="94"/>
  <c r="H86" i="94"/>
  <c r="J86" i="94" s="1"/>
  <c r="R78" i="95"/>
  <c r="R73" i="95"/>
  <c r="R58" i="95"/>
  <c r="R57" i="95"/>
  <c r="R50" i="95"/>
  <c r="R49" i="95"/>
  <c r="R97" i="95"/>
  <c r="R96" i="95"/>
  <c r="R88" i="95"/>
  <c r="R84" i="95"/>
  <c r="R68" i="95"/>
  <c r="R80" i="95"/>
  <c r="R79" i="95"/>
  <c r="R60" i="95"/>
  <c r="R59" i="95"/>
  <c r="R98" i="95"/>
  <c r="R101" i="95"/>
  <c r="R100" i="95"/>
  <c r="R90" i="95"/>
  <c r="R89" i="95"/>
  <c r="R85" i="95"/>
  <c r="R81" i="95"/>
  <c r="R69" i="95"/>
  <c r="R62" i="95"/>
  <c r="R61" i="95"/>
  <c r="R53" i="95"/>
  <c r="R92" i="95"/>
  <c r="R91" i="95"/>
  <c r="R75" i="95"/>
  <c r="R64" i="95"/>
  <c r="R63" i="95"/>
  <c r="R86" i="95"/>
  <c r="R82" i="95"/>
  <c r="R71" i="95"/>
  <c r="R70" i="95"/>
  <c r="R54" i="95"/>
  <c r="R77" i="95"/>
  <c r="R76" i="95"/>
  <c r="R72" i="95"/>
  <c r="R20" i="95"/>
  <c r="R25" i="95"/>
  <c r="V35" i="95"/>
  <c r="V39" i="95"/>
  <c r="J47" i="95"/>
  <c r="R74" i="95"/>
  <c r="D100" i="95"/>
  <c r="L100" i="95" s="1"/>
  <c r="L101" i="95"/>
  <c r="T107" i="95"/>
  <c r="V107" i="95" s="1"/>
  <c r="P12" i="97"/>
  <c r="X13" i="97"/>
  <c r="Z13" i="97" s="1"/>
  <c r="J26" i="94"/>
  <c r="V28" i="94"/>
  <c r="V32" i="94"/>
  <c r="J40" i="94"/>
  <c r="J44" i="94"/>
  <c r="X47" i="94"/>
  <c r="Z47" i="94" s="1"/>
  <c r="J52" i="94"/>
  <c r="V56" i="94"/>
  <c r="J62" i="94"/>
  <c r="V64" i="94"/>
  <c r="X67" i="94"/>
  <c r="Z67" i="94" s="1"/>
  <c r="J72" i="94"/>
  <c r="J76" i="94"/>
  <c r="J84" i="94"/>
  <c r="V97" i="95"/>
  <c r="V73" i="95"/>
  <c r="V57" i="95"/>
  <c r="V96" i="95"/>
  <c r="V88" i="95"/>
  <c r="V84" i="95"/>
  <c r="V80" i="95"/>
  <c r="V68" i="95"/>
  <c r="V60" i="95"/>
  <c r="V52" i="95"/>
  <c r="V79" i="95"/>
  <c r="V59" i="95"/>
  <c r="V100" i="95"/>
  <c r="V98" i="95"/>
  <c r="V90" i="95"/>
  <c r="V74" i="95"/>
  <c r="V62" i="95"/>
  <c r="V103" i="95"/>
  <c r="V101" i="95"/>
  <c r="V89" i="95"/>
  <c r="V85" i="95"/>
  <c r="V92" i="95"/>
  <c r="V64" i="95"/>
  <c r="V91" i="95"/>
  <c r="V75" i="95"/>
  <c r="V71" i="95"/>
  <c r="V94" i="95"/>
  <c r="V86" i="95"/>
  <c r="V82" i="95"/>
  <c r="V70" i="95"/>
  <c r="V66" i="95"/>
  <c r="V54" i="95"/>
  <c r="V105" i="95"/>
  <c r="V93" i="95"/>
  <c r="V77" i="95"/>
  <c r="V65" i="95"/>
  <c r="V95" i="95"/>
  <c r="V87" i="95"/>
  <c r="V83" i="95"/>
  <c r="V67" i="95"/>
  <c r="V20" i="95"/>
  <c r="V22" i="95"/>
  <c r="V24" i="95"/>
  <c r="J28" i="95"/>
  <c r="R29" i="95"/>
  <c r="J32" i="95"/>
  <c r="R33" i="95"/>
  <c r="J46" i="95"/>
  <c r="V49" i="95"/>
  <c r="N52" i="95"/>
  <c r="J70" i="95"/>
  <c r="R95" i="95"/>
  <c r="J101" i="95"/>
  <c r="Z36" i="97"/>
  <c r="J21" i="94"/>
  <c r="V37" i="94"/>
  <c r="V41" i="94"/>
  <c r="V45" i="94"/>
  <c r="J51" i="94"/>
  <c r="X56" i="94"/>
  <c r="Z56" i="94" s="1"/>
  <c r="J61" i="94"/>
  <c r="V65" i="94"/>
  <c r="J71" i="94"/>
  <c r="V73" i="94"/>
  <c r="V77" i="94"/>
  <c r="X12" i="95"/>
  <c r="Z12" i="95" s="1"/>
  <c r="V25" i="95"/>
  <c r="V29" i="95"/>
  <c r="V33" i="95"/>
  <c r="J37" i="95"/>
  <c r="R38" i="95"/>
  <c r="J41" i="95"/>
  <c r="R42" i="95"/>
  <c r="J45" i="95"/>
  <c r="J54" i="95"/>
  <c r="L56" i="95"/>
  <c r="N56" i="95" s="1"/>
  <c r="Z64" i="95"/>
  <c r="R66" i="95"/>
  <c r="N90" i="95"/>
  <c r="J92" i="95"/>
  <c r="V18" i="94"/>
  <c r="J30" i="94"/>
  <c r="J34" i="94"/>
  <c r="J50" i="94"/>
  <c r="V54" i="94"/>
  <c r="J60" i="94"/>
  <c r="J70" i="94"/>
  <c r="V88" i="94"/>
  <c r="J18" i="95"/>
  <c r="R19" i="95"/>
  <c r="V38" i="95"/>
  <c r="V42" i="95"/>
  <c r="R47" i="95"/>
  <c r="R48" i="95"/>
  <c r="J51" i="95"/>
  <c r="N58" i="95"/>
  <c r="Z66" i="95"/>
  <c r="V72" i="95"/>
  <c r="J90" i="95"/>
  <c r="T23" i="97"/>
  <c r="V36" i="97"/>
  <c r="V40" i="97"/>
  <c r="V44" i="97"/>
  <c r="J48" i="97"/>
  <c r="V52" i="97"/>
  <c r="J56" i="97"/>
  <c r="V60" i="97"/>
  <c r="V76" i="97"/>
  <c r="N37" i="98"/>
  <c r="L37" i="98"/>
  <c r="D17" i="99"/>
  <c r="L14" i="99"/>
  <c r="J98" i="97"/>
  <c r="J96" i="97"/>
  <c r="J87" i="97"/>
  <c r="J100" i="97"/>
  <c r="J88" i="97"/>
  <c r="J89" i="97"/>
  <c r="J90" i="97"/>
  <c r="J84" i="97"/>
  <c r="J91" i="97"/>
  <c r="J92" i="97"/>
  <c r="J94" i="97"/>
  <c r="J86" i="97"/>
  <c r="V26" i="97"/>
  <c r="V30" i="97"/>
  <c r="V34" i="97"/>
  <c r="J38" i="97"/>
  <c r="J42" i="97"/>
  <c r="J46" i="97"/>
  <c r="V50" i="97"/>
  <c r="V58" i="97"/>
  <c r="J66" i="97"/>
  <c r="J72" i="97"/>
  <c r="V74" i="97"/>
  <c r="J78" i="97"/>
  <c r="J83" i="97"/>
  <c r="L92" i="97"/>
  <c r="J19" i="97"/>
  <c r="V39" i="97"/>
  <c r="V43" i="97"/>
  <c r="V51" i="97"/>
  <c r="J55" i="97"/>
  <c r="V59" i="97"/>
  <c r="J65" i="97"/>
  <c r="V67" i="97"/>
  <c r="J71" i="97"/>
  <c r="V20" i="97"/>
  <c r="V48" i="97"/>
  <c r="V56" i="97"/>
  <c r="J64" i="97"/>
  <c r="V68" i="97"/>
  <c r="V80" i="97"/>
  <c r="Z43" i="98"/>
  <c r="X43" i="98"/>
  <c r="V29" i="97"/>
  <c r="V33" i="97"/>
  <c r="J37" i="97"/>
  <c r="J41" i="97"/>
  <c r="J45" i="97"/>
  <c r="V49" i="97"/>
  <c r="V57" i="97"/>
  <c r="J63" i="97"/>
  <c r="V73" i="97"/>
  <c r="J77" i="97"/>
  <c r="Z88" i="97"/>
  <c r="V92" i="97"/>
  <c r="V91" i="97"/>
  <c r="V93" i="97"/>
  <c r="V96" i="97"/>
  <c r="V94" i="97"/>
  <c r="V100" i="97"/>
  <c r="V90" i="97"/>
  <c r="H102" i="97"/>
  <c r="J102" i="97" s="1"/>
  <c r="J36" i="97"/>
  <c r="V38" i="97"/>
  <c r="V42" i="97"/>
  <c r="V46" i="97"/>
  <c r="X49" i="97"/>
  <c r="Z49" i="97" s="1"/>
  <c r="J54" i="97"/>
  <c r="X57" i="97"/>
  <c r="J62" i="97"/>
  <c r="L63" i="97"/>
  <c r="N63" i="97" s="1"/>
  <c r="V66" i="97"/>
  <c r="J70" i="97"/>
  <c r="J76" i="97"/>
  <c r="V78" i="97"/>
  <c r="J82" i="97"/>
  <c r="V83" i="97"/>
  <c r="J85" i="97"/>
  <c r="V88" i="97"/>
  <c r="D12" i="98"/>
  <c r="L13" i="98"/>
  <c r="V19" i="97"/>
  <c r="J23" i="97"/>
  <c r="J25" i="97"/>
  <c r="V47" i="97"/>
  <c r="J53" i="97"/>
  <c r="V55" i="97"/>
  <c r="J61" i="97"/>
  <c r="V71" i="97"/>
  <c r="J75" i="97"/>
  <c r="V79" i="97"/>
  <c r="Z25" i="100"/>
  <c r="J26" i="97"/>
  <c r="V28" i="97"/>
  <c r="V32" i="97"/>
  <c r="J40" i="97"/>
  <c r="J44" i="97"/>
  <c r="J52" i="97"/>
  <c r="J60" i="97"/>
  <c r="V64" i="97"/>
  <c r="V72" i="97"/>
  <c r="R45" i="98"/>
  <c r="R44" i="98"/>
  <c r="X12" i="98"/>
  <c r="R35" i="98"/>
  <c r="R16" i="98"/>
  <c r="R46" i="98"/>
  <c r="R30" i="98"/>
  <c r="R26" i="98"/>
  <c r="R17" i="98"/>
  <c r="R37" i="98"/>
  <c r="R36" i="98"/>
  <c r="R48" i="98"/>
  <c r="R47" i="98"/>
  <c r="R32" i="98"/>
  <c r="R31" i="98"/>
  <c r="R27" i="98"/>
  <c r="R39" i="98"/>
  <c r="R38" i="98"/>
  <c r="R23" i="98"/>
  <c r="R18" i="98"/>
  <c r="R49" i="98"/>
  <c r="R33" i="98"/>
  <c r="R22" i="98"/>
  <c r="R20" i="98"/>
  <c r="R51" i="98"/>
  <c r="R41" i="98"/>
  <c r="R40" i="98"/>
  <c r="R28" i="98"/>
  <c r="R24" i="98"/>
  <c r="P20" i="98"/>
  <c r="R43" i="98"/>
  <c r="R42" i="98"/>
  <c r="R34" i="98"/>
  <c r="R55" i="98"/>
  <c r="R29" i="98"/>
  <c r="R25" i="98"/>
  <c r="L20" i="99"/>
  <c r="N20" i="99" s="1"/>
  <c r="J21" i="97"/>
  <c r="V37" i="97"/>
  <c r="V41" i="97"/>
  <c r="V45" i="97"/>
  <c r="J51" i="97"/>
  <c r="J59" i="97"/>
  <c r="V65" i="97"/>
  <c r="J69" i="97"/>
  <c r="V77" i="97"/>
  <c r="J81" i="97"/>
  <c r="V85" i="97"/>
  <c r="X52" i="99"/>
  <c r="Z52" i="99" s="1"/>
  <c r="V18" i="97"/>
  <c r="J30" i="97"/>
  <c r="J34" i="97"/>
  <c r="J50" i="97"/>
  <c r="V54" i="97"/>
  <c r="J58" i="97"/>
  <c r="V62" i="97"/>
  <c r="J68" i="97"/>
  <c r="V70" i="97"/>
  <c r="J74" i="97"/>
  <c r="V82" i="97"/>
  <c r="V87" i="97"/>
  <c r="J93" i="97"/>
  <c r="H57" i="98"/>
  <c r="N53" i="98"/>
  <c r="Z12" i="98"/>
  <c r="V16" i="98"/>
  <c r="J20" i="98"/>
  <c r="J22" i="98"/>
  <c r="J24" i="98"/>
  <c r="J28" i="98"/>
  <c r="J40" i="98"/>
  <c r="V44" i="98"/>
  <c r="X12" i="99"/>
  <c r="F17" i="99"/>
  <c r="F19" i="99"/>
  <c r="V23" i="99"/>
  <c r="V27" i="99"/>
  <c r="J31" i="99"/>
  <c r="R32" i="99"/>
  <c r="J35" i="99"/>
  <c r="R36" i="99"/>
  <c r="J39" i="99"/>
  <c r="R40" i="99"/>
  <c r="R41" i="99"/>
  <c r="V43" i="99"/>
  <c r="F47" i="99"/>
  <c r="F48" i="99"/>
  <c r="J49" i="99"/>
  <c r="R55" i="99"/>
  <c r="V20" i="100"/>
  <c r="J25" i="100"/>
  <c r="V27" i="100"/>
  <c r="V35" i="100"/>
  <c r="V38" i="100"/>
  <c r="J45" i="100"/>
  <c r="Z46" i="100"/>
  <c r="N48" i="100"/>
  <c r="J51" i="100"/>
  <c r="J57" i="100"/>
  <c r="Z58" i="100"/>
  <c r="V61" i="100"/>
  <c r="J63" i="100"/>
  <c r="J67" i="100"/>
  <c r="V70" i="100"/>
  <c r="L27" i="101"/>
  <c r="N27" i="101" s="1"/>
  <c r="F44" i="101"/>
  <c r="X50" i="102"/>
  <c r="Z50" i="102" s="1"/>
  <c r="J23" i="98"/>
  <c r="V25" i="98"/>
  <c r="V29" i="98"/>
  <c r="J33" i="98"/>
  <c r="J39" i="98"/>
  <c r="V45" i="98"/>
  <c r="J49" i="98"/>
  <c r="V55" i="98"/>
  <c r="V57" i="98"/>
  <c r="V60" i="98"/>
  <c r="Z12" i="99"/>
  <c r="H17" i="99"/>
  <c r="F20" i="99"/>
  <c r="F21" i="99"/>
  <c r="F25" i="99"/>
  <c r="F29" i="99"/>
  <c r="J30" i="99"/>
  <c r="V32" i="99"/>
  <c r="V36" i="99"/>
  <c r="V40" i="99"/>
  <c r="J48" i="99"/>
  <c r="R52" i="99"/>
  <c r="R53" i="99"/>
  <c r="H23" i="100"/>
  <c r="J29" i="100"/>
  <c r="J37" i="100"/>
  <c r="V46" i="100"/>
  <c r="V58" i="100"/>
  <c r="X67" i="100"/>
  <c r="Z67" i="100" s="1"/>
  <c r="J69" i="100"/>
  <c r="V77" i="100"/>
  <c r="F27" i="101"/>
  <c r="X28" i="101"/>
  <c r="Z28" i="101" s="1"/>
  <c r="F46" i="101"/>
  <c r="F86" i="101"/>
  <c r="P64" i="102"/>
  <c r="X16" i="102"/>
  <c r="J27" i="98"/>
  <c r="J31" i="98"/>
  <c r="J37" i="98"/>
  <c r="V43" i="98"/>
  <c r="J47" i="98"/>
  <c r="F14" i="99"/>
  <c r="F15" i="99"/>
  <c r="J20" i="99"/>
  <c r="V22" i="99"/>
  <c r="V26" i="99"/>
  <c r="R31" i="99"/>
  <c r="J34" i="99"/>
  <c r="R35" i="99"/>
  <c r="J38" i="99"/>
  <c r="R39" i="99"/>
  <c r="J46" i="99"/>
  <c r="V50" i="99"/>
  <c r="V52" i="99"/>
  <c r="D12" i="100"/>
  <c r="V19" i="100"/>
  <c r="J32" i="100"/>
  <c r="V33" i="100"/>
  <c r="V45" i="100"/>
  <c r="X54" i="100"/>
  <c r="Z54" i="100" s="1"/>
  <c r="V57" i="100"/>
  <c r="V75" i="100"/>
  <c r="P12" i="101"/>
  <c r="X13" i="101"/>
  <c r="Z13" i="101" s="1"/>
  <c r="V24" i="98"/>
  <c r="V28" i="98"/>
  <c r="J36" i="98"/>
  <c r="V40" i="98"/>
  <c r="F24" i="99"/>
  <c r="F28" i="99"/>
  <c r="V31" i="99"/>
  <c r="V35" i="99"/>
  <c r="V39" i="99"/>
  <c r="F43" i="99"/>
  <c r="F44" i="99"/>
  <c r="J45" i="99"/>
  <c r="R48" i="99"/>
  <c r="R49" i="99"/>
  <c r="J59" i="99"/>
  <c r="J62" i="99"/>
  <c r="J54" i="100"/>
  <c r="J44" i="100"/>
  <c r="J40" i="100"/>
  <c r="J36" i="100"/>
  <c r="J26" i="100"/>
  <c r="J64" i="100"/>
  <c r="J58" i="100"/>
  <c r="J46" i="100"/>
  <c r="J71" i="100"/>
  <c r="J65" i="100"/>
  <c r="J59" i="100"/>
  <c r="J47" i="100"/>
  <c r="J82" i="100"/>
  <c r="J66" i="100"/>
  <c r="J48" i="100"/>
  <c r="J42" i="100"/>
  <c r="J38" i="100"/>
  <c r="J72" i="100"/>
  <c r="J68" i="100"/>
  <c r="J60" i="100"/>
  <c r="J50" i="100"/>
  <c r="J21" i="100"/>
  <c r="V37" i="100"/>
  <c r="V40" i="100"/>
  <c r="N50" i="100"/>
  <c r="V63" i="100"/>
  <c r="V67" i="100"/>
  <c r="V69" i="100"/>
  <c r="J74" i="100"/>
  <c r="N50" i="101"/>
  <c r="T20" i="98"/>
  <c r="V33" i="98"/>
  <c r="V41" i="98"/>
  <c r="V49" i="98"/>
  <c r="V51" i="98"/>
  <c r="V53" i="98"/>
  <c r="P17" i="99"/>
  <c r="R21" i="99"/>
  <c r="J24" i="99"/>
  <c r="R25" i="99"/>
  <c r="J28" i="99"/>
  <c r="R29" i="99"/>
  <c r="R30" i="99"/>
  <c r="F33" i="99"/>
  <c r="F37" i="99"/>
  <c r="J44" i="99"/>
  <c r="V48" i="99"/>
  <c r="F57" i="99"/>
  <c r="V25" i="100"/>
  <c r="J28" i="100"/>
  <c r="V29" i="100"/>
  <c r="J39" i="100"/>
  <c r="J56" i="100"/>
  <c r="J62" i="100"/>
  <c r="J78" i="100"/>
  <c r="F104" i="101"/>
  <c r="F101" i="101"/>
  <c r="F88" i="101"/>
  <c r="F92" i="101"/>
  <c r="F91" i="101"/>
  <c r="F84" i="101"/>
  <c r="F95" i="101"/>
  <c r="F49" i="101"/>
  <c r="F45" i="101"/>
  <c r="F41" i="101"/>
  <c r="F97" i="101"/>
  <c r="F68" i="101"/>
  <c r="F60" i="101"/>
  <c r="F59" i="101"/>
  <c r="F36" i="101"/>
  <c r="F32" i="101"/>
  <c r="F81" i="101"/>
  <c r="F75" i="101"/>
  <c r="F51" i="101"/>
  <c r="F50" i="101"/>
  <c r="F23" i="101"/>
  <c r="F70" i="101"/>
  <c r="F69" i="101"/>
  <c r="F62" i="101"/>
  <c r="F61" i="101"/>
  <c r="F77" i="101"/>
  <c r="F76" i="101"/>
  <c r="F53" i="101"/>
  <c r="F52" i="101"/>
  <c r="F99" i="101"/>
  <c r="F64" i="101"/>
  <c r="F63" i="101"/>
  <c r="F85" i="101"/>
  <c r="F82" i="101"/>
  <c r="F79" i="101"/>
  <c r="F78" i="101"/>
  <c r="F71" i="101"/>
  <c r="F55" i="101"/>
  <c r="F54" i="101"/>
  <c r="F47" i="101"/>
  <c r="F43" i="101"/>
  <c r="D25" i="101"/>
  <c r="F89" i="101"/>
  <c r="F66" i="101"/>
  <c r="F65" i="101"/>
  <c r="F38" i="101"/>
  <c r="F34" i="101"/>
  <c r="F30" i="101"/>
  <c r="F94" i="101"/>
  <c r="F73" i="101"/>
  <c r="F72" i="101"/>
  <c r="F57" i="101"/>
  <c r="F56" i="101"/>
  <c r="F21" i="101"/>
  <c r="F20" i="101"/>
  <c r="F90" i="101"/>
  <c r="F80" i="101"/>
  <c r="F67" i="101"/>
  <c r="F35" i="101"/>
  <c r="F31" i="101"/>
  <c r="L52" i="101"/>
  <c r="F74" i="101"/>
  <c r="Z86" i="101"/>
  <c r="X13" i="98"/>
  <c r="J16" i="98"/>
  <c r="V18" i="98"/>
  <c r="V20" i="98"/>
  <c r="V22" i="98"/>
  <c r="J26" i="98"/>
  <c r="J30" i="98"/>
  <c r="V38" i="98"/>
  <c r="J46" i="98"/>
  <c r="R17" i="99"/>
  <c r="R19" i="99"/>
  <c r="V21" i="99"/>
  <c r="V25" i="99"/>
  <c r="V29" i="99"/>
  <c r="J33" i="99"/>
  <c r="R34" i="99"/>
  <c r="J37" i="99"/>
  <c r="R38" i="99"/>
  <c r="F41" i="99"/>
  <c r="F42" i="99"/>
  <c r="J43" i="99"/>
  <c r="R46" i="99"/>
  <c r="R47" i="99"/>
  <c r="V49" i="99"/>
  <c r="F55" i="99"/>
  <c r="J57" i="99"/>
  <c r="T23" i="100"/>
  <c r="J31" i="100"/>
  <c r="J35" i="100"/>
  <c r="V42" i="100"/>
  <c r="V53" i="100"/>
  <c r="L56" i="100"/>
  <c r="V66" i="100"/>
  <c r="V71" i="100"/>
  <c r="F22" i="101"/>
  <c r="F25" i="101"/>
  <c r="Z27" i="101"/>
  <c r="F33" i="101"/>
  <c r="N52" i="101"/>
  <c r="V23" i="98"/>
  <c r="V27" i="98"/>
  <c r="V31" i="98"/>
  <c r="J35" i="98"/>
  <c r="V39" i="98"/>
  <c r="J45" i="98"/>
  <c r="V47" i="98"/>
  <c r="J57" i="98"/>
  <c r="J60" i="98"/>
  <c r="R15" i="99"/>
  <c r="T17" i="99"/>
  <c r="R20" i="99"/>
  <c r="F23" i="99"/>
  <c r="F27" i="99"/>
  <c r="V30" i="99"/>
  <c r="V34" i="99"/>
  <c r="V38" i="99"/>
  <c r="J42" i="99"/>
  <c r="V46" i="99"/>
  <c r="F52" i="99"/>
  <c r="P12" i="100"/>
  <c r="V18" i="100"/>
  <c r="V23" i="100"/>
  <c r="J41" i="100"/>
  <c r="V47" i="100"/>
  <c r="J49" i="100"/>
  <c r="Z50" i="100"/>
  <c r="J55" i="100"/>
  <c r="J73" i="100"/>
  <c r="J77" i="100"/>
  <c r="L12" i="101"/>
  <c r="N12" i="101" s="1"/>
  <c r="Z20" i="101"/>
  <c r="H97" i="101"/>
  <c r="X52" i="101"/>
  <c r="F58" i="101"/>
  <c r="X76" i="101"/>
  <c r="Z76" i="101" s="1"/>
  <c r="F87" i="101"/>
  <c r="V32" i="98"/>
  <c r="V36" i="98"/>
  <c r="J44" i="98"/>
  <c r="V48" i="98"/>
  <c r="L12" i="99"/>
  <c r="V15" i="99"/>
  <c r="V17" i="99"/>
  <c r="V19" i="99"/>
  <c r="J23" i="99"/>
  <c r="R24" i="99"/>
  <c r="J27" i="99"/>
  <c r="R28" i="99"/>
  <c r="F32" i="99"/>
  <c r="F36" i="99"/>
  <c r="F40" i="99"/>
  <c r="J41" i="99"/>
  <c r="R44" i="99"/>
  <c r="R45" i="99"/>
  <c r="V47" i="99"/>
  <c r="F53" i="99"/>
  <c r="J55" i="99"/>
  <c r="R59" i="99"/>
  <c r="R62" i="99"/>
  <c r="V64" i="100"/>
  <c r="V48" i="100"/>
  <c r="V32" i="100"/>
  <c r="V28" i="100"/>
  <c r="V72" i="100"/>
  <c r="V68" i="100"/>
  <c r="V60" i="100"/>
  <c r="V52" i="100"/>
  <c r="V51" i="100"/>
  <c r="V43" i="100"/>
  <c r="V74" i="100"/>
  <c r="V62" i="100"/>
  <c r="V54" i="100"/>
  <c r="V34" i="100"/>
  <c r="V30" i="100"/>
  <c r="V26" i="100"/>
  <c r="V56" i="100"/>
  <c r="V44" i="100"/>
  <c r="J20" i="100"/>
  <c r="V21" i="100"/>
  <c r="J27" i="100"/>
  <c r="J34" i="100"/>
  <c r="V36" i="100"/>
  <c r="V39" i="100"/>
  <c r="V50" i="100"/>
  <c r="J52" i="100"/>
  <c r="J61" i="100"/>
  <c r="F37" i="101"/>
  <c r="F40" i="101"/>
  <c r="Z52" i="101"/>
  <c r="V17" i="98"/>
  <c r="J25" i="98"/>
  <c r="J29" i="98"/>
  <c r="V37" i="98"/>
  <c r="J43" i="98"/>
  <c r="J55" i="98"/>
  <c r="V20" i="99"/>
  <c r="V24" i="99"/>
  <c r="V28" i="99"/>
  <c r="J32" i="99"/>
  <c r="R33" i="99"/>
  <c r="J36" i="99"/>
  <c r="R37" i="99"/>
  <c r="J40" i="99"/>
  <c r="V44" i="99"/>
  <c r="J52" i="99"/>
  <c r="J53" i="99"/>
  <c r="R57" i="99"/>
  <c r="L25" i="100"/>
  <c r="N25" i="100" s="1"/>
  <c r="J70" i="100"/>
  <c r="L28" i="101"/>
  <c r="N28" i="101" s="1"/>
  <c r="Z54" i="101"/>
  <c r="Z56" i="101"/>
  <c r="Z78" i="101"/>
  <c r="F83" i="101"/>
  <c r="V26" i="98"/>
  <c r="V30" i="98"/>
  <c r="J34" i="98"/>
  <c r="J42" i="98"/>
  <c r="V46" i="98"/>
  <c r="F22" i="99"/>
  <c r="F26" i="99"/>
  <c r="V33" i="99"/>
  <c r="V37" i="99"/>
  <c r="R42" i="99"/>
  <c r="V45" i="99"/>
  <c r="F49" i="99"/>
  <c r="V57" i="99"/>
  <c r="V59" i="99"/>
  <c r="V62" i="99"/>
  <c r="J30" i="100"/>
  <c r="V31" i="100"/>
  <c r="V41" i="100"/>
  <c r="V49" i="100"/>
  <c r="V65" i="100"/>
  <c r="V78" i="100"/>
  <c r="F28" i="101"/>
  <c r="F42" i="101"/>
  <c r="J41" i="98"/>
  <c r="J51" i="98"/>
  <c r="V14" i="99"/>
  <c r="J33" i="100"/>
  <c r="J43" i="100"/>
  <c r="V55" i="100"/>
  <c r="V73" i="100"/>
  <c r="J75" i="100"/>
  <c r="V82" i="100"/>
  <c r="F39" i="101"/>
  <c r="J89" i="101"/>
  <c r="J83" i="101"/>
  <c r="J79" i="101"/>
  <c r="J97" i="101"/>
  <c r="J22" i="101"/>
  <c r="T25" i="101"/>
  <c r="V42" i="101"/>
  <c r="V46" i="101"/>
  <c r="V54" i="101"/>
  <c r="J58" i="101"/>
  <c r="V62" i="101"/>
  <c r="V70" i="101"/>
  <c r="J74" i="101"/>
  <c r="V78" i="101"/>
  <c r="V84" i="101"/>
  <c r="J87" i="101"/>
  <c r="F20" i="102"/>
  <c r="F22" i="102"/>
  <c r="J29" i="102"/>
  <c r="Z42" i="102"/>
  <c r="Z44" i="102"/>
  <c r="N26" i="103"/>
  <c r="V28" i="101"/>
  <c r="V32" i="101"/>
  <c r="V36" i="101"/>
  <c r="J40" i="101"/>
  <c r="J44" i="101"/>
  <c r="J48" i="101"/>
  <c r="V52" i="101"/>
  <c r="V60" i="101"/>
  <c r="V68" i="101"/>
  <c r="V76" i="101"/>
  <c r="J95" i="101"/>
  <c r="T16" i="102"/>
  <c r="F19" i="102"/>
  <c r="R22" i="102"/>
  <c r="F26" i="102"/>
  <c r="R32" i="102"/>
  <c r="J34" i="102"/>
  <c r="J39" i="102"/>
  <c r="J49" i="102"/>
  <c r="J53" i="102"/>
  <c r="J55" i="102"/>
  <c r="Z26" i="103"/>
  <c r="N38" i="103"/>
  <c r="J21" i="101"/>
  <c r="J39" i="101"/>
  <c r="V41" i="101"/>
  <c r="V45" i="101"/>
  <c r="V49" i="101"/>
  <c r="J57" i="101"/>
  <c r="V61" i="101"/>
  <c r="J73" i="101"/>
  <c r="J86" i="101"/>
  <c r="Z91" i="101"/>
  <c r="F28" i="102"/>
  <c r="J45" i="102"/>
  <c r="R59" i="102"/>
  <c r="V95" i="101"/>
  <c r="V99" i="101"/>
  <c r="V87" i="101"/>
  <c r="V89" i="101"/>
  <c r="J20" i="101"/>
  <c r="V22" i="101"/>
  <c r="J30" i="101"/>
  <c r="J34" i="101"/>
  <c r="J38" i="101"/>
  <c r="V50" i="101"/>
  <c r="J56" i="101"/>
  <c r="V58" i="101"/>
  <c r="J66" i="101"/>
  <c r="J72" i="101"/>
  <c r="V74" i="101"/>
  <c r="V80" i="101"/>
  <c r="V91" i="101"/>
  <c r="J94" i="101"/>
  <c r="J19" i="102"/>
  <c r="R26" i="102"/>
  <c r="J31" i="102"/>
  <c r="J71" i="101"/>
  <c r="J82" i="101"/>
  <c r="V83" i="101"/>
  <c r="J85" i="101"/>
  <c r="X86" i="101"/>
  <c r="V90" i="101"/>
  <c r="R34" i="102"/>
  <c r="R89" i="103"/>
  <c r="R81" i="103"/>
  <c r="R77" i="103"/>
  <c r="R67" i="103"/>
  <c r="R90" i="103"/>
  <c r="R82" i="103"/>
  <c r="R78" i="103"/>
  <c r="R92" i="103"/>
  <c r="R96" i="103"/>
  <c r="R70" i="103"/>
  <c r="R63" i="103"/>
  <c r="R62" i="103"/>
  <c r="R51" i="103"/>
  <c r="R50" i="103"/>
  <c r="R86" i="103"/>
  <c r="R83" i="103"/>
  <c r="R45" i="103"/>
  <c r="R41" i="103"/>
  <c r="R26" i="103"/>
  <c r="R73" i="103"/>
  <c r="R64" i="103"/>
  <c r="R60" i="103"/>
  <c r="R36" i="103"/>
  <c r="R32" i="103"/>
  <c r="R28" i="103"/>
  <c r="P24" i="103"/>
  <c r="R24" i="103" s="1"/>
  <c r="R84" i="103"/>
  <c r="R56" i="103"/>
  <c r="R79" i="103"/>
  <c r="R74" i="103"/>
  <c r="R71" i="103"/>
  <c r="R65" i="103"/>
  <c r="R61" i="103"/>
  <c r="R46" i="103"/>
  <c r="R42" i="103"/>
  <c r="R19" i="103"/>
  <c r="R68" i="103"/>
  <c r="R57" i="103"/>
  <c r="R38" i="103"/>
  <c r="R37" i="103"/>
  <c r="R33" i="103"/>
  <c r="R29" i="103"/>
  <c r="R52" i="103"/>
  <c r="R20" i="103"/>
  <c r="R87" i="103"/>
  <c r="R69" i="103"/>
  <c r="R53" i="103"/>
  <c r="R47" i="103"/>
  <c r="R43" i="103"/>
  <c r="R39" i="103"/>
  <c r="R75" i="103"/>
  <c r="R58" i="103"/>
  <c r="R34" i="103"/>
  <c r="R30" i="103"/>
  <c r="R85" i="103"/>
  <c r="R72" i="103"/>
  <c r="R66" i="103"/>
  <c r="R21" i="103"/>
  <c r="R80" i="103"/>
  <c r="R48" i="103"/>
  <c r="R44" i="103"/>
  <c r="R40" i="103"/>
  <c r="R59" i="103"/>
  <c r="R55" i="103"/>
  <c r="R54" i="103"/>
  <c r="R49" i="103"/>
  <c r="R35" i="103"/>
  <c r="R31" i="103"/>
  <c r="R88" i="103"/>
  <c r="R76" i="103"/>
  <c r="R27" i="103"/>
  <c r="R22" i="103"/>
  <c r="X12" i="103"/>
  <c r="J54" i="101"/>
  <c r="J78" i="101"/>
  <c r="J88" i="101"/>
  <c r="J99" i="101"/>
  <c r="F43" i="102"/>
  <c r="F42" i="102"/>
  <c r="F64" i="102"/>
  <c r="F62" i="102"/>
  <c r="F53" i="102"/>
  <c r="F45" i="102"/>
  <c r="F44" i="102"/>
  <c r="F37" i="102"/>
  <c r="F33" i="102"/>
  <c r="F66" i="102"/>
  <c r="F47" i="102"/>
  <c r="F46" i="102"/>
  <c r="F71" i="102"/>
  <c r="F68" i="102"/>
  <c r="F49" i="102"/>
  <c r="F48" i="102"/>
  <c r="F25" i="102"/>
  <c r="F21" i="102"/>
  <c r="F56" i="102"/>
  <c r="F55" i="102"/>
  <c r="F51" i="102"/>
  <c r="F50" i="102"/>
  <c r="F39" i="102"/>
  <c r="F35" i="102"/>
  <c r="F31" i="102"/>
  <c r="F58" i="102"/>
  <c r="F57" i="102"/>
  <c r="F41" i="102"/>
  <c r="F40" i="102"/>
  <c r="F60" i="102"/>
  <c r="F59" i="102"/>
  <c r="F52" i="102"/>
  <c r="F36" i="102"/>
  <c r="F32" i="102"/>
  <c r="J21" i="102"/>
  <c r="F23" i="102"/>
  <c r="F38" i="102"/>
  <c r="R55" i="102"/>
  <c r="N57" i="103"/>
  <c r="J92" i="101"/>
  <c r="J64" i="102"/>
  <c r="J62" i="102"/>
  <c r="J44" i="102"/>
  <c r="J66" i="102"/>
  <c r="J46" i="102"/>
  <c r="J28" i="102"/>
  <c r="J24" i="102"/>
  <c r="J20" i="102"/>
  <c r="J18" i="102"/>
  <c r="J16" i="102"/>
  <c r="J14" i="102"/>
  <c r="J47" i="102"/>
  <c r="J71" i="102"/>
  <c r="J68" i="102"/>
  <c r="J54" i="102"/>
  <c r="J48" i="102"/>
  <c r="J38" i="102"/>
  <c r="J56" i="102"/>
  <c r="J50" i="102"/>
  <c r="J57" i="102"/>
  <c r="J51" i="102"/>
  <c r="J58" i="102"/>
  <c r="J40" i="102"/>
  <c r="J26" i="102"/>
  <c r="J22" i="102"/>
  <c r="J59" i="102"/>
  <c r="J41" i="102"/>
  <c r="J60" i="102"/>
  <c r="J52" i="102"/>
  <c r="J42" i="102"/>
  <c r="J36" i="102"/>
  <c r="J32" i="102"/>
  <c r="N12" i="102"/>
  <c r="J43" i="102"/>
  <c r="J27" i="102"/>
  <c r="J23" i="102"/>
  <c r="J25" i="102"/>
  <c r="F30" i="102"/>
  <c r="R31" i="102"/>
  <c r="F54" i="102"/>
  <c r="Z55" i="102"/>
  <c r="J28" i="101"/>
  <c r="V30" i="101"/>
  <c r="V34" i="101"/>
  <c r="V38" i="101"/>
  <c r="J42" i="101"/>
  <c r="J46" i="101"/>
  <c r="J52" i="101"/>
  <c r="J62" i="101"/>
  <c r="V66" i="101"/>
  <c r="J70" i="101"/>
  <c r="J76" i="101"/>
  <c r="V79" i="101"/>
  <c r="V86" i="101"/>
  <c r="L12" i="102"/>
  <c r="D16" i="102"/>
  <c r="F27" i="102"/>
  <c r="J30" i="102"/>
  <c r="V55" i="101"/>
  <c r="J61" i="101"/>
  <c r="J69" i="101"/>
  <c r="V71" i="101"/>
  <c r="J75" i="101"/>
  <c r="J81" i="101"/>
  <c r="V82" i="101"/>
  <c r="J84" i="101"/>
  <c r="V85" i="101"/>
  <c r="Z89" i="101"/>
  <c r="V94" i="101"/>
  <c r="R71" i="102"/>
  <c r="R68" i="102"/>
  <c r="R48" i="102"/>
  <c r="R47" i="102"/>
  <c r="R50" i="102"/>
  <c r="R49" i="102"/>
  <c r="R25" i="102"/>
  <c r="R21" i="102"/>
  <c r="R57" i="102"/>
  <c r="R56" i="102"/>
  <c r="R51" i="102"/>
  <c r="R40" i="102"/>
  <c r="R39" i="102"/>
  <c r="R35" i="102"/>
  <c r="R42" i="102"/>
  <c r="R41" i="102"/>
  <c r="R60" i="102"/>
  <c r="R52" i="102"/>
  <c r="R64" i="102"/>
  <c r="R62" i="102"/>
  <c r="R44" i="102"/>
  <c r="R43" i="102"/>
  <c r="R27" i="102"/>
  <c r="R23" i="102"/>
  <c r="R53" i="102"/>
  <c r="R46" i="102"/>
  <c r="R45" i="102"/>
  <c r="R37" i="102"/>
  <c r="R33" i="102"/>
  <c r="R18" i="102"/>
  <c r="R16" i="102"/>
  <c r="R14" i="102"/>
  <c r="R66" i="102"/>
  <c r="R29" i="102"/>
  <c r="R28" i="102"/>
  <c r="R24" i="102"/>
  <c r="R20" i="102"/>
  <c r="F16" i="102"/>
  <c r="L29" i="102"/>
  <c r="N29" i="102" s="1"/>
  <c r="R38" i="102"/>
  <c r="L44" i="102"/>
  <c r="L48" i="102"/>
  <c r="R54" i="102"/>
  <c r="R58" i="102"/>
  <c r="V72" i="101"/>
  <c r="V88" i="101"/>
  <c r="V92" i="101"/>
  <c r="H16" i="102"/>
  <c r="Z18" i="102"/>
  <c r="F29" i="102"/>
  <c r="J35" i="102"/>
  <c r="N40" i="102"/>
  <c r="N44" i="102"/>
  <c r="N50" i="102"/>
  <c r="V47" i="102"/>
  <c r="V55" i="102"/>
  <c r="L62" i="102"/>
  <c r="J21" i="103"/>
  <c r="T24" i="103"/>
  <c r="F30" i="103"/>
  <c r="F34" i="103"/>
  <c r="V41" i="103"/>
  <c r="V45" i="103"/>
  <c r="X51" i="103"/>
  <c r="Z51" i="103" s="1"/>
  <c r="F53" i="103"/>
  <c r="F62" i="103"/>
  <c r="F69" i="103"/>
  <c r="F72" i="103"/>
  <c r="F75" i="103"/>
  <c r="J78" i="103"/>
  <c r="V83" i="103"/>
  <c r="J85" i="103"/>
  <c r="J96" i="103"/>
  <c r="N35" i="104"/>
  <c r="J35" i="104"/>
  <c r="R84" i="105"/>
  <c r="R83" i="105"/>
  <c r="R79" i="105"/>
  <c r="R60" i="105"/>
  <c r="R59" i="105"/>
  <c r="R48" i="105"/>
  <c r="R47" i="105"/>
  <c r="R43" i="105"/>
  <c r="R39" i="105"/>
  <c r="R75" i="105"/>
  <c r="R74" i="105"/>
  <c r="R34" i="105"/>
  <c r="R30" i="105"/>
  <c r="R86" i="105"/>
  <c r="R85" i="105"/>
  <c r="R70" i="105"/>
  <c r="R69" i="105"/>
  <c r="R62" i="105"/>
  <c r="R61" i="105"/>
  <c r="R50" i="105"/>
  <c r="R49" i="105"/>
  <c r="R26" i="105"/>
  <c r="R21" i="105"/>
  <c r="R80" i="105"/>
  <c r="R76" i="105"/>
  <c r="R44" i="105"/>
  <c r="R40" i="105"/>
  <c r="R25" i="105"/>
  <c r="R88" i="105"/>
  <c r="R87" i="105"/>
  <c r="R71" i="105"/>
  <c r="R64" i="105"/>
  <c r="R63" i="105"/>
  <c r="R52" i="105"/>
  <c r="R51" i="105"/>
  <c r="R35" i="105"/>
  <c r="R31" i="105"/>
  <c r="R27" i="105"/>
  <c r="P23" i="105"/>
  <c r="R23" i="105" s="1"/>
  <c r="R89" i="105"/>
  <c r="R81" i="105"/>
  <c r="R77" i="105"/>
  <c r="R66" i="105"/>
  <c r="R65" i="105"/>
  <c r="R54" i="105"/>
  <c r="R53" i="105"/>
  <c r="R45" i="105"/>
  <c r="R41" i="105"/>
  <c r="R82" i="105"/>
  <c r="R78" i="105"/>
  <c r="R37" i="105"/>
  <c r="R19" i="105"/>
  <c r="R91" i="105"/>
  <c r="R46" i="105"/>
  <c r="R32" i="105"/>
  <c r="R72" i="105"/>
  <c r="R67" i="105"/>
  <c r="R57" i="105"/>
  <c r="R42" i="105"/>
  <c r="R95" i="105"/>
  <c r="R28" i="105"/>
  <c r="R20" i="105"/>
  <c r="X12" i="105"/>
  <c r="Z12" i="105" s="1"/>
  <c r="R55" i="105"/>
  <c r="R38" i="105"/>
  <c r="R58" i="105"/>
  <c r="R33" i="105"/>
  <c r="R18" i="105"/>
  <c r="R68" i="105"/>
  <c r="R56" i="105"/>
  <c r="R29" i="105"/>
  <c r="V28" i="102"/>
  <c r="V48" i="102"/>
  <c r="X55" i="102"/>
  <c r="V66" i="102"/>
  <c r="V68" i="102"/>
  <c r="V71" i="102"/>
  <c r="Z12" i="103"/>
  <c r="V22" i="103"/>
  <c r="V26" i="103"/>
  <c r="J30" i="103"/>
  <c r="J34" i="103"/>
  <c r="F38" i="103"/>
  <c r="F39" i="103"/>
  <c r="F43" i="103"/>
  <c r="F47" i="103"/>
  <c r="J58" i="103"/>
  <c r="J62" i="103"/>
  <c r="V70" i="103"/>
  <c r="J72" i="103"/>
  <c r="J75" i="103"/>
  <c r="V76" i="103"/>
  <c r="J82" i="103"/>
  <c r="V86" i="103"/>
  <c r="F21" i="104"/>
  <c r="F69" i="104"/>
  <c r="Z48" i="105"/>
  <c r="V53" i="102"/>
  <c r="F19" i="103"/>
  <c r="F20" i="103"/>
  <c r="V27" i="103"/>
  <c r="V31" i="103"/>
  <c r="V35" i="103"/>
  <c r="J39" i="103"/>
  <c r="J43" i="103"/>
  <c r="J47" i="103"/>
  <c r="J53" i="103"/>
  <c r="V54" i="103"/>
  <c r="Z55" i="103"/>
  <c r="J69" i="103"/>
  <c r="V88" i="103"/>
  <c r="P12" i="104"/>
  <c r="X14" i="104"/>
  <c r="Z14" i="104" s="1"/>
  <c r="V14" i="102"/>
  <c r="V16" i="102"/>
  <c r="V18" i="102"/>
  <c r="V46" i="102"/>
  <c r="J20" i="103"/>
  <c r="F29" i="103"/>
  <c r="F33" i="103"/>
  <c r="F37" i="103"/>
  <c r="J38" i="103"/>
  <c r="V40" i="103"/>
  <c r="V44" i="103"/>
  <c r="V48" i="103"/>
  <c r="V49" i="103"/>
  <c r="F52" i="103"/>
  <c r="V55" i="103"/>
  <c r="J57" i="103"/>
  <c r="V59" i="103"/>
  <c r="F61" i="103"/>
  <c r="Z63" i="103"/>
  <c r="F68" i="103"/>
  <c r="L69" i="103"/>
  <c r="N69" i="103" s="1"/>
  <c r="F74" i="103"/>
  <c r="V80" i="103"/>
  <c r="F92" i="103"/>
  <c r="V96" i="103"/>
  <c r="F52" i="104"/>
  <c r="R73" i="105"/>
  <c r="J19" i="103"/>
  <c r="V21" i="103"/>
  <c r="D24" i="103"/>
  <c r="J29" i="103"/>
  <c r="J33" i="103"/>
  <c r="J37" i="103"/>
  <c r="F42" i="103"/>
  <c r="F46" i="103"/>
  <c r="X49" i="103"/>
  <c r="Z49" i="103" s="1"/>
  <c r="F51" i="103"/>
  <c r="X55" i="103"/>
  <c r="L57" i="103"/>
  <c r="N61" i="103"/>
  <c r="V62" i="103"/>
  <c r="V63" i="103"/>
  <c r="V66" i="103"/>
  <c r="J68" i="103"/>
  <c r="X69" i="103"/>
  <c r="Z69" i="103" s="1"/>
  <c r="V49" i="104"/>
  <c r="V33" i="104"/>
  <c r="V29" i="104"/>
  <c r="V60" i="104"/>
  <c r="V52" i="104"/>
  <c r="V59" i="104"/>
  <c r="V51" i="104"/>
  <c r="V43" i="104"/>
  <c r="V39" i="104"/>
  <c r="V35" i="104"/>
  <c r="V54" i="104"/>
  <c r="V34" i="104"/>
  <c r="V30" i="104"/>
  <c r="V26" i="104"/>
  <c r="V53" i="104"/>
  <c r="V25" i="104"/>
  <c r="V21" i="104"/>
  <c r="V63" i="104"/>
  <c r="V61" i="104"/>
  <c r="V56" i="104"/>
  <c r="V44" i="104"/>
  <c r="V40" i="104"/>
  <c r="V36" i="104"/>
  <c r="T23" i="104"/>
  <c r="V23" i="104" s="1"/>
  <c r="V55" i="104"/>
  <c r="V31" i="104"/>
  <c r="V27" i="104"/>
  <c r="V46" i="104"/>
  <c r="V18" i="104"/>
  <c r="V57" i="104"/>
  <c r="V45" i="104"/>
  <c r="V41" i="104"/>
  <c r="V37" i="104"/>
  <c r="V47" i="104"/>
  <c r="V19" i="104"/>
  <c r="V67" i="104"/>
  <c r="V58" i="104"/>
  <c r="V50" i="104"/>
  <c r="V42" i="104"/>
  <c r="V38" i="104"/>
  <c r="N52" i="104"/>
  <c r="Z12" i="102"/>
  <c r="V32" i="102"/>
  <c r="V36" i="102"/>
  <c r="V44" i="102"/>
  <c r="V52" i="102"/>
  <c r="V60" i="102"/>
  <c r="V62" i="102"/>
  <c r="V64" i="102"/>
  <c r="F24" i="103"/>
  <c r="F26" i="103"/>
  <c r="V30" i="103"/>
  <c r="V34" i="103"/>
  <c r="J42" i="103"/>
  <c r="J46" i="103"/>
  <c r="J61" i="103"/>
  <c r="J65" i="103"/>
  <c r="J71" i="103"/>
  <c r="J74" i="103"/>
  <c r="V75" i="103"/>
  <c r="F77" i="103"/>
  <c r="J84" i="103"/>
  <c r="J92" i="103"/>
  <c r="F96" i="103"/>
  <c r="F85" i="103"/>
  <c r="F84" i="103"/>
  <c r="F80" i="103"/>
  <c r="F87" i="103"/>
  <c r="F86" i="103"/>
  <c r="F71" i="103"/>
  <c r="F66" i="103"/>
  <c r="F65" i="103"/>
  <c r="F89" i="103"/>
  <c r="F88" i="103"/>
  <c r="F81" i="103"/>
  <c r="F90" i="103"/>
  <c r="F82" i="103"/>
  <c r="F78" i="103"/>
  <c r="F58" i="103"/>
  <c r="F57" i="103"/>
  <c r="F27" i="103"/>
  <c r="F28" i="103"/>
  <c r="F32" i="103"/>
  <c r="F36" i="103"/>
  <c r="V39" i="103"/>
  <c r="V43" i="103"/>
  <c r="V47" i="103"/>
  <c r="J51" i="103"/>
  <c r="F56" i="103"/>
  <c r="F60" i="103"/>
  <c r="V87" i="103"/>
  <c r="V58" i="102"/>
  <c r="J101" i="103"/>
  <c r="J98" i="103"/>
  <c r="J86" i="103"/>
  <c r="J80" i="103"/>
  <c r="J76" i="103"/>
  <c r="J64" i="103"/>
  <c r="J52" i="103"/>
  <c r="J87" i="103"/>
  <c r="J88" i="103"/>
  <c r="J66" i="103"/>
  <c r="J89" i="103"/>
  <c r="J81" i="103"/>
  <c r="J77" i="103"/>
  <c r="J73" i="103"/>
  <c r="J59" i="103"/>
  <c r="X13" i="103"/>
  <c r="V20" i="103"/>
  <c r="J24" i="103"/>
  <c r="J26" i="103"/>
  <c r="J28" i="103"/>
  <c r="J32" i="103"/>
  <c r="J36" i="103"/>
  <c r="F41" i="103"/>
  <c r="F45" i="103"/>
  <c r="F50" i="103"/>
  <c r="V52" i="103"/>
  <c r="F55" i="103"/>
  <c r="J56" i="103"/>
  <c r="J60" i="103"/>
  <c r="F64" i="103"/>
  <c r="F73" i="103"/>
  <c r="F83" i="103"/>
  <c r="F25" i="104"/>
  <c r="F23" i="104"/>
  <c r="F65" i="104"/>
  <c r="F63" i="104"/>
  <c r="F57" i="104"/>
  <c r="F56" i="104"/>
  <c r="F45" i="104"/>
  <c r="F41" i="104"/>
  <c r="F37" i="104"/>
  <c r="F32" i="104"/>
  <c r="F28" i="104"/>
  <c r="L12" i="104"/>
  <c r="N12" i="104" s="1"/>
  <c r="F47" i="104"/>
  <c r="F46" i="104"/>
  <c r="F19" i="104"/>
  <c r="F18" i="104"/>
  <c r="F67" i="104"/>
  <c r="F58" i="104"/>
  <c r="F42" i="104"/>
  <c r="F38" i="104"/>
  <c r="F49" i="104"/>
  <c r="F48" i="104"/>
  <c r="F33" i="104"/>
  <c r="F29" i="104"/>
  <c r="F20" i="104"/>
  <c r="F59" i="104"/>
  <c r="F51" i="104"/>
  <c r="F50" i="104"/>
  <c r="F43" i="104"/>
  <c r="F39" i="104"/>
  <c r="F34" i="104"/>
  <c r="F30" i="104"/>
  <c r="F44" i="104"/>
  <c r="F40" i="104"/>
  <c r="F36" i="104"/>
  <c r="F35" i="104"/>
  <c r="F72" i="104"/>
  <c r="F55" i="104"/>
  <c r="F54" i="104"/>
  <c r="F31" i="104"/>
  <c r="F27" i="104"/>
  <c r="F26" i="104"/>
  <c r="D23" i="104"/>
  <c r="V51" i="102"/>
  <c r="V59" i="102"/>
  <c r="L12" i="103"/>
  <c r="N12" i="103" s="1"/>
  <c r="F22" i="103"/>
  <c r="J27" i="103"/>
  <c r="V29" i="103"/>
  <c r="V33" i="103"/>
  <c r="V37" i="103"/>
  <c r="J41" i="103"/>
  <c r="J45" i="103"/>
  <c r="F49" i="103"/>
  <c r="J50" i="103"/>
  <c r="F59" i="103"/>
  <c r="F67" i="103"/>
  <c r="V68" i="103"/>
  <c r="V77" i="103"/>
  <c r="J83" i="103"/>
  <c r="H69" i="104"/>
  <c r="J65" i="104"/>
  <c r="Z46" i="104"/>
  <c r="V48" i="104"/>
  <c r="F53" i="104"/>
  <c r="H93" i="105"/>
  <c r="D12" i="109"/>
  <c r="L13" i="109"/>
  <c r="N13" i="109" s="1"/>
  <c r="V40" i="102"/>
  <c r="V56" i="102"/>
  <c r="J22" i="103"/>
  <c r="L27" i="103"/>
  <c r="N27" i="103" s="1"/>
  <c r="F31" i="103"/>
  <c r="F35" i="103"/>
  <c r="V38" i="103"/>
  <c r="V42" i="103"/>
  <c r="V46" i="103"/>
  <c r="N49" i="103"/>
  <c r="J55" i="103"/>
  <c r="V57" i="103"/>
  <c r="F63" i="103"/>
  <c r="J67" i="103"/>
  <c r="F70" i="103"/>
  <c r="V71" i="103"/>
  <c r="Z74" i="103"/>
  <c r="F76" i="103"/>
  <c r="V79" i="103"/>
  <c r="V20" i="104"/>
  <c r="V28" i="104"/>
  <c r="F61" i="104"/>
  <c r="J31" i="103"/>
  <c r="J35" i="103"/>
  <c r="F40" i="103"/>
  <c r="F44" i="103"/>
  <c r="F48" i="103"/>
  <c r="J49" i="103"/>
  <c r="F54" i="103"/>
  <c r="J70" i="103"/>
  <c r="Z84" i="103"/>
  <c r="X84" i="103"/>
  <c r="J90" i="103"/>
  <c r="J94" i="103"/>
  <c r="V78" i="107"/>
  <c r="V89" i="103"/>
  <c r="V72" i="103"/>
  <c r="V56" i="103"/>
  <c r="V92" i="103"/>
  <c r="V90" i="103"/>
  <c r="V82" i="103"/>
  <c r="V78" i="103"/>
  <c r="V74" i="103"/>
  <c r="V58" i="103"/>
  <c r="V73" i="103"/>
  <c r="V69" i="103"/>
  <c r="V61" i="103"/>
  <c r="V84" i="103"/>
  <c r="V85" i="103"/>
  <c r="V65" i="103"/>
  <c r="V53" i="103"/>
  <c r="F21" i="103"/>
  <c r="V28" i="103"/>
  <c r="V32" i="103"/>
  <c r="V36" i="103"/>
  <c r="J40" i="103"/>
  <c r="J44" i="103"/>
  <c r="J48" i="103"/>
  <c r="V50" i="103"/>
  <c r="V51" i="103"/>
  <c r="J54" i="103"/>
  <c r="V60" i="103"/>
  <c r="J63" i="103"/>
  <c r="V64" i="103"/>
  <c r="V67" i="103"/>
  <c r="F67" i="105"/>
  <c r="F66" i="105"/>
  <c r="F55" i="105"/>
  <c r="F54" i="105"/>
  <c r="F93" i="105"/>
  <c r="F91" i="105"/>
  <c r="F82" i="105"/>
  <c r="F78" i="105"/>
  <c r="F46" i="105"/>
  <c r="F42" i="105"/>
  <c r="F38" i="105"/>
  <c r="F37" i="105"/>
  <c r="F95" i="105"/>
  <c r="F73" i="105"/>
  <c r="F57" i="105"/>
  <c r="F56" i="105"/>
  <c r="F33" i="105"/>
  <c r="F29" i="105"/>
  <c r="F68" i="105"/>
  <c r="F20" i="105"/>
  <c r="F83" i="105"/>
  <c r="F79" i="105"/>
  <c r="F59" i="105"/>
  <c r="F58" i="105"/>
  <c r="F47" i="105"/>
  <c r="F43" i="105"/>
  <c r="F39" i="105"/>
  <c r="F100" i="105"/>
  <c r="F97" i="105"/>
  <c r="F74" i="105"/>
  <c r="F85" i="105"/>
  <c r="F84" i="105"/>
  <c r="F69" i="105"/>
  <c r="F61" i="105"/>
  <c r="F60" i="105"/>
  <c r="F49" i="105"/>
  <c r="F48" i="105"/>
  <c r="L25" i="105"/>
  <c r="N25" i="105" s="1"/>
  <c r="N26" i="105"/>
  <c r="F45" i="105"/>
  <c r="F50" i="105"/>
  <c r="J53" i="105"/>
  <c r="Z54" i="105"/>
  <c r="F63" i="105"/>
  <c r="V78" i="105"/>
  <c r="V82" i="105"/>
  <c r="F18" i="107"/>
  <c r="J36" i="107"/>
  <c r="V55" i="107"/>
  <c r="L57" i="107"/>
  <c r="N57" i="107" s="1"/>
  <c r="L61" i="107"/>
  <c r="F72" i="107"/>
  <c r="J23" i="104"/>
  <c r="J25" i="104"/>
  <c r="J55" i="104"/>
  <c r="J82" i="105"/>
  <c r="J78" i="105"/>
  <c r="J56" i="105"/>
  <c r="J46" i="105"/>
  <c r="J42" i="105"/>
  <c r="J38" i="105"/>
  <c r="J95" i="105"/>
  <c r="J73" i="105"/>
  <c r="J57" i="105"/>
  <c r="J33" i="105"/>
  <c r="J29" i="105"/>
  <c r="J68" i="105"/>
  <c r="J58" i="105"/>
  <c r="J20" i="105"/>
  <c r="J83" i="105"/>
  <c r="J79" i="105"/>
  <c r="J59" i="105"/>
  <c r="J47" i="105"/>
  <c r="J43" i="105"/>
  <c r="J39" i="105"/>
  <c r="J84" i="105"/>
  <c r="J74" i="105"/>
  <c r="J60" i="105"/>
  <c r="J48" i="105"/>
  <c r="J34" i="105"/>
  <c r="J30" i="105"/>
  <c r="J85" i="105"/>
  <c r="J75" i="105"/>
  <c r="J69" i="105"/>
  <c r="J61" i="105"/>
  <c r="J86" i="105"/>
  <c r="J80" i="105"/>
  <c r="J76" i="105"/>
  <c r="J70" i="105"/>
  <c r="J62" i="105"/>
  <c r="J50" i="105"/>
  <c r="J44" i="105"/>
  <c r="J40" i="105"/>
  <c r="J26" i="105"/>
  <c r="L18" i="105"/>
  <c r="N18" i="105" s="1"/>
  <c r="F25" i="105"/>
  <c r="V29" i="105"/>
  <c r="V37" i="105"/>
  <c r="J45" i="105"/>
  <c r="V48" i="105"/>
  <c r="N50" i="105"/>
  <c r="J63" i="105"/>
  <c r="F75" i="105"/>
  <c r="V14" i="106"/>
  <c r="P12" i="107"/>
  <c r="N18" i="107"/>
  <c r="V25" i="107"/>
  <c r="F29" i="107"/>
  <c r="N48" i="107"/>
  <c r="F54" i="107"/>
  <c r="J72" i="107"/>
  <c r="X78" i="107"/>
  <c r="Z78" i="107" s="1"/>
  <c r="X19" i="109"/>
  <c r="Z19" i="109" s="1"/>
  <c r="J53" i="104"/>
  <c r="J61" i="104"/>
  <c r="X18" i="105"/>
  <c r="J25" i="105"/>
  <c r="F28" i="105"/>
  <c r="F35" i="105"/>
  <c r="F65" i="105"/>
  <c r="Z66" i="105"/>
  <c r="N70" i="105"/>
  <c r="V73" i="105"/>
  <c r="F77" i="105"/>
  <c r="J81" i="105"/>
  <c r="F33" i="107"/>
  <c r="J37" i="108"/>
  <c r="J33" i="108"/>
  <c r="J29" i="108"/>
  <c r="J19" i="108"/>
  <c r="J48" i="108"/>
  <c r="H16" i="108"/>
  <c r="J38" i="108"/>
  <c r="J34" i="108"/>
  <c r="J30" i="108"/>
  <c r="J25" i="108"/>
  <c r="J21" i="108"/>
  <c r="J50" i="108"/>
  <c r="J41" i="108"/>
  <c r="J40" i="108"/>
  <c r="J53" i="108"/>
  <c r="J42" i="108"/>
  <c r="J35" i="108"/>
  <c r="J31" i="108"/>
  <c r="J44" i="108"/>
  <c r="J36" i="108"/>
  <c r="J32" i="108"/>
  <c r="N12" i="108"/>
  <c r="J27" i="108"/>
  <c r="J23" i="108"/>
  <c r="L12" i="108"/>
  <c r="J28" i="108"/>
  <c r="J18" i="108"/>
  <c r="J14" i="108"/>
  <c r="J43" i="108"/>
  <c r="J26" i="108"/>
  <c r="J16" i="108"/>
  <c r="N30" i="109"/>
  <c r="J52" i="104"/>
  <c r="J60" i="104"/>
  <c r="J69" i="104"/>
  <c r="F40" i="105"/>
  <c r="F52" i="105"/>
  <c r="Z56" i="105"/>
  <c r="J65" i="105"/>
  <c r="F72" i="105"/>
  <c r="J77" i="105"/>
  <c r="J88" i="105"/>
  <c r="T16" i="106"/>
  <c r="V29" i="106"/>
  <c r="V26" i="106"/>
  <c r="V24" i="106"/>
  <c r="V18" i="106"/>
  <c r="D22" i="106"/>
  <c r="F81" i="107"/>
  <c r="F49" i="107"/>
  <c r="F48" i="107"/>
  <c r="F90" i="107"/>
  <c r="F89" i="107"/>
  <c r="F82" i="107"/>
  <c r="F62" i="107"/>
  <c r="F61" i="107"/>
  <c r="F91" i="107"/>
  <c r="F83" i="107"/>
  <c r="F79" i="107"/>
  <c r="F78" i="107"/>
  <c r="F95" i="107"/>
  <c r="F93" i="107"/>
  <c r="F84" i="107"/>
  <c r="F80" i="107"/>
  <c r="F68" i="107"/>
  <c r="F67" i="107"/>
  <c r="F56" i="107"/>
  <c r="F55" i="107"/>
  <c r="F97" i="107"/>
  <c r="F66" i="107"/>
  <c r="F58" i="107"/>
  <c r="F50" i="107"/>
  <c r="F46" i="107"/>
  <c r="F37" i="107"/>
  <c r="F20" i="107"/>
  <c r="F87" i="107"/>
  <c r="F69" i="107"/>
  <c r="F51" i="107"/>
  <c r="F41" i="107"/>
  <c r="F38" i="107"/>
  <c r="F76" i="107"/>
  <c r="F44" i="107"/>
  <c r="F34" i="107"/>
  <c r="F30" i="107"/>
  <c r="F88" i="107"/>
  <c r="F73" i="107"/>
  <c r="F70" i="107"/>
  <c r="F59" i="107"/>
  <c r="F47" i="107"/>
  <c r="F21" i="107"/>
  <c r="F39" i="107"/>
  <c r="F63" i="107"/>
  <c r="F60" i="107"/>
  <c r="F52" i="107"/>
  <c r="F35" i="107"/>
  <c r="F31" i="107"/>
  <c r="F27" i="107"/>
  <c r="F26" i="107"/>
  <c r="F102" i="107"/>
  <c r="F74" i="107"/>
  <c r="F42" i="107"/>
  <c r="F25" i="107"/>
  <c r="F23" i="107"/>
  <c r="D23" i="107"/>
  <c r="F43" i="107"/>
  <c r="Z59" i="107"/>
  <c r="F65" i="107"/>
  <c r="L85" i="107"/>
  <c r="N85" i="107" s="1"/>
  <c r="L13" i="104"/>
  <c r="J39" i="104"/>
  <c r="J43" i="104"/>
  <c r="J51" i="104"/>
  <c r="J59" i="104"/>
  <c r="V86" i="105"/>
  <c r="V74" i="105"/>
  <c r="V70" i="105"/>
  <c r="V62" i="105"/>
  <c r="V50" i="105"/>
  <c r="V34" i="105"/>
  <c r="V30" i="105"/>
  <c r="V85" i="105"/>
  <c r="V69" i="105"/>
  <c r="V61" i="105"/>
  <c r="V49" i="105"/>
  <c r="V25" i="105"/>
  <c r="V23" i="105"/>
  <c r="V21" i="105"/>
  <c r="V88" i="105"/>
  <c r="V80" i="105"/>
  <c r="V76" i="105"/>
  <c r="V64" i="105"/>
  <c r="V52" i="105"/>
  <c r="V44" i="105"/>
  <c r="V40" i="105"/>
  <c r="T23" i="105"/>
  <c r="V87" i="105"/>
  <c r="V71" i="105"/>
  <c r="V63" i="105"/>
  <c r="V51" i="105"/>
  <c r="V35" i="105"/>
  <c r="V31" i="105"/>
  <c r="V27" i="105"/>
  <c r="V66" i="105"/>
  <c r="V54" i="105"/>
  <c r="V18" i="105"/>
  <c r="V91" i="105"/>
  <c r="V89" i="105"/>
  <c r="V81" i="105"/>
  <c r="V77" i="105"/>
  <c r="V65" i="105"/>
  <c r="V53" i="105"/>
  <c r="V72" i="105"/>
  <c r="V56" i="105"/>
  <c r="V36" i="105"/>
  <c r="V32" i="105"/>
  <c r="V28" i="105"/>
  <c r="Z18" i="105"/>
  <c r="D23" i="105"/>
  <c r="F30" i="105"/>
  <c r="V33" i="105"/>
  <c r="V47" i="105"/>
  <c r="J49" i="105"/>
  <c r="N52" i="105"/>
  <c r="Z58" i="105"/>
  <c r="F62" i="105"/>
  <c r="J67" i="105"/>
  <c r="J72" i="105"/>
  <c r="V75" i="105"/>
  <c r="V79" i="105"/>
  <c r="X12" i="106"/>
  <c r="J88" i="107"/>
  <c r="J76" i="107"/>
  <c r="J60" i="107"/>
  <c r="J50" i="107"/>
  <c r="J44" i="107"/>
  <c r="J40" i="107"/>
  <c r="J90" i="107"/>
  <c r="J77" i="107"/>
  <c r="J63" i="107"/>
  <c r="J66" i="107"/>
  <c r="J54" i="107"/>
  <c r="J97" i="107"/>
  <c r="J85" i="107"/>
  <c r="J75" i="107"/>
  <c r="J69" i="107"/>
  <c r="J57" i="107"/>
  <c r="J47" i="107"/>
  <c r="J43" i="107"/>
  <c r="J39" i="107"/>
  <c r="J93" i="107"/>
  <c r="J78" i="107"/>
  <c r="J51" i="107"/>
  <c r="J41" i="107"/>
  <c r="J38" i="107"/>
  <c r="J83" i="107"/>
  <c r="J59" i="107"/>
  <c r="J34" i="107"/>
  <c r="J30" i="107"/>
  <c r="J73" i="107"/>
  <c r="J70" i="107"/>
  <c r="J62" i="107"/>
  <c r="J55" i="107"/>
  <c r="J21" i="107"/>
  <c r="J81" i="107"/>
  <c r="J26" i="107"/>
  <c r="J74" i="107"/>
  <c r="J67" i="107"/>
  <c r="J52" i="107"/>
  <c r="J35" i="107"/>
  <c r="J31" i="107"/>
  <c r="J27" i="107"/>
  <c r="J25" i="107"/>
  <c r="J84" i="107"/>
  <c r="J79" i="107"/>
  <c r="J48" i="107"/>
  <c r="J42" i="107"/>
  <c r="H23" i="107"/>
  <c r="J71" i="107"/>
  <c r="J64" i="107"/>
  <c r="J53" i="107"/>
  <c r="J45" i="107"/>
  <c r="T95" i="107"/>
  <c r="F45" i="107"/>
  <c r="Z50" i="107"/>
  <c r="J58" i="107"/>
  <c r="N65" i="107"/>
  <c r="V43" i="108"/>
  <c r="V53" i="108"/>
  <c r="V41" i="108"/>
  <c r="V25" i="108"/>
  <c r="V21" i="108"/>
  <c r="V35" i="108"/>
  <c r="V31" i="108"/>
  <c r="V26" i="108"/>
  <c r="V22" i="108"/>
  <c r="V44" i="108"/>
  <c r="V46" i="108"/>
  <c r="V36" i="108"/>
  <c r="V32" i="108"/>
  <c r="V27" i="108"/>
  <c r="V23" i="108"/>
  <c r="V19" i="108"/>
  <c r="V37" i="108"/>
  <c r="V33" i="108"/>
  <c r="V29" i="108"/>
  <c r="T16" i="108"/>
  <c r="V24" i="108"/>
  <c r="V20" i="108"/>
  <c r="V48" i="108"/>
  <c r="V14" i="108"/>
  <c r="V30" i="108"/>
  <c r="V34" i="108"/>
  <c r="V38" i="108"/>
  <c r="V16" i="108"/>
  <c r="J50" i="104"/>
  <c r="F23" i="105"/>
  <c r="F32" i="105"/>
  <c r="V38" i="105"/>
  <c r="F44" i="105"/>
  <c r="J52" i="105"/>
  <c r="V55" i="105"/>
  <c r="V58" i="105"/>
  <c r="N62" i="105"/>
  <c r="V83" i="105"/>
  <c r="F87" i="105"/>
  <c r="J91" i="105"/>
  <c r="Z12" i="106"/>
  <c r="L12" i="107"/>
  <c r="N12" i="107" s="1"/>
  <c r="J65" i="107"/>
  <c r="F71" i="107"/>
  <c r="F77" i="107"/>
  <c r="J87" i="107"/>
  <c r="J91" i="107"/>
  <c r="J49" i="104"/>
  <c r="F19" i="105"/>
  <c r="J32" i="105"/>
  <c r="J37" i="105"/>
  <c r="V60" i="105"/>
  <c r="J87" i="105"/>
  <c r="V16" i="106"/>
  <c r="V22" i="106"/>
  <c r="F28" i="107"/>
  <c r="J49" i="107"/>
  <c r="F53" i="107"/>
  <c r="J89" i="107"/>
  <c r="J38" i="104"/>
  <c r="J42" i="104"/>
  <c r="J48" i="104"/>
  <c r="J58" i="104"/>
  <c r="J19" i="105"/>
  <c r="J23" i="105"/>
  <c r="F27" i="105"/>
  <c r="F51" i="105"/>
  <c r="J54" i="105"/>
  <c r="F64" i="105"/>
  <c r="V95" i="105"/>
  <c r="F19" i="107"/>
  <c r="J28" i="107"/>
  <c r="F32" i="107"/>
  <c r="J37" i="107"/>
  <c r="N53" i="107"/>
  <c r="F99" i="107"/>
  <c r="J46" i="108"/>
  <c r="F34" i="105"/>
  <c r="J51" i="105"/>
  <c r="V57" i="105"/>
  <c r="N64" i="105"/>
  <c r="V67" i="105"/>
  <c r="F71" i="105"/>
  <c r="F76" i="105"/>
  <c r="F80" i="105"/>
  <c r="J32" i="107"/>
  <c r="F64" i="107"/>
  <c r="F75" i="107"/>
  <c r="J82" i="107"/>
  <c r="V28" i="108"/>
  <c r="L41" i="108"/>
  <c r="N41" i="108" s="1"/>
  <c r="D40" i="108"/>
  <c r="L40" i="108" s="1"/>
  <c r="F18" i="105"/>
  <c r="F36" i="105"/>
  <c r="F41" i="105"/>
  <c r="N48" i="105"/>
  <c r="J64" i="105"/>
  <c r="J71" i="105"/>
  <c r="L86" i="105"/>
  <c r="N86" i="105" s="1"/>
  <c r="F89" i="105"/>
  <c r="F57" i="107"/>
  <c r="J68" i="107"/>
  <c r="X69" i="107"/>
  <c r="Z69" i="107" s="1"/>
  <c r="J80" i="107"/>
  <c r="F86" i="107"/>
  <c r="F21" i="105"/>
  <c r="F26" i="105"/>
  <c r="F31" i="105"/>
  <c r="F53" i="105"/>
  <c r="V59" i="105"/>
  <c r="J66" i="105"/>
  <c r="N84" i="105"/>
  <c r="F86" i="105"/>
  <c r="J89" i="105"/>
  <c r="F36" i="107"/>
  <c r="J86" i="107"/>
  <c r="X41" i="109"/>
  <c r="Z41" i="109" s="1"/>
  <c r="Z53" i="109"/>
  <c r="X53" i="109"/>
  <c r="H16" i="106"/>
  <c r="L16" i="106" s="1"/>
  <c r="V29" i="107"/>
  <c r="V33" i="107"/>
  <c r="V43" i="107"/>
  <c r="L67" i="107"/>
  <c r="N67" i="107" s="1"/>
  <c r="V68" i="107"/>
  <c r="R26" i="106"/>
  <c r="R29" i="106"/>
  <c r="V72" i="107"/>
  <c r="V64" i="107"/>
  <c r="V52" i="107"/>
  <c r="V36" i="107"/>
  <c r="V85" i="107"/>
  <c r="V73" i="107"/>
  <c r="V69" i="107"/>
  <c r="V57" i="107"/>
  <c r="V86" i="107"/>
  <c r="V70" i="107"/>
  <c r="V58" i="107"/>
  <c r="V88" i="107"/>
  <c r="V71" i="107"/>
  <c r="V63" i="107"/>
  <c r="V51" i="107"/>
  <c r="V35" i="107"/>
  <c r="V90" i="107"/>
  <c r="Z37" i="107"/>
  <c r="V40" i="107"/>
  <c r="V49" i="107"/>
  <c r="V50" i="107"/>
  <c r="V61" i="107"/>
  <c r="N74" i="107"/>
  <c r="V75" i="107"/>
  <c r="V77" i="107"/>
  <c r="V82" i="107"/>
  <c r="V91" i="107"/>
  <c r="X15" i="109"/>
  <c r="R15" i="109"/>
  <c r="R24" i="106"/>
  <c r="V19" i="107"/>
  <c r="V37" i="107"/>
  <c r="X50" i="107"/>
  <c r="V89" i="107"/>
  <c r="V95" i="107"/>
  <c r="L19" i="108"/>
  <c r="N19" i="108" s="1"/>
  <c r="J78" i="109"/>
  <c r="J66" i="109"/>
  <c r="J50" i="109"/>
  <c r="J67" i="109"/>
  <c r="J53" i="109"/>
  <c r="J41" i="109"/>
  <c r="J27" i="109"/>
  <c r="J23" i="109"/>
  <c r="J68" i="109"/>
  <c r="J54" i="109"/>
  <c r="J42" i="109"/>
  <c r="J69" i="109"/>
  <c r="J61" i="109"/>
  <c r="J55" i="109"/>
  <c r="J43" i="109"/>
  <c r="J37" i="109"/>
  <c r="J33" i="109"/>
  <c r="J70" i="109"/>
  <c r="J62" i="109"/>
  <c r="J56" i="109"/>
  <c r="J74" i="109"/>
  <c r="J73" i="109"/>
  <c r="J52" i="109"/>
  <c r="J38" i="109"/>
  <c r="J71" i="109"/>
  <c r="J49" i="109"/>
  <c r="J45" i="109"/>
  <c r="J35" i="109"/>
  <c r="J32" i="109"/>
  <c r="J26" i="109"/>
  <c r="J15" i="109"/>
  <c r="J65" i="109"/>
  <c r="J29" i="109"/>
  <c r="J17" i="109"/>
  <c r="J20" i="109"/>
  <c r="J19" i="109"/>
  <c r="H17" i="109"/>
  <c r="J59" i="109"/>
  <c r="J46" i="109"/>
  <c r="J39" i="109"/>
  <c r="J36" i="109"/>
  <c r="J24" i="109"/>
  <c r="J21" i="109"/>
  <c r="J57" i="109"/>
  <c r="J30" i="109"/>
  <c r="J63" i="109"/>
  <c r="J51" i="109"/>
  <c r="J47" i="109"/>
  <c r="J34" i="109"/>
  <c r="J60" i="109"/>
  <c r="J44" i="109"/>
  <c r="J40" i="109"/>
  <c r="J31" i="109"/>
  <c r="J22" i="109"/>
  <c r="J28" i="109"/>
  <c r="J25" i="109"/>
  <c r="V28" i="107"/>
  <c r="V32" i="107"/>
  <c r="V45" i="107"/>
  <c r="V56" i="107"/>
  <c r="X57" i="107"/>
  <c r="Z57" i="107" s="1"/>
  <c r="L63" i="107"/>
  <c r="N63" i="107" s="1"/>
  <c r="V65" i="107"/>
  <c r="P16" i="106"/>
  <c r="Z53" i="107"/>
  <c r="V60" i="107"/>
  <c r="X67" i="107"/>
  <c r="Z67" i="107" s="1"/>
  <c r="L78" i="107"/>
  <c r="N78" i="107" s="1"/>
  <c r="V79" i="107"/>
  <c r="Z19" i="108"/>
  <c r="J48" i="109"/>
  <c r="J64" i="109"/>
  <c r="R14" i="106"/>
  <c r="R16" i="106"/>
  <c r="R18" i="106"/>
  <c r="R20" i="106"/>
  <c r="V18" i="107"/>
  <c r="V42" i="107"/>
  <c r="V53" i="107"/>
  <c r="V84" i="107"/>
  <c r="V27" i="107"/>
  <c r="V31" i="107"/>
  <c r="V39" i="107"/>
  <c r="V48" i="107"/>
  <c r="X55" i="107"/>
  <c r="V67" i="107"/>
  <c r="Z74" i="107"/>
  <c r="V81" i="107"/>
  <c r="V97" i="107"/>
  <c r="N40" i="108"/>
  <c r="P16" i="108"/>
  <c r="R20" i="108"/>
  <c r="R24" i="108"/>
  <c r="F32" i="108"/>
  <c r="F36" i="108"/>
  <c r="F44" i="108"/>
  <c r="T17" i="109"/>
  <c r="V20" i="109"/>
  <c r="V23" i="109"/>
  <c r="V26" i="109"/>
  <c r="R32" i="109"/>
  <c r="R35" i="109"/>
  <c r="R52" i="109"/>
  <c r="V53" i="109"/>
  <c r="V61" i="109"/>
  <c r="R14" i="108"/>
  <c r="R16" i="108"/>
  <c r="R18" i="108"/>
  <c r="R29" i="108"/>
  <c r="R33" i="108"/>
  <c r="R37" i="108"/>
  <c r="V32" i="109"/>
  <c r="V35" i="109"/>
  <c r="V45" i="109"/>
  <c r="R49" i="109"/>
  <c r="V52" i="109"/>
  <c r="L57" i="109"/>
  <c r="N57" i="109" s="1"/>
  <c r="R19" i="108"/>
  <c r="F43" i="108"/>
  <c r="V28" i="109"/>
  <c r="R41" i="109"/>
  <c r="L43" i="109"/>
  <c r="Z45" i="109"/>
  <c r="R48" i="109"/>
  <c r="Z49" i="109"/>
  <c r="R55" i="109"/>
  <c r="X12" i="108"/>
  <c r="R32" i="108"/>
  <c r="R36" i="108"/>
  <c r="F41" i="108"/>
  <c r="F50" i="108"/>
  <c r="R37" i="109"/>
  <c r="R40" i="109"/>
  <c r="V41" i="109"/>
  <c r="N43" i="109"/>
  <c r="V55" i="109"/>
  <c r="R60" i="109"/>
  <c r="R66" i="109"/>
  <c r="V22" i="109"/>
  <c r="V31" i="109"/>
  <c r="V37" i="109"/>
  <c r="V40" i="109"/>
  <c r="V60" i="109"/>
  <c r="D16" i="108"/>
  <c r="R22" i="108"/>
  <c r="R26" i="108"/>
  <c r="F30" i="108"/>
  <c r="F34" i="108"/>
  <c r="F38" i="108"/>
  <c r="R68" i="109"/>
  <c r="R67" i="109"/>
  <c r="R70" i="109"/>
  <c r="R69" i="109"/>
  <c r="R57" i="109"/>
  <c r="R56" i="109"/>
  <c r="R45" i="109"/>
  <c r="R44" i="109"/>
  <c r="R28" i="109"/>
  <c r="R24" i="109"/>
  <c r="R71" i="109"/>
  <c r="R64" i="109"/>
  <c r="R63" i="109"/>
  <c r="R74" i="109"/>
  <c r="R73" i="109"/>
  <c r="R58" i="109"/>
  <c r="R47" i="109"/>
  <c r="R46" i="109"/>
  <c r="R38" i="109"/>
  <c r="R34" i="109"/>
  <c r="R65" i="109"/>
  <c r="R78" i="109"/>
  <c r="R27" i="109"/>
  <c r="R43" i="109"/>
  <c r="Z51" i="109"/>
  <c r="R54" i="109"/>
  <c r="Z70" i="109"/>
  <c r="R31" i="108"/>
  <c r="R35" i="108"/>
  <c r="R43" i="108"/>
  <c r="V70" i="109"/>
  <c r="V62" i="109"/>
  <c r="V54" i="109"/>
  <c r="V42" i="109"/>
  <c r="V73" i="109"/>
  <c r="V71" i="109"/>
  <c r="V63" i="109"/>
  <c r="V47" i="109"/>
  <c r="V19" i="109"/>
  <c r="V17" i="109"/>
  <c r="V15" i="109"/>
  <c r="V74" i="109"/>
  <c r="V58" i="109"/>
  <c r="V46" i="109"/>
  <c r="V38" i="109"/>
  <c r="V34" i="109"/>
  <c r="V30" i="109"/>
  <c r="V65" i="109"/>
  <c r="V49" i="109"/>
  <c r="V29" i="109"/>
  <c r="V78" i="109"/>
  <c r="V68" i="109"/>
  <c r="V24" i="109"/>
  <c r="V27" i="109"/>
  <c r="R50" i="109"/>
  <c r="V51" i="109"/>
  <c r="V57" i="109"/>
  <c r="X68" i="109"/>
  <c r="Z68" i="109" s="1"/>
  <c r="X70" i="109"/>
  <c r="P40" i="108"/>
  <c r="X40" i="108" s="1"/>
  <c r="Z40" i="108" s="1"/>
  <c r="R42" i="108"/>
  <c r="R53" i="108"/>
  <c r="X12" i="109"/>
  <c r="Z12" i="109" s="1"/>
  <c r="R21" i="109"/>
  <c r="R30" i="109"/>
  <c r="R33" i="109"/>
  <c r="R36" i="109"/>
  <c r="R39" i="109"/>
  <c r="V43" i="109"/>
  <c r="N45" i="109"/>
  <c r="V50" i="109"/>
  <c r="Z57" i="109"/>
  <c r="R59" i="109"/>
  <c r="R62" i="109"/>
  <c r="V21" i="109"/>
  <c r="V33" i="109"/>
  <c r="V36" i="109"/>
  <c r="V39" i="109"/>
  <c r="V59" i="109"/>
  <c r="D73" i="109"/>
  <c r="L73" i="109" s="1"/>
  <c r="N73" i="109" s="1"/>
  <c r="L74" i="109"/>
  <c r="N74" i="109" s="1"/>
  <c r="R30" i="108"/>
  <c r="R34" i="108"/>
  <c r="P17" i="109"/>
  <c r="R19" i="109"/>
  <c r="R20" i="109"/>
  <c r="R29" i="109"/>
  <c r="R42" i="109"/>
  <c r="R53" i="109"/>
  <c r="V56" i="109"/>
  <c r="N64" i="109"/>
  <c r="T94" i="103" l="1"/>
  <c r="R100" i="97"/>
  <c r="R90" i="97"/>
  <c r="R89" i="97"/>
  <c r="R92" i="97"/>
  <c r="R91" i="97"/>
  <c r="R93" i="97"/>
  <c r="R85" i="97"/>
  <c r="R88" i="97"/>
  <c r="R87" i="97"/>
  <c r="R76" i="97"/>
  <c r="R75" i="97"/>
  <c r="R36" i="97"/>
  <c r="R35" i="97"/>
  <c r="R31" i="97"/>
  <c r="R27" i="97"/>
  <c r="P23" i="97"/>
  <c r="R82" i="97"/>
  <c r="R70" i="97"/>
  <c r="R63" i="97"/>
  <c r="R62" i="97"/>
  <c r="R54" i="97"/>
  <c r="R77" i="97"/>
  <c r="R45" i="97"/>
  <c r="R41" i="97"/>
  <c r="R37" i="97"/>
  <c r="R18" i="97"/>
  <c r="R65" i="97"/>
  <c r="R64" i="97"/>
  <c r="R32" i="97"/>
  <c r="R28" i="97"/>
  <c r="X12" i="97"/>
  <c r="Z12" i="97" s="1"/>
  <c r="R94" i="97"/>
  <c r="R72" i="97"/>
  <c r="R71" i="97"/>
  <c r="R55" i="97"/>
  <c r="R19" i="97"/>
  <c r="R83" i="97"/>
  <c r="R79" i="97"/>
  <c r="R78" i="97"/>
  <c r="R66" i="97"/>
  <c r="R47" i="97"/>
  <c r="R46" i="97"/>
  <c r="R42" i="97"/>
  <c r="R38" i="97"/>
  <c r="R86" i="97"/>
  <c r="R73" i="97"/>
  <c r="R33" i="97"/>
  <c r="R29" i="97"/>
  <c r="R80" i="97"/>
  <c r="R57" i="97"/>
  <c r="R56" i="97"/>
  <c r="R49" i="97"/>
  <c r="R48" i="97"/>
  <c r="R20" i="97"/>
  <c r="R68" i="97"/>
  <c r="R67" i="97"/>
  <c r="R43" i="97"/>
  <c r="R39" i="97"/>
  <c r="R96" i="97"/>
  <c r="R84" i="97"/>
  <c r="R81" i="97"/>
  <c r="R69" i="97"/>
  <c r="R26" i="97"/>
  <c r="R21" i="97"/>
  <c r="R60" i="97"/>
  <c r="R58" i="97"/>
  <c r="R53" i="97"/>
  <c r="R51" i="97"/>
  <c r="R30" i="97"/>
  <c r="R34" i="97"/>
  <c r="R40" i="97"/>
  <c r="R25" i="97"/>
  <c r="R61" i="97"/>
  <c r="R59" i="97"/>
  <c r="R52" i="97"/>
  <c r="R44" i="97"/>
  <c r="R50" i="97"/>
  <c r="R23" i="97"/>
  <c r="R74" i="97"/>
  <c r="Z16" i="54"/>
  <c r="T22" i="54"/>
  <c r="H137" i="42"/>
  <c r="X18" i="28"/>
  <c r="P27" i="28"/>
  <c r="X18" i="8"/>
  <c r="P27" i="8"/>
  <c r="H90" i="92"/>
  <c r="D102" i="91"/>
  <c r="T27" i="112"/>
  <c r="Z18" i="112"/>
  <c r="H27" i="40"/>
  <c r="N18" i="40"/>
  <c r="H95" i="107"/>
  <c r="H46" i="108"/>
  <c r="N16" i="108"/>
  <c r="D64" i="102"/>
  <c r="L16" i="102"/>
  <c r="T97" i="101"/>
  <c r="V25" i="101"/>
  <c r="T98" i="97"/>
  <c r="V23" i="97"/>
  <c r="F103" i="95"/>
  <c r="F86" i="95"/>
  <c r="F82" i="95"/>
  <c r="F70" i="95"/>
  <c r="F54" i="95"/>
  <c r="F105" i="95"/>
  <c r="F93" i="95"/>
  <c r="F92" i="95"/>
  <c r="F65" i="95"/>
  <c r="F64" i="95"/>
  <c r="F76" i="95"/>
  <c r="F72" i="95"/>
  <c r="F71" i="95"/>
  <c r="F95" i="95"/>
  <c r="F94" i="95"/>
  <c r="F87" i="95"/>
  <c r="F83" i="95"/>
  <c r="F67" i="95"/>
  <c r="F66" i="95"/>
  <c r="F110" i="95"/>
  <c r="F107" i="95"/>
  <c r="F73" i="95"/>
  <c r="F57" i="95"/>
  <c r="F56" i="95"/>
  <c r="F96" i="95"/>
  <c r="F88" i="95"/>
  <c r="F84" i="95"/>
  <c r="F79" i="95"/>
  <c r="F59" i="95"/>
  <c r="F58" i="95"/>
  <c r="F51" i="95"/>
  <c r="F50" i="95"/>
  <c r="F98" i="95"/>
  <c r="F97" i="95"/>
  <c r="F74" i="95"/>
  <c r="F101" i="95"/>
  <c r="F81" i="95"/>
  <c r="F75" i="95"/>
  <c r="F31" i="95"/>
  <c r="F27" i="95"/>
  <c r="F77" i="95"/>
  <c r="F63" i="95"/>
  <c r="F18" i="95"/>
  <c r="F17" i="95"/>
  <c r="F90" i="95"/>
  <c r="F61" i="95"/>
  <c r="F45" i="95"/>
  <c r="F41" i="95"/>
  <c r="F37" i="95"/>
  <c r="F68" i="95"/>
  <c r="F52" i="95"/>
  <c r="F32" i="95"/>
  <c r="F28" i="95"/>
  <c r="F85" i="95"/>
  <c r="F47" i="95"/>
  <c r="F46" i="95"/>
  <c r="F19" i="95"/>
  <c r="F42" i="95"/>
  <c r="F38" i="95"/>
  <c r="L12" i="95"/>
  <c r="N12" i="95" s="1"/>
  <c r="F49" i="95"/>
  <c r="F48" i="95"/>
  <c r="F33" i="95"/>
  <c r="F29" i="95"/>
  <c r="F80" i="95"/>
  <c r="F62" i="95"/>
  <c r="F53" i="95"/>
  <c r="F20" i="95"/>
  <c r="F91" i="95"/>
  <c r="F89" i="95"/>
  <c r="F78" i="95"/>
  <c r="F55" i="95"/>
  <c r="F43" i="95"/>
  <c r="F39" i="95"/>
  <c r="F24" i="95"/>
  <c r="F22" i="95"/>
  <c r="F69" i="95"/>
  <c r="F36" i="95"/>
  <c r="F34" i="95"/>
  <c r="F100" i="95"/>
  <c r="F25" i="95"/>
  <c r="F60" i="95"/>
  <c r="F40" i="95"/>
  <c r="F26" i="95"/>
  <c r="F35" i="95"/>
  <c r="F44" i="95"/>
  <c r="D22" i="95"/>
  <c r="F30" i="95"/>
  <c r="P102" i="91"/>
  <c r="X16" i="91"/>
  <c r="F120" i="84"/>
  <c r="F92" i="84"/>
  <c r="F91" i="84"/>
  <c r="F52" i="84"/>
  <c r="F48" i="84"/>
  <c r="F44" i="84"/>
  <c r="F40" i="84"/>
  <c r="F36" i="84"/>
  <c r="F35" i="84"/>
  <c r="F137" i="84"/>
  <c r="F134" i="84"/>
  <c r="F115" i="84"/>
  <c r="F103" i="84"/>
  <c r="F75" i="84"/>
  <c r="F71" i="84"/>
  <c r="F122" i="84"/>
  <c r="F121" i="84"/>
  <c r="F110" i="84"/>
  <c r="F94" i="84"/>
  <c r="F93" i="84"/>
  <c r="F82" i="84"/>
  <c r="F124" i="84"/>
  <c r="F123" i="84"/>
  <c r="F116" i="84"/>
  <c r="F112" i="84"/>
  <c r="F111" i="84"/>
  <c r="F96" i="84"/>
  <c r="F95" i="84"/>
  <c r="F84" i="84"/>
  <c r="F83" i="84"/>
  <c r="F76" i="84"/>
  <c r="F72" i="84"/>
  <c r="F68" i="84"/>
  <c r="F67" i="84"/>
  <c r="D54" i="84"/>
  <c r="F126" i="84"/>
  <c r="F125" i="84"/>
  <c r="F106" i="84"/>
  <c r="F98" i="84"/>
  <c r="F97" i="84"/>
  <c r="F86" i="84"/>
  <c r="F85" i="84"/>
  <c r="F117" i="84"/>
  <c r="F113" i="84"/>
  <c r="F77" i="84"/>
  <c r="F73" i="84"/>
  <c r="F69" i="84"/>
  <c r="F132" i="84"/>
  <c r="F114" i="84"/>
  <c r="F102" i="84"/>
  <c r="F101" i="84"/>
  <c r="F90" i="84"/>
  <c r="F89" i="84"/>
  <c r="F74" i="84"/>
  <c r="F70" i="84"/>
  <c r="F105" i="84"/>
  <c r="F80" i="84"/>
  <c r="F49" i="84"/>
  <c r="F46" i="84"/>
  <c r="F118" i="84"/>
  <c r="F87" i="84"/>
  <c r="F43" i="84"/>
  <c r="F58" i="84"/>
  <c r="F128" i="84"/>
  <c r="F108" i="84"/>
  <c r="F81" i="84"/>
  <c r="F66" i="84"/>
  <c r="F64" i="84"/>
  <c r="F62" i="84"/>
  <c r="F60" i="84"/>
  <c r="F50" i="84"/>
  <c r="F37" i="84"/>
  <c r="F78" i="84"/>
  <c r="F47" i="84"/>
  <c r="F119" i="84"/>
  <c r="F99" i="84"/>
  <c r="F54" i="84"/>
  <c r="F109" i="84"/>
  <c r="F88" i="84"/>
  <c r="F41" i="84"/>
  <c r="F38" i="84"/>
  <c r="F51" i="84"/>
  <c r="F130" i="84"/>
  <c r="F100" i="84"/>
  <c r="F39" i="84"/>
  <c r="F79" i="84"/>
  <c r="F107" i="84"/>
  <c r="F59" i="84"/>
  <c r="F57" i="84"/>
  <c r="F45" i="84"/>
  <c r="F104" i="84"/>
  <c r="F61" i="84"/>
  <c r="L12" i="84"/>
  <c r="N12" i="84" s="1"/>
  <c r="F56" i="84"/>
  <c r="F63" i="84"/>
  <c r="F42" i="84"/>
  <c r="F65" i="84"/>
  <c r="H131" i="70"/>
  <c r="F83" i="72"/>
  <c r="F82" i="72"/>
  <c r="F23" i="72"/>
  <c r="F22" i="72"/>
  <c r="F70" i="72"/>
  <c r="F62" i="72"/>
  <c r="F61" i="72"/>
  <c r="F50" i="72"/>
  <c r="F46" i="72"/>
  <c r="F42" i="72"/>
  <c r="F77" i="72"/>
  <c r="F85" i="72"/>
  <c r="F72" i="72"/>
  <c r="F71" i="72"/>
  <c r="F64" i="72"/>
  <c r="F63" i="72"/>
  <c r="F52" i="72"/>
  <c r="F51" i="72"/>
  <c r="F24" i="72"/>
  <c r="L12" i="72"/>
  <c r="N12" i="72" s="1"/>
  <c r="F78" i="72"/>
  <c r="F74" i="72"/>
  <c r="F73" i="72"/>
  <c r="F66" i="72"/>
  <c r="F65" i="72"/>
  <c r="F54" i="72"/>
  <c r="F53" i="72"/>
  <c r="F38" i="72"/>
  <c r="F34" i="72"/>
  <c r="F25" i="72"/>
  <c r="F68" i="72"/>
  <c r="F67" i="72"/>
  <c r="F56" i="72"/>
  <c r="F55" i="72"/>
  <c r="F48" i="72"/>
  <c r="F44" i="72"/>
  <c r="F81" i="72"/>
  <c r="F80" i="72"/>
  <c r="F69" i="72"/>
  <c r="F49" i="72"/>
  <c r="F45" i="72"/>
  <c r="F41" i="72"/>
  <c r="F40" i="72"/>
  <c r="D27" i="72"/>
  <c r="F79" i="72"/>
  <c r="F75" i="72"/>
  <c r="F57" i="72"/>
  <c r="F33" i="72"/>
  <c r="F43" i="72"/>
  <c r="F35" i="72"/>
  <c r="F60" i="72"/>
  <c r="F37" i="72"/>
  <c r="F29" i="72"/>
  <c r="F39" i="72"/>
  <c r="F76" i="72"/>
  <c r="F58" i="72"/>
  <c r="F32" i="72"/>
  <c r="F89" i="72"/>
  <c r="F30" i="72"/>
  <c r="F31" i="72"/>
  <c r="F36" i="72"/>
  <c r="F47" i="72"/>
  <c r="F59" i="72"/>
  <c r="P66" i="60"/>
  <c r="R65" i="69"/>
  <c r="R46" i="69"/>
  <c r="R45" i="69"/>
  <c r="R41" i="69"/>
  <c r="R37" i="69"/>
  <c r="R57" i="69"/>
  <c r="R56" i="69"/>
  <c r="R32" i="69"/>
  <c r="R28" i="69"/>
  <c r="R72" i="69"/>
  <c r="R71" i="69"/>
  <c r="R48" i="69"/>
  <c r="R47" i="69"/>
  <c r="R19" i="69"/>
  <c r="R74" i="69"/>
  <c r="R73" i="69"/>
  <c r="R61" i="69"/>
  <c r="R60" i="69"/>
  <c r="R25" i="69"/>
  <c r="R20" i="69"/>
  <c r="R75" i="69"/>
  <c r="R68" i="69"/>
  <c r="R67" i="69"/>
  <c r="R52" i="69"/>
  <c r="R51" i="69"/>
  <c r="R43" i="69"/>
  <c r="R39" i="69"/>
  <c r="R24" i="69"/>
  <c r="R77" i="69"/>
  <c r="R62" i="69"/>
  <c r="R35" i="69"/>
  <c r="R34" i="69"/>
  <c r="R30" i="69"/>
  <c r="R26" i="69"/>
  <c r="P22" i="69"/>
  <c r="R63" i="69"/>
  <c r="R42" i="69"/>
  <c r="R53" i="69"/>
  <c r="R44" i="69"/>
  <c r="R59" i="69"/>
  <c r="R40" i="69"/>
  <c r="R17" i="69"/>
  <c r="R66" i="69"/>
  <c r="R38" i="69"/>
  <c r="X12" i="69"/>
  <c r="Z12" i="69" s="1"/>
  <c r="R69" i="69"/>
  <c r="R64" i="69"/>
  <c r="R33" i="69"/>
  <c r="R36" i="69"/>
  <c r="R31" i="69"/>
  <c r="R54" i="69"/>
  <c r="R29" i="69"/>
  <c r="R27" i="69"/>
  <c r="R55" i="69"/>
  <c r="R18" i="69"/>
  <c r="R81" i="69"/>
  <c r="R49" i="69"/>
  <c r="R58" i="69"/>
  <c r="R70" i="69"/>
  <c r="R50" i="69"/>
  <c r="T135" i="70"/>
  <c r="P81" i="58"/>
  <c r="X16" i="56"/>
  <c r="P82" i="56"/>
  <c r="D77" i="58"/>
  <c r="L16" i="58"/>
  <c r="F107" i="51"/>
  <c r="F106" i="51"/>
  <c r="F99" i="51"/>
  <c r="F98" i="51"/>
  <c r="F110" i="51"/>
  <c r="F111" i="51"/>
  <c r="F109" i="51"/>
  <c r="F100" i="51"/>
  <c r="F112" i="51"/>
  <c r="F117" i="51"/>
  <c r="F103" i="51"/>
  <c r="F95" i="51"/>
  <c r="F94" i="51"/>
  <c r="F105" i="51"/>
  <c r="F104" i="51"/>
  <c r="F97" i="51"/>
  <c r="F96" i="51"/>
  <c r="F85" i="51"/>
  <c r="F88" i="51"/>
  <c r="F81" i="51"/>
  <c r="F77" i="51"/>
  <c r="F73" i="51"/>
  <c r="F68" i="51"/>
  <c r="F64" i="51"/>
  <c r="F113" i="51"/>
  <c r="F93" i="51"/>
  <c r="F89" i="51"/>
  <c r="F83" i="51"/>
  <c r="F82" i="51"/>
  <c r="F55" i="51"/>
  <c r="F51" i="51"/>
  <c r="F47" i="51"/>
  <c r="F43" i="51"/>
  <c r="F78" i="51"/>
  <c r="F74" i="51"/>
  <c r="F84" i="51"/>
  <c r="F69" i="51"/>
  <c r="F65" i="51"/>
  <c r="F61" i="51"/>
  <c r="F60" i="51"/>
  <c r="F90" i="51"/>
  <c r="F59" i="51"/>
  <c r="F52" i="51"/>
  <c r="F48" i="51"/>
  <c r="F44" i="51"/>
  <c r="F79" i="51"/>
  <c r="F75" i="51"/>
  <c r="D57" i="51"/>
  <c r="F57" i="51" s="1"/>
  <c r="F101" i="51"/>
  <c r="F91" i="51"/>
  <c r="F86" i="51"/>
  <c r="F70" i="51"/>
  <c r="F66" i="51"/>
  <c r="F62" i="51"/>
  <c r="F53" i="51"/>
  <c r="F49" i="51"/>
  <c r="F45" i="51"/>
  <c r="F41" i="51"/>
  <c r="F40" i="51"/>
  <c r="F102" i="51"/>
  <c r="F67" i="51"/>
  <c r="F63" i="51"/>
  <c r="F72" i="51"/>
  <c r="F50" i="51"/>
  <c r="F54" i="51"/>
  <c r="F76" i="51"/>
  <c r="F92" i="51"/>
  <c r="F80" i="51"/>
  <c r="F71" i="51"/>
  <c r="F42" i="51"/>
  <c r="F87" i="51"/>
  <c r="F46" i="51"/>
  <c r="L12" i="51"/>
  <c r="N12" i="51" s="1"/>
  <c r="F56" i="48"/>
  <c r="F55" i="48"/>
  <c r="F44" i="48"/>
  <c r="F43" i="48"/>
  <c r="F28" i="48"/>
  <c r="F24" i="48"/>
  <c r="F71" i="48"/>
  <c r="F70" i="48"/>
  <c r="F63" i="48"/>
  <c r="F62" i="48"/>
  <c r="F58" i="48"/>
  <c r="F57" i="48"/>
  <c r="F46" i="48"/>
  <c r="F45" i="48"/>
  <c r="F38" i="48"/>
  <c r="F34" i="48"/>
  <c r="F74" i="48"/>
  <c r="F65" i="48"/>
  <c r="F64" i="48"/>
  <c r="F29" i="48"/>
  <c r="F25" i="48"/>
  <c r="F21" i="48"/>
  <c r="F20" i="48"/>
  <c r="F73" i="48"/>
  <c r="F48" i="48"/>
  <c r="F47" i="48"/>
  <c r="F19" i="48"/>
  <c r="F15" i="48"/>
  <c r="F78" i="48"/>
  <c r="F66" i="48"/>
  <c r="F50" i="48"/>
  <c r="F49" i="48"/>
  <c r="F26" i="48"/>
  <c r="F22" i="48"/>
  <c r="L12" i="48"/>
  <c r="N12" i="48" s="1"/>
  <c r="F60" i="48"/>
  <c r="F52" i="48"/>
  <c r="F51" i="48"/>
  <c r="F40" i="48"/>
  <c r="F36" i="48"/>
  <c r="F32" i="48"/>
  <c r="F54" i="48"/>
  <c r="F53" i="48"/>
  <c r="F42" i="48"/>
  <c r="F41" i="48"/>
  <c r="F68" i="48"/>
  <c r="F61" i="48"/>
  <c r="F31" i="48"/>
  <c r="F35" i="48"/>
  <c r="F33" i="48"/>
  <c r="F69" i="48"/>
  <c r="F37" i="48"/>
  <c r="F39" i="48"/>
  <c r="F27" i="48"/>
  <c r="F23" i="48"/>
  <c r="F67" i="48"/>
  <c r="F59" i="48"/>
  <c r="D17" i="48"/>
  <c r="F17" i="48" s="1"/>
  <c r="F30" i="48"/>
  <c r="H106" i="45"/>
  <c r="R134" i="42"/>
  <c r="R102" i="42"/>
  <c r="R75" i="42"/>
  <c r="R74" i="42"/>
  <c r="R42" i="42"/>
  <c r="R38" i="42"/>
  <c r="R135" i="42"/>
  <c r="R125" i="42"/>
  <c r="R117" i="42"/>
  <c r="R113" i="42"/>
  <c r="R109" i="42"/>
  <c r="R98" i="42"/>
  <c r="R97" i="42"/>
  <c r="R86" i="42"/>
  <c r="R85" i="42"/>
  <c r="R65" i="42"/>
  <c r="R58" i="42"/>
  <c r="R57" i="42"/>
  <c r="R34" i="42"/>
  <c r="R93" i="42"/>
  <c r="R92" i="42"/>
  <c r="R77" i="42"/>
  <c r="R76" i="42"/>
  <c r="R52" i="42"/>
  <c r="R48" i="42"/>
  <c r="R33" i="42"/>
  <c r="X12" i="42"/>
  <c r="Z12" i="42" s="1"/>
  <c r="R104" i="42"/>
  <c r="R103" i="42"/>
  <c r="R99" i="42"/>
  <c r="R88" i="42"/>
  <c r="R87" i="42"/>
  <c r="R60" i="42"/>
  <c r="R59" i="42"/>
  <c r="R43" i="42"/>
  <c r="R39" i="42"/>
  <c r="R35" i="42"/>
  <c r="P31" i="42"/>
  <c r="R126" i="42"/>
  <c r="R119" i="42"/>
  <c r="R118" i="42"/>
  <c r="R114" i="42"/>
  <c r="R110" i="42"/>
  <c r="R94" i="42"/>
  <c r="R78" i="42"/>
  <c r="R67" i="42"/>
  <c r="R66" i="42"/>
  <c r="R105" i="42"/>
  <c r="R139" i="42"/>
  <c r="R120" i="42"/>
  <c r="R100" i="42"/>
  <c r="R69" i="42"/>
  <c r="R68" i="42"/>
  <c r="R45" i="42"/>
  <c r="R44" i="42"/>
  <c r="R40" i="42"/>
  <c r="R36" i="42"/>
  <c r="R128" i="42"/>
  <c r="R127" i="42"/>
  <c r="R115" i="42"/>
  <c r="R111" i="42"/>
  <c r="R95" i="42"/>
  <c r="R80" i="42"/>
  <c r="R79" i="42"/>
  <c r="R63" i="42"/>
  <c r="R27" i="42"/>
  <c r="R107" i="42"/>
  <c r="R106" i="42"/>
  <c r="R90" i="42"/>
  <c r="R71" i="42"/>
  <c r="R70" i="42"/>
  <c r="R54" i="42"/>
  <c r="R50" i="42"/>
  <c r="R46" i="42"/>
  <c r="R129" i="42"/>
  <c r="R122" i="42"/>
  <c r="R121" i="42"/>
  <c r="R101" i="42"/>
  <c r="R82" i="42"/>
  <c r="R81" i="42"/>
  <c r="R41" i="42"/>
  <c r="R37" i="42"/>
  <c r="R132" i="42"/>
  <c r="R123" i="42"/>
  <c r="R116" i="42"/>
  <c r="R26" i="42"/>
  <c r="R72" i="42"/>
  <c r="R62" i="42"/>
  <c r="R55" i="42"/>
  <c r="R49" i="42"/>
  <c r="R47" i="42"/>
  <c r="R29" i="42"/>
  <c r="R131" i="42"/>
  <c r="R124" i="42"/>
  <c r="R108" i="42"/>
  <c r="R91" i="42"/>
  <c r="R89" i="42"/>
  <c r="R53" i="42"/>
  <c r="R51" i="42"/>
  <c r="R64" i="42"/>
  <c r="R56" i="42"/>
  <c r="R112" i="42"/>
  <c r="R73" i="42"/>
  <c r="R61" i="42"/>
  <c r="R83" i="42"/>
  <c r="R96" i="42"/>
  <c r="R84" i="42"/>
  <c r="R133" i="42"/>
  <c r="R28" i="42"/>
  <c r="T131" i="27"/>
  <c r="H305" i="18"/>
  <c r="P103" i="9"/>
  <c r="X17" i="9"/>
  <c r="Z17" i="9" s="1"/>
  <c r="T334" i="3"/>
  <c r="H334" i="3"/>
  <c r="H103" i="9"/>
  <c r="N17" i="9"/>
  <c r="T27" i="43"/>
  <c r="Z18" i="43"/>
  <c r="T27" i="49"/>
  <c r="Z18" i="49"/>
  <c r="X18" i="49"/>
  <c r="P27" i="49"/>
  <c r="N18" i="47"/>
  <c r="H27" i="47"/>
  <c r="P27" i="43"/>
  <c r="X18" i="43"/>
  <c r="X18" i="41"/>
  <c r="P27" i="41"/>
  <c r="X18" i="32"/>
  <c r="P27" i="32"/>
  <c r="N18" i="32"/>
  <c r="H27" i="32"/>
  <c r="T27" i="29"/>
  <c r="Z18" i="29"/>
  <c r="T27" i="26"/>
  <c r="Z18" i="26"/>
  <c r="N18" i="20"/>
  <c r="H27" i="20"/>
  <c r="H27" i="19"/>
  <c r="N18" i="19"/>
  <c r="T27" i="8"/>
  <c r="Z18" i="8"/>
  <c r="F303" i="18"/>
  <c r="F276" i="18"/>
  <c r="F272" i="18"/>
  <c r="F260" i="18"/>
  <c r="F236" i="18"/>
  <c r="F235" i="18"/>
  <c r="F228" i="18"/>
  <c r="F188" i="18"/>
  <c r="F184" i="18"/>
  <c r="F180" i="18"/>
  <c r="F176" i="18"/>
  <c r="F172" i="18"/>
  <c r="F168" i="18"/>
  <c r="F164" i="18"/>
  <c r="F160" i="18"/>
  <c r="F156" i="18"/>
  <c r="F152" i="18"/>
  <c r="F148" i="18"/>
  <c r="F144" i="18"/>
  <c r="F140" i="18"/>
  <c r="F136" i="18"/>
  <c r="F132" i="18"/>
  <c r="F131" i="18"/>
  <c r="F293" i="18"/>
  <c r="F291" i="18"/>
  <c r="F266" i="18"/>
  <c r="F238" i="18"/>
  <c r="F237" i="18"/>
  <c r="F230" i="18"/>
  <c r="F229" i="18"/>
  <c r="F202" i="18"/>
  <c r="F198" i="18"/>
  <c r="F307" i="18"/>
  <c r="F294" i="18"/>
  <c r="F285" i="18"/>
  <c r="F284" i="18"/>
  <c r="F277" i="18"/>
  <c r="F273" i="18"/>
  <c r="F261" i="18"/>
  <c r="F249" i="18"/>
  <c r="F248" i="18"/>
  <c r="F225" i="18"/>
  <c r="F224" i="18"/>
  <c r="F189" i="18"/>
  <c r="F185" i="18"/>
  <c r="F181" i="18"/>
  <c r="F177" i="18"/>
  <c r="F173" i="18"/>
  <c r="F169" i="18"/>
  <c r="F165" i="18"/>
  <c r="F161" i="18"/>
  <c r="F157" i="18"/>
  <c r="F153" i="18"/>
  <c r="F149" i="18"/>
  <c r="F145" i="18"/>
  <c r="F141" i="18"/>
  <c r="F137" i="18"/>
  <c r="F133" i="18"/>
  <c r="F295" i="18"/>
  <c r="F268" i="18"/>
  <c r="F267" i="18"/>
  <c r="F256" i="18"/>
  <c r="F240" i="18"/>
  <c r="F239" i="18"/>
  <c r="F216" i="18"/>
  <c r="F212" i="18"/>
  <c r="F208" i="18"/>
  <c r="F296" i="18"/>
  <c r="F263" i="18"/>
  <c r="F262" i="18"/>
  <c r="F251" i="18"/>
  <c r="F250" i="18"/>
  <c r="F231" i="18"/>
  <c r="F203" i="18"/>
  <c r="F199" i="18"/>
  <c r="F297" i="18"/>
  <c r="F286" i="18"/>
  <c r="F278" i="18"/>
  <c r="F274" i="18"/>
  <c r="F258" i="18"/>
  <c r="F257" i="18"/>
  <c r="F226" i="18"/>
  <c r="F218" i="18"/>
  <c r="F217" i="18"/>
  <c r="F190" i="18"/>
  <c r="F186" i="18"/>
  <c r="F182" i="18"/>
  <c r="F178" i="18"/>
  <c r="F174" i="18"/>
  <c r="F170" i="18"/>
  <c r="F166" i="18"/>
  <c r="F162" i="18"/>
  <c r="F158" i="18"/>
  <c r="F154" i="18"/>
  <c r="F150" i="18"/>
  <c r="F146" i="18"/>
  <c r="F142" i="18"/>
  <c r="F138" i="18"/>
  <c r="F134" i="18"/>
  <c r="F298" i="18"/>
  <c r="F269" i="18"/>
  <c r="F253" i="18"/>
  <c r="F252" i="18"/>
  <c r="F241" i="18"/>
  <c r="F233" i="18"/>
  <c r="F232" i="18"/>
  <c r="F213" i="18"/>
  <c r="F209" i="18"/>
  <c r="F299" i="18"/>
  <c r="F280" i="18"/>
  <c r="F279" i="18"/>
  <c r="F264" i="18"/>
  <c r="F220" i="18"/>
  <c r="F219" i="18"/>
  <c r="F204" i="18"/>
  <c r="F200" i="18"/>
  <c r="F196" i="18"/>
  <c r="F195" i="18"/>
  <c r="F234" i="18"/>
  <c r="F187" i="18"/>
  <c r="F175" i="18"/>
  <c r="F163" i="18"/>
  <c r="F151" i="18"/>
  <c r="F139" i="18"/>
  <c r="F289" i="18"/>
  <c r="F255" i="18"/>
  <c r="F243" i="18"/>
  <c r="F206" i="18"/>
  <c r="F292" i="18"/>
  <c r="F221" i="18"/>
  <c r="F287" i="18"/>
  <c r="F270" i="18"/>
  <c r="F211" i="18"/>
  <c r="F194" i="18"/>
  <c r="F302" i="18"/>
  <c r="F282" i="18"/>
  <c r="F246" i="18"/>
  <c r="F215" i="18"/>
  <c r="F207" i="18"/>
  <c r="F183" i="18"/>
  <c r="F171" i="18"/>
  <c r="F159" i="18"/>
  <c r="F147" i="18"/>
  <c r="F135" i="18"/>
  <c r="F300" i="18"/>
  <c r="F244" i="18"/>
  <c r="F283" i="18"/>
  <c r="F247" i="18"/>
  <c r="F205" i="18"/>
  <c r="L12" i="18"/>
  <c r="N12" i="18" s="1"/>
  <c r="F288" i="18"/>
  <c r="F271" i="18"/>
  <c r="F265" i="18"/>
  <c r="F254" i="18"/>
  <c r="F242" i="18"/>
  <c r="F222" i="18"/>
  <c r="F197" i="18"/>
  <c r="F179" i="18"/>
  <c r="F167" i="18"/>
  <c r="F155" i="18"/>
  <c r="F143" i="18"/>
  <c r="F245" i="18"/>
  <c r="F281" i="18"/>
  <c r="F223" i="18"/>
  <c r="F210" i="18"/>
  <c r="F301" i="18"/>
  <c r="F227" i="18"/>
  <c r="F201" i="18"/>
  <c r="F275" i="18"/>
  <c r="F259" i="18"/>
  <c r="F214" i="18"/>
  <c r="D192" i="18"/>
  <c r="L18" i="26"/>
  <c r="D27" i="26"/>
  <c r="V35" i="82"/>
  <c r="H66" i="80"/>
  <c r="H111" i="63"/>
  <c r="N16" i="63"/>
  <c r="L16" i="57"/>
  <c r="D78" i="57"/>
  <c r="X18" i="11"/>
  <c r="P27" i="11"/>
  <c r="X18" i="7"/>
  <c r="P27" i="7"/>
  <c r="P22" i="106"/>
  <c r="X16" i="106"/>
  <c r="D93" i="105"/>
  <c r="L23" i="105"/>
  <c r="N23" i="105" s="1"/>
  <c r="T93" i="105"/>
  <c r="H97" i="105"/>
  <c r="D94" i="103"/>
  <c r="L24" i="103"/>
  <c r="N24" i="103" s="1"/>
  <c r="Z17" i="99"/>
  <c r="T55" i="99"/>
  <c r="T80" i="100"/>
  <c r="R92" i="101"/>
  <c r="R84" i="101"/>
  <c r="R80" i="101"/>
  <c r="R78" i="101"/>
  <c r="R77" i="101"/>
  <c r="R54" i="101"/>
  <c r="R53" i="101"/>
  <c r="R37" i="101"/>
  <c r="R33" i="101"/>
  <c r="R29" i="101"/>
  <c r="R88" i="101"/>
  <c r="R65" i="101"/>
  <c r="R64" i="101"/>
  <c r="R99" i="101"/>
  <c r="R89" i="101"/>
  <c r="R85" i="101"/>
  <c r="R82" i="101"/>
  <c r="R72" i="101"/>
  <c r="R71" i="101"/>
  <c r="R56" i="101"/>
  <c r="R55" i="101"/>
  <c r="R47" i="101"/>
  <c r="R43" i="101"/>
  <c r="R20" i="101"/>
  <c r="R94" i="101"/>
  <c r="R79" i="101"/>
  <c r="R66" i="101"/>
  <c r="R86" i="101"/>
  <c r="R73" i="101"/>
  <c r="R57" i="101"/>
  <c r="R95" i="101"/>
  <c r="R48" i="101"/>
  <c r="R44" i="101"/>
  <c r="R90" i="101"/>
  <c r="R83" i="101"/>
  <c r="R67" i="101"/>
  <c r="R35" i="101"/>
  <c r="R31" i="101"/>
  <c r="R74" i="101"/>
  <c r="R59" i="101"/>
  <c r="R58" i="101"/>
  <c r="R22" i="101"/>
  <c r="R91" i="101"/>
  <c r="R87" i="101"/>
  <c r="R50" i="101"/>
  <c r="R49" i="101"/>
  <c r="R45" i="101"/>
  <c r="R41" i="101"/>
  <c r="R81" i="101"/>
  <c r="R76" i="101"/>
  <c r="R75" i="101"/>
  <c r="R52" i="101"/>
  <c r="R51" i="101"/>
  <c r="R28" i="101"/>
  <c r="R23" i="101"/>
  <c r="R60" i="101"/>
  <c r="R40" i="101"/>
  <c r="R25" i="101"/>
  <c r="R70" i="101"/>
  <c r="P25" i="101"/>
  <c r="X12" i="101"/>
  <c r="Z12" i="101" s="1"/>
  <c r="R63" i="101"/>
  <c r="R68" i="101"/>
  <c r="R61" i="101"/>
  <c r="R38" i="101"/>
  <c r="R36" i="101"/>
  <c r="R27" i="101"/>
  <c r="R46" i="101"/>
  <c r="R34" i="101"/>
  <c r="R39" i="101"/>
  <c r="R32" i="101"/>
  <c r="R62" i="101"/>
  <c r="R42" i="101"/>
  <c r="R21" i="101"/>
  <c r="R30" i="101"/>
  <c r="R69" i="101"/>
  <c r="F40" i="98"/>
  <c r="F39" i="98"/>
  <c r="F28" i="98"/>
  <c r="F24" i="98"/>
  <c r="F23" i="98"/>
  <c r="F22" i="98"/>
  <c r="F20" i="98"/>
  <c r="F53" i="98"/>
  <c r="F51" i="98"/>
  <c r="F42" i="98"/>
  <c r="F41" i="98"/>
  <c r="F34" i="98"/>
  <c r="D20" i="98"/>
  <c r="F55" i="98"/>
  <c r="F29" i="98"/>
  <c r="F25" i="98"/>
  <c r="F44" i="98"/>
  <c r="F43" i="98"/>
  <c r="L12" i="98"/>
  <c r="F35" i="98"/>
  <c r="F60" i="98"/>
  <c r="F57" i="98"/>
  <c r="F46" i="98"/>
  <c r="F45" i="98"/>
  <c r="F30" i="98"/>
  <c r="F26" i="98"/>
  <c r="F17" i="98"/>
  <c r="F16" i="98"/>
  <c r="F36" i="98"/>
  <c r="F38" i="98"/>
  <c r="F37" i="98"/>
  <c r="F18" i="98"/>
  <c r="F49" i="98"/>
  <c r="F48" i="98"/>
  <c r="F33" i="98"/>
  <c r="F32" i="98"/>
  <c r="F27" i="98"/>
  <c r="F47" i="98"/>
  <c r="F31" i="98"/>
  <c r="D55" i="99"/>
  <c r="L17" i="99"/>
  <c r="X20" i="85"/>
  <c r="Z20" i="85" s="1"/>
  <c r="P32" i="85"/>
  <c r="H130" i="84"/>
  <c r="R77" i="78"/>
  <c r="R31" i="78"/>
  <c r="R26" i="78"/>
  <c r="R22" i="78"/>
  <c r="R72" i="78"/>
  <c r="R58" i="78"/>
  <c r="R57" i="78"/>
  <c r="R49" i="78"/>
  <c r="R45" i="78"/>
  <c r="R41" i="78"/>
  <c r="R30" i="78"/>
  <c r="R66" i="78"/>
  <c r="R36" i="78"/>
  <c r="R32" i="78"/>
  <c r="P28" i="78"/>
  <c r="R28" i="78" s="1"/>
  <c r="R73" i="78"/>
  <c r="R68" i="78"/>
  <c r="R60" i="78"/>
  <c r="R59" i="78"/>
  <c r="R23" i="78"/>
  <c r="R69" i="78"/>
  <c r="R51" i="78"/>
  <c r="R50" i="78"/>
  <c r="R46" i="78"/>
  <c r="R42" i="78"/>
  <c r="R62" i="78"/>
  <c r="R61" i="78"/>
  <c r="R37" i="78"/>
  <c r="R33" i="78"/>
  <c r="R53" i="78"/>
  <c r="R52" i="78"/>
  <c r="R24" i="78"/>
  <c r="R70" i="78"/>
  <c r="R63" i="78"/>
  <c r="R47" i="78"/>
  <c r="R43" i="78"/>
  <c r="R20" i="78"/>
  <c r="R55" i="78"/>
  <c r="R54" i="78"/>
  <c r="R38" i="78"/>
  <c r="R34" i="78"/>
  <c r="R71" i="78"/>
  <c r="R56" i="78"/>
  <c r="R48" i="78"/>
  <c r="R44" i="78"/>
  <c r="X12" i="78"/>
  <c r="Z12" i="78" s="1"/>
  <c r="R35" i="78"/>
  <c r="R64" i="78"/>
  <c r="R39" i="78"/>
  <c r="R25" i="78"/>
  <c r="R65" i="78"/>
  <c r="R40" i="78"/>
  <c r="R21" i="78"/>
  <c r="R116" i="74"/>
  <c r="R106" i="74"/>
  <c r="R83" i="74"/>
  <c r="R82" i="74"/>
  <c r="R67" i="74"/>
  <c r="R66" i="74"/>
  <c r="R62" i="74"/>
  <c r="R58" i="74"/>
  <c r="P54" i="74"/>
  <c r="R54" i="74" s="1"/>
  <c r="R121" i="74"/>
  <c r="R114" i="74"/>
  <c r="R113" i="74"/>
  <c r="R94" i="74"/>
  <c r="R93" i="74"/>
  <c r="R49" i="74"/>
  <c r="R45" i="74"/>
  <c r="R41" i="74"/>
  <c r="R37" i="74"/>
  <c r="R101" i="74"/>
  <c r="R100" i="74"/>
  <c r="R85" i="74"/>
  <c r="R84" i="74"/>
  <c r="R76" i="74"/>
  <c r="R72" i="74"/>
  <c r="R68" i="74"/>
  <c r="R107" i="74"/>
  <c r="R95" i="74"/>
  <c r="R63" i="74"/>
  <c r="R59" i="74"/>
  <c r="R115" i="74"/>
  <c r="R102" i="74"/>
  <c r="R86" i="74"/>
  <c r="R50" i="74"/>
  <c r="R46" i="74"/>
  <c r="R42" i="74"/>
  <c r="R38" i="74"/>
  <c r="R78" i="74"/>
  <c r="R77" i="74"/>
  <c r="R73" i="74"/>
  <c r="R69" i="74"/>
  <c r="R108" i="74"/>
  <c r="R97" i="74"/>
  <c r="R96" i="74"/>
  <c r="R64" i="74"/>
  <c r="R60" i="74"/>
  <c r="X12" i="74"/>
  <c r="Z12" i="74" s="1"/>
  <c r="R104" i="74"/>
  <c r="R103" i="74"/>
  <c r="R88" i="74"/>
  <c r="R87" i="74"/>
  <c r="R80" i="74"/>
  <c r="R79" i="74"/>
  <c r="R51" i="74"/>
  <c r="R47" i="74"/>
  <c r="R43" i="74"/>
  <c r="R39" i="74"/>
  <c r="R57" i="74"/>
  <c r="R52" i="74"/>
  <c r="R48" i="74"/>
  <c r="R44" i="74"/>
  <c r="R40" i="74"/>
  <c r="R125" i="74"/>
  <c r="R120" i="74"/>
  <c r="R118" i="74"/>
  <c r="R111" i="74"/>
  <c r="R109" i="74"/>
  <c r="R98" i="74"/>
  <c r="R74" i="74"/>
  <c r="R70" i="74"/>
  <c r="R61" i="74"/>
  <c r="R110" i="74"/>
  <c r="R56" i="74"/>
  <c r="R112" i="74"/>
  <c r="R119" i="74"/>
  <c r="R91" i="74"/>
  <c r="R89" i="74"/>
  <c r="R81" i="74"/>
  <c r="R99" i="74"/>
  <c r="R65" i="74"/>
  <c r="R71" i="74"/>
  <c r="R36" i="74"/>
  <c r="R90" i="74"/>
  <c r="R75" i="74"/>
  <c r="R92" i="74"/>
  <c r="R105" i="74"/>
  <c r="T130" i="68"/>
  <c r="L28" i="78"/>
  <c r="D75" i="78"/>
  <c r="H72" i="67"/>
  <c r="H134" i="68"/>
  <c r="J130" i="68"/>
  <c r="T78" i="57"/>
  <c r="Z16" i="57"/>
  <c r="H62" i="61"/>
  <c r="N16" i="61"/>
  <c r="X33" i="55"/>
  <c r="P37" i="55"/>
  <c r="D26" i="54"/>
  <c r="D82" i="56"/>
  <c r="L16" i="56"/>
  <c r="T106" i="45"/>
  <c r="T148" i="39"/>
  <c r="R119" i="27"/>
  <c r="R118" i="27"/>
  <c r="R106" i="27"/>
  <c r="R98" i="27"/>
  <c r="R74" i="27"/>
  <c r="R70" i="27"/>
  <c r="R113" i="27"/>
  <c r="R90" i="27"/>
  <c r="R89" i="27"/>
  <c r="R66" i="27"/>
  <c r="R61" i="27"/>
  <c r="R57" i="27"/>
  <c r="R53" i="27"/>
  <c r="R49" i="27"/>
  <c r="R45" i="27"/>
  <c r="R121" i="27"/>
  <c r="R120" i="27"/>
  <c r="R84" i="27"/>
  <c r="R80" i="27"/>
  <c r="R65" i="27"/>
  <c r="X12" i="27"/>
  <c r="Z12" i="27" s="1"/>
  <c r="R133" i="27"/>
  <c r="R107" i="27"/>
  <c r="R100" i="27"/>
  <c r="R99" i="27"/>
  <c r="R91" i="27"/>
  <c r="R75" i="27"/>
  <c r="R71" i="27"/>
  <c r="R67" i="27"/>
  <c r="P63" i="27"/>
  <c r="R63" i="27" s="1"/>
  <c r="R122" i="27"/>
  <c r="R114" i="27"/>
  <c r="R58" i="27"/>
  <c r="R54" i="27"/>
  <c r="R50" i="27"/>
  <c r="R46" i="27"/>
  <c r="R102" i="27"/>
  <c r="R101" i="27"/>
  <c r="R85" i="27"/>
  <c r="R81" i="27"/>
  <c r="R109" i="27"/>
  <c r="R108" i="27"/>
  <c r="R93" i="27"/>
  <c r="R92" i="27"/>
  <c r="R77" i="27"/>
  <c r="R76" i="27"/>
  <c r="R72" i="27"/>
  <c r="R68" i="27"/>
  <c r="R123" i="27"/>
  <c r="R116" i="27"/>
  <c r="R115" i="27"/>
  <c r="R104" i="27"/>
  <c r="R103" i="27"/>
  <c r="R59" i="27"/>
  <c r="R55" i="27"/>
  <c r="R51" i="27"/>
  <c r="R47" i="27"/>
  <c r="R128" i="27"/>
  <c r="R97" i="27"/>
  <c r="R96" i="27"/>
  <c r="R60" i="27"/>
  <c r="R56" i="27"/>
  <c r="R52" i="27"/>
  <c r="R48" i="27"/>
  <c r="R44" i="27"/>
  <c r="R129" i="27"/>
  <c r="R117" i="27"/>
  <c r="R111" i="27"/>
  <c r="R105" i="27"/>
  <c r="R88" i="27"/>
  <c r="R95" i="27"/>
  <c r="R86" i="27"/>
  <c r="R82" i="27"/>
  <c r="R78" i="27"/>
  <c r="R127" i="27"/>
  <c r="R125" i="27"/>
  <c r="R112" i="27"/>
  <c r="R69" i="27"/>
  <c r="R110" i="27"/>
  <c r="R83" i="27"/>
  <c r="R87" i="27"/>
  <c r="R126" i="27"/>
  <c r="R94" i="27"/>
  <c r="R73" i="27"/>
  <c r="R79" i="27"/>
  <c r="X18" i="112"/>
  <c r="P27" i="112"/>
  <c r="X18" i="50"/>
  <c r="P27" i="50"/>
  <c r="L18" i="47"/>
  <c r="D27" i="47"/>
  <c r="T27" i="34"/>
  <c r="Z18" i="34"/>
  <c r="N18" i="23"/>
  <c r="H27" i="23"/>
  <c r="T27" i="32"/>
  <c r="Z18" i="32"/>
  <c r="T27" i="23"/>
  <c r="Z18" i="23"/>
  <c r="H27" i="17"/>
  <c r="N18" i="17"/>
  <c r="X18" i="13"/>
  <c r="P27" i="13"/>
  <c r="L18" i="14"/>
  <c r="D27" i="14"/>
  <c r="F64" i="88"/>
  <c r="F32" i="88"/>
  <c r="F28" i="88"/>
  <c r="L12" i="88"/>
  <c r="N12" i="88" s="1"/>
  <c r="F83" i="88"/>
  <c r="F82" i="88"/>
  <c r="F75" i="88"/>
  <c r="F71" i="88"/>
  <c r="F70" i="88"/>
  <c r="F55" i="88"/>
  <c r="F19" i="88"/>
  <c r="F18" i="88"/>
  <c r="F46" i="88"/>
  <c r="F42" i="88"/>
  <c r="F38" i="88"/>
  <c r="F65" i="88"/>
  <c r="F57" i="88"/>
  <c r="F56" i="88"/>
  <c r="F84" i="88"/>
  <c r="F76" i="88"/>
  <c r="F72" i="88"/>
  <c r="F48" i="88"/>
  <c r="F47" i="88"/>
  <c r="F20" i="88"/>
  <c r="F67" i="88"/>
  <c r="F66" i="88"/>
  <c r="F59" i="88"/>
  <c r="F58" i="88"/>
  <c r="F43" i="88"/>
  <c r="F39" i="88"/>
  <c r="F78" i="88"/>
  <c r="F77" i="88"/>
  <c r="F50" i="88"/>
  <c r="F49" i="88"/>
  <c r="F88" i="88"/>
  <c r="F86" i="88"/>
  <c r="F73" i="88"/>
  <c r="F61" i="88"/>
  <c r="F60" i="88"/>
  <c r="F21" i="88"/>
  <c r="F90" i="88"/>
  <c r="F68" i="88"/>
  <c r="F52" i="88"/>
  <c r="F51" i="88"/>
  <c r="F44" i="88"/>
  <c r="F40" i="88"/>
  <c r="F74" i="88"/>
  <c r="F54" i="88"/>
  <c r="F53" i="88"/>
  <c r="F25" i="88"/>
  <c r="F23" i="88"/>
  <c r="F79" i="88"/>
  <c r="F37" i="88"/>
  <c r="F27" i="88"/>
  <c r="F62" i="88"/>
  <c r="F31" i="88"/>
  <c r="F33" i="88"/>
  <c r="F29" i="88"/>
  <c r="F41" i="88"/>
  <c r="F35" i="88"/>
  <c r="F80" i="88"/>
  <c r="F63" i="88"/>
  <c r="F45" i="88"/>
  <c r="F30" i="88"/>
  <c r="D23" i="88"/>
  <c r="F81" i="88"/>
  <c r="F69" i="88"/>
  <c r="F36" i="88"/>
  <c r="F26" i="88"/>
  <c r="F92" i="88"/>
  <c r="F34" i="88"/>
  <c r="F95" i="88"/>
  <c r="H131" i="27"/>
  <c r="F266" i="15"/>
  <c r="F257" i="15"/>
  <c r="F256" i="15"/>
  <c r="F229" i="15"/>
  <c r="F221" i="15"/>
  <c r="F220" i="15"/>
  <c r="F197" i="15"/>
  <c r="F196" i="15"/>
  <c r="F189" i="15"/>
  <c r="F185" i="15"/>
  <c r="F181" i="15"/>
  <c r="F180" i="15"/>
  <c r="F268" i="15"/>
  <c r="F259" i="15"/>
  <c r="F258" i="15"/>
  <c r="F251" i="15"/>
  <c r="F247" i="15"/>
  <c r="F235" i="15"/>
  <c r="F223" i="15"/>
  <c r="F222" i="15"/>
  <c r="F199" i="15"/>
  <c r="F198" i="15"/>
  <c r="F269" i="15"/>
  <c r="F242" i="15"/>
  <c r="F241" i="15"/>
  <c r="F230" i="15"/>
  <c r="F214" i="15"/>
  <c r="F213" i="15"/>
  <c r="F190" i="15"/>
  <c r="F186" i="15"/>
  <c r="F182" i="15"/>
  <c r="L12" i="15"/>
  <c r="N12" i="15" s="1"/>
  <c r="F272" i="15"/>
  <c r="F243" i="15"/>
  <c r="F227" i="15"/>
  <c r="F226" i="15"/>
  <c r="F215" i="15"/>
  <c r="F207" i="15"/>
  <c r="F206" i="15"/>
  <c r="F187" i="15"/>
  <c r="F183" i="15"/>
  <c r="F273" i="15"/>
  <c r="F254" i="15"/>
  <c r="F253" i="15"/>
  <c r="F238" i="15"/>
  <c r="F194" i="15"/>
  <c r="F193" i="15"/>
  <c r="F178" i="15"/>
  <c r="F174" i="15"/>
  <c r="F170" i="15"/>
  <c r="F169" i="15"/>
  <c r="F244" i="15"/>
  <c r="F239" i="15"/>
  <c r="F217" i="15"/>
  <c r="F176" i="15"/>
  <c r="F163" i="15"/>
  <c r="F152" i="15"/>
  <c r="F121" i="15"/>
  <c r="F118" i="15"/>
  <c r="F115" i="15"/>
  <c r="F278" i="15"/>
  <c r="F274" i="15"/>
  <c r="F252" i="15"/>
  <c r="F211" i="15"/>
  <c r="F141" i="15"/>
  <c r="F138" i="15"/>
  <c r="F135" i="15"/>
  <c r="F124" i="15"/>
  <c r="F271" i="15"/>
  <c r="F261" i="15"/>
  <c r="F255" i="15"/>
  <c r="F232" i="15"/>
  <c r="F205" i="15"/>
  <c r="F184" i="15"/>
  <c r="F161" i="15"/>
  <c r="F158" i="15"/>
  <c r="F155" i="15"/>
  <c r="F144" i="15"/>
  <c r="F250" i="15"/>
  <c r="F245" i="15"/>
  <c r="F212" i="15"/>
  <c r="F172" i="15"/>
  <c r="F164" i="15"/>
  <c r="F133" i="15"/>
  <c r="F130" i="15"/>
  <c r="F127" i="15"/>
  <c r="F116" i="15"/>
  <c r="F224" i="15"/>
  <c r="F218" i="15"/>
  <c r="F208" i="15"/>
  <c r="F202" i="15"/>
  <c r="F179" i="15"/>
  <c r="F177" i="15"/>
  <c r="F153" i="15"/>
  <c r="F150" i="15"/>
  <c r="F147" i="15"/>
  <c r="F136" i="15"/>
  <c r="F265" i="15"/>
  <c r="F156" i="15"/>
  <c r="F125" i="15"/>
  <c r="F122" i="15"/>
  <c r="F119" i="15"/>
  <c r="F113" i="15"/>
  <c r="F262" i="15"/>
  <c r="F248" i="15"/>
  <c r="F240" i="15"/>
  <c r="F233" i="15"/>
  <c r="F209" i="15"/>
  <c r="F145" i="15"/>
  <c r="F142" i="15"/>
  <c r="F139" i="15"/>
  <c r="F128" i="15"/>
  <c r="F236" i="15"/>
  <c r="F200" i="15"/>
  <c r="F191" i="15"/>
  <c r="F162" i="15"/>
  <c r="F159" i="15"/>
  <c r="F148" i="15"/>
  <c r="F117" i="15"/>
  <c r="F114" i="15"/>
  <c r="F246" i="15"/>
  <c r="F225" i="15"/>
  <c r="F219" i="15"/>
  <c r="F203" i="15"/>
  <c r="F188" i="15"/>
  <c r="F175" i="15"/>
  <c r="F173" i="15"/>
  <c r="D166" i="15"/>
  <c r="F137" i="15"/>
  <c r="F134" i="15"/>
  <c r="F131" i="15"/>
  <c r="F120" i="15"/>
  <c r="F216" i="15"/>
  <c r="F171" i="15"/>
  <c r="F146" i="15"/>
  <c r="F140" i="15"/>
  <c r="F267" i="15"/>
  <c r="F260" i="15"/>
  <c r="F154" i="15"/>
  <c r="F210" i="15"/>
  <c r="F160" i="15"/>
  <c r="F129" i="15"/>
  <c r="F234" i="15"/>
  <c r="F204" i="15"/>
  <c r="F192" i="15"/>
  <c r="F249" i="15"/>
  <c r="F123" i="15"/>
  <c r="F270" i="15"/>
  <c r="F228" i="15"/>
  <c r="F149" i="15"/>
  <c r="F263" i="15"/>
  <c r="F168" i="15"/>
  <c r="F157" i="15"/>
  <c r="F151" i="15"/>
  <c r="F143" i="15"/>
  <c r="F132" i="15"/>
  <c r="F231" i="15"/>
  <c r="F195" i="15"/>
  <c r="F201" i="15"/>
  <c r="F126" i="15"/>
  <c r="F237" i="15"/>
  <c r="T27" i="53"/>
  <c r="Z18" i="53"/>
  <c r="T27" i="11"/>
  <c r="Z18" i="11"/>
  <c r="F59" i="109"/>
  <c r="F78" i="109"/>
  <c r="F60" i="109"/>
  <c r="F52" i="109"/>
  <c r="F51" i="109"/>
  <c r="F40" i="109"/>
  <c r="F36" i="109"/>
  <c r="F32" i="109"/>
  <c r="F67" i="109"/>
  <c r="F27" i="109"/>
  <c r="F23" i="109"/>
  <c r="F54" i="109"/>
  <c r="F53" i="109"/>
  <c r="F42" i="109"/>
  <c r="F41" i="109"/>
  <c r="F69" i="109"/>
  <c r="F68" i="109"/>
  <c r="F61" i="109"/>
  <c r="F71" i="109"/>
  <c r="F70" i="109"/>
  <c r="F74" i="109"/>
  <c r="F58" i="109"/>
  <c r="F48" i="109"/>
  <c r="F64" i="109"/>
  <c r="F38" i="109"/>
  <c r="F56" i="109"/>
  <c r="F35" i="109"/>
  <c r="F49" i="109"/>
  <c r="F45" i="109"/>
  <c r="F26" i="109"/>
  <c r="F65" i="109"/>
  <c r="F29" i="109"/>
  <c r="F15" i="109"/>
  <c r="F62" i="109"/>
  <c r="F33" i="109"/>
  <c r="F50" i="109"/>
  <c r="F46" i="109"/>
  <c r="F39" i="109"/>
  <c r="F24" i="109"/>
  <c r="F21" i="109"/>
  <c r="F20" i="109"/>
  <c r="F19" i="109"/>
  <c r="D17" i="109"/>
  <c r="F17" i="109" s="1"/>
  <c r="L12" i="109"/>
  <c r="N12" i="109" s="1"/>
  <c r="F73" i="109"/>
  <c r="F57" i="109"/>
  <c r="F30" i="109"/>
  <c r="F66" i="109"/>
  <c r="F63" i="109"/>
  <c r="F37" i="109"/>
  <c r="F34" i="109"/>
  <c r="F47" i="109"/>
  <c r="F44" i="109"/>
  <c r="F31" i="109"/>
  <c r="F22" i="109"/>
  <c r="F55" i="109"/>
  <c r="F43" i="109"/>
  <c r="F28" i="109"/>
  <c r="F25" i="109"/>
  <c r="P85" i="93"/>
  <c r="R23" i="93"/>
  <c r="X23" i="93"/>
  <c r="Z23" i="93" s="1"/>
  <c r="H100" i="87"/>
  <c r="P27" i="16"/>
  <c r="X18" i="16"/>
  <c r="D65" i="104"/>
  <c r="L23" i="104"/>
  <c r="N23" i="104" s="1"/>
  <c r="X23" i="105"/>
  <c r="Z23" i="105" s="1"/>
  <c r="P93" i="105"/>
  <c r="D97" i="101"/>
  <c r="L25" i="101"/>
  <c r="N25" i="101" s="1"/>
  <c r="P103" i="95"/>
  <c r="X22" i="95"/>
  <c r="Z22" i="95" s="1"/>
  <c r="F78" i="93"/>
  <c r="F77" i="93"/>
  <c r="F50" i="93"/>
  <c r="F49" i="93"/>
  <c r="F61" i="93"/>
  <c r="F80" i="93"/>
  <c r="F79" i="93"/>
  <c r="F72" i="93"/>
  <c r="F68" i="93"/>
  <c r="F52" i="93"/>
  <c r="F51" i="93"/>
  <c r="F44" i="93"/>
  <c r="F40" i="93"/>
  <c r="F83" i="93"/>
  <c r="F62" i="93"/>
  <c r="F54" i="93"/>
  <c r="F53" i="93"/>
  <c r="F82" i="93"/>
  <c r="F73" i="93"/>
  <c r="F69" i="93"/>
  <c r="F45" i="93"/>
  <c r="F85" i="93"/>
  <c r="F64" i="93"/>
  <c r="F63" i="93"/>
  <c r="F56" i="93"/>
  <c r="F55" i="93"/>
  <c r="F87" i="93"/>
  <c r="F75" i="93"/>
  <c r="F74" i="93"/>
  <c r="F70" i="93"/>
  <c r="F58" i="93"/>
  <c r="F57" i="93"/>
  <c r="F46" i="93"/>
  <c r="F42" i="93"/>
  <c r="F38" i="93"/>
  <c r="F92" i="93"/>
  <c r="F89" i="93"/>
  <c r="F76" i="93"/>
  <c r="F60" i="93"/>
  <c r="F59" i="93"/>
  <c r="F48" i="93"/>
  <c r="F47" i="93"/>
  <c r="F65" i="93"/>
  <c r="F20" i="93"/>
  <c r="F30" i="93"/>
  <c r="F43" i="93"/>
  <c r="F34" i="93"/>
  <c r="F21" i="93"/>
  <c r="F41" i="93"/>
  <c r="F71" i="93"/>
  <c r="F31" i="93"/>
  <c r="F27" i="93"/>
  <c r="F26" i="93"/>
  <c r="F66" i="93"/>
  <c r="F25" i="93"/>
  <c r="F23" i="93"/>
  <c r="F35" i="93"/>
  <c r="D23" i="93"/>
  <c r="F39" i="93"/>
  <c r="F32" i="93"/>
  <c r="F28" i="93"/>
  <c r="L12" i="93"/>
  <c r="N12" i="93" s="1"/>
  <c r="F67" i="93"/>
  <c r="F29" i="93"/>
  <c r="F18" i="93"/>
  <c r="F33" i="93"/>
  <c r="F37" i="93"/>
  <c r="F19" i="93"/>
  <c r="F36" i="93"/>
  <c r="H85" i="93"/>
  <c r="H102" i="91"/>
  <c r="N16" i="91"/>
  <c r="H32" i="85"/>
  <c r="H22" i="81"/>
  <c r="N16" i="81"/>
  <c r="R125" i="84"/>
  <c r="R124" i="84"/>
  <c r="R116" i="84"/>
  <c r="R112" i="84"/>
  <c r="R97" i="84"/>
  <c r="R96" i="84"/>
  <c r="R85" i="84"/>
  <c r="R84" i="84"/>
  <c r="R76" i="84"/>
  <c r="R72" i="84"/>
  <c r="R68" i="84"/>
  <c r="R63" i="84"/>
  <c r="R59" i="84"/>
  <c r="R126" i="84"/>
  <c r="R106" i="84"/>
  <c r="R99" i="84"/>
  <c r="R98" i="84"/>
  <c r="R87" i="84"/>
  <c r="R86" i="84"/>
  <c r="R128" i="84"/>
  <c r="R101" i="84"/>
  <c r="R100" i="84"/>
  <c r="R89" i="84"/>
  <c r="R88" i="84"/>
  <c r="R64" i="84"/>
  <c r="R60" i="84"/>
  <c r="R132" i="84"/>
  <c r="R114" i="84"/>
  <c r="R102" i="84"/>
  <c r="R91" i="84"/>
  <c r="R90" i="84"/>
  <c r="R74" i="84"/>
  <c r="R70" i="84"/>
  <c r="R109" i="84"/>
  <c r="R81" i="84"/>
  <c r="R65" i="84"/>
  <c r="R61" i="84"/>
  <c r="R123" i="84"/>
  <c r="R122" i="84"/>
  <c r="R111" i="84"/>
  <c r="R110" i="84"/>
  <c r="R95" i="84"/>
  <c r="R94" i="84"/>
  <c r="R83" i="84"/>
  <c r="R82" i="84"/>
  <c r="R67" i="84"/>
  <c r="R66" i="84"/>
  <c r="R62" i="84"/>
  <c r="R58" i="84"/>
  <c r="P54" i="84"/>
  <c r="R54" i="84" s="1"/>
  <c r="R78" i="84"/>
  <c r="R73" i="84"/>
  <c r="R47" i="84"/>
  <c r="R119" i="84"/>
  <c r="R92" i="84"/>
  <c r="R44" i="84"/>
  <c r="R103" i="84"/>
  <c r="R71" i="84"/>
  <c r="R41" i="84"/>
  <c r="R38" i="84"/>
  <c r="R69" i="84"/>
  <c r="R51" i="84"/>
  <c r="R104" i="84"/>
  <c r="R79" i="84"/>
  <c r="R48" i="84"/>
  <c r="R35" i="84"/>
  <c r="X12" i="84"/>
  <c r="Z12" i="84" s="1"/>
  <c r="R93" i="84"/>
  <c r="R56" i="84"/>
  <c r="R45" i="84"/>
  <c r="R42" i="84"/>
  <c r="R117" i="84"/>
  <c r="R39" i="84"/>
  <c r="R120" i="84"/>
  <c r="R115" i="84"/>
  <c r="R113" i="84"/>
  <c r="R107" i="84"/>
  <c r="R80" i="84"/>
  <c r="R57" i="84"/>
  <c r="R36" i="84"/>
  <c r="R121" i="84"/>
  <c r="R108" i="84"/>
  <c r="R40" i="84"/>
  <c r="R75" i="84"/>
  <c r="R43" i="84"/>
  <c r="R118" i="84"/>
  <c r="R37" i="84"/>
  <c r="R52" i="84"/>
  <c r="R50" i="84"/>
  <c r="R46" i="84"/>
  <c r="R77" i="84"/>
  <c r="R49" i="84"/>
  <c r="R105" i="84"/>
  <c r="J54" i="84"/>
  <c r="T66" i="80"/>
  <c r="Z18" i="80"/>
  <c r="F125" i="74"/>
  <c r="F98" i="74"/>
  <c r="F97" i="74"/>
  <c r="F74" i="74"/>
  <c r="F70" i="74"/>
  <c r="F109" i="74"/>
  <c r="F105" i="74"/>
  <c r="F104" i="74"/>
  <c r="F89" i="74"/>
  <c r="F88" i="74"/>
  <c r="F81" i="74"/>
  <c r="F80" i="74"/>
  <c r="F65" i="74"/>
  <c r="F61" i="74"/>
  <c r="F119" i="74"/>
  <c r="F52" i="74"/>
  <c r="F48" i="74"/>
  <c r="F44" i="74"/>
  <c r="F40" i="74"/>
  <c r="F118" i="74"/>
  <c r="F111" i="74"/>
  <c r="F110" i="74"/>
  <c r="F99" i="74"/>
  <c r="F91" i="74"/>
  <c r="F90" i="74"/>
  <c r="F75" i="74"/>
  <c r="F71" i="74"/>
  <c r="F120" i="74"/>
  <c r="F106" i="74"/>
  <c r="F82" i="74"/>
  <c r="F66" i="74"/>
  <c r="F62" i="74"/>
  <c r="F58" i="74"/>
  <c r="F57" i="74"/>
  <c r="F113" i="74"/>
  <c r="F112" i="74"/>
  <c r="F93" i="74"/>
  <c r="F92" i="74"/>
  <c r="F56" i="74"/>
  <c r="F54" i="74"/>
  <c r="F49" i="74"/>
  <c r="F45" i="74"/>
  <c r="F41" i="74"/>
  <c r="F37" i="74"/>
  <c r="F36" i="74"/>
  <c r="F121" i="74"/>
  <c r="F100" i="74"/>
  <c r="F84" i="74"/>
  <c r="F83" i="74"/>
  <c r="F76" i="74"/>
  <c r="F72" i="74"/>
  <c r="F68" i="74"/>
  <c r="F67" i="74"/>
  <c r="D54" i="74"/>
  <c r="F115" i="74"/>
  <c r="F114" i="74"/>
  <c r="F107" i="74"/>
  <c r="F95" i="74"/>
  <c r="F94" i="74"/>
  <c r="F63" i="74"/>
  <c r="F59" i="74"/>
  <c r="F108" i="74"/>
  <c r="F96" i="74"/>
  <c r="F64" i="74"/>
  <c r="F60" i="74"/>
  <c r="L12" i="74"/>
  <c r="N12" i="74" s="1"/>
  <c r="F38" i="74"/>
  <c r="F42" i="74"/>
  <c r="F86" i="74"/>
  <c r="F46" i="74"/>
  <c r="F102" i="74"/>
  <c r="F78" i="74"/>
  <c r="F50" i="74"/>
  <c r="F39" i="74"/>
  <c r="F43" i="74"/>
  <c r="F103" i="74"/>
  <c r="F87" i="74"/>
  <c r="F69" i="74"/>
  <c r="F116" i="74"/>
  <c r="F73" i="74"/>
  <c r="F51" i="74"/>
  <c r="F79" i="74"/>
  <c r="F77" i="74"/>
  <c r="F85" i="74"/>
  <c r="F47" i="74"/>
  <c r="F101" i="74"/>
  <c r="F68" i="78"/>
  <c r="F123" i="70"/>
  <c r="F128" i="70"/>
  <c r="F129" i="70"/>
  <c r="F133" i="70"/>
  <c r="F118" i="70"/>
  <c r="F106" i="70"/>
  <c r="F98" i="70"/>
  <c r="F97" i="70"/>
  <c r="F74" i="70"/>
  <c r="F70" i="70"/>
  <c r="F113" i="70"/>
  <c r="F112" i="70"/>
  <c r="F89" i="70"/>
  <c r="F88" i="70"/>
  <c r="F61" i="70"/>
  <c r="F57" i="70"/>
  <c r="F53" i="70"/>
  <c r="F49" i="70"/>
  <c r="F45" i="70"/>
  <c r="F44" i="70"/>
  <c r="F120" i="70"/>
  <c r="F119" i="70"/>
  <c r="F84" i="70"/>
  <c r="F80" i="70"/>
  <c r="L12" i="70"/>
  <c r="N12" i="70" s="1"/>
  <c r="F126" i="70"/>
  <c r="F125" i="70"/>
  <c r="F107" i="70"/>
  <c r="F99" i="70"/>
  <c r="F91" i="70"/>
  <c r="F90" i="70"/>
  <c r="F75" i="70"/>
  <c r="F71" i="70"/>
  <c r="F67" i="70"/>
  <c r="F66" i="70"/>
  <c r="F114" i="70"/>
  <c r="F65" i="70"/>
  <c r="F63" i="70"/>
  <c r="F58" i="70"/>
  <c r="F54" i="70"/>
  <c r="F50" i="70"/>
  <c r="F46" i="70"/>
  <c r="F127" i="70"/>
  <c r="F121" i="70"/>
  <c r="F101" i="70"/>
  <c r="F100" i="70"/>
  <c r="F85" i="70"/>
  <c r="F81" i="70"/>
  <c r="D63" i="70"/>
  <c r="F122" i="70"/>
  <c r="F108" i="70"/>
  <c r="F92" i="70"/>
  <c r="F76" i="70"/>
  <c r="F72" i="70"/>
  <c r="F68" i="70"/>
  <c r="F115" i="70"/>
  <c r="F103" i="70"/>
  <c r="F102" i="70"/>
  <c r="F59" i="70"/>
  <c r="F55" i="70"/>
  <c r="F51" i="70"/>
  <c r="F47" i="70"/>
  <c r="F110" i="70"/>
  <c r="F82" i="70"/>
  <c r="F78" i="70"/>
  <c r="F104" i="70"/>
  <c r="F95" i="70"/>
  <c r="F86" i="70"/>
  <c r="F60" i="70"/>
  <c r="F93" i="70"/>
  <c r="F56" i="70"/>
  <c r="F117" i="70"/>
  <c r="F52" i="70"/>
  <c r="F48" i="70"/>
  <c r="F111" i="70"/>
  <c r="F83" i="70"/>
  <c r="F79" i="70"/>
  <c r="F109" i="70"/>
  <c r="F105" i="70"/>
  <c r="F96" i="70"/>
  <c r="F87" i="70"/>
  <c r="F77" i="70"/>
  <c r="F116" i="70"/>
  <c r="F73" i="70"/>
  <c r="F69" i="70"/>
  <c r="F94" i="70"/>
  <c r="D79" i="69"/>
  <c r="L22" i="69"/>
  <c r="N22" i="69" s="1"/>
  <c r="P69" i="67"/>
  <c r="H74" i="59"/>
  <c r="N17" i="59"/>
  <c r="T86" i="56"/>
  <c r="T115" i="51"/>
  <c r="V57" i="51"/>
  <c r="T146" i="36"/>
  <c r="J63" i="27"/>
  <c r="R114" i="24"/>
  <c r="R113" i="24"/>
  <c r="R105" i="24"/>
  <c r="R101" i="24"/>
  <c r="R97" i="24"/>
  <c r="R132" i="24"/>
  <c r="R125" i="24"/>
  <c r="R124" i="24"/>
  <c r="R92" i="24"/>
  <c r="R88" i="24"/>
  <c r="R116" i="24"/>
  <c r="R115" i="24"/>
  <c r="R79" i="24"/>
  <c r="R75" i="24"/>
  <c r="R71" i="24"/>
  <c r="R67" i="24"/>
  <c r="R63" i="24"/>
  <c r="R59" i="24"/>
  <c r="R146" i="24"/>
  <c r="R126" i="24"/>
  <c r="R107" i="24"/>
  <c r="R106" i="24"/>
  <c r="R102" i="24"/>
  <c r="R98" i="24"/>
  <c r="R109" i="24"/>
  <c r="R108" i="24"/>
  <c r="R85" i="24"/>
  <c r="R80" i="24"/>
  <c r="R76" i="24"/>
  <c r="R72" i="24"/>
  <c r="R68" i="24"/>
  <c r="R64" i="24"/>
  <c r="R60" i="24"/>
  <c r="R136" i="24"/>
  <c r="R135" i="24"/>
  <c r="R128" i="24"/>
  <c r="R127" i="24"/>
  <c r="R120" i="24"/>
  <c r="R119" i="24"/>
  <c r="R103" i="24"/>
  <c r="R99" i="24"/>
  <c r="R84" i="24"/>
  <c r="R82" i="24"/>
  <c r="R56" i="24"/>
  <c r="R111" i="24"/>
  <c r="R110" i="24"/>
  <c r="R94" i="24"/>
  <c r="R90" i="24"/>
  <c r="R86" i="24"/>
  <c r="P82" i="24"/>
  <c r="R139" i="24"/>
  <c r="R131" i="24"/>
  <c r="R123" i="24"/>
  <c r="R96" i="24"/>
  <c r="R95" i="24"/>
  <c r="R91" i="24"/>
  <c r="R87" i="24"/>
  <c r="R73" i="24"/>
  <c r="R66" i="24"/>
  <c r="R57" i="24"/>
  <c r="R104" i="24"/>
  <c r="R100" i="24"/>
  <c r="R138" i="24"/>
  <c r="R129" i="24"/>
  <c r="R78" i="24"/>
  <c r="R69" i="24"/>
  <c r="R62" i="24"/>
  <c r="R141" i="24"/>
  <c r="R134" i="24"/>
  <c r="R142" i="24"/>
  <c r="R121" i="24"/>
  <c r="R74" i="24"/>
  <c r="R65" i="24"/>
  <c r="R58" i="24"/>
  <c r="R130" i="24"/>
  <c r="R112" i="24"/>
  <c r="R93" i="24"/>
  <c r="R89" i="24"/>
  <c r="R61" i="24"/>
  <c r="R133" i="24"/>
  <c r="R137" i="24"/>
  <c r="R122" i="24"/>
  <c r="R118" i="24"/>
  <c r="X12" i="24"/>
  <c r="Z12" i="24" s="1"/>
  <c r="R70" i="24"/>
  <c r="R117" i="24"/>
  <c r="R77" i="24"/>
  <c r="F110" i="27"/>
  <c r="F109" i="27"/>
  <c r="F94" i="27"/>
  <c r="F93" i="27"/>
  <c r="F86" i="27"/>
  <c r="F82" i="27"/>
  <c r="F78" i="27"/>
  <c r="F77" i="27"/>
  <c r="F126" i="27"/>
  <c r="F117" i="27"/>
  <c r="F116" i="27"/>
  <c r="F105" i="27"/>
  <c r="F104" i="27"/>
  <c r="F73" i="27"/>
  <c r="F69" i="27"/>
  <c r="F127" i="27"/>
  <c r="F125" i="27"/>
  <c r="F96" i="27"/>
  <c r="F95" i="27"/>
  <c r="F60" i="27"/>
  <c r="F56" i="27"/>
  <c r="F52" i="27"/>
  <c r="F48" i="27"/>
  <c r="F128" i="27"/>
  <c r="F111" i="27"/>
  <c r="F87" i="27"/>
  <c r="F83" i="27"/>
  <c r="F79" i="27"/>
  <c r="F129" i="27"/>
  <c r="F118" i="27"/>
  <c r="F106" i="27"/>
  <c r="F98" i="27"/>
  <c r="F97" i="27"/>
  <c r="F74" i="27"/>
  <c r="F70" i="27"/>
  <c r="F113" i="27"/>
  <c r="F112" i="27"/>
  <c r="F89" i="27"/>
  <c r="F88" i="27"/>
  <c r="F61" i="27"/>
  <c r="F57" i="27"/>
  <c r="F53" i="27"/>
  <c r="F49" i="27"/>
  <c r="F45" i="27"/>
  <c r="F44" i="27"/>
  <c r="F120" i="27"/>
  <c r="F119" i="27"/>
  <c r="F84" i="27"/>
  <c r="F80" i="27"/>
  <c r="L12" i="27"/>
  <c r="N12" i="27" s="1"/>
  <c r="F133" i="27"/>
  <c r="F107" i="27"/>
  <c r="F99" i="27"/>
  <c r="F91" i="27"/>
  <c r="F90" i="27"/>
  <c r="F75" i="27"/>
  <c r="F71" i="27"/>
  <c r="F67" i="27"/>
  <c r="F66" i="27"/>
  <c r="F108" i="27"/>
  <c r="F92" i="27"/>
  <c r="F76" i="27"/>
  <c r="F72" i="27"/>
  <c r="F68" i="27"/>
  <c r="F102" i="27"/>
  <c r="F85" i="27"/>
  <c r="F81" i="27"/>
  <c r="F54" i="27"/>
  <c r="F121" i="27"/>
  <c r="F100" i="27"/>
  <c r="F46" i="27"/>
  <c r="F115" i="27"/>
  <c r="F103" i="27"/>
  <c r="F59" i="27"/>
  <c r="F55" i="27"/>
  <c r="F122" i="27"/>
  <c r="F65" i="27"/>
  <c r="F51" i="27"/>
  <c r="F101" i="27"/>
  <c r="F47" i="27"/>
  <c r="F123" i="27"/>
  <c r="F50" i="27"/>
  <c r="F58" i="27"/>
  <c r="F114" i="27"/>
  <c r="D63" i="27"/>
  <c r="D26" i="6"/>
  <c r="L22" i="6"/>
  <c r="T27" i="46"/>
  <c r="Z18" i="46"/>
  <c r="X18" i="35"/>
  <c r="P27" i="35"/>
  <c r="D27" i="40"/>
  <c r="L18" i="40"/>
  <c r="P27" i="37"/>
  <c r="X18" i="37"/>
  <c r="T27" i="38"/>
  <c r="Z18" i="38"/>
  <c r="L18" i="13"/>
  <c r="D27" i="13"/>
  <c r="L18" i="5"/>
  <c r="D27" i="5"/>
  <c r="P27" i="4"/>
  <c r="X18" i="4"/>
  <c r="L18" i="4"/>
  <c r="D27" i="4"/>
  <c r="T144" i="24"/>
  <c r="V82" i="24"/>
  <c r="D27" i="46"/>
  <c r="L18" i="46"/>
  <c r="H75" i="78"/>
  <c r="N28" i="78"/>
  <c r="V312" i="18"/>
  <c r="H22" i="6"/>
  <c r="N16" i="6"/>
  <c r="T27" i="111"/>
  <c r="Z18" i="111"/>
  <c r="P27" i="53"/>
  <c r="X18" i="53"/>
  <c r="Z18" i="52"/>
  <c r="T27" i="52"/>
  <c r="P27" i="31"/>
  <c r="X18" i="31"/>
  <c r="D27" i="28"/>
  <c r="L18" i="28"/>
  <c r="H101" i="101"/>
  <c r="R58" i="100"/>
  <c r="R57" i="100"/>
  <c r="R46" i="100"/>
  <c r="R45" i="100"/>
  <c r="R41" i="100"/>
  <c r="R37" i="100"/>
  <c r="R18" i="100"/>
  <c r="R50" i="100"/>
  <c r="R49" i="100"/>
  <c r="R73" i="100"/>
  <c r="R72" i="100"/>
  <c r="R68" i="100"/>
  <c r="R61" i="100"/>
  <c r="R60" i="100"/>
  <c r="R52" i="100"/>
  <c r="R51" i="100"/>
  <c r="R43" i="100"/>
  <c r="R39" i="100"/>
  <c r="R69" i="100"/>
  <c r="R54" i="100"/>
  <c r="R53" i="100"/>
  <c r="R77" i="100"/>
  <c r="R70" i="100"/>
  <c r="R38" i="100"/>
  <c r="R34" i="100"/>
  <c r="R27" i="100"/>
  <c r="R20" i="100"/>
  <c r="R82" i="100"/>
  <c r="R64" i="100"/>
  <c r="R55" i="100"/>
  <c r="R35" i="100"/>
  <c r="R78" i="100"/>
  <c r="R31" i="100"/>
  <c r="X12" i="100"/>
  <c r="Z12" i="100" s="1"/>
  <c r="R65" i="100"/>
  <c r="R56" i="100"/>
  <c r="R44" i="100"/>
  <c r="R28" i="100"/>
  <c r="R62" i="100"/>
  <c r="R36" i="100"/>
  <c r="R21" i="100"/>
  <c r="R74" i="100"/>
  <c r="R59" i="100"/>
  <c r="R47" i="100"/>
  <c r="R32" i="100"/>
  <c r="R71" i="100"/>
  <c r="R66" i="100"/>
  <c r="R42" i="100"/>
  <c r="R29" i="100"/>
  <c r="P23" i="100"/>
  <c r="R23" i="100" s="1"/>
  <c r="R63" i="100"/>
  <c r="R40" i="100"/>
  <c r="R25" i="100"/>
  <c r="R30" i="100"/>
  <c r="R75" i="100"/>
  <c r="R67" i="100"/>
  <c r="R48" i="100"/>
  <c r="R19" i="100"/>
  <c r="R33" i="100"/>
  <c r="R26" i="100"/>
  <c r="P55" i="99"/>
  <c r="X17" i="99"/>
  <c r="N57" i="98"/>
  <c r="H60" i="98"/>
  <c r="N60" i="98" s="1"/>
  <c r="X20" i="98"/>
  <c r="P53" i="98"/>
  <c r="F75" i="94"/>
  <c r="F59" i="94"/>
  <c r="F58" i="94"/>
  <c r="F43" i="94"/>
  <c r="F39" i="94"/>
  <c r="F82" i="94"/>
  <c r="F81" i="94"/>
  <c r="F70" i="94"/>
  <c r="F69" i="94"/>
  <c r="F50" i="94"/>
  <c r="F49" i="94"/>
  <c r="F34" i="94"/>
  <c r="F30" i="94"/>
  <c r="F61" i="94"/>
  <c r="F60" i="94"/>
  <c r="F21" i="94"/>
  <c r="F76" i="94"/>
  <c r="F72" i="94"/>
  <c r="F71" i="94"/>
  <c r="F52" i="94"/>
  <c r="F51" i="94"/>
  <c r="F44" i="94"/>
  <c r="F40" i="94"/>
  <c r="F86" i="94"/>
  <c r="F84" i="94"/>
  <c r="F63" i="94"/>
  <c r="F62" i="94"/>
  <c r="F35" i="94"/>
  <c r="F31" i="94"/>
  <c r="F27" i="94"/>
  <c r="F26" i="94"/>
  <c r="F88" i="94"/>
  <c r="F54" i="94"/>
  <c r="F53" i="94"/>
  <c r="F25" i="94"/>
  <c r="F23" i="94"/>
  <c r="F77" i="94"/>
  <c r="F73" i="94"/>
  <c r="F45" i="94"/>
  <c r="F41" i="94"/>
  <c r="F37" i="94"/>
  <c r="F36" i="94"/>
  <c r="D23" i="94"/>
  <c r="F64" i="94"/>
  <c r="F32" i="94"/>
  <c r="F28" i="94"/>
  <c r="L12" i="94"/>
  <c r="N12" i="94" s="1"/>
  <c r="F93" i="94"/>
  <c r="F90" i="94"/>
  <c r="F55" i="94"/>
  <c r="F19" i="94"/>
  <c r="F18" i="94"/>
  <c r="F57" i="94"/>
  <c r="F56" i="94"/>
  <c r="F33" i="94"/>
  <c r="F29" i="94"/>
  <c r="F80" i="94"/>
  <c r="F78" i="94"/>
  <c r="F38" i="94"/>
  <c r="F67" i="94"/>
  <c r="F65" i="94"/>
  <c r="F47" i="94"/>
  <c r="F79" i="94"/>
  <c r="F42" i="94"/>
  <c r="F74" i="94"/>
  <c r="F68" i="94"/>
  <c r="F66" i="94"/>
  <c r="F20" i="94"/>
  <c r="F48" i="94"/>
  <c r="F46" i="94"/>
  <c r="J23" i="93"/>
  <c r="X16" i="81"/>
  <c r="P22" i="81"/>
  <c r="J18" i="80"/>
  <c r="H115" i="76"/>
  <c r="J57" i="76"/>
  <c r="H123" i="74"/>
  <c r="J63" i="70"/>
  <c r="H77" i="58"/>
  <c r="N16" i="58"/>
  <c r="H122" i="51"/>
  <c r="H82" i="57"/>
  <c r="T110" i="33"/>
  <c r="Z42" i="33"/>
  <c r="F127" i="39"/>
  <c r="F123" i="39"/>
  <c r="F119" i="39"/>
  <c r="F118" i="39"/>
  <c r="F107" i="39"/>
  <c r="F95" i="39"/>
  <c r="F94" i="39"/>
  <c r="F144" i="39"/>
  <c r="F142" i="39"/>
  <c r="F113" i="39"/>
  <c r="F109" i="39"/>
  <c r="F108" i="39"/>
  <c r="F97" i="39"/>
  <c r="F96" i="39"/>
  <c r="F77" i="39"/>
  <c r="F76" i="39"/>
  <c r="F61" i="39"/>
  <c r="F57" i="39"/>
  <c r="F53" i="39"/>
  <c r="F52" i="39"/>
  <c r="F145" i="39"/>
  <c r="F136" i="39"/>
  <c r="F135" i="39"/>
  <c r="F128" i="39"/>
  <c r="F124" i="39"/>
  <c r="F120" i="39"/>
  <c r="F104" i="39"/>
  <c r="F103" i="39"/>
  <c r="F146" i="39"/>
  <c r="F137" i="39"/>
  <c r="F129" i="39"/>
  <c r="F125" i="39"/>
  <c r="F121" i="39"/>
  <c r="F105" i="39"/>
  <c r="F89" i="39"/>
  <c r="F88" i="39"/>
  <c r="F81" i="39"/>
  <c r="F80" i="39"/>
  <c r="F131" i="39"/>
  <c r="F130" i="39"/>
  <c r="F111" i="39"/>
  <c r="F91" i="39"/>
  <c r="F90" i="39"/>
  <c r="F83" i="39"/>
  <c r="F82" i="39"/>
  <c r="F139" i="39"/>
  <c r="F133" i="39"/>
  <c r="F116" i="39"/>
  <c r="F110" i="39"/>
  <c r="F68" i="39"/>
  <c r="F59" i="39"/>
  <c r="F42" i="39"/>
  <c r="F41" i="39"/>
  <c r="L12" i="39"/>
  <c r="N12" i="39" s="1"/>
  <c r="F150" i="39"/>
  <c r="F143" i="39"/>
  <c r="F69" i="39"/>
  <c r="F64" i="39"/>
  <c r="F56" i="39"/>
  <c r="F49" i="39"/>
  <c r="D38" i="39"/>
  <c r="F140" i="39"/>
  <c r="F92" i="39"/>
  <c r="F73" i="39"/>
  <c r="F70" i="39"/>
  <c r="F46" i="39"/>
  <c r="F78" i="39"/>
  <c r="F60" i="39"/>
  <c r="F43" i="39"/>
  <c r="F34" i="39"/>
  <c r="F33" i="39"/>
  <c r="F101" i="39"/>
  <c r="F99" i="39"/>
  <c r="F87" i="39"/>
  <c r="F93" i="39"/>
  <c r="F74" i="39"/>
  <c r="F71" i="39"/>
  <c r="F65" i="39"/>
  <c r="F54" i="39"/>
  <c r="F132" i="39"/>
  <c r="F117" i="39"/>
  <c r="F114" i="39"/>
  <c r="F106" i="39"/>
  <c r="F84" i="39"/>
  <c r="F66" i="39"/>
  <c r="F50" i="39"/>
  <c r="F47" i="39"/>
  <c r="F44" i="39"/>
  <c r="F35" i="39"/>
  <c r="F138" i="39"/>
  <c r="F126" i="39"/>
  <c r="F122" i="39"/>
  <c r="F79" i="39"/>
  <c r="F75" i="39"/>
  <c r="F112" i="39"/>
  <c r="F102" i="39"/>
  <c r="F100" i="39"/>
  <c r="F85" i="39"/>
  <c r="F72" i="39"/>
  <c r="F67" i="39"/>
  <c r="F55" i="39"/>
  <c r="F48" i="39"/>
  <c r="F36" i="39"/>
  <c r="F98" i="39"/>
  <c r="F134" i="39"/>
  <c r="F63" i="39"/>
  <c r="F40" i="39"/>
  <c r="F58" i="39"/>
  <c r="F62" i="39"/>
  <c r="F45" i="39"/>
  <c r="F51" i="39"/>
  <c r="F115" i="39"/>
  <c r="F86" i="39"/>
  <c r="F38" i="39"/>
  <c r="F131" i="36"/>
  <c r="F123" i="36"/>
  <c r="F119" i="36"/>
  <c r="F115" i="36"/>
  <c r="F99" i="36"/>
  <c r="F98" i="36"/>
  <c r="F43" i="36"/>
  <c r="F39" i="36"/>
  <c r="F125" i="36"/>
  <c r="F124" i="36"/>
  <c r="F105" i="36"/>
  <c r="F73" i="36"/>
  <c r="F53" i="36"/>
  <c r="F49" i="36"/>
  <c r="F132" i="36"/>
  <c r="F120" i="36"/>
  <c r="F116" i="36"/>
  <c r="F100" i="36"/>
  <c r="F84" i="36"/>
  <c r="F83" i="36"/>
  <c r="F60" i="36"/>
  <c r="F59" i="36"/>
  <c r="F44" i="36"/>
  <c r="F40" i="36"/>
  <c r="F36" i="36"/>
  <c r="F35" i="36"/>
  <c r="F111" i="36"/>
  <c r="F95" i="36"/>
  <c r="F75" i="36"/>
  <c r="F74" i="36"/>
  <c r="F67" i="36"/>
  <c r="F34" i="36"/>
  <c r="F134" i="36"/>
  <c r="F133" i="36"/>
  <c r="F126" i="36"/>
  <c r="F106" i="36"/>
  <c r="F86" i="36"/>
  <c r="F85" i="36"/>
  <c r="F54" i="36"/>
  <c r="F50" i="36"/>
  <c r="D32" i="36"/>
  <c r="F32" i="36" s="1"/>
  <c r="F121" i="36"/>
  <c r="F117" i="36"/>
  <c r="F113" i="36"/>
  <c r="F112" i="36"/>
  <c r="F101" i="36"/>
  <c r="F77" i="36"/>
  <c r="F76" i="36"/>
  <c r="F61" i="36"/>
  <c r="F45" i="36"/>
  <c r="F41" i="36"/>
  <c r="F37" i="36"/>
  <c r="F137" i="36"/>
  <c r="F128" i="36"/>
  <c r="F127" i="36"/>
  <c r="F96" i="36"/>
  <c r="F88" i="36"/>
  <c r="F87" i="36"/>
  <c r="F68" i="36"/>
  <c r="F28" i="36"/>
  <c r="F27" i="36"/>
  <c r="F138" i="36"/>
  <c r="F136" i="36"/>
  <c r="F107" i="36"/>
  <c r="F79" i="36"/>
  <c r="F78" i="36"/>
  <c r="F63" i="36"/>
  <c r="F62" i="36"/>
  <c r="F55" i="36"/>
  <c r="F51" i="36"/>
  <c r="F47" i="36"/>
  <c r="F46" i="36"/>
  <c r="F140" i="36"/>
  <c r="F97" i="36"/>
  <c r="F81" i="36"/>
  <c r="F80" i="36"/>
  <c r="F65" i="36"/>
  <c r="F64" i="36"/>
  <c r="F29" i="36"/>
  <c r="F139" i="36"/>
  <c r="F92" i="36"/>
  <c r="F82" i="36"/>
  <c r="F109" i="36"/>
  <c r="F66" i="36"/>
  <c r="F58" i="36"/>
  <c r="F38" i="36"/>
  <c r="F104" i="36"/>
  <c r="F90" i="36"/>
  <c r="F42" i="36"/>
  <c r="F30" i="36"/>
  <c r="F102" i="36"/>
  <c r="F71" i="36"/>
  <c r="F48" i="36"/>
  <c r="F129" i="36"/>
  <c r="F114" i="36"/>
  <c r="F56" i="36"/>
  <c r="F52" i="36"/>
  <c r="F110" i="36"/>
  <c r="F118" i="36"/>
  <c r="F108" i="36"/>
  <c r="F93" i="36"/>
  <c r="F91" i="36"/>
  <c r="F89" i="36"/>
  <c r="L12" i="36"/>
  <c r="N12" i="36" s="1"/>
  <c r="F70" i="36"/>
  <c r="F144" i="36"/>
  <c r="F94" i="36"/>
  <c r="F57" i="36"/>
  <c r="F122" i="36"/>
  <c r="F103" i="36"/>
  <c r="F130" i="36"/>
  <c r="F69" i="36"/>
  <c r="F72" i="36"/>
  <c r="V38" i="39"/>
  <c r="T289" i="12"/>
  <c r="H289" i="12"/>
  <c r="H144" i="24"/>
  <c r="T27" i="110"/>
  <c r="Z18" i="110"/>
  <c r="X18" i="52"/>
  <c r="P27" i="52"/>
  <c r="X18" i="44"/>
  <c r="P27" i="44"/>
  <c r="T27" i="50"/>
  <c r="Z18" i="50"/>
  <c r="P27" i="46"/>
  <c r="X18" i="46"/>
  <c r="T27" i="31"/>
  <c r="Z18" i="31"/>
  <c r="H27" i="37"/>
  <c r="N18" i="37"/>
  <c r="X18" i="38"/>
  <c r="P27" i="38"/>
  <c r="H27" i="35"/>
  <c r="N18" i="35"/>
  <c r="L18" i="31"/>
  <c r="D27" i="31"/>
  <c r="X18" i="20"/>
  <c r="P27" i="20"/>
  <c r="P27" i="26"/>
  <c r="X18" i="26"/>
  <c r="L18" i="22"/>
  <c r="D27" i="22"/>
  <c r="H27" i="28"/>
  <c r="N18" i="28"/>
  <c r="D27" i="25"/>
  <c r="L18" i="25"/>
  <c r="L18" i="10"/>
  <c r="D27" i="10"/>
  <c r="H27" i="8"/>
  <c r="N18" i="8"/>
  <c r="L23" i="92"/>
  <c r="N23" i="92" s="1"/>
  <c r="D90" i="92"/>
  <c r="L16" i="81"/>
  <c r="D22" i="81"/>
  <c r="J32" i="75"/>
  <c r="H92" i="75"/>
  <c r="T123" i="74"/>
  <c r="V54" i="74"/>
  <c r="H87" i="72"/>
  <c r="T79" i="69"/>
  <c r="D62" i="60"/>
  <c r="L16" i="60"/>
  <c r="Z16" i="67"/>
  <c r="T65" i="67"/>
  <c r="L16" i="63"/>
  <c r="D111" i="63"/>
  <c r="H62" i="60"/>
  <c r="N16" i="60"/>
  <c r="Z16" i="61"/>
  <c r="T62" i="61"/>
  <c r="H117" i="33"/>
  <c r="J114" i="33"/>
  <c r="H157" i="30"/>
  <c r="H27" i="110"/>
  <c r="N18" i="110"/>
  <c r="X18" i="111"/>
  <c r="P27" i="111"/>
  <c r="X18" i="110"/>
  <c r="P27" i="110"/>
  <c r="H27" i="111"/>
  <c r="N18" i="111"/>
  <c r="L18" i="52"/>
  <c r="D27" i="52"/>
  <c r="T27" i="40"/>
  <c r="Z18" i="40"/>
  <c r="L18" i="34"/>
  <c r="D27" i="34"/>
  <c r="P27" i="40"/>
  <c r="X18" i="40"/>
  <c r="N18" i="41"/>
  <c r="H27" i="41"/>
  <c r="X18" i="22"/>
  <c r="P27" i="22"/>
  <c r="T27" i="44"/>
  <c r="Z18" i="44"/>
  <c r="T27" i="17"/>
  <c r="Z18" i="17"/>
  <c r="P27" i="17"/>
  <c r="X18" i="17"/>
  <c r="T27" i="7"/>
  <c r="Z18" i="7"/>
  <c r="H27" i="10"/>
  <c r="N18" i="10"/>
  <c r="H27" i="5"/>
  <c r="N18" i="5"/>
  <c r="J54" i="73"/>
  <c r="H102" i="73"/>
  <c r="T94" i="72"/>
  <c r="V91" i="72"/>
  <c r="D26" i="106"/>
  <c r="P68" i="102"/>
  <c r="T86" i="94"/>
  <c r="V23" i="94"/>
  <c r="T90" i="92"/>
  <c r="V23" i="92"/>
  <c r="J23" i="92"/>
  <c r="T39" i="85"/>
  <c r="V36" i="85"/>
  <c r="T82" i="79"/>
  <c r="Z22" i="79"/>
  <c r="V22" i="79"/>
  <c r="F18" i="82"/>
  <c r="F17" i="82"/>
  <c r="F19" i="82"/>
  <c r="L12" i="82"/>
  <c r="N12" i="82" s="1"/>
  <c r="F20" i="82"/>
  <c r="F30" i="82"/>
  <c r="D22" i="82"/>
  <c r="F24" i="82"/>
  <c r="F26" i="82"/>
  <c r="R89" i="72"/>
  <c r="R47" i="72"/>
  <c r="R43" i="72"/>
  <c r="R78" i="72"/>
  <c r="R74" i="72"/>
  <c r="R67" i="72"/>
  <c r="R66" i="72"/>
  <c r="R55" i="72"/>
  <c r="R54" i="72"/>
  <c r="R38" i="72"/>
  <c r="R34" i="72"/>
  <c r="R68" i="72"/>
  <c r="R57" i="72"/>
  <c r="R56" i="72"/>
  <c r="R48" i="72"/>
  <c r="R44" i="72"/>
  <c r="R29" i="72"/>
  <c r="R27" i="72"/>
  <c r="R59" i="72"/>
  <c r="R58" i="72"/>
  <c r="R82" i="72"/>
  <c r="R81" i="72"/>
  <c r="R69" i="72"/>
  <c r="R49" i="72"/>
  <c r="R45" i="72"/>
  <c r="R41" i="72"/>
  <c r="R22" i="72"/>
  <c r="R76" i="72"/>
  <c r="R61" i="72"/>
  <c r="R60" i="72"/>
  <c r="R36" i="72"/>
  <c r="R32" i="72"/>
  <c r="R77" i="72"/>
  <c r="R37" i="72"/>
  <c r="R33" i="72"/>
  <c r="R39" i="72"/>
  <c r="R23" i="72"/>
  <c r="X12" i="72"/>
  <c r="Z12" i="72" s="1"/>
  <c r="R85" i="72"/>
  <c r="R80" i="72"/>
  <c r="R65" i="72"/>
  <c r="R63" i="72"/>
  <c r="R50" i="72"/>
  <c r="R53" i="72"/>
  <c r="R30" i="72"/>
  <c r="R46" i="72"/>
  <c r="R40" i="72"/>
  <c r="R51" i="72"/>
  <c r="R24" i="72"/>
  <c r="R72" i="72"/>
  <c r="R42" i="72"/>
  <c r="P27" i="72"/>
  <c r="R83" i="72"/>
  <c r="R70" i="72"/>
  <c r="R79" i="72"/>
  <c r="R64" i="72"/>
  <c r="R62" i="72"/>
  <c r="R35" i="72"/>
  <c r="R25" i="72"/>
  <c r="R52" i="72"/>
  <c r="R31" i="72"/>
  <c r="R71" i="72"/>
  <c r="R75" i="72"/>
  <c r="R73" i="72"/>
  <c r="R129" i="70"/>
  <c r="R133" i="70"/>
  <c r="R114" i="70"/>
  <c r="R58" i="70"/>
  <c r="R54" i="70"/>
  <c r="R50" i="70"/>
  <c r="R46" i="70"/>
  <c r="R127" i="70"/>
  <c r="R102" i="70"/>
  <c r="R101" i="70"/>
  <c r="R85" i="70"/>
  <c r="R81" i="70"/>
  <c r="R122" i="70"/>
  <c r="R109" i="70"/>
  <c r="R108" i="70"/>
  <c r="R93" i="70"/>
  <c r="R92" i="70"/>
  <c r="R77" i="70"/>
  <c r="R76" i="70"/>
  <c r="R72" i="70"/>
  <c r="R68" i="70"/>
  <c r="R116" i="70"/>
  <c r="R115" i="70"/>
  <c r="R104" i="70"/>
  <c r="R103" i="70"/>
  <c r="R59" i="70"/>
  <c r="R55" i="70"/>
  <c r="R51" i="70"/>
  <c r="R47" i="70"/>
  <c r="R110" i="70"/>
  <c r="R95" i="70"/>
  <c r="R94" i="70"/>
  <c r="R86" i="70"/>
  <c r="R82" i="70"/>
  <c r="R78" i="70"/>
  <c r="R128" i="70"/>
  <c r="R117" i="70"/>
  <c r="R105" i="70"/>
  <c r="R73" i="70"/>
  <c r="R69" i="70"/>
  <c r="R97" i="70"/>
  <c r="R96" i="70"/>
  <c r="R60" i="70"/>
  <c r="R56" i="70"/>
  <c r="R52" i="70"/>
  <c r="R48" i="70"/>
  <c r="R123" i="70"/>
  <c r="R112" i="70"/>
  <c r="R111" i="70"/>
  <c r="R88" i="70"/>
  <c r="R87" i="70"/>
  <c r="R83" i="70"/>
  <c r="R79" i="70"/>
  <c r="R44" i="70"/>
  <c r="R100" i="70"/>
  <c r="R70" i="70"/>
  <c r="R113" i="70"/>
  <c r="P63" i="70"/>
  <c r="R63" i="70" s="1"/>
  <c r="R98" i="70"/>
  <c r="R91" i="70"/>
  <c r="R89" i="70"/>
  <c r="R61" i="70"/>
  <c r="X12" i="70"/>
  <c r="Z12" i="70" s="1"/>
  <c r="R125" i="70"/>
  <c r="R120" i="70"/>
  <c r="R107" i="70"/>
  <c r="R90" i="70"/>
  <c r="R75" i="70"/>
  <c r="R67" i="70"/>
  <c r="R65" i="70"/>
  <c r="R57" i="70"/>
  <c r="R71" i="70"/>
  <c r="R53" i="70"/>
  <c r="R66" i="70"/>
  <c r="R99" i="70"/>
  <c r="R84" i="70"/>
  <c r="R126" i="70"/>
  <c r="R118" i="70"/>
  <c r="R74" i="70"/>
  <c r="R45" i="70"/>
  <c r="R49" i="70"/>
  <c r="R119" i="70"/>
  <c r="R106" i="70"/>
  <c r="R80" i="70"/>
  <c r="R121" i="70"/>
  <c r="L65" i="67"/>
  <c r="N65" i="67" s="1"/>
  <c r="D69" i="67"/>
  <c r="X16" i="57"/>
  <c r="P78" i="57"/>
  <c r="R104" i="45"/>
  <c r="R81" i="45"/>
  <c r="R76" i="45"/>
  <c r="R65" i="45"/>
  <c r="R64" i="45"/>
  <c r="R48" i="45"/>
  <c r="R44" i="45"/>
  <c r="R21" i="45"/>
  <c r="R96" i="45"/>
  <c r="R95" i="45"/>
  <c r="R91" i="45"/>
  <c r="R87" i="45"/>
  <c r="R56" i="45"/>
  <c r="R55" i="45"/>
  <c r="R40" i="45"/>
  <c r="R39" i="45"/>
  <c r="R35" i="45"/>
  <c r="R31" i="45"/>
  <c r="R108" i="45"/>
  <c r="R82" i="45"/>
  <c r="R67" i="45"/>
  <c r="R66" i="45"/>
  <c r="R22" i="45"/>
  <c r="R98" i="45"/>
  <c r="R97" i="45"/>
  <c r="R77" i="45"/>
  <c r="R58" i="45"/>
  <c r="R57" i="45"/>
  <c r="R49" i="45"/>
  <c r="R45" i="45"/>
  <c r="R41" i="45"/>
  <c r="R100" i="45"/>
  <c r="R99" i="45"/>
  <c r="R83" i="45"/>
  <c r="R60" i="45"/>
  <c r="R59" i="45"/>
  <c r="R23" i="45"/>
  <c r="R78" i="45"/>
  <c r="R71" i="45"/>
  <c r="R70" i="45"/>
  <c r="R51" i="45"/>
  <c r="R50" i="45"/>
  <c r="R46" i="45"/>
  <c r="R42" i="45"/>
  <c r="R101" i="45"/>
  <c r="R93" i="45"/>
  <c r="R89" i="45"/>
  <c r="R61" i="45"/>
  <c r="R37" i="45"/>
  <c r="R33" i="45"/>
  <c r="R80" i="45"/>
  <c r="R79" i="45"/>
  <c r="R47" i="45"/>
  <c r="R43" i="45"/>
  <c r="R28" i="45"/>
  <c r="R102" i="45"/>
  <c r="R63" i="45"/>
  <c r="R30" i="45"/>
  <c r="R24" i="45"/>
  <c r="R72" i="45"/>
  <c r="R53" i="45"/>
  <c r="R32" i="45"/>
  <c r="R75" i="45"/>
  <c r="R68" i="45"/>
  <c r="R38" i="45"/>
  <c r="R36" i="45"/>
  <c r="R34" i="45"/>
  <c r="R86" i="45"/>
  <c r="R73" i="45"/>
  <c r="R90" i="45"/>
  <c r="R88" i="45"/>
  <c r="R69" i="45"/>
  <c r="R54" i="45"/>
  <c r="R84" i="45"/>
  <c r="R29" i="45"/>
  <c r="P26" i="45"/>
  <c r="R26" i="45" s="1"/>
  <c r="X12" i="45"/>
  <c r="Z12" i="45" s="1"/>
  <c r="R94" i="45"/>
  <c r="R92" i="45"/>
  <c r="R62" i="45"/>
  <c r="R52" i="45"/>
  <c r="R85" i="45"/>
  <c r="R74" i="45"/>
  <c r="H86" i="56"/>
  <c r="H148" i="39"/>
  <c r="J38" i="39"/>
  <c r="P110" i="33"/>
  <c r="X42" i="33"/>
  <c r="L18" i="111"/>
  <c r="D27" i="111"/>
  <c r="H27" i="52"/>
  <c r="N18" i="52"/>
  <c r="H27" i="50"/>
  <c r="N18" i="50"/>
  <c r="N18" i="49"/>
  <c r="H27" i="49"/>
  <c r="L18" i="37"/>
  <c r="D27" i="37"/>
  <c r="N18" i="34"/>
  <c r="H27" i="34"/>
  <c r="N18" i="22"/>
  <c r="H27" i="22"/>
  <c r="T27" i="28"/>
  <c r="Z18" i="28"/>
  <c r="H27" i="16"/>
  <c r="N18" i="16"/>
  <c r="T27" i="22"/>
  <c r="Z18" i="22"/>
  <c r="H27" i="25"/>
  <c r="N18" i="25"/>
  <c r="D27" i="11"/>
  <c r="L18" i="11"/>
  <c r="X16" i="108"/>
  <c r="P46" i="108"/>
  <c r="T88" i="88"/>
  <c r="X16" i="61"/>
  <c r="P62" i="61"/>
  <c r="R296" i="18"/>
  <c r="R268" i="18"/>
  <c r="R257" i="18"/>
  <c r="R256" i="18"/>
  <c r="R240" i="18"/>
  <c r="R217" i="18"/>
  <c r="R216" i="18"/>
  <c r="R212" i="18"/>
  <c r="R208" i="18"/>
  <c r="R298" i="18"/>
  <c r="R286" i="18"/>
  <c r="R279" i="18"/>
  <c r="R278" i="18"/>
  <c r="R274" i="18"/>
  <c r="R258" i="18"/>
  <c r="R226" i="18"/>
  <c r="R219" i="18"/>
  <c r="R218" i="18"/>
  <c r="R195" i="18"/>
  <c r="R190" i="18"/>
  <c r="R186" i="18"/>
  <c r="R182" i="18"/>
  <c r="R178" i="18"/>
  <c r="R174" i="18"/>
  <c r="R170" i="18"/>
  <c r="R166" i="18"/>
  <c r="R162" i="18"/>
  <c r="R158" i="18"/>
  <c r="R154" i="18"/>
  <c r="R150" i="18"/>
  <c r="R146" i="18"/>
  <c r="R142" i="18"/>
  <c r="R138" i="18"/>
  <c r="R134" i="18"/>
  <c r="R299" i="18"/>
  <c r="R270" i="18"/>
  <c r="R269" i="18"/>
  <c r="R253" i="18"/>
  <c r="R242" i="18"/>
  <c r="R241" i="18"/>
  <c r="R233" i="18"/>
  <c r="R213" i="18"/>
  <c r="R209" i="18"/>
  <c r="R194" i="18"/>
  <c r="R192" i="18"/>
  <c r="R300" i="18"/>
  <c r="R280" i="18"/>
  <c r="R264" i="18"/>
  <c r="R220" i="18"/>
  <c r="R204" i="18"/>
  <c r="R200" i="18"/>
  <c r="R196" i="18"/>
  <c r="P192" i="18"/>
  <c r="R301" i="18"/>
  <c r="R288" i="18"/>
  <c r="R287" i="18"/>
  <c r="R275" i="18"/>
  <c r="R271" i="18"/>
  <c r="R259" i="18"/>
  <c r="R244" i="18"/>
  <c r="R243" i="18"/>
  <c r="R227" i="18"/>
  <c r="R187" i="18"/>
  <c r="R183" i="18"/>
  <c r="R179" i="18"/>
  <c r="R175" i="18"/>
  <c r="R171" i="18"/>
  <c r="R167" i="18"/>
  <c r="R163" i="18"/>
  <c r="R159" i="18"/>
  <c r="R155" i="18"/>
  <c r="R151" i="18"/>
  <c r="R147" i="18"/>
  <c r="R143" i="18"/>
  <c r="R139" i="18"/>
  <c r="R135" i="18"/>
  <c r="R302" i="18"/>
  <c r="R254" i="18"/>
  <c r="R235" i="18"/>
  <c r="R234" i="18"/>
  <c r="R214" i="18"/>
  <c r="R210" i="18"/>
  <c r="R131" i="18"/>
  <c r="X12" i="18"/>
  <c r="Z12" i="18" s="1"/>
  <c r="R303" i="18"/>
  <c r="R289" i="18"/>
  <c r="R282" i="18"/>
  <c r="R281" i="18"/>
  <c r="R265" i="18"/>
  <c r="R246" i="18"/>
  <c r="R245" i="18"/>
  <c r="R222" i="18"/>
  <c r="R221" i="18"/>
  <c r="R206" i="18"/>
  <c r="R205" i="18"/>
  <c r="R201" i="18"/>
  <c r="R197" i="18"/>
  <c r="R292" i="18"/>
  <c r="R291" i="18"/>
  <c r="R276" i="18"/>
  <c r="R272" i="18"/>
  <c r="R260" i="18"/>
  <c r="R237" i="18"/>
  <c r="R236" i="18"/>
  <c r="R229" i="18"/>
  <c r="R228" i="18"/>
  <c r="R295" i="18"/>
  <c r="R266" i="18"/>
  <c r="R251" i="18"/>
  <c r="R211" i="18"/>
  <c r="R198" i="18"/>
  <c r="R285" i="18"/>
  <c r="R215" i="18"/>
  <c r="R207" i="18"/>
  <c r="R188" i="18"/>
  <c r="R176" i="18"/>
  <c r="R164" i="18"/>
  <c r="R152" i="18"/>
  <c r="R140" i="18"/>
  <c r="R249" i="18"/>
  <c r="R293" i="18"/>
  <c r="R181" i="18"/>
  <c r="R169" i="18"/>
  <c r="R157" i="18"/>
  <c r="R145" i="18"/>
  <c r="R133" i="18"/>
  <c r="R283" i="18"/>
  <c r="R267" i="18"/>
  <c r="R247" i="18"/>
  <c r="R231" i="18"/>
  <c r="R203" i="18"/>
  <c r="R263" i="18"/>
  <c r="R252" i="18"/>
  <c r="R238" i="18"/>
  <c r="R184" i="18"/>
  <c r="R172" i="18"/>
  <c r="R160" i="18"/>
  <c r="R148" i="18"/>
  <c r="R136" i="18"/>
  <c r="R284" i="18"/>
  <c r="R273" i="18"/>
  <c r="R250" i="18"/>
  <c r="R248" i="18"/>
  <c r="R225" i="18"/>
  <c r="R199" i="18"/>
  <c r="R294" i="18"/>
  <c r="R277" i="18"/>
  <c r="R189" i="18"/>
  <c r="R177" i="18"/>
  <c r="R165" i="18"/>
  <c r="R153" i="18"/>
  <c r="R141" i="18"/>
  <c r="R297" i="18"/>
  <c r="R261" i="18"/>
  <c r="R223" i="18"/>
  <c r="R307" i="18"/>
  <c r="R262" i="18"/>
  <c r="R202" i="18"/>
  <c r="R180" i="18"/>
  <c r="R168" i="18"/>
  <c r="R156" i="18"/>
  <c r="R144" i="18"/>
  <c r="R132" i="18"/>
  <c r="R255" i="18"/>
  <c r="R239" i="18"/>
  <c r="R224" i="18"/>
  <c r="R185" i="18"/>
  <c r="R173" i="18"/>
  <c r="R161" i="18"/>
  <c r="R149" i="18"/>
  <c r="R137" i="18"/>
  <c r="R232" i="18"/>
  <c r="R230" i="18"/>
  <c r="T107" i="9"/>
  <c r="H27" i="53"/>
  <c r="N18" i="53"/>
  <c r="T27" i="37"/>
  <c r="Z18" i="37"/>
  <c r="X18" i="10"/>
  <c r="P27" i="10"/>
  <c r="H27" i="7"/>
  <c r="N18" i="7"/>
  <c r="P66" i="80"/>
  <c r="X18" i="80"/>
  <c r="T26" i="81"/>
  <c r="Z22" i="81"/>
  <c r="F107" i="76"/>
  <c r="F106" i="76"/>
  <c r="F99" i="76"/>
  <c r="F98" i="76"/>
  <c r="F87" i="76"/>
  <c r="F86" i="76"/>
  <c r="F79" i="76"/>
  <c r="F75" i="76"/>
  <c r="D57" i="76"/>
  <c r="F70" i="76"/>
  <c r="F66" i="76"/>
  <c r="F62" i="76"/>
  <c r="F110" i="76"/>
  <c r="F89" i="76"/>
  <c r="F88" i="76"/>
  <c r="F53" i="76"/>
  <c r="F49" i="76"/>
  <c r="F45" i="76"/>
  <c r="F41" i="76"/>
  <c r="F40" i="76"/>
  <c r="F111" i="76"/>
  <c r="F109" i="76"/>
  <c r="F100" i="76"/>
  <c r="F80" i="76"/>
  <c r="F76" i="76"/>
  <c r="F72" i="76"/>
  <c r="F71" i="76"/>
  <c r="F112" i="76"/>
  <c r="F91" i="76"/>
  <c r="F90" i="76"/>
  <c r="F67" i="76"/>
  <c r="F63" i="76"/>
  <c r="F113" i="76"/>
  <c r="F102" i="76"/>
  <c r="F101" i="76"/>
  <c r="F54" i="76"/>
  <c r="F50" i="76"/>
  <c r="F46" i="76"/>
  <c r="F42" i="76"/>
  <c r="F93" i="76"/>
  <c r="F92" i="76"/>
  <c r="F81" i="76"/>
  <c r="F77" i="76"/>
  <c r="F73" i="76"/>
  <c r="F68" i="76"/>
  <c r="F64" i="76"/>
  <c r="F117" i="76"/>
  <c r="F103" i="76"/>
  <c r="F95" i="76"/>
  <c r="F94" i="76"/>
  <c r="F83" i="76"/>
  <c r="F82" i="76"/>
  <c r="F105" i="76"/>
  <c r="F104" i="76"/>
  <c r="F97" i="76"/>
  <c r="F96" i="76"/>
  <c r="F85" i="76"/>
  <c r="F84" i="76"/>
  <c r="F69" i="76"/>
  <c r="F65" i="76"/>
  <c r="F61" i="76"/>
  <c r="F60" i="76"/>
  <c r="F57" i="76"/>
  <c r="L12" i="76"/>
  <c r="N12" i="76" s="1"/>
  <c r="F78" i="76"/>
  <c r="F51" i="76"/>
  <c r="F47" i="76"/>
  <c r="F43" i="76"/>
  <c r="F74" i="76"/>
  <c r="F55" i="76"/>
  <c r="F44" i="76"/>
  <c r="F48" i="76"/>
  <c r="F52" i="76"/>
  <c r="F59" i="76"/>
  <c r="X16" i="63"/>
  <c r="P111" i="63"/>
  <c r="T76" i="109"/>
  <c r="T46" i="108"/>
  <c r="Z16" i="108"/>
  <c r="T99" i="107"/>
  <c r="J23" i="107"/>
  <c r="R78" i="107"/>
  <c r="R77" i="107"/>
  <c r="R45" i="107"/>
  <c r="R41" i="107"/>
  <c r="R91" i="107"/>
  <c r="R93" i="107"/>
  <c r="R67" i="107"/>
  <c r="R66" i="107"/>
  <c r="R55" i="107"/>
  <c r="R54" i="107"/>
  <c r="R97" i="107"/>
  <c r="R75" i="107"/>
  <c r="R89" i="107"/>
  <c r="R88" i="107"/>
  <c r="R76" i="107"/>
  <c r="R61" i="107"/>
  <c r="R60" i="107"/>
  <c r="R44" i="107"/>
  <c r="R40" i="107"/>
  <c r="R63" i="107"/>
  <c r="R47" i="107"/>
  <c r="R25" i="107"/>
  <c r="R81" i="107"/>
  <c r="R74" i="107"/>
  <c r="R52" i="107"/>
  <c r="R39" i="107"/>
  <c r="R35" i="107"/>
  <c r="R31" i="107"/>
  <c r="R27" i="107"/>
  <c r="P23" i="107"/>
  <c r="R84" i="107"/>
  <c r="R48" i="107"/>
  <c r="R42" i="107"/>
  <c r="R85" i="107"/>
  <c r="R79" i="107"/>
  <c r="R71" i="107"/>
  <c r="R64" i="107"/>
  <c r="R53" i="107"/>
  <c r="R18" i="107"/>
  <c r="R56" i="107"/>
  <c r="R32" i="107"/>
  <c r="R28" i="107"/>
  <c r="X12" i="107"/>
  <c r="Z12" i="107" s="1"/>
  <c r="R65" i="107"/>
  <c r="R57" i="107"/>
  <c r="R36" i="107"/>
  <c r="R19" i="107"/>
  <c r="R86" i="107"/>
  <c r="R82" i="107"/>
  <c r="R49" i="107"/>
  <c r="R37" i="107"/>
  <c r="R73" i="107"/>
  <c r="R30" i="107"/>
  <c r="R87" i="107"/>
  <c r="R69" i="107"/>
  <c r="R62" i="107"/>
  <c r="R51" i="107"/>
  <c r="R58" i="107"/>
  <c r="R26" i="107"/>
  <c r="R43" i="107"/>
  <c r="R33" i="107"/>
  <c r="R29" i="107"/>
  <c r="R20" i="107"/>
  <c r="R83" i="107"/>
  <c r="R72" i="107"/>
  <c r="R50" i="107"/>
  <c r="R38" i="107"/>
  <c r="R59" i="107"/>
  <c r="R46" i="107"/>
  <c r="R34" i="107"/>
  <c r="R80" i="107"/>
  <c r="R68" i="107"/>
  <c r="R21" i="107"/>
  <c r="R90" i="107"/>
  <c r="R70" i="107"/>
  <c r="H72" i="104"/>
  <c r="J93" i="105"/>
  <c r="V24" i="103"/>
  <c r="H80" i="100"/>
  <c r="J23" i="100"/>
  <c r="H55" i="99"/>
  <c r="N17" i="99"/>
  <c r="T100" i="87"/>
  <c r="X12" i="82"/>
  <c r="Z12" i="82" s="1"/>
  <c r="R20" i="82"/>
  <c r="R26" i="82"/>
  <c r="R24" i="82"/>
  <c r="R22" i="82"/>
  <c r="P22" i="82"/>
  <c r="R30" i="82"/>
  <c r="R17" i="82"/>
  <c r="R19" i="82"/>
  <c r="R18" i="82"/>
  <c r="H82" i="79"/>
  <c r="N22" i="79"/>
  <c r="J22" i="79"/>
  <c r="J27" i="72"/>
  <c r="R97" i="73"/>
  <c r="R96" i="73"/>
  <c r="R64" i="73"/>
  <c r="R60" i="73"/>
  <c r="X12" i="73"/>
  <c r="Z12" i="73" s="1"/>
  <c r="R88" i="73"/>
  <c r="R87" i="73"/>
  <c r="R51" i="73"/>
  <c r="R47" i="73"/>
  <c r="R43" i="73"/>
  <c r="R39" i="73"/>
  <c r="R98" i="73"/>
  <c r="R79" i="73"/>
  <c r="R78" i="73"/>
  <c r="R74" i="73"/>
  <c r="R70" i="73"/>
  <c r="R100" i="73"/>
  <c r="R90" i="73"/>
  <c r="R89" i="73"/>
  <c r="R65" i="73"/>
  <c r="R61" i="73"/>
  <c r="R81" i="73"/>
  <c r="R80" i="73"/>
  <c r="R92" i="73"/>
  <c r="R91" i="73"/>
  <c r="R75" i="73"/>
  <c r="R71" i="73"/>
  <c r="R56" i="73"/>
  <c r="R36" i="73"/>
  <c r="R104" i="73"/>
  <c r="R82" i="73"/>
  <c r="R66" i="73"/>
  <c r="R62" i="73"/>
  <c r="R58" i="73"/>
  <c r="P54" i="73"/>
  <c r="R54" i="73" s="1"/>
  <c r="R93" i="73"/>
  <c r="R49" i="73"/>
  <c r="R45" i="73"/>
  <c r="R41" i="73"/>
  <c r="R37" i="73"/>
  <c r="R95" i="73"/>
  <c r="R94" i="73"/>
  <c r="R50" i="73"/>
  <c r="R46" i="73"/>
  <c r="R42" i="73"/>
  <c r="R38" i="73"/>
  <c r="R84" i="73"/>
  <c r="R76" i="73"/>
  <c r="R69" i="73"/>
  <c r="R59" i="73"/>
  <c r="R63" i="73"/>
  <c r="R40" i="73"/>
  <c r="R67" i="73"/>
  <c r="R72" i="73"/>
  <c r="R52" i="73"/>
  <c r="R85" i="73"/>
  <c r="R77" i="73"/>
  <c r="R68" i="73"/>
  <c r="R48" i="73"/>
  <c r="R57" i="73"/>
  <c r="R86" i="73"/>
  <c r="R44" i="73"/>
  <c r="R73" i="73"/>
  <c r="R83" i="73"/>
  <c r="R113" i="76"/>
  <c r="R92" i="76"/>
  <c r="R91" i="76"/>
  <c r="R67" i="76"/>
  <c r="R63" i="76"/>
  <c r="R102" i="76"/>
  <c r="R54" i="76"/>
  <c r="R50" i="76"/>
  <c r="R46" i="76"/>
  <c r="R42" i="76"/>
  <c r="R94" i="76"/>
  <c r="R93" i="76"/>
  <c r="R82" i="76"/>
  <c r="R81" i="76"/>
  <c r="R77" i="76"/>
  <c r="R73" i="76"/>
  <c r="R68" i="76"/>
  <c r="R64" i="76"/>
  <c r="R117" i="76"/>
  <c r="R104" i="76"/>
  <c r="R103" i="76"/>
  <c r="R96" i="76"/>
  <c r="R95" i="76"/>
  <c r="R84" i="76"/>
  <c r="R83" i="76"/>
  <c r="R60" i="76"/>
  <c r="R55" i="76"/>
  <c r="R51" i="76"/>
  <c r="R47" i="76"/>
  <c r="R43" i="76"/>
  <c r="R78" i="76"/>
  <c r="R74" i="76"/>
  <c r="R59" i="76"/>
  <c r="R57" i="76"/>
  <c r="R106" i="76"/>
  <c r="R105" i="76"/>
  <c r="R98" i="76"/>
  <c r="R97" i="76"/>
  <c r="R86" i="76"/>
  <c r="R85" i="76"/>
  <c r="R69" i="76"/>
  <c r="R65" i="76"/>
  <c r="R61" i="76"/>
  <c r="P57" i="76"/>
  <c r="R52" i="76"/>
  <c r="R48" i="76"/>
  <c r="R44" i="76"/>
  <c r="X12" i="76"/>
  <c r="Z12" i="76" s="1"/>
  <c r="R107" i="76"/>
  <c r="R99" i="76"/>
  <c r="R88" i="76"/>
  <c r="R87" i="76"/>
  <c r="R79" i="76"/>
  <c r="R111" i="76"/>
  <c r="R90" i="76"/>
  <c r="R89" i="76"/>
  <c r="R53" i="76"/>
  <c r="R49" i="76"/>
  <c r="R45" i="76"/>
  <c r="R41" i="76"/>
  <c r="R101" i="76"/>
  <c r="R62" i="76"/>
  <c r="R112" i="76"/>
  <c r="R76" i="76"/>
  <c r="R80" i="76"/>
  <c r="R72" i="76"/>
  <c r="R110" i="76"/>
  <c r="R66" i="76"/>
  <c r="R70" i="76"/>
  <c r="R40" i="76"/>
  <c r="R109" i="76"/>
  <c r="R100" i="76"/>
  <c r="R71" i="76"/>
  <c r="R75" i="76"/>
  <c r="F88" i="75"/>
  <c r="T141" i="42"/>
  <c r="P76" i="48"/>
  <c r="T120" i="21"/>
  <c r="V31" i="21"/>
  <c r="H120" i="21"/>
  <c r="N31" i="21"/>
  <c r="H149" i="36"/>
  <c r="D120" i="21"/>
  <c r="L31" i="21"/>
  <c r="F137" i="24"/>
  <c r="F136" i="24"/>
  <c r="F129" i="24"/>
  <c r="F128" i="24"/>
  <c r="F121" i="24"/>
  <c r="F120" i="24"/>
  <c r="F84" i="24"/>
  <c r="F77" i="24"/>
  <c r="F73" i="24"/>
  <c r="F69" i="24"/>
  <c r="F65" i="24"/>
  <c r="F61" i="24"/>
  <c r="F57" i="24"/>
  <c r="F56" i="24"/>
  <c r="F112" i="24"/>
  <c r="F111" i="24"/>
  <c r="F104" i="24"/>
  <c r="F100" i="24"/>
  <c r="D82" i="24"/>
  <c r="L12" i="24"/>
  <c r="N12" i="24" s="1"/>
  <c r="F139" i="24"/>
  <c r="F138" i="24"/>
  <c r="F131" i="24"/>
  <c r="F130" i="24"/>
  <c r="F123" i="24"/>
  <c r="F122" i="24"/>
  <c r="F95" i="24"/>
  <c r="F91" i="24"/>
  <c r="F87" i="24"/>
  <c r="F78" i="24"/>
  <c r="F74" i="24"/>
  <c r="F70" i="24"/>
  <c r="F66" i="24"/>
  <c r="F62" i="24"/>
  <c r="F58" i="24"/>
  <c r="F141" i="24"/>
  <c r="F132" i="24"/>
  <c r="F124" i="24"/>
  <c r="F92" i="24"/>
  <c r="F88" i="24"/>
  <c r="F115" i="24"/>
  <c r="F114" i="24"/>
  <c r="F79" i="24"/>
  <c r="F75" i="24"/>
  <c r="F71" i="24"/>
  <c r="F67" i="24"/>
  <c r="F63" i="24"/>
  <c r="F59" i="24"/>
  <c r="F146" i="24"/>
  <c r="F126" i="24"/>
  <c r="F125" i="24"/>
  <c r="F106" i="24"/>
  <c r="F102" i="24"/>
  <c r="F98" i="24"/>
  <c r="F135" i="24"/>
  <c r="F134" i="24"/>
  <c r="F127" i="24"/>
  <c r="F119" i="24"/>
  <c r="F118" i="24"/>
  <c r="F103" i="24"/>
  <c r="F99" i="24"/>
  <c r="F117" i="24"/>
  <c r="F110" i="24"/>
  <c r="F86" i="24"/>
  <c r="F68" i="24"/>
  <c r="F108" i="24"/>
  <c r="F133" i="24"/>
  <c r="F113" i="24"/>
  <c r="F96" i="24"/>
  <c r="F94" i="24"/>
  <c r="F90" i="24"/>
  <c r="F80" i="24"/>
  <c r="F64" i="24"/>
  <c r="F116" i="24"/>
  <c r="F109" i="24"/>
  <c r="F76" i="24"/>
  <c r="F60" i="24"/>
  <c r="F101" i="24"/>
  <c r="F97" i="24"/>
  <c r="F107" i="24"/>
  <c r="F85" i="24"/>
  <c r="F105" i="24"/>
  <c r="F142" i="24"/>
  <c r="F89" i="24"/>
  <c r="F72" i="24"/>
  <c r="F93" i="24"/>
  <c r="L16" i="6"/>
  <c r="X18" i="47"/>
  <c r="P27" i="47"/>
  <c r="L18" i="44"/>
  <c r="D27" i="44"/>
  <c r="L18" i="43"/>
  <c r="D27" i="43"/>
  <c r="H27" i="31"/>
  <c r="N18" i="31"/>
  <c r="T27" i="35"/>
  <c r="Z18" i="35"/>
  <c r="D27" i="35"/>
  <c r="L18" i="35"/>
  <c r="T27" i="19"/>
  <c r="Z18" i="19"/>
  <c r="H27" i="11"/>
  <c r="N18" i="11"/>
  <c r="X18" i="5"/>
  <c r="P27" i="5"/>
  <c r="H107" i="95"/>
  <c r="R332" i="3"/>
  <c r="R323" i="3"/>
  <c r="R325" i="3"/>
  <c r="R327" i="3"/>
  <c r="R328" i="3"/>
  <c r="R316" i="3"/>
  <c r="R315" i="3"/>
  <c r="R303" i="3"/>
  <c r="R302" i="3"/>
  <c r="R298" i="3"/>
  <c r="R294" i="3"/>
  <c r="R278" i="3"/>
  <c r="R263" i="3"/>
  <c r="R262" i="3"/>
  <c r="R254" i="3"/>
  <c r="R246" i="3"/>
  <c r="R226" i="3"/>
  <c r="R222" i="3"/>
  <c r="R207" i="3"/>
  <c r="R205" i="3"/>
  <c r="P205" i="3"/>
  <c r="R288" i="3"/>
  <c r="R195" i="3"/>
  <c r="R183" i="3"/>
  <c r="R175" i="3"/>
  <c r="R167" i="3"/>
  <c r="R163" i="3"/>
  <c r="R147" i="3"/>
  <c r="R143" i="3"/>
  <c r="R326" i="3"/>
  <c r="R317" i="3"/>
  <c r="R310" i="3"/>
  <c r="R289" i="3"/>
  <c r="R273" i="3"/>
  <c r="R233" i="3"/>
  <c r="R217" i="3"/>
  <c r="R213" i="3"/>
  <c r="R209" i="3"/>
  <c r="R212" i="3"/>
  <c r="R231" i="3"/>
  <c r="R208" i="3"/>
  <c r="R203" i="3"/>
  <c r="R159" i="3"/>
  <c r="R304" i="3"/>
  <c r="R284" i="3"/>
  <c r="R265" i="3"/>
  <c r="R264" i="3"/>
  <c r="R240" i="3"/>
  <c r="R200" i="3"/>
  <c r="R196" i="3"/>
  <c r="R192" i="3"/>
  <c r="R188" i="3"/>
  <c r="R184" i="3"/>
  <c r="R180" i="3"/>
  <c r="R176" i="3"/>
  <c r="R172" i="3"/>
  <c r="R168" i="3"/>
  <c r="R164" i="3"/>
  <c r="R160" i="3"/>
  <c r="R156" i="3"/>
  <c r="R152" i="3"/>
  <c r="R148" i="3"/>
  <c r="R144" i="3"/>
  <c r="X12" i="3"/>
  <c r="Z12" i="3" s="1"/>
  <c r="R318" i="3"/>
  <c r="R299" i="3"/>
  <c r="R295" i="3"/>
  <c r="R279" i="3"/>
  <c r="R256" i="3"/>
  <c r="R255" i="3"/>
  <c r="R247" i="3"/>
  <c r="R227" i="3"/>
  <c r="R223" i="3"/>
  <c r="R153" i="3"/>
  <c r="R149" i="3"/>
  <c r="R145" i="3"/>
  <c r="R225" i="3"/>
  <c r="R283" i="3"/>
  <c r="R239" i="3"/>
  <c r="R232" i="3"/>
  <c r="R191" i="3"/>
  <c r="R187" i="3"/>
  <c r="R155" i="3"/>
  <c r="R291" i="3"/>
  <c r="R290" i="3"/>
  <c r="R274" i="3"/>
  <c r="R267" i="3"/>
  <c r="R266" i="3"/>
  <c r="R235" i="3"/>
  <c r="R234" i="3"/>
  <c r="R219" i="3"/>
  <c r="R218" i="3"/>
  <c r="R214" i="3"/>
  <c r="R210" i="3"/>
  <c r="R201" i="3"/>
  <c r="R197" i="3"/>
  <c r="R193" i="3"/>
  <c r="R189" i="3"/>
  <c r="R185" i="3"/>
  <c r="R181" i="3"/>
  <c r="R177" i="3"/>
  <c r="R173" i="3"/>
  <c r="R161" i="3"/>
  <c r="R157" i="3"/>
  <c r="R260" i="3"/>
  <c r="R319" i="3"/>
  <c r="R311" i="3"/>
  <c r="R306" i="3"/>
  <c r="R305" i="3"/>
  <c r="R285" i="3"/>
  <c r="R257" i="3"/>
  <c r="R242" i="3"/>
  <c r="R241" i="3"/>
  <c r="R169" i="3"/>
  <c r="R165" i="3"/>
  <c r="R336" i="3"/>
  <c r="R324" i="3"/>
  <c r="R312" i="3"/>
  <c r="R300" i="3"/>
  <c r="R296" i="3"/>
  <c r="R292" i="3"/>
  <c r="R281" i="3"/>
  <c r="R280" i="3"/>
  <c r="R269" i="3"/>
  <c r="R268" i="3"/>
  <c r="R249" i="3"/>
  <c r="R248" i="3"/>
  <c r="R237" i="3"/>
  <c r="R236" i="3"/>
  <c r="R228" i="3"/>
  <c r="R224" i="3"/>
  <c r="R220" i="3"/>
  <c r="R337" i="3"/>
  <c r="R309" i="3"/>
  <c r="R277" i="3"/>
  <c r="R229" i="3"/>
  <c r="R272" i="3"/>
  <c r="R244" i="3"/>
  <c r="R287" i="3"/>
  <c r="R199" i="3"/>
  <c r="R151" i="3"/>
  <c r="R320" i="3"/>
  <c r="R308" i="3"/>
  <c r="R307" i="3"/>
  <c r="R276" i="3"/>
  <c r="R275" i="3"/>
  <c r="R243" i="3"/>
  <c r="R215" i="3"/>
  <c r="R211" i="3"/>
  <c r="R301" i="3"/>
  <c r="R297" i="3"/>
  <c r="R293" i="3"/>
  <c r="R230" i="3"/>
  <c r="R221" i="3"/>
  <c r="R142" i="3"/>
  <c r="R261" i="3"/>
  <c r="R179" i="3"/>
  <c r="R171" i="3"/>
  <c r="R321" i="3"/>
  <c r="R286" i="3"/>
  <c r="R282" i="3"/>
  <c r="R271" i="3"/>
  <c r="R270" i="3"/>
  <c r="R259" i="3"/>
  <c r="R258" i="3"/>
  <c r="R251" i="3"/>
  <c r="R250" i="3"/>
  <c r="R238" i="3"/>
  <c r="R202" i="3"/>
  <c r="R198" i="3"/>
  <c r="R194" i="3"/>
  <c r="R190" i="3"/>
  <c r="R186" i="3"/>
  <c r="R182" i="3"/>
  <c r="R178" i="3"/>
  <c r="R174" i="3"/>
  <c r="R170" i="3"/>
  <c r="R166" i="3"/>
  <c r="R162" i="3"/>
  <c r="R158" i="3"/>
  <c r="R154" i="3"/>
  <c r="R150" i="3"/>
  <c r="R146" i="3"/>
  <c r="R313" i="3"/>
  <c r="R322" i="3"/>
  <c r="R253" i="3"/>
  <c r="R252" i="3"/>
  <c r="R245" i="3"/>
  <c r="R216" i="3"/>
  <c r="H27" i="38"/>
  <c r="N18" i="38"/>
  <c r="X18" i="14"/>
  <c r="P27" i="14"/>
  <c r="T27" i="20"/>
  <c r="Z18" i="20"/>
  <c r="D74" i="59"/>
  <c r="L17" i="59"/>
  <c r="L18" i="8"/>
  <c r="D27" i="8"/>
  <c r="H76" i="109"/>
  <c r="T65" i="104"/>
  <c r="P94" i="103"/>
  <c r="X24" i="103"/>
  <c r="Z24" i="103" s="1"/>
  <c r="Z16" i="102"/>
  <c r="T64" i="102"/>
  <c r="X64" i="102" s="1"/>
  <c r="D98" i="97"/>
  <c r="L23" i="97"/>
  <c r="N23" i="97" s="1"/>
  <c r="T89" i="93"/>
  <c r="T106" i="91"/>
  <c r="R93" i="87"/>
  <c r="R92" i="87"/>
  <c r="R95" i="87"/>
  <c r="R94" i="87"/>
  <c r="R96" i="87"/>
  <c r="R98" i="87"/>
  <c r="R87" i="87"/>
  <c r="R83" i="87"/>
  <c r="R102" i="87"/>
  <c r="R89" i="87"/>
  <c r="R88" i="87"/>
  <c r="R84" i="87"/>
  <c r="R80" i="87"/>
  <c r="R91" i="87"/>
  <c r="R90" i="87"/>
  <c r="R74" i="87"/>
  <c r="R79" i="87"/>
  <c r="R54" i="87"/>
  <c r="R18" i="87"/>
  <c r="R86" i="87"/>
  <c r="R76" i="87"/>
  <c r="R66" i="87"/>
  <c r="R65" i="87"/>
  <c r="R46" i="87"/>
  <c r="R45" i="87"/>
  <c r="R41" i="87"/>
  <c r="R37" i="87"/>
  <c r="R73" i="87"/>
  <c r="R32" i="87"/>
  <c r="R28" i="87"/>
  <c r="R82" i="87"/>
  <c r="R67" i="87"/>
  <c r="R56" i="87"/>
  <c r="R55" i="87"/>
  <c r="R48" i="87"/>
  <c r="R47" i="87"/>
  <c r="R19" i="87"/>
  <c r="R77" i="87"/>
  <c r="R42" i="87"/>
  <c r="R38" i="87"/>
  <c r="X12" i="87"/>
  <c r="Z12" i="87" s="1"/>
  <c r="R58" i="87"/>
  <c r="R57" i="87"/>
  <c r="R50" i="87"/>
  <c r="R49" i="87"/>
  <c r="R33" i="87"/>
  <c r="R29" i="87"/>
  <c r="R68" i="87"/>
  <c r="R25" i="87"/>
  <c r="R20" i="87"/>
  <c r="R85" i="87"/>
  <c r="R60" i="87"/>
  <c r="R59" i="87"/>
  <c r="R52" i="87"/>
  <c r="R51" i="87"/>
  <c r="R43" i="87"/>
  <c r="R39" i="87"/>
  <c r="R24" i="87"/>
  <c r="R75" i="87"/>
  <c r="R44" i="87"/>
  <c r="R40" i="87"/>
  <c r="R36" i="87"/>
  <c r="R17" i="87"/>
  <c r="R64" i="87"/>
  <c r="R35" i="87"/>
  <c r="R27" i="87"/>
  <c r="P22" i="87"/>
  <c r="R22" i="87" s="1"/>
  <c r="R78" i="87"/>
  <c r="R70" i="87"/>
  <c r="R31" i="87"/>
  <c r="R72" i="87"/>
  <c r="R26" i="87"/>
  <c r="R63" i="87"/>
  <c r="R53" i="87"/>
  <c r="R30" i="87"/>
  <c r="R71" i="87"/>
  <c r="R69" i="87"/>
  <c r="R81" i="87"/>
  <c r="R61" i="87"/>
  <c r="R62" i="87"/>
  <c r="R34" i="87"/>
  <c r="X22" i="79"/>
  <c r="P82" i="79"/>
  <c r="T75" i="78"/>
  <c r="T106" i="73"/>
  <c r="L32" i="75"/>
  <c r="N32" i="75" s="1"/>
  <c r="D92" i="75"/>
  <c r="T111" i="63"/>
  <c r="Z16" i="63"/>
  <c r="P74" i="59"/>
  <c r="X17" i="59"/>
  <c r="Z17" i="59" s="1"/>
  <c r="F123" i="68"/>
  <c r="F122" i="68"/>
  <c r="F107" i="68"/>
  <c r="F106" i="68"/>
  <c r="F71" i="68"/>
  <c r="F67" i="68"/>
  <c r="F63" i="68"/>
  <c r="F59" i="68"/>
  <c r="F55" i="68"/>
  <c r="F98" i="68"/>
  <c r="F94" i="68"/>
  <c r="F90" i="68"/>
  <c r="F125" i="68"/>
  <c r="F124" i="68"/>
  <c r="F117" i="68"/>
  <c r="F109" i="68"/>
  <c r="F108" i="68"/>
  <c r="F85" i="68"/>
  <c r="F81" i="68"/>
  <c r="F127" i="68"/>
  <c r="F102" i="68"/>
  <c r="F101" i="68"/>
  <c r="F86" i="68"/>
  <c r="F82" i="68"/>
  <c r="F130" i="68"/>
  <c r="F113" i="68"/>
  <c r="F112" i="68"/>
  <c r="F73" i="68"/>
  <c r="F69" i="68"/>
  <c r="F65" i="68"/>
  <c r="F61" i="68"/>
  <c r="F57" i="68"/>
  <c r="F53" i="68"/>
  <c r="F52" i="68"/>
  <c r="F132" i="68"/>
  <c r="F120" i="68"/>
  <c r="F104" i="68"/>
  <c r="F103" i="68"/>
  <c r="F96" i="68"/>
  <c r="F92" i="68"/>
  <c r="F116" i="68"/>
  <c r="F97" i="68"/>
  <c r="F83" i="68"/>
  <c r="F75" i="68"/>
  <c r="F62" i="68"/>
  <c r="F137" i="68"/>
  <c r="F121" i="68"/>
  <c r="F105" i="68"/>
  <c r="F95" i="68"/>
  <c r="F88" i="68"/>
  <c r="D75" i="68"/>
  <c r="F72" i="68"/>
  <c r="F60" i="68"/>
  <c r="F128" i="68"/>
  <c r="F111" i="68"/>
  <c r="F100" i="68"/>
  <c r="F79" i="68"/>
  <c r="F119" i="68"/>
  <c r="F114" i="68"/>
  <c r="F93" i="68"/>
  <c r="F84" i="68"/>
  <c r="F70" i="68"/>
  <c r="F58" i="68"/>
  <c r="F91" i="68"/>
  <c r="F68" i="68"/>
  <c r="F56" i="68"/>
  <c r="F89" i="68"/>
  <c r="F80" i="68"/>
  <c r="F77" i="68"/>
  <c r="F110" i="68"/>
  <c r="F99" i="68"/>
  <c r="F64" i="68"/>
  <c r="F87" i="68"/>
  <c r="L12" i="68"/>
  <c r="N12" i="68" s="1"/>
  <c r="F118" i="68"/>
  <c r="F66" i="68"/>
  <c r="F54" i="68"/>
  <c r="F134" i="68"/>
  <c r="F78" i="68"/>
  <c r="F115" i="68"/>
  <c r="L62" i="61"/>
  <c r="D66" i="61"/>
  <c r="L16" i="55"/>
  <c r="D33" i="55"/>
  <c r="T78" i="59"/>
  <c r="R113" i="51"/>
  <c r="R102" i="51"/>
  <c r="R117" i="51"/>
  <c r="R104" i="51"/>
  <c r="R103" i="51"/>
  <c r="R107" i="51"/>
  <c r="R99" i="51"/>
  <c r="R88" i="51"/>
  <c r="R87" i="51"/>
  <c r="R111" i="51"/>
  <c r="R90" i="51"/>
  <c r="R89" i="51"/>
  <c r="R105" i="51"/>
  <c r="R100" i="51"/>
  <c r="R97" i="51"/>
  <c r="R94" i="51"/>
  <c r="R69" i="51"/>
  <c r="R65" i="51"/>
  <c r="R61" i="51"/>
  <c r="P57" i="51"/>
  <c r="R57" i="51" s="1"/>
  <c r="R85" i="51"/>
  <c r="R52" i="51"/>
  <c r="R48" i="51"/>
  <c r="R44" i="51"/>
  <c r="X12" i="51"/>
  <c r="Z12" i="51" s="1"/>
  <c r="R79" i="51"/>
  <c r="R75" i="51"/>
  <c r="R40" i="51"/>
  <c r="R101" i="51"/>
  <c r="R98" i="51"/>
  <c r="R86" i="51"/>
  <c r="R71" i="51"/>
  <c r="R70" i="51"/>
  <c r="R66" i="51"/>
  <c r="R62" i="51"/>
  <c r="R106" i="51"/>
  <c r="R53" i="51"/>
  <c r="R49" i="51"/>
  <c r="R45" i="51"/>
  <c r="R41" i="51"/>
  <c r="R109" i="51"/>
  <c r="R95" i="51"/>
  <c r="R91" i="51"/>
  <c r="R80" i="51"/>
  <c r="R76" i="51"/>
  <c r="R72" i="51"/>
  <c r="R92" i="51"/>
  <c r="R67" i="51"/>
  <c r="R63" i="51"/>
  <c r="R112" i="51"/>
  <c r="R54" i="51"/>
  <c r="R50" i="51"/>
  <c r="R46" i="51"/>
  <c r="R42" i="51"/>
  <c r="R110" i="51"/>
  <c r="R96" i="51"/>
  <c r="R82" i="51"/>
  <c r="R81" i="51"/>
  <c r="R77" i="51"/>
  <c r="R73" i="51"/>
  <c r="R93" i="51"/>
  <c r="R84" i="51"/>
  <c r="R83" i="51"/>
  <c r="R60" i="51"/>
  <c r="R55" i="51"/>
  <c r="R51" i="51"/>
  <c r="R47" i="51"/>
  <c r="R43" i="51"/>
  <c r="R78" i="51"/>
  <c r="R64" i="51"/>
  <c r="R68" i="51"/>
  <c r="R59" i="51"/>
  <c r="R74" i="51"/>
  <c r="F106" i="42"/>
  <c r="F90" i="42"/>
  <c r="F70" i="42"/>
  <c r="F69" i="42"/>
  <c r="F54" i="42"/>
  <c r="F50" i="42"/>
  <c r="F46" i="42"/>
  <c r="F45" i="42"/>
  <c r="F129" i="42"/>
  <c r="F128" i="42"/>
  <c r="F121" i="42"/>
  <c r="F101" i="42"/>
  <c r="F81" i="42"/>
  <c r="F80" i="42"/>
  <c r="F41" i="42"/>
  <c r="F37" i="42"/>
  <c r="F141" i="42"/>
  <c r="F116" i="42"/>
  <c r="F112" i="42"/>
  <c r="F108" i="42"/>
  <c r="F107" i="42"/>
  <c r="F96" i="42"/>
  <c r="F72" i="42"/>
  <c r="F71" i="42"/>
  <c r="F64" i="42"/>
  <c r="F28" i="42"/>
  <c r="F132" i="42"/>
  <c r="F123" i="42"/>
  <c r="F122" i="42"/>
  <c r="F91" i="42"/>
  <c r="F83" i="42"/>
  <c r="F82" i="42"/>
  <c r="F55" i="42"/>
  <c r="F51" i="42"/>
  <c r="F47" i="42"/>
  <c r="F144" i="42"/>
  <c r="F133" i="42"/>
  <c r="F131" i="42"/>
  <c r="F102" i="42"/>
  <c r="F74" i="42"/>
  <c r="F73" i="42"/>
  <c r="F42" i="42"/>
  <c r="F38" i="42"/>
  <c r="F134" i="42"/>
  <c r="F125" i="42"/>
  <c r="F124" i="42"/>
  <c r="F117" i="42"/>
  <c r="F113" i="42"/>
  <c r="F109" i="42"/>
  <c r="F135" i="42"/>
  <c r="F92" i="42"/>
  <c r="F76" i="42"/>
  <c r="F75" i="42"/>
  <c r="F52" i="42"/>
  <c r="F48" i="42"/>
  <c r="L12" i="42"/>
  <c r="N12" i="42" s="1"/>
  <c r="F103" i="42"/>
  <c r="F99" i="42"/>
  <c r="F98" i="42"/>
  <c r="F87" i="42"/>
  <c r="F86" i="42"/>
  <c r="F59" i="42"/>
  <c r="F58" i="42"/>
  <c r="F43" i="42"/>
  <c r="F39" i="42"/>
  <c r="F35" i="42"/>
  <c r="F34" i="42"/>
  <c r="F137" i="42"/>
  <c r="F126" i="42"/>
  <c r="F118" i="42"/>
  <c r="F114" i="42"/>
  <c r="F110" i="42"/>
  <c r="F94" i="42"/>
  <c r="F93" i="42"/>
  <c r="F78" i="42"/>
  <c r="F77" i="42"/>
  <c r="F66" i="42"/>
  <c r="F33" i="42"/>
  <c r="F31" i="42"/>
  <c r="F139" i="42"/>
  <c r="F105" i="42"/>
  <c r="F104" i="42"/>
  <c r="F89" i="42"/>
  <c r="F88" i="42"/>
  <c r="F61" i="42"/>
  <c r="F60" i="42"/>
  <c r="F53" i="42"/>
  <c r="F49" i="42"/>
  <c r="D31" i="42"/>
  <c r="F119" i="42"/>
  <c r="F63" i="42"/>
  <c r="F100" i="42"/>
  <c r="F67" i="42"/>
  <c r="F65" i="42"/>
  <c r="F84" i="42"/>
  <c r="F127" i="42"/>
  <c r="F111" i="42"/>
  <c r="F57" i="42"/>
  <c r="F40" i="42"/>
  <c r="F26" i="42"/>
  <c r="F120" i="42"/>
  <c r="F95" i="42"/>
  <c r="F62" i="42"/>
  <c r="F29" i="42"/>
  <c r="F97" i="42"/>
  <c r="F85" i="42"/>
  <c r="F27" i="42"/>
  <c r="F44" i="42"/>
  <c r="F36" i="42"/>
  <c r="F79" i="42"/>
  <c r="F68" i="42"/>
  <c r="F56" i="42"/>
  <c r="F115" i="42"/>
  <c r="F78" i="33"/>
  <c r="F62" i="33"/>
  <c r="F58" i="33"/>
  <c r="F103" i="33"/>
  <c r="F101" i="33"/>
  <c r="F88" i="33"/>
  <c r="F80" i="33"/>
  <c r="F79" i="33"/>
  <c r="F40" i="33"/>
  <c r="F36" i="33"/>
  <c r="L12" i="33"/>
  <c r="N12" i="33" s="1"/>
  <c r="F104" i="33"/>
  <c r="F71" i="33"/>
  <c r="F70" i="33"/>
  <c r="F63" i="33"/>
  <c r="F59" i="33"/>
  <c r="F105" i="33"/>
  <c r="F94" i="33"/>
  <c r="F90" i="33"/>
  <c r="F89" i="33"/>
  <c r="F82" i="33"/>
  <c r="F81" i="33"/>
  <c r="F54" i="33"/>
  <c r="F50" i="33"/>
  <c r="F46" i="33"/>
  <c r="F45" i="33"/>
  <c r="F106" i="33"/>
  <c r="F73" i="33"/>
  <c r="F107" i="33"/>
  <c r="F96" i="33"/>
  <c r="F95" i="33"/>
  <c r="F84" i="33"/>
  <c r="F83" i="33"/>
  <c r="F64" i="33"/>
  <c r="F60" i="33"/>
  <c r="F56" i="33"/>
  <c r="F55" i="33"/>
  <c r="D42" i="33"/>
  <c r="F108" i="33"/>
  <c r="F91" i="33"/>
  <c r="F75" i="33"/>
  <c r="F74" i="33"/>
  <c r="F51" i="33"/>
  <c r="F47" i="33"/>
  <c r="F38" i="33"/>
  <c r="F112" i="33"/>
  <c r="F92" i="33"/>
  <c r="F52" i="33"/>
  <c r="F48" i="33"/>
  <c r="F72" i="33"/>
  <c r="F99" i="33"/>
  <c r="F87" i="33"/>
  <c r="F77" i="33"/>
  <c r="F57" i="33"/>
  <c r="F53" i="33"/>
  <c r="F102" i="33"/>
  <c r="F85" i="33"/>
  <c r="F65" i="33"/>
  <c r="F61" i="33"/>
  <c r="F44" i="33"/>
  <c r="F97" i="33"/>
  <c r="F93" i="33"/>
  <c r="F34" i="33"/>
  <c r="F68" i="33"/>
  <c r="F66" i="33"/>
  <c r="F37" i="33"/>
  <c r="F76" i="33"/>
  <c r="F98" i="33"/>
  <c r="F39" i="33"/>
  <c r="F42" i="33"/>
  <c r="F69" i="33"/>
  <c r="F67" i="33"/>
  <c r="F86" i="33"/>
  <c r="F35" i="33"/>
  <c r="F49" i="33"/>
  <c r="T157" i="30"/>
  <c r="F155" i="30"/>
  <c r="F138" i="30"/>
  <c r="F126" i="30"/>
  <c r="F78" i="30"/>
  <c r="F74" i="30"/>
  <c r="F128" i="30"/>
  <c r="F127" i="30"/>
  <c r="F92" i="30"/>
  <c r="F88" i="30"/>
  <c r="F84" i="30"/>
  <c r="F159" i="30"/>
  <c r="F147" i="30"/>
  <c r="F146" i="30"/>
  <c r="F139" i="30"/>
  <c r="F135" i="30"/>
  <c r="F134" i="30"/>
  <c r="F111" i="30"/>
  <c r="F110" i="30"/>
  <c r="F79" i="30"/>
  <c r="F75" i="30"/>
  <c r="F148" i="30"/>
  <c r="F140" i="30"/>
  <c r="F136" i="30"/>
  <c r="F124" i="30"/>
  <c r="F123" i="30"/>
  <c r="F104" i="30"/>
  <c r="F103" i="30"/>
  <c r="F96" i="30"/>
  <c r="F95" i="30"/>
  <c r="F80" i="30"/>
  <c r="F76" i="30"/>
  <c r="F115" i="30"/>
  <c r="F114" i="30"/>
  <c r="F67" i="30"/>
  <c r="F63" i="30"/>
  <c r="F59" i="30"/>
  <c r="F55" i="30"/>
  <c r="F51" i="30"/>
  <c r="F47" i="30"/>
  <c r="F150" i="30"/>
  <c r="F149" i="30"/>
  <c r="F142" i="30"/>
  <c r="F141" i="30"/>
  <c r="F130" i="30"/>
  <c r="F106" i="30"/>
  <c r="F105" i="30"/>
  <c r="F90" i="30"/>
  <c r="F86" i="30"/>
  <c r="F153" i="30"/>
  <c r="F132" i="30"/>
  <c r="F131" i="30"/>
  <c r="F108" i="30"/>
  <c r="F107" i="30"/>
  <c r="F71" i="30"/>
  <c r="F69" i="30"/>
  <c r="F64" i="30"/>
  <c r="F60" i="30"/>
  <c r="F56" i="30"/>
  <c r="F52" i="30"/>
  <c r="F48" i="30"/>
  <c r="F94" i="30"/>
  <c r="F85" i="30"/>
  <c r="F83" i="30"/>
  <c r="F62" i="30"/>
  <c r="F49" i="30"/>
  <c r="F45" i="30"/>
  <c r="F143" i="30"/>
  <c r="F119" i="30"/>
  <c r="F116" i="30"/>
  <c r="F73" i="30"/>
  <c r="F58" i="30"/>
  <c r="F102" i="30"/>
  <c r="F97" i="30"/>
  <c r="F137" i="30"/>
  <c r="F133" i="30"/>
  <c r="F77" i="30"/>
  <c r="F54" i="30"/>
  <c r="F122" i="30"/>
  <c r="F109" i="30"/>
  <c r="F100" i="30"/>
  <c r="F81" i="30"/>
  <c r="F65" i="30"/>
  <c r="F154" i="30"/>
  <c r="F129" i="30"/>
  <c r="F117" i="30"/>
  <c r="F93" i="30"/>
  <c r="F50" i="30"/>
  <c r="F112" i="30"/>
  <c r="F98" i="30"/>
  <c r="F61" i="30"/>
  <c r="F118" i="30"/>
  <c r="F87" i="30"/>
  <c r="F72" i="30"/>
  <c r="F66" i="30"/>
  <c r="F44" i="30"/>
  <c r="F144" i="30"/>
  <c r="F120" i="30"/>
  <c r="F57" i="30"/>
  <c r="D69" i="30"/>
  <c r="F89" i="30"/>
  <c r="F82" i="30"/>
  <c r="F113" i="30"/>
  <c r="F91" i="30"/>
  <c r="F46" i="30"/>
  <c r="F145" i="30"/>
  <c r="L12" i="30"/>
  <c r="N12" i="30" s="1"/>
  <c r="F101" i="30"/>
  <c r="F99" i="30"/>
  <c r="F53" i="30"/>
  <c r="F152" i="30"/>
  <c r="F121" i="30"/>
  <c r="F125" i="30"/>
  <c r="R94" i="21"/>
  <c r="R83" i="21"/>
  <c r="R82" i="21"/>
  <c r="R71" i="21"/>
  <c r="R70" i="21"/>
  <c r="R62" i="21"/>
  <c r="R113" i="21"/>
  <c r="R105" i="21"/>
  <c r="R101" i="21"/>
  <c r="R90" i="21"/>
  <c r="R89" i="21"/>
  <c r="R53" i="21"/>
  <c r="R49" i="21"/>
  <c r="R45" i="21"/>
  <c r="R84" i="21"/>
  <c r="R73" i="21"/>
  <c r="R72" i="21"/>
  <c r="R40" i="21"/>
  <c r="R36" i="21"/>
  <c r="R96" i="21"/>
  <c r="R95" i="21"/>
  <c r="R91" i="21"/>
  <c r="R63" i="21"/>
  <c r="R116" i="21"/>
  <c r="R92" i="21"/>
  <c r="R77" i="21"/>
  <c r="R76" i="21"/>
  <c r="R65" i="21"/>
  <c r="R64" i="21"/>
  <c r="R57" i="21"/>
  <c r="R56" i="21"/>
  <c r="R28" i="21"/>
  <c r="R118" i="21"/>
  <c r="R108" i="21"/>
  <c r="R107" i="21"/>
  <c r="R103" i="21"/>
  <c r="R99" i="21"/>
  <c r="R51" i="21"/>
  <c r="R47" i="21"/>
  <c r="R122" i="21"/>
  <c r="R104" i="21"/>
  <c r="R100" i="21"/>
  <c r="R88" i="21"/>
  <c r="R81" i="21"/>
  <c r="R80" i="21"/>
  <c r="R69" i="21"/>
  <c r="R68" i="21"/>
  <c r="R61" i="21"/>
  <c r="R60" i="21"/>
  <c r="R52" i="21"/>
  <c r="R48" i="21"/>
  <c r="R33" i="21"/>
  <c r="R31" i="21"/>
  <c r="X12" i="21"/>
  <c r="Z12" i="21" s="1"/>
  <c r="R111" i="21"/>
  <c r="R87" i="21"/>
  <c r="R114" i="21"/>
  <c r="R109" i="21"/>
  <c r="R59" i="21"/>
  <c r="R50" i="21"/>
  <c r="R44" i="21"/>
  <c r="R39" i="21"/>
  <c r="R37" i="21"/>
  <c r="R112" i="21"/>
  <c r="R85" i="21"/>
  <c r="R42" i="21"/>
  <c r="R35" i="21"/>
  <c r="R55" i="21"/>
  <c r="R26" i="21"/>
  <c r="R115" i="21"/>
  <c r="R110" i="21"/>
  <c r="R78" i="21"/>
  <c r="R66" i="21"/>
  <c r="R97" i="21"/>
  <c r="R38" i="21"/>
  <c r="R86" i="21"/>
  <c r="R74" i="21"/>
  <c r="R29" i="21"/>
  <c r="R98" i="21"/>
  <c r="R79" i="21"/>
  <c r="R75" i="21"/>
  <c r="R58" i="21"/>
  <c r="R102" i="21"/>
  <c r="R46" i="21"/>
  <c r="R34" i="21"/>
  <c r="P31" i="21"/>
  <c r="R54" i="21"/>
  <c r="R67" i="21"/>
  <c r="R27" i="21"/>
  <c r="R93" i="21"/>
  <c r="R41" i="21"/>
  <c r="R43" i="21"/>
  <c r="R106" i="21"/>
  <c r="J69" i="30"/>
  <c r="J192" i="18"/>
  <c r="R291" i="12"/>
  <c r="R279" i="12"/>
  <c r="R278" i="12"/>
  <c r="R263" i="12"/>
  <c r="R259" i="12"/>
  <c r="R243" i="12"/>
  <c r="R219" i="12"/>
  <c r="R196" i="12"/>
  <c r="R195" i="12"/>
  <c r="R191" i="12"/>
  <c r="R187" i="12"/>
  <c r="R116" i="12"/>
  <c r="R280" i="12"/>
  <c r="R271" i="12"/>
  <c r="R270" i="12"/>
  <c r="R255" i="12"/>
  <c r="R254" i="12"/>
  <c r="R238" i="12"/>
  <c r="R231" i="12"/>
  <c r="R230" i="12"/>
  <c r="R211" i="12"/>
  <c r="R210" i="12"/>
  <c r="R182" i="12"/>
  <c r="R178" i="12"/>
  <c r="R281" i="12"/>
  <c r="R249" i="12"/>
  <c r="R205" i="12"/>
  <c r="R198" i="12"/>
  <c r="R197" i="12"/>
  <c r="R174" i="12"/>
  <c r="R169" i="12"/>
  <c r="R165" i="12"/>
  <c r="R161" i="12"/>
  <c r="R157" i="12"/>
  <c r="R153" i="12"/>
  <c r="R149" i="12"/>
  <c r="R145" i="12"/>
  <c r="R141" i="12"/>
  <c r="R137" i="12"/>
  <c r="R133" i="12"/>
  <c r="R129" i="12"/>
  <c r="R125" i="12"/>
  <c r="R121" i="12"/>
  <c r="R117" i="12"/>
  <c r="R282" i="12"/>
  <c r="R272" i="12"/>
  <c r="R264" i="12"/>
  <c r="R260" i="12"/>
  <c r="R256" i="12"/>
  <c r="R245" i="12"/>
  <c r="R244" i="12"/>
  <c r="R233" i="12"/>
  <c r="R232" i="12"/>
  <c r="R221" i="12"/>
  <c r="R220" i="12"/>
  <c r="R212" i="12"/>
  <c r="R192" i="12"/>
  <c r="R188" i="12"/>
  <c r="R173" i="12"/>
  <c r="X12" i="12"/>
  <c r="Z12" i="12" s="1"/>
  <c r="R283" i="12"/>
  <c r="R240" i="12"/>
  <c r="R239" i="12"/>
  <c r="R199" i="12"/>
  <c r="R183" i="12"/>
  <c r="R179" i="12"/>
  <c r="R175" i="12"/>
  <c r="P171" i="12"/>
  <c r="R171" i="12" s="1"/>
  <c r="R284" i="12"/>
  <c r="R250" i="12"/>
  <c r="R246" i="12"/>
  <c r="R235" i="12"/>
  <c r="R234" i="12"/>
  <c r="R223" i="12"/>
  <c r="R222" i="12"/>
  <c r="R206" i="12"/>
  <c r="R166" i="12"/>
  <c r="R162" i="12"/>
  <c r="R158" i="12"/>
  <c r="R154" i="12"/>
  <c r="R150" i="12"/>
  <c r="R146" i="12"/>
  <c r="R142" i="12"/>
  <c r="R138" i="12"/>
  <c r="R134" i="12"/>
  <c r="R130" i="12"/>
  <c r="R126" i="12"/>
  <c r="R122" i="12"/>
  <c r="R118" i="12"/>
  <c r="R285" i="12"/>
  <c r="R273" i="12"/>
  <c r="R266" i="12"/>
  <c r="R265" i="12"/>
  <c r="R261" i="12"/>
  <c r="R257" i="12"/>
  <c r="R241" i="12"/>
  <c r="R214" i="12"/>
  <c r="R213" i="12"/>
  <c r="R193" i="12"/>
  <c r="R189" i="12"/>
  <c r="R286" i="12"/>
  <c r="R236" i="12"/>
  <c r="R225" i="12"/>
  <c r="R224" i="12"/>
  <c r="R201" i="12"/>
  <c r="R200" i="12"/>
  <c r="R185" i="12"/>
  <c r="R184" i="12"/>
  <c r="R180" i="12"/>
  <c r="R176" i="12"/>
  <c r="R287" i="12"/>
  <c r="R267" i="12"/>
  <c r="R252" i="12"/>
  <c r="R251" i="12"/>
  <c r="R247" i="12"/>
  <c r="R216" i="12"/>
  <c r="R215" i="12"/>
  <c r="R208" i="12"/>
  <c r="R207" i="12"/>
  <c r="R167" i="12"/>
  <c r="R163" i="12"/>
  <c r="R159" i="12"/>
  <c r="R155" i="12"/>
  <c r="R151" i="12"/>
  <c r="R147" i="12"/>
  <c r="R143" i="12"/>
  <c r="R139" i="12"/>
  <c r="R135" i="12"/>
  <c r="R131" i="12"/>
  <c r="R127" i="12"/>
  <c r="R123" i="12"/>
  <c r="R119" i="12"/>
  <c r="R242" i="12"/>
  <c r="R194" i="12"/>
  <c r="R144" i="12"/>
  <c r="R275" i="12"/>
  <c r="R140" i="12"/>
  <c r="R269" i="12"/>
  <c r="R217" i="12"/>
  <c r="R203" i="12"/>
  <c r="R136" i="12"/>
  <c r="R258" i="12"/>
  <c r="R248" i="12"/>
  <c r="R237" i="12"/>
  <c r="R132" i="12"/>
  <c r="R228" i="12"/>
  <c r="R226" i="12"/>
  <c r="R186" i="12"/>
  <c r="R128" i="12"/>
  <c r="R209" i="12"/>
  <c r="R262" i="12"/>
  <c r="R218" i="12"/>
  <c r="R120" i="12"/>
  <c r="R229" i="12"/>
  <c r="R227" i="12"/>
  <c r="R190" i="12"/>
  <c r="R276" i="12"/>
  <c r="R274" i="12"/>
  <c r="R177" i="12"/>
  <c r="R204" i="12"/>
  <c r="R202" i="12"/>
  <c r="R181" i="12"/>
  <c r="R148" i="12"/>
  <c r="R152" i="12"/>
  <c r="R253" i="12"/>
  <c r="R156" i="12"/>
  <c r="R160" i="12"/>
  <c r="R164" i="12"/>
  <c r="R168" i="12"/>
  <c r="R124" i="12"/>
  <c r="R268" i="12"/>
  <c r="F327" i="3"/>
  <c r="F337" i="3"/>
  <c r="F336" i="3"/>
  <c r="F322" i="3"/>
  <c r="F323" i="3"/>
  <c r="F328" i="3"/>
  <c r="F313" i="3"/>
  <c r="F286" i="3"/>
  <c r="F282" i="3"/>
  <c r="F281" i="3"/>
  <c r="F270" i="3"/>
  <c r="F269" i="3"/>
  <c r="F258" i="3"/>
  <c r="F250" i="3"/>
  <c r="F249" i="3"/>
  <c r="F238" i="3"/>
  <c r="F237" i="3"/>
  <c r="F202" i="3"/>
  <c r="F198" i="3"/>
  <c r="F194" i="3"/>
  <c r="F190" i="3"/>
  <c r="F186" i="3"/>
  <c r="F182" i="3"/>
  <c r="F178" i="3"/>
  <c r="F174" i="3"/>
  <c r="F170" i="3"/>
  <c r="F166" i="3"/>
  <c r="F162" i="3"/>
  <c r="F158" i="3"/>
  <c r="F154" i="3"/>
  <c r="F150" i="3"/>
  <c r="F146" i="3"/>
  <c r="F201" i="3"/>
  <c r="F189" i="3"/>
  <c r="F169" i="3"/>
  <c r="F161" i="3"/>
  <c r="F320" i="3"/>
  <c r="F243" i="3"/>
  <c r="F325" i="3"/>
  <c r="F321" i="3"/>
  <c r="F309" i="3"/>
  <c r="F308" i="3"/>
  <c r="F301" i="3"/>
  <c r="F297" i="3"/>
  <c r="F293" i="3"/>
  <c r="F277" i="3"/>
  <c r="F276" i="3"/>
  <c r="F229" i="3"/>
  <c r="F225" i="3"/>
  <c r="F221" i="3"/>
  <c r="F236" i="3"/>
  <c r="F242" i="3"/>
  <c r="F215" i="3"/>
  <c r="F211" i="3"/>
  <c r="F272" i="3"/>
  <c r="F271" i="3"/>
  <c r="F260" i="3"/>
  <c r="F259" i="3"/>
  <c r="F252" i="3"/>
  <c r="F251" i="3"/>
  <c r="F244" i="3"/>
  <c r="F216" i="3"/>
  <c r="F212" i="3"/>
  <c r="F287" i="3"/>
  <c r="F283" i="3"/>
  <c r="F239" i="3"/>
  <c r="F231" i="3"/>
  <c r="F230" i="3"/>
  <c r="F203" i="3"/>
  <c r="F199" i="3"/>
  <c r="F195" i="3"/>
  <c r="F191" i="3"/>
  <c r="F187" i="3"/>
  <c r="F183" i="3"/>
  <c r="F179" i="3"/>
  <c r="F175" i="3"/>
  <c r="F171" i="3"/>
  <c r="F167" i="3"/>
  <c r="F163" i="3"/>
  <c r="F159" i="3"/>
  <c r="F155" i="3"/>
  <c r="F151" i="3"/>
  <c r="F147" i="3"/>
  <c r="F143" i="3"/>
  <c r="F142" i="3"/>
  <c r="F197" i="3"/>
  <c r="F193" i="3"/>
  <c r="F185" i="3"/>
  <c r="F312" i="3"/>
  <c r="F307" i="3"/>
  <c r="F275" i="3"/>
  <c r="F316" i="3"/>
  <c r="F315" i="3"/>
  <c r="F302" i="3"/>
  <c r="F298" i="3"/>
  <c r="F294" i="3"/>
  <c r="F278" i="3"/>
  <c r="F262" i="3"/>
  <c r="F261" i="3"/>
  <c r="F254" i="3"/>
  <c r="F253" i="3"/>
  <c r="F246" i="3"/>
  <c r="F245" i="3"/>
  <c r="F226" i="3"/>
  <c r="F222" i="3"/>
  <c r="F326" i="3"/>
  <c r="F310" i="3"/>
  <c r="F289" i="3"/>
  <c r="F288" i="3"/>
  <c r="F273" i="3"/>
  <c r="F233" i="3"/>
  <c r="F232" i="3"/>
  <c r="F217" i="3"/>
  <c r="F213" i="3"/>
  <c r="F209" i="3"/>
  <c r="F208" i="3"/>
  <c r="F317" i="3"/>
  <c r="F304" i="3"/>
  <c r="F303" i="3"/>
  <c r="F284" i="3"/>
  <c r="F264" i="3"/>
  <c r="F263" i="3"/>
  <c r="F240" i="3"/>
  <c r="F207" i="3"/>
  <c r="F200" i="3"/>
  <c r="F196" i="3"/>
  <c r="F192" i="3"/>
  <c r="F188" i="3"/>
  <c r="F184" i="3"/>
  <c r="F180" i="3"/>
  <c r="F176" i="3"/>
  <c r="F172" i="3"/>
  <c r="F168" i="3"/>
  <c r="F164" i="3"/>
  <c r="F160" i="3"/>
  <c r="F156" i="3"/>
  <c r="F152" i="3"/>
  <c r="F148" i="3"/>
  <c r="F144" i="3"/>
  <c r="L12" i="3"/>
  <c r="N12" i="3" s="1"/>
  <c r="F324" i="3"/>
  <c r="F305" i="3"/>
  <c r="F285" i="3"/>
  <c r="F257" i="3"/>
  <c r="F145" i="3"/>
  <c r="F296" i="3"/>
  <c r="F291" i="3"/>
  <c r="F280" i="3"/>
  <c r="F248" i="3"/>
  <c r="F228" i="3"/>
  <c r="F219" i="3"/>
  <c r="F306" i="3"/>
  <c r="F299" i="3"/>
  <c r="F295" i="3"/>
  <c r="F279" i="3"/>
  <c r="F255" i="3"/>
  <c r="F247" i="3"/>
  <c r="F227" i="3"/>
  <c r="F223" i="3"/>
  <c r="D205" i="3"/>
  <c r="F241" i="3"/>
  <c r="F157" i="3"/>
  <c r="F149" i="3"/>
  <c r="F224" i="3"/>
  <c r="F318" i="3"/>
  <c r="F311" i="3"/>
  <c r="F290" i="3"/>
  <c r="F274" i="3"/>
  <c r="F266" i="3"/>
  <c r="F265" i="3"/>
  <c r="F234" i="3"/>
  <c r="F218" i="3"/>
  <c r="F214" i="3"/>
  <c r="F210" i="3"/>
  <c r="F256" i="3"/>
  <c r="F181" i="3"/>
  <c r="F177" i="3"/>
  <c r="F173" i="3"/>
  <c r="F165" i="3"/>
  <c r="F153" i="3"/>
  <c r="F319" i="3"/>
  <c r="F300" i="3"/>
  <c r="F292" i="3"/>
  <c r="F268" i="3"/>
  <c r="F267" i="3"/>
  <c r="F235" i="3"/>
  <c r="F220" i="3"/>
  <c r="F332" i="3"/>
  <c r="L18" i="110"/>
  <c r="D27" i="110"/>
  <c r="D27" i="50"/>
  <c r="L18" i="50"/>
  <c r="L18" i="49"/>
  <c r="D27" i="49"/>
  <c r="H27" i="44"/>
  <c r="N18" i="44"/>
  <c r="N18" i="43"/>
  <c r="H27" i="43"/>
  <c r="L18" i="41"/>
  <c r="D27" i="41"/>
  <c r="D27" i="23"/>
  <c r="L18" i="23"/>
  <c r="X18" i="29"/>
  <c r="P27" i="29"/>
  <c r="L18" i="20"/>
  <c r="D27" i="20"/>
  <c r="T27" i="13"/>
  <c r="Z18" i="13"/>
  <c r="T27" i="25"/>
  <c r="Z18" i="25"/>
  <c r="H27" i="14"/>
  <c r="N18" i="14"/>
  <c r="H27" i="13"/>
  <c r="N18" i="13"/>
  <c r="P27" i="23"/>
  <c r="X18" i="23"/>
  <c r="L18" i="7"/>
  <c r="D27" i="7"/>
  <c r="T27" i="4"/>
  <c r="Z18" i="4"/>
  <c r="H64" i="102"/>
  <c r="N16" i="102"/>
  <c r="T130" i="84"/>
  <c r="Z16" i="55"/>
  <c r="T33" i="55"/>
  <c r="R112" i="36"/>
  <c r="R111" i="36"/>
  <c r="R95" i="36"/>
  <c r="R76" i="36"/>
  <c r="R75" i="36"/>
  <c r="R67" i="36"/>
  <c r="R137" i="36"/>
  <c r="R136" i="36"/>
  <c r="R121" i="36"/>
  <c r="R117" i="36"/>
  <c r="R113" i="36"/>
  <c r="R101" i="36"/>
  <c r="R78" i="36"/>
  <c r="R77" i="36"/>
  <c r="R62" i="36"/>
  <c r="R61" i="36"/>
  <c r="R46" i="36"/>
  <c r="R45" i="36"/>
  <c r="R41" i="36"/>
  <c r="R37" i="36"/>
  <c r="R138" i="36"/>
  <c r="R129" i="36"/>
  <c r="R128" i="36"/>
  <c r="R96" i="36"/>
  <c r="R89" i="36"/>
  <c r="R88" i="36"/>
  <c r="R69" i="36"/>
  <c r="R68" i="36"/>
  <c r="R28" i="36"/>
  <c r="R139" i="36"/>
  <c r="R107" i="36"/>
  <c r="R80" i="36"/>
  <c r="R79" i="36"/>
  <c r="R64" i="36"/>
  <c r="R63" i="36"/>
  <c r="R55" i="36"/>
  <c r="R51" i="36"/>
  <c r="R47" i="36"/>
  <c r="R140" i="36"/>
  <c r="R130" i="36"/>
  <c r="R122" i="36"/>
  <c r="R118" i="36"/>
  <c r="R114" i="36"/>
  <c r="R103" i="36"/>
  <c r="R102" i="36"/>
  <c r="R91" i="36"/>
  <c r="R90" i="36"/>
  <c r="R71" i="36"/>
  <c r="R70" i="36"/>
  <c r="R42" i="36"/>
  <c r="R38" i="36"/>
  <c r="X12" i="36"/>
  <c r="Z12" i="36" s="1"/>
  <c r="R98" i="36"/>
  <c r="R97" i="36"/>
  <c r="R81" i="36"/>
  <c r="R65" i="36"/>
  <c r="R29" i="36"/>
  <c r="R109" i="36"/>
  <c r="R108" i="36"/>
  <c r="R104" i="36"/>
  <c r="R93" i="36"/>
  <c r="R92" i="36"/>
  <c r="R72" i="36"/>
  <c r="R57" i="36"/>
  <c r="R56" i="36"/>
  <c r="R52" i="36"/>
  <c r="R48" i="36"/>
  <c r="R131" i="36"/>
  <c r="R124" i="36"/>
  <c r="R123" i="36"/>
  <c r="R119" i="36"/>
  <c r="R115" i="36"/>
  <c r="R99" i="36"/>
  <c r="R43" i="36"/>
  <c r="R39" i="36"/>
  <c r="R125" i="36"/>
  <c r="R105" i="36"/>
  <c r="R74" i="36"/>
  <c r="R73" i="36"/>
  <c r="R53" i="36"/>
  <c r="R49" i="36"/>
  <c r="R34" i="36"/>
  <c r="R85" i="36"/>
  <c r="R59" i="36"/>
  <c r="R133" i="36"/>
  <c r="R127" i="36"/>
  <c r="R110" i="36"/>
  <c r="R100" i="36"/>
  <c r="R54" i="36"/>
  <c r="R50" i="36"/>
  <c r="R35" i="36"/>
  <c r="R116" i="36"/>
  <c r="R106" i="36"/>
  <c r="P32" i="36"/>
  <c r="R32" i="36" s="1"/>
  <c r="R27" i="36"/>
  <c r="R86" i="36"/>
  <c r="R144" i="36"/>
  <c r="R134" i="36"/>
  <c r="R120" i="36"/>
  <c r="R84" i="36"/>
  <c r="R66" i="36"/>
  <c r="R58" i="36"/>
  <c r="R36" i="36"/>
  <c r="R30" i="36"/>
  <c r="R44" i="36"/>
  <c r="R82" i="36"/>
  <c r="R126" i="36"/>
  <c r="R83" i="36"/>
  <c r="R60" i="36"/>
  <c r="R132" i="36"/>
  <c r="R87" i="36"/>
  <c r="R94" i="36"/>
  <c r="R40" i="36"/>
  <c r="T22" i="106"/>
  <c r="Z16" i="106"/>
  <c r="T110" i="95"/>
  <c r="H90" i="94"/>
  <c r="R63" i="94"/>
  <c r="R36" i="94"/>
  <c r="R35" i="94"/>
  <c r="R31" i="94"/>
  <c r="R27" i="94"/>
  <c r="P23" i="94"/>
  <c r="R23" i="94" s="1"/>
  <c r="R88" i="94"/>
  <c r="R54" i="94"/>
  <c r="R77" i="94"/>
  <c r="R73" i="94"/>
  <c r="R45" i="94"/>
  <c r="R41" i="94"/>
  <c r="R37" i="94"/>
  <c r="R18" i="94"/>
  <c r="R65" i="94"/>
  <c r="R64" i="94"/>
  <c r="R56" i="94"/>
  <c r="R55" i="94"/>
  <c r="R19" i="94"/>
  <c r="R79" i="94"/>
  <c r="R78" i="94"/>
  <c r="R74" i="94"/>
  <c r="R67" i="94"/>
  <c r="R66" i="94"/>
  <c r="R47" i="94"/>
  <c r="R46" i="94"/>
  <c r="R42" i="94"/>
  <c r="R38" i="94"/>
  <c r="R58" i="94"/>
  <c r="R57" i="94"/>
  <c r="R33" i="94"/>
  <c r="R29" i="94"/>
  <c r="R81" i="94"/>
  <c r="R80" i="94"/>
  <c r="R69" i="94"/>
  <c r="R68" i="94"/>
  <c r="R49" i="94"/>
  <c r="R48" i="94"/>
  <c r="R20" i="94"/>
  <c r="R75" i="94"/>
  <c r="R60" i="94"/>
  <c r="R59" i="94"/>
  <c r="R43" i="94"/>
  <c r="R39" i="94"/>
  <c r="R84" i="94"/>
  <c r="R62" i="94"/>
  <c r="R61" i="94"/>
  <c r="R26" i="94"/>
  <c r="R21" i="94"/>
  <c r="R71" i="94"/>
  <c r="R34" i="94"/>
  <c r="R25" i="94"/>
  <c r="R40" i="94"/>
  <c r="R52" i="94"/>
  <c r="R50" i="94"/>
  <c r="R72" i="94"/>
  <c r="R44" i="94"/>
  <c r="X12" i="94"/>
  <c r="Z12" i="94" s="1"/>
  <c r="R70" i="94"/>
  <c r="R76" i="94"/>
  <c r="R82" i="94"/>
  <c r="R28" i="94"/>
  <c r="R32" i="94"/>
  <c r="R30" i="94"/>
  <c r="R51" i="94"/>
  <c r="R53" i="94"/>
  <c r="P76" i="109"/>
  <c r="X17" i="109"/>
  <c r="Z17" i="109" s="1"/>
  <c r="R17" i="109"/>
  <c r="N16" i="106"/>
  <c r="H22" i="106"/>
  <c r="R61" i="104"/>
  <c r="R67" i="104"/>
  <c r="R58" i="104"/>
  <c r="R42" i="104"/>
  <c r="R38" i="104"/>
  <c r="R50" i="104"/>
  <c r="R49" i="104"/>
  <c r="R33" i="104"/>
  <c r="R29" i="104"/>
  <c r="R20" i="104"/>
  <c r="R60" i="104"/>
  <c r="R59" i="104"/>
  <c r="R52" i="104"/>
  <c r="R51" i="104"/>
  <c r="R43" i="104"/>
  <c r="R39" i="104"/>
  <c r="R35" i="104"/>
  <c r="R34" i="104"/>
  <c r="R30" i="104"/>
  <c r="R54" i="104"/>
  <c r="R53" i="104"/>
  <c r="R26" i="104"/>
  <c r="R21" i="104"/>
  <c r="R44" i="104"/>
  <c r="R40" i="104"/>
  <c r="R36" i="104"/>
  <c r="R25" i="104"/>
  <c r="R63" i="104"/>
  <c r="R56" i="104"/>
  <c r="R55" i="104"/>
  <c r="R31" i="104"/>
  <c r="R27" i="104"/>
  <c r="P23" i="104"/>
  <c r="R32" i="104"/>
  <c r="R28" i="104"/>
  <c r="X12" i="104"/>
  <c r="Z12" i="104" s="1"/>
  <c r="R48" i="104"/>
  <c r="R47" i="104"/>
  <c r="R45" i="104"/>
  <c r="R18" i="104"/>
  <c r="R46" i="104"/>
  <c r="R19" i="104"/>
  <c r="R37" i="104"/>
  <c r="R41" i="104"/>
  <c r="R57" i="104"/>
  <c r="H105" i="97"/>
  <c r="R86" i="92"/>
  <c r="R78" i="92"/>
  <c r="R74" i="92"/>
  <c r="R88" i="92"/>
  <c r="R69" i="92"/>
  <c r="R26" i="92"/>
  <c r="R21" i="92"/>
  <c r="R61" i="92"/>
  <c r="R60" i="92"/>
  <c r="R53" i="92"/>
  <c r="R52" i="92"/>
  <c r="R44" i="92"/>
  <c r="R40" i="92"/>
  <c r="R25" i="92"/>
  <c r="R79" i="92"/>
  <c r="R75" i="92"/>
  <c r="R36" i="92"/>
  <c r="R35" i="92"/>
  <c r="R31" i="92"/>
  <c r="R27" i="92"/>
  <c r="P23" i="92"/>
  <c r="R23" i="92" s="1"/>
  <c r="R92" i="92"/>
  <c r="R70" i="92"/>
  <c r="R63" i="92"/>
  <c r="R62" i="92"/>
  <c r="R54" i="92"/>
  <c r="R45" i="92"/>
  <c r="R41" i="92"/>
  <c r="R37" i="92"/>
  <c r="R18" i="92"/>
  <c r="R81" i="92"/>
  <c r="R80" i="92"/>
  <c r="R76" i="92"/>
  <c r="R64" i="92"/>
  <c r="R32" i="92"/>
  <c r="R28" i="92"/>
  <c r="X12" i="92"/>
  <c r="Z12" i="92" s="1"/>
  <c r="R72" i="92"/>
  <c r="R71" i="92"/>
  <c r="R55" i="92"/>
  <c r="R19" i="92"/>
  <c r="R83" i="92"/>
  <c r="R82" i="92"/>
  <c r="R47" i="92"/>
  <c r="R46" i="92"/>
  <c r="R42" i="92"/>
  <c r="R38" i="92"/>
  <c r="R85" i="92"/>
  <c r="R84" i="92"/>
  <c r="R57" i="92"/>
  <c r="R56" i="92"/>
  <c r="R49" i="92"/>
  <c r="R48" i="92"/>
  <c r="R20" i="92"/>
  <c r="R29" i="92"/>
  <c r="R33" i="92"/>
  <c r="R65" i="92"/>
  <c r="R73" i="92"/>
  <c r="R50" i="92"/>
  <c r="R77" i="92"/>
  <c r="R68" i="92"/>
  <c r="R66" i="92"/>
  <c r="R58" i="92"/>
  <c r="R30" i="92"/>
  <c r="R51" i="92"/>
  <c r="R34" i="92"/>
  <c r="R59" i="92"/>
  <c r="R67" i="92"/>
  <c r="R39" i="92"/>
  <c r="R43" i="92"/>
  <c r="H95" i="88"/>
  <c r="J92" i="88"/>
  <c r="V23" i="88"/>
  <c r="H32" i="82"/>
  <c r="V18" i="80"/>
  <c r="L20" i="85"/>
  <c r="N20" i="85" s="1"/>
  <c r="R79" i="75"/>
  <c r="R64" i="75"/>
  <c r="R63" i="75"/>
  <c r="R86" i="75"/>
  <c r="R74" i="75"/>
  <c r="R54" i="75"/>
  <c r="R50" i="75"/>
  <c r="R46" i="75"/>
  <c r="R89" i="75"/>
  <c r="R88" i="75"/>
  <c r="R66" i="75"/>
  <c r="R65" i="75"/>
  <c r="R76" i="75"/>
  <c r="R75" i="75"/>
  <c r="R68" i="75"/>
  <c r="R67" i="75"/>
  <c r="R56" i="75"/>
  <c r="R55" i="75"/>
  <c r="R51" i="75"/>
  <c r="R47" i="75"/>
  <c r="R42" i="75"/>
  <c r="R38" i="75"/>
  <c r="R82" i="75"/>
  <c r="R81" i="75"/>
  <c r="R77" i="75"/>
  <c r="R70" i="75"/>
  <c r="R69" i="75"/>
  <c r="R58" i="75"/>
  <c r="R57" i="75"/>
  <c r="R94" i="75"/>
  <c r="R52" i="75"/>
  <c r="R48" i="75"/>
  <c r="R62" i="75"/>
  <c r="R61" i="75"/>
  <c r="R53" i="75"/>
  <c r="R49" i="75"/>
  <c r="R90" i="75"/>
  <c r="R85" i="75"/>
  <c r="R80" i="75"/>
  <c r="R43" i="75"/>
  <c r="R78" i="75"/>
  <c r="X12" i="75"/>
  <c r="Z12" i="75" s="1"/>
  <c r="R59" i="75"/>
  <c r="R41" i="75"/>
  <c r="R72" i="75"/>
  <c r="R32" i="75"/>
  <c r="R83" i="75"/>
  <c r="R44" i="75"/>
  <c r="R36" i="75"/>
  <c r="P32" i="75"/>
  <c r="R73" i="75"/>
  <c r="R60" i="75"/>
  <c r="R45" i="75"/>
  <c r="R39" i="75"/>
  <c r="R71" i="75"/>
  <c r="R40" i="75"/>
  <c r="R30" i="75"/>
  <c r="R37" i="75"/>
  <c r="R35" i="75"/>
  <c r="R84" i="75"/>
  <c r="R34" i="75"/>
  <c r="R119" i="68"/>
  <c r="R112" i="68"/>
  <c r="R111" i="68"/>
  <c r="R95" i="68"/>
  <c r="R91" i="68"/>
  <c r="R52" i="68"/>
  <c r="R103" i="68"/>
  <c r="R102" i="68"/>
  <c r="R86" i="68"/>
  <c r="R82" i="68"/>
  <c r="R113" i="68"/>
  <c r="R78" i="68"/>
  <c r="R73" i="68"/>
  <c r="R69" i="68"/>
  <c r="R65" i="68"/>
  <c r="R61" i="68"/>
  <c r="R57" i="68"/>
  <c r="R53" i="68"/>
  <c r="R115" i="68"/>
  <c r="R114" i="68"/>
  <c r="R70" i="68"/>
  <c r="R66" i="68"/>
  <c r="R62" i="68"/>
  <c r="R58" i="68"/>
  <c r="R54" i="68"/>
  <c r="R122" i="68"/>
  <c r="R121" i="68"/>
  <c r="R106" i="68"/>
  <c r="R105" i="68"/>
  <c r="R97" i="68"/>
  <c r="R93" i="68"/>
  <c r="R89" i="68"/>
  <c r="R116" i="68"/>
  <c r="R84" i="68"/>
  <c r="R80" i="68"/>
  <c r="R100" i="68"/>
  <c r="R63" i="68"/>
  <c r="R125" i="68"/>
  <c r="R109" i="68"/>
  <c r="R68" i="68"/>
  <c r="R56" i="68"/>
  <c r="R117" i="68"/>
  <c r="R101" i="68"/>
  <c r="R98" i="68"/>
  <c r="R96" i="68"/>
  <c r="R77" i="68"/>
  <c r="R104" i="68"/>
  <c r="R123" i="68"/>
  <c r="R120" i="68"/>
  <c r="R107" i="68"/>
  <c r="R99" i="68"/>
  <c r="R71" i="68"/>
  <c r="R59" i="68"/>
  <c r="R110" i="68"/>
  <c r="R94" i="68"/>
  <c r="R64" i="68"/>
  <c r="R88" i="68"/>
  <c r="R83" i="68"/>
  <c r="R81" i="68"/>
  <c r="R67" i="68"/>
  <c r="R55" i="68"/>
  <c r="X12" i="68"/>
  <c r="Z12" i="68" s="1"/>
  <c r="R118" i="68"/>
  <c r="R108" i="68"/>
  <c r="R92" i="68"/>
  <c r="R79" i="68"/>
  <c r="R90" i="68"/>
  <c r="R72" i="68"/>
  <c r="R60" i="68"/>
  <c r="R128" i="68"/>
  <c r="P75" i="68"/>
  <c r="R85" i="68"/>
  <c r="R124" i="68"/>
  <c r="R127" i="68"/>
  <c r="R132" i="68"/>
  <c r="R87" i="68"/>
  <c r="D82" i="79"/>
  <c r="L22" i="79"/>
  <c r="X16" i="54"/>
  <c r="P22" i="54"/>
  <c r="T77" i="58"/>
  <c r="X77" i="58" s="1"/>
  <c r="Z16" i="58"/>
  <c r="N16" i="54"/>
  <c r="H22" i="54"/>
  <c r="R99" i="39"/>
  <c r="R88" i="39"/>
  <c r="R87" i="39"/>
  <c r="R80" i="39"/>
  <c r="R79" i="39"/>
  <c r="R137" i="39"/>
  <c r="R130" i="39"/>
  <c r="R129" i="39"/>
  <c r="R125" i="39"/>
  <c r="R121" i="39"/>
  <c r="R105" i="39"/>
  <c r="R90" i="39"/>
  <c r="R89" i="39"/>
  <c r="R82" i="39"/>
  <c r="R81" i="39"/>
  <c r="R49" i="39"/>
  <c r="R45" i="39"/>
  <c r="R150" i="39"/>
  <c r="R116" i="39"/>
  <c r="R100" i="39"/>
  <c r="R72" i="39"/>
  <c r="R65" i="39"/>
  <c r="R64" i="39"/>
  <c r="R131" i="39"/>
  <c r="R118" i="39"/>
  <c r="R117" i="39"/>
  <c r="R101" i="39"/>
  <c r="R94" i="39"/>
  <c r="R93" i="39"/>
  <c r="R143" i="39"/>
  <c r="R142" i="39"/>
  <c r="R127" i="39"/>
  <c r="R123" i="39"/>
  <c r="R119" i="39"/>
  <c r="R108" i="39"/>
  <c r="R107" i="39"/>
  <c r="R96" i="39"/>
  <c r="R95" i="39"/>
  <c r="R76" i="39"/>
  <c r="R146" i="39"/>
  <c r="R140" i="39"/>
  <c r="R113" i="39"/>
  <c r="R78" i="39"/>
  <c r="R74" i="39"/>
  <c r="R60" i="39"/>
  <c r="R43" i="39"/>
  <c r="R34" i="39"/>
  <c r="R144" i="39"/>
  <c r="R135" i="39"/>
  <c r="R111" i="39"/>
  <c r="R57" i="39"/>
  <c r="R84" i="39"/>
  <c r="R71" i="39"/>
  <c r="R66" i="39"/>
  <c r="R54" i="39"/>
  <c r="R50" i="39"/>
  <c r="R47" i="39"/>
  <c r="R35" i="39"/>
  <c r="R132" i="39"/>
  <c r="R114" i="39"/>
  <c r="R106" i="39"/>
  <c r="R85" i="39"/>
  <c r="R75" i="39"/>
  <c r="R67" i="39"/>
  <c r="R61" i="39"/>
  <c r="R44" i="39"/>
  <c r="R138" i="39"/>
  <c r="R109" i="39"/>
  <c r="R104" i="39"/>
  <c r="R58" i="39"/>
  <c r="R133" i="39"/>
  <c r="R126" i="39"/>
  <c r="R124" i="39"/>
  <c r="R122" i="39"/>
  <c r="R115" i="39"/>
  <c r="R55" i="39"/>
  <c r="R41" i="39"/>
  <c r="R36" i="39"/>
  <c r="R145" i="39"/>
  <c r="R139" i="39"/>
  <c r="R136" i="39"/>
  <c r="R128" i="39"/>
  <c r="R120" i="39"/>
  <c r="R112" i="39"/>
  <c r="R102" i="39"/>
  <c r="R97" i="39"/>
  <c r="R62" i="39"/>
  <c r="R51" i="39"/>
  <c r="R48" i="39"/>
  <c r="R40" i="39"/>
  <c r="R91" i="39"/>
  <c r="R86" i="39"/>
  <c r="R69" i="39"/>
  <c r="R68" i="39"/>
  <c r="R63" i="39"/>
  <c r="R59" i="39"/>
  <c r="R52" i="39"/>
  <c r="R42" i="39"/>
  <c r="P38" i="39"/>
  <c r="X12" i="39"/>
  <c r="Z12" i="39" s="1"/>
  <c r="R134" i="39"/>
  <c r="R77" i="39"/>
  <c r="R56" i="39"/>
  <c r="R33" i="39"/>
  <c r="R83" i="39"/>
  <c r="R46" i="39"/>
  <c r="R92" i="39"/>
  <c r="R70" i="39"/>
  <c r="R53" i="39"/>
  <c r="R103" i="39"/>
  <c r="R73" i="39"/>
  <c r="R110" i="39"/>
  <c r="R98" i="39"/>
  <c r="R271" i="15"/>
  <c r="R237" i="15"/>
  <c r="R226" i="15"/>
  <c r="R225" i="15"/>
  <c r="R206" i="15"/>
  <c r="R205" i="15"/>
  <c r="R177" i="15"/>
  <c r="R173" i="15"/>
  <c r="R273" i="15"/>
  <c r="R244" i="15"/>
  <c r="R243" i="15"/>
  <c r="R227" i="15"/>
  <c r="R216" i="15"/>
  <c r="R215" i="15"/>
  <c r="R207" i="15"/>
  <c r="R274" i="15"/>
  <c r="R254" i="15"/>
  <c r="R238" i="15"/>
  <c r="R194" i="15"/>
  <c r="R178" i="15"/>
  <c r="R174" i="15"/>
  <c r="R170" i="15"/>
  <c r="P166" i="15"/>
  <c r="R166" i="15" s="1"/>
  <c r="R263" i="15"/>
  <c r="R256" i="15"/>
  <c r="R255" i="15"/>
  <c r="R239" i="15"/>
  <c r="R220" i="15"/>
  <c r="R219" i="15"/>
  <c r="R196" i="15"/>
  <c r="R195" i="15"/>
  <c r="R180" i="15"/>
  <c r="R179" i="15"/>
  <c r="R175" i="15"/>
  <c r="R171" i="15"/>
  <c r="R278" i="15"/>
  <c r="R266" i="15"/>
  <c r="R265" i="15"/>
  <c r="R250" i="15"/>
  <c r="R246" i="15"/>
  <c r="R234" i="15"/>
  <c r="R211" i="15"/>
  <c r="R210" i="15"/>
  <c r="R203" i="15"/>
  <c r="R202" i="15"/>
  <c r="R162" i="15"/>
  <c r="R158" i="15"/>
  <c r="R154" i="15"/>
  <c r="R150" i="15"/>
  <c r="R146" i="15"/>
  <c r="R142" i="15"/>
  <c r="R138" i="15"/>
  <c r="R134" i="15"/>
  <c r="R130" i="15"/>
  <c r="R126" i="15"/>
  <c r="R122" i="15"/>
  <c r="R118" i="15"/>
  <c r="R114" i="15"/>
  <c r="R253" i="15"/>
  <c r="R245" i="15"/>
  <c r="R242" i="15"/>
  <c r="R224" i="15"/>
  <c r="R218" i="15"/>
  <c r="R212" i="15"/>
  <c r="R208" i="15"/>
  <c r="R172" i="15"/>
  <c r="R147" i="15"/>
  <c r="R136" i="15"/>
  <c r="R133" i="15"/>
  <c r="R113" i="15"/>
  <c r="X12" i="15"/>
  <c r="Z12" i="15" s="1"/>
  <c r="R272" i="15"/>
  <c r="R235" i="15"/>
  <c r="R209" i="15"/>
  <c r="R190" i="15"/>
  <c r="R187" i="15"/>
  <c r="R156" i="15"/>
  <c r="R153" i="15"/>
  <c r="R119" i="15"/>
  <c r="R262" i="15"/>
  <c r="R248" i="15"/>
  <c r="R221" i="15"/>
  <c r="R213" i="15"/>
  <c r="R191" i="15"/>
  <c r="R139" i="15"/>
  <c r="R128" i="15"/>
  <c r="R125" i="15"/>
  <c r="R259" i="15"/>
  <c r="R240" i="15"/>
  <c r="R236" i="15"/>
  <c r="R233" i="15"/>
  <c r="R200" i="15"/>
  <c r="R185" i="15"/>
  <c r="R182" i="15"/>
  <c r="R159" i="15"/>
  <c r="R148" i="15"/>
  <c r="R145" i="15"/>
  <c r="R269" i="15"/>
  <c r="R197" i="15"/>
  <c r="R188" i="15"/>
  <c r="R131" i="15"/>
  <c r="R120" i="15"/>
  <c r="R117" i="15"/>
  <c r="R251" i="15"/>
  <c r="R241" i="15"/>
  <c r="R230" i="15"/>
  <c r="R222" i="15"/>
  <c r="R192" i="15"/>
  <c r="R151" i="15"/>
  <c r="R140" i="15"/>
  <c r="R137" i="15"/>
  <c r="R267" i="15"/>
  <c r="R260" i="15"/>
  <c r="R228" i="15"/>
  <c r="R168" i="15"/>
  <c r="R160" i="15"/>
  <c r="R157" i="15"/>
  <c r="R123" i="15"/>
  <c r="R249" i="15"/>
  <c r="R231" i="15"/>
  <c r="R204" i="15"/>
  <c r="R198" i="15"/>
  <c r="R183" i="15"/>
  <c r="R143" i="15"/>
  <c r="R132" i="15"/>
  <c r="R129" i="15"/>
  <c r="R270" i="15"/>
  <c r="R257" i="15"/>
  <c r="R201" i="15"/>
  <c r="R193" i="15"/>
  <c r="R189" i="15"/>
  <c r="R186" i="15"/>
  <c r="R169" i="15"/>
  <c r="R163" i="15"/>
  <c r="R152" i="15"/>
  <c r="R149" i="15"/>
  <c r="R115" i="15"/>
  <c r="R214" i="15"/>
  <c r="R258" i="15"/>
  <c r="R252" i="15"/>
  <c r="R232" i="15"/>
  <c r="R164" i="15"/>
  <c r="R247" i="15"/>
  <c r="R127" i="15"/>
  <c r="R121" i="15"/>
  <c r="R135" i="15"/>
  <c r="R184" i="15"/>
  <c r="R268" i="15"/>
  <c r="R261" i="15"/>
  <c r="R217" i="15"/>
  <c r="R141" i="15"/>
  <c r="R199" i="15"/>
  <c r="R161" i="15"/>
  <c r="R155" i="15"/>
  <c r="R116" i="15"/>
  <c r="R124" i="15"/>
  <c r="R229" i="15"/>
  <c r="R181" i="15"/>
  <c r="R223" i="15"/>
  <c r="R176" i="15"/>
  <c r="R144" i="15"/>
  <c r="T280" i="15"/>
  <c r="L18" i="112"/>
  <c r="D27" i="112"/>
  <c r="T27" i="41"/>
  <c r="Z18" i="41"/>
  <c r="L18" i="38"/>
  <c r="D27" i="38"/>
  <c r="X18" i="34"/>
  <c r="P27" i="34"/>
  <c r="H27" i="29"/>
  <c r="N18" i="29"/>
  <c r="H27" i="26"/>
  <c r="N18" i="26"/>
  <c r="L18" i="17"/>
  <c r="D27" i="17"/>
  <c r="T27" i="16"/>
  <c r="Z18" i="16"/>
  <c r="L18" i="16"/>
  <c r="D27" i="16"/>
  <c r="T27" i="10"/>
  <c r="Z18" i="10"/>
  <c r="P27" i="19"/>
  <c r="X18" i="19"/>
  <c r="L18" i="80"/>
  <c r="N18" i="80" s="1"/>
  <c r="D66" i="80"/>
  <c r="T92" i="75"/>
  <c r="L18" i="29"/>
  <c r="D27" i="29"/>
  <c r="L16" i="108"/>
  <c r="D46" i="108"/>
  <c r="D95" i="107"/>
  <c r="L23" i="107"/>
  <c r="N23" i="107" s="1"/>
  <c r="Z20" i="98"/>
  <c r="T53" i="98"/>
  <c r="F69" i="100"/>
  <c r="F53" i="100"/>
  <c r="F52" i="100"/>
  <c r="F21" i="100"/>
  <c r="F78" i="100"/>
  <c r="F57" i="100"/>
  <c r="F56" i="100"/>
  <c r="F45" i="100"/>
  <c r="F41" i="100"/>
  <c r="F77" i="100"/>
  <c r="F64" i="100"/>
  <c r="F80" i="100"/>
  <c r="F71" i="100"/>
  <c r="F59" i="100"/>
  <c r="F58" i="100"/>
  <c r="F47" i="100"/>
  <c r="F46" i="100"/>
  <c r="F19" i="100"/>
  <c r="F18" i="100"/>
  <c r="F49" i="100"/>
  <c r="F48" i="100"/>
  <c r="F63" i="100"/>
  <c r="F60" i="100"/>
  <c r="F54" i="100"/>
  <c r="F51" i="100"/>
  <c r="D23" i="100"/>
  <c r="F75" i="100"/>
  <c r="F72" i="100"/>
  <c r="F67" i="100"/>
  <c r="F43" i="100"/>
  <c r="F33" i="100"/>
  <c r="F25" i="100"/>
  <c r="F87" i="100"/>
  <c r="F30" i="100"/>
  <c r="F26" i="100"/>
  <c r="F70" i="100"/>
  <c r="F38" i="100"/>
  <c r="F82" i="100"/>
  <c r="F68" i="100"/>
  <c r="F34" i="100"/>
  <c r="F27" i="100"/>
  <c r="F20" i="100"/>
  <c r="F61" i="100"/>
  <c r="F55" i="100"/>
  <c r="F73" i="100"/>
  <c r="F44" i="100"/>
  <c r="F31" i="100"/>
  <c r="L12" i="100"/>
  <c r="N12" i="100" s="1"/>
  <c r="F62" i="100"/>
  <c r="F39" i="100"/>
  <c r="F36" i="100"/>
  <c r="F35" i="100"/>
  <c r="F28" i="100"/>
  <c r="F74" i="100"/>
  <c r="F65" i="100"/>
  <c r="F50" i="100"/>
  <c r="F40" i="100"/>
  <c r="F37" i="100"/>
  <c r="F29" i="100"/>
  <c r="F23" i="100"/>
  <c r="F42" i="100"/>
  <c r="F32" i="100"/>
  <c r="F84" i="100"/>
  <c r="F66" i="100"/>
  <c r="X23" i="88"/>
  <c r="Z23" i="88" s="1"/>
  <c r="P88" i="88"/>
  <c r="F102" i="87"/>
  <c r="F88" i="87"/>
  <c r="F84" i="87"/>
  <c r="F80" i="87"/>
  <c r="F79" i="87"/>
  <c r="F90" i="87"/>
  <c r="F89" i="87"/>
  <c r="F92" i="87"/>
  <c r="F91" i="87"/>
  <c r="F75" i="87"/>
  <c r="F96" i="87"/>
  <c r="F95" i="87"/>
  <c r="F78" i="87"/>
  <c r="F34" i="87"/>
  <c r="F30" i="87"/>
  <c r="F26" i="87"/>
  <c r="F25" i="87"/>
  <c r="F98" i="87"/>
  <c r="F81" i="87"/>
  <c r="F69" i="87"/>
  <c r="F61" i="87"/>
  <c r="F60" i="87"/>
  <c r="F53" i="87"/>
  <c r="F52" i="87"/>
  <c r="F24" i="87"/>
  <c r="F22" i="87"/>
  <c r="F44" i="87"/>
  <c r="F40" i="87"/>
  <c r="F36" i="87"/>
  <c r="F35" i="87"/>
  <c r="D22" i="87"/>
  <c r="F93" i="87"/>
  <c r="F71" i="87"/>
  <c r="F70" i="87"/>
  <c r="F63" i="87"/>
  <c r="F62" i="87"/>
  <c r="F31" i="87"/>
  <c r="F27" i="87"/>
  <c r="F107" i="87"/>
  <c r="F100" i="87"/>
  <c r="F86" i="87"/>
  <c r="F54" i="87"/>
  <c r="F18" i="87"/>
  <c r="F17" i="87"/>
  <c r="F73" i="87"/>
  <c r="F72" i="87"/>
  <c r="F65" i="87"/>
  <c r="F64" i="87"/>
  <c r="F45" i="87"/>
  <c r="F41" i="87"/>
  <c r="F37" i="87"/>
  <c r="F82" i="87"/>
  <c r="F76" i="87"/>
  <c r="F32" i="87"/>
  <c r="F28" i="87"/>
  <c r="F94" i="87"/>
  <c r="F67" i="87"/>
  <c r="F66" i="87"/>
  <c r="F55" i="87"/>
  <c r="F47" i="87"/>
  <c r="F46" i="87"/>
  <c r="F19" i="87"/>
  <c r="F85" i="87"/>
  <c r="F83" i="87"/>
  <c r="F68" i="87"/>
  <c r="F20" i="87"/>
  <c r="F38" i="87"/>
  <c r="F42" i="87"/>
  <c r="F58" i="87"/>
  <c r="F50" i="87"/>
  <c r="F29" i="87"/>
  <c r="F74" i="87"/>
  <c r="F56" i="87"/>
  <c r="F48" i="87"/>
  <c r="F33" i="87"/>
  <c r="F39" i="87"/>
  <c r="F87" i="87"/>
  <c r="F104" i="87"/>
  <c r="F43" i="87"/>
  <c r="F57" i="87"/>
  <c r="F59" i="87"/>
  <c r="L12" i="87"/>
  <c r="N12" i="87" s="1"/>
  <c r="F77" i="87"/>
  <c r="F49" i="87"/>
  <c r="F51" i="87"/>
  <c r="T115" i="76"/>
  <c r="D36" i="85"/>
  <c r="L32" i="85"/>
  <c r="J54" i="74"/>
  <c r="F76" i="73"/>
  <c r="F72" i="73"/>
  <c r="D54" i="73"/>
  <c r="F83" i="73"/>
  <c r="F67" i="73"/>
  <c r="F63" i="73"/>
  <c r="F59" i="73"/>
  <c r="F94" i="73"/>
  <c r="F50" i="73"/>
  <c r="F46" i="73"/>
  <c r="F42" i="73"/>
  <c r="F38" i="73"/>
  <c r="F85" i="73"/>
  <c r="F84" i="73"/>
  <c r="F77" i="73"/>
  <c r="F73" i="73"/>
  <c r="F69" i="73"/>
  <c r="F68" i="73"/>
  <c r="F96" i="73"/>
  <c r="F95" i="73"/>
  <c r="F64" i="73"/>
  <c r="F87" i="73"/>
  <c r="F86" i="73"/>
  <c r="F51" i="73"/>
  <c r="F47" i="73"/>
  <c r="F43" i="73"/>
  <c r="F39" i="73"/>
  <c r="F98" i="73"/>
  <c r="F97" i="73"/>
  <c r="F78" i="73"/>
  <c r="F74" i="73"/>
  <c r="F70" i="73"/>
  <c r="F89" i="73"/>
  <c r="F88" i="73"/>
  <c r="F65" i="73"/>
  <c r="F61" i="73"/>
  <c r="F104" i="73"/>
  <c r="F82" i="73"/>
  <c r="F81" i="73"/>
  <c r="F66" i="73"/>
  <c r="F62" i="73"/>
  <c r="F58" i="73"/>
  <c r="F57" i="73"/>
  <c r="F93" i="73"/>
  <c r="F75" i="73"/>
  <c r="F80" i="73"/>
  <c r="F54" i="73"/>
  <c r="F44" i="73"/>
  <c r="F49" i="73"/>
  <c r="L12" i="73"/>
  <c r="N12" i="73" s="1"/>
  <c r="F91" i="73"/>
  <c r="F71" i="73"/>
  <c r="F37" i="73"/>
  <c r="F45" i="73"/>
  <c r="F92" i="73"/>
  <c r="F40" i="73"/>
  <c r="F60" i="73"/>
  <c r="F36" i="73"/>
  <c r="F90" i="73"/>
  <c r="F41" i="73"/>
  <c r="F100" i="73"/>
  <c r="F52" i="73"/>
  <c r="F48" i="73"/>
  <c r="F56" i="73"/>
  <c r="F79" i="73"/>
  <c r="V22" i="69"/>
  <c r="F32" i="75"/>
  <c r="N16" i="55"/>
  <c r="H33" i="55"/>
  <c r="T62" i="60"/>
  <c r="X62" i="60" s="1"/>
  <c r="Z16" i="60"/>
  <c r="H80" i="48"/>
  <c r="T80" i="48"/>
  <c r="V76" i="48"/>
  <c r="L26" i="45"/>
  <c r="N26" i="45" s="1"/>
  <c r="D106" i="45"/>
  <c r="J31" i="42"/>
  <c r="R123" i="30"/>
  <c r="R122" i="30"/>
  <c r="R103" i="30"/>
  <c r="R102" i="30"/>
  <c r="R95" i="30"/>
  <c r="R94" i="30"/>
  <c r="R66" i="30"/>
  <c r="R62" i="30"/>
  <c r="R58" i="30"/>
  <c r="R54" i="30"/>
  <c r="R50" i="30"/>
  <c r="R46" i="30"/>
  <c r="R149" i="30"/>
  <c r="R148" i="30"/>
  <c r="R141" i="30"/>
  <c r="R140" i="30"/>
  <c r="R136" i="30"/>
  <c r="R124" i="30"/>
  <c r="R105" i="30"/>
  <c r="R104" i="30"/>
  <c r="R96" i="30"/>
  <c r="R80" i="30"/>
  <c r="R76" i="30"/>
  <c r="R116" i="30"/>
  <c r="R115" i="30"/>
  <c r="R72" i="30"/>
  <c r="R67" i="30"/>
  <c r="R63" i="30"/>
  <c r="R59" i="30"/>
  <c r="R55" i="30"/>
  <c r="R51" i="30"/>
  <c r="R47" i="30"/>
  <c r="R150" i="30"/>
  <c r="R154" i="30"/>
  <c r="R132" i="30"/>
  <c r="R108" i="30"/>
  <c r="R64" i="30"/>
  <c r="R60" i="30"/>
  <c r="R56" i="30"/>
  <c r="R52" i="30"/>
  <c r="R48" i="30"/>
  <c r="R155" i="30"/>
  <c r="R144" i="30"/>
  <c r="R143" i="30"/>
  <c r="R120" i="30"/>
  <c r="R119" i="30"/>
  <c r="R100" i="30"/>
  <c r="R99" i="30"/>
  <c r="R91" i="30"/>
  <c r="R87" i="30"/>
  <c r="R83" i="30"/>
  <c r="R44" i="30"/>
  <c r="R138" i="30"/>
  <c r="R127" i="30"/>
  <c r="R126" i="30"/>
  <c r="R78" i="30"/>
  <c r="R74" i="30"/>
  <c r="R128" i="30"/>
  <c r="R93" i="30"/>
  <c r="R92" i="30"/>
  <c r="R88" i="30"/>
  <c r="R84" i="30"/>
  <c r="X12" i="30"/>
  <c r="Z12" i="30" s="1"/>
  <c r="R146" i="30"/>
  <c r="R114" i="30"/>
  <c r="R90" i="30"/>
  <c r="R73" i="30"/>
  <c r="R135" i="30"/>
  <c r="R97" i="30"/>
  <c r="R77" i="30"/>
  <c r="R75" i="30"/>
  <c r="R159" i="30"/>
  <c r="R139" i="30"/>
  <c r="R137" i="30"/>
  <c r="R133" i="30"/>
  <c r="R131" i="30"/>
  <c r="R129" i="30"/>
  <c r="R109" i="30"/>
  <c r="R107" i="30"/>
  <c r="R86" i="30"/>
  <c r="R81" i="30"/>
  <c r="R79" i="30"/>
  <c r="R65" i="30"/>
  <c r="R117" i="30"/>
  <c r="R112" i="30"/>
  <c r="R98" i="30"/>
  <c r="R71" i="30"/>
  <c r="R82" i="30"/>
  <c r="R61" i="30"/>
  <c r="R152" i="30"/>
  <c r="R110" i="30"/>
  <c r="R89" i="30"/>
  <c r="R147" i="30"/>
  <c r="R142" i="30"/>
  <c r="R134" i="30"/>
  <c r="R118" i="30"/>
  <c r="R101" i="30"/>
  <c r="R57" i="30"/>
  <c r="R125" i="30"/>
  <c r="R153" i="30"/>
  <c r="R49" i="30"/>
  <c r="R85" i="30"/>
  <c r="R111" i="30"/>
  <c r="P69" i="30"/>
  <c r="R145" i="30"/>
  <c r="R113" i="30"/>
  <c r="R121" i="30"/>
  <c r="R106" i="30"/>
  <c r="R45" i="30"/>
  <c r="R130" i="30"/>
  <c r="R53" i="30"/>
  <c r="J31" i="21"/>
  <c r="R101" i="33"/>
  <c r="H276" i="15"/>
  <c r="F286" i="12"/>
  <c r="F267" i="12"/>
  <c r="F266" i="12"/>
  <c r="F251" i="12"/>
  <c r="F247" i="12"/>
  <c r="F215" i="12"/>
  <c r="F214" i="12"/>
  <c r="F207" i="12"/>
  <c r="F167" i="12"/>
  <c r="F163" i="12"/>
  <c r="F159" i="12"/>
  <c r="F155" i="12"/>
  <c r="F151" i="12"/>
  <c r="F147" i="12"/>
  <c r="F143" i="12"/>
  <c r="F139" i="12"/>
  <c r="F135" i="12"/>
  <c r="F131" i="12"/>
  <c r="F127" i="12"/>
  <c r="F123" i="12"/>
  <c r="F119" i="12"/>
  <c r="F287" i="12"/>
  <c r="F274" i="12"/>
  <c r="F262" i="12"/>
  <c r="F258" i="12"/>
  <c r="F242" i="12"/>
  <c r="F226" i="12"/>
  <c r="F225" i="12"/>
  <c r="F202" i="12"/>
  <c r="F201" i="12"/>
  <c r="F194" i="12"/>
  <c r="F190" i="12"/>
  <c r="F186" i="12"/>
  <c r="F185" i="12"/>
  <c r="F253" i="12"/>
  <c r="F252" i="12"/>
  <c r="F237" i="12"/>
  <c r="F217" i="12"/>
  <c r="F216" i="12"/>
  <c r="F209" i="12"/>
  <c r="F208" i="12"/>
  <c r="F181" i="12"/>
  <c r="F177" i="12"/>
  <c r="F276" i="12"/>
  <c r="F275" i="12"/>
  <c r="F268" i="12"/>
  <c r="F248" i="12"/>
  <c r="F228" i="12"/>
  <c r="F227" i="12"/>
  <c r="F204" i="12"/>
  <c r="F203" i="12"/>
  <c r="F168" i="12"/>
  <c r="F164" i="12"/>
  <c r="F160" i="12"/>
  <c r="F156" i="12"/>
  <c r="F152" i="12"/>
  <c r="F148" i="12"/>
  <c r="F144" i="12"/>
  <c r="F140" i="12"/>
  <c r="F136" i="12"/>
  <c r="F132" i="12"/>
  <c r="F128" i="12"/>
  <c r="F124" i="12"/>
  <c r="F120" i="12"/>
  <c r="F291" i="12"/>
  <c r="F263" i="12"/>
  <c r="F259" i="12"/>
  <c r="F243" i="12"/>
  <c r="F219" i="12"/>
  <c r="F218" i="12"/>
  <c r="F195" i="12"/>
  <c r="F191" i="12"/>
  <c r="F187" i="12"/>
  <c r="F279" i="12"/>
  <c r="F270" i="12"/>
  <c r="F269" i="12"/>
  <c r="F254" i="12"/>
  <c r="F238" i="12"/>
  <c r="F230" i="12"/>
  <c r="F229" i="12"/>
  <c r="F210" i="12"/>
  <c r="F182" i="12"/>
  <c r="F178" i="12"/>
  <c r="F280" i="12"/>
  <c r="F278" i="12"/>
  <c r="F249" i="12"/>
  <c r="F205" i="12"/>
  <c r="F197" i="12"/>
  <c r="F196" i="12"/>
  <c r="F169" i="12"/>
  <c r="F165" i="12"/>
  <c r="F161" i="12"/>
  <c r="F157" i="12"/>
  <c r="F153" i="12"/>
  <c r="F149" i="12"/>
  <c r="F145" i="12"/>
  <c r="F141" i="12"/>
  <c r="F137" i="12"/>
  <c r="F133" i="12"/>
  <c r="F129" i="12"/>
  <c r="F125" i="12"/>
  <c r="F121" i="12"/>
  <c r="F117" i="12"/>
  <c r="F116" i="12"/>
  <c r="F281" i="12"/>
  <c r="F272" i="12"/>
  <c r="F271" i="12"/>
  <c r="F264" i="12"/>
  <c r="F260" i="12"/>
  <c r="F256" i="12"/>
  <c r="F255" i="12"/>
  <c r="F244" i="12"/>
  <c r="F232" i="12"/>
  <c r="F231" i="12"/>
  <c r="F220" i="12"/>
  <c r="F212" i="12"/>
  <c r="F211" i="12"/>
  <c r="F192" i="12"/>
  <c r="F188" i="12"/>
  <c r="L12" i="12"/>
  <c r="N12" i="12" s="1"/>
  <c r="F282" i="12"/>
  <c r="F239" i="12"/>
  <c r="F199" i="12"/>
  <c r="F198" i="12"/>
  <c r="F183" i="12"/>
  <c r="F179" i="12"/>
  <c r="F175" i="12"/>
  <c r="F174" i="12"/>
  <c r="F257" i="12"/>
  <c r="F261" i="12"/>
  <c r="F240" i="12"/>
  <c r="F234" i="12"/>
  <c r="F166" i="12"/>
  <c r="F162" i="12"/>
  <c r="F158" i="12"/>
  <c r="F154" i="12"/>
  <c r="F150" i="12"/>
  <c r="F206" i="12"/>
  <c r="D171" i="12"/>
  <c r="F171" i="12" s="1"/>
  <c r="F146" i="12"/>
  <c r="F200" i="12"/>
  <c r="F189" i="12"/>
  <c r="F142" i="12"/>
  <c r="F273" i="12"/>
  <c r="F246" i="12"/>
  <c r="F223" i="12"/>
  <c r="F138" i="12"/>
  <c r="F284" i="12"/>
  <c r="F265" i="12"/>
  <c r="F221" i="12"/>
  <c r="F176" i="12"/>
  <c r="F235" i="12"/>
  <c r="F130" i="12"/>
  <c r="F250" i="12"/>
  <c r="F241" i="12"/>
  <c r="F233" i="12"/>
  <c r="F213" i="12"/>
  <c r="F193" i="12"/>
  <c r="F126" i="12"/>
  <c r="F180" i="12"/>
  <c r="F122" i="12"/>
  <c r="F285" i="12"/>
  <c r="F224" i="12"/>
  <c r="F184" i="12"/>
  <c r="F118" i="12"/>
  <c r="F245" i="12"/>
  <c r="F134" i="12"/>
  <c r="F222" i="12"/>
  <c r="F173" i="12"/>
  <c r="F283" i="12"/>
  <c r="F236" i="12"/>
  <c r="D103" i="9"/>
  <c r="L17" i="9"/>
  <c r="H27" i="112"/>
  <c r="N18" i="112"/>
  <c r="D27" i="53"/>
  <c r="L18" i="53"/>
  <c r="T27" i="47"/>
  <c r="Z18" i="47"/>
  <c r="H27" i="46"/>
  <c r="N18" i="46"/>
  <c r="L18" i="32"/>
  <c r="D27" i="32"/>
  <c r="X18" i="25"/>
  <c r="P27" i="25"/>
  <c r="L18" i="19"/>
  <c r="D27" i="19"/>
  <c r="T27" i="14"/>
  <c r="Z18" i="14"/>
  <c r="T27" i="5"/>
  <c r="Z18" i="5"/>
  <c r="H27" i="4"/>
  <c r="N18" i="4"/>
  <c r="T283" i="15" l="1"/>
  <c r="V280" i="15"/>
  <c r="T92" i="93"/>
  <c r="V89" i="93"/>
  <c r="T110" i="9"/>
  <c r="V107" i="9"/>
  <c r="H106" i="73"/>
  <c r="J102" i="73"/>
  <c r="D94" i="92"/>
  <c r="L90" i="92"/>
  <c r="P31" i="31"/>
  <c r="X27" i="31"/>
  <c r="X27" i="35"/>
  <c r="P31" i="35"/>
  <c r="X27" i="16"/>
  <c r="P31" i="16"/>
  <c r="D305" i="18"/>
  <c r="L192" i="18"/>
  <c r="N192" i="18" s="1"/>
  <c r="H31" i="20"/>
  <c r="N27" i="20"/>
  <c r="X22" i="69"/>
  <c r="Z22" i="69" s="1"/>
  <c r="P79" i="69"/>
  <c r="H135" i="70"/>
  <c r="J131" i="70"/>
  <c r="X23" i="104"/>
  <c r="Z23" i="104" s="1"/>
  <c r="P65" i="104"/>
  <c r="Z27" i="25"/>
  <c r="T31" i="25"/>
  <c r="N27" i="31"/>
  <c r="H31" i="31"/>
  <c r="X46" i="108"/>
  <c r="Z46" i="108" s="1"/>
  <c r="P50" i="108"/>
  <c r="P82" i="57"/>
  <c r="X78" i="57"/>
  <c r="X27" i="26"/>
  <c r="P31" i="26"/>
  <c r="T70" i="80"/>
  <c r="V66" i="80"/>
  <c r="P31" i="43"/>
  <c r="X27" i="43"/>
  <c r="L27" i="72"/>
  <c r="N27" i="72" s="1"/>
  <c r="D87" i="72"/>
  <c r="D106" i="91"/>
  <c r="L102" i="91"/>
  <c r="D102" i="73"/>
  <c r="L54" i="73"/>
  <c r="N54" i="73" s="1"/>
  <c r="P92" i="88"/>
  <c r="X88" i="88"/>
  <c r="R88" i="88"/>
  <c r="P92" i="75"/>
  <c r="X32" i="75"/>
  <c r="Z32" i="75" s="1"/>
  <c r="N22" i="106"/>
  <c r="H26" i="106"/>
  <c r="L205" i="3"/>
  <c r="N205" i="3" s="1"/>
  <c r="D330" i="3"/>
  <c r="F205" i="3"/>
  <c r="T161" i="30"/>
  <c r="V157" i="30"/>
  <c r="D69" i="61"/>
  <c r="L66" i="61"/>
  <c r="P31" i="5"/>
  <c r="X27" i="5"/>
  <c r="D31" i="43"/>
  <c r="L27" i="43"/>
  <c r="T144" i="42"/>
  <c r="V141" i="42"/>
  <c r="D115" i="76"/>
  <c r="L57" i="76"/>
  <c r="N57" i="76" s="1"/>
  <c r="X66" i="80"/>
  <c r="Z66" i="80" s="1"/>
  <c r="P70" i="80"/>
  <c r="X192" i="18"/>
  <c r="Z192" i="18" s="1"/>
  <c r="P305" i="18"/>
  <c r="T86" i="79"/>
  <c r="V82" i="79"/>
  <c r="T31" i="44"/>
  <c r="Z27" i="44"/>
  <c r="T127" i="74"/>
  <c r="V123" i="74"/>
  <c r="X27" i="20"/>
  <c r="P31" i="20"/>
  <c r="T114" i="33"/>
  <c r="V110" i="33"/>
  <c r="L23" i="94"/>
  <c r="N23" i="94" s="1"/>
  <c r="D86" i="94"/>
  <c r="P59" i="99"/>
  <c r="X55" i="99"/>
  <c r="D31" i="5"/>
  <c r="L27" i="5"/>
  <c r="P144" i="24"/>
  <c r="X82" i="24"/>
  <c r="Z82" i="24" s="1"/>
  <c r="T89" i="56"/>
  <c r="Z27" i="53"/>
  <c r="T31" i="53"/>
  <c r="L27" i="14"/>
  <c r="D31" i="14"/>
  <c r="H66" i="61"/>
  <c r="N62" i="61"/>
  <c r="N27" i="47"/>
  <c r="H31" i="47"/>
  <c r="D81" i="58"/>
  <c r="L77" i="58"/>
  <c r="N90" i="92"/>
  <c r="H94" i="92"/>
  <c r="J90" i="92"/>
  <c r="T109" i="73"/>
  <c r="V106" i="73"/>
  <c r="P80" i="48"/>
  <c r="X76" i="48"/>
  <c r="Z76" i="48" s="1"/>
  <c r="R76" i="48"/>
  <c r="N27" i="52"/>
  <c r="H31" i="52"/>
  <c r="T31" i="40"/>
  <c r="Z27" i="40"/>
  <c r="N27" i="23"/>
  <c r="H31" i="23"/>
  <c r="H68" i="102"/>
  <c r="P78" i="59"/>
  <c r="X74" i="59"/>
  <c r="Z74" i="59" s="1"/>
  <c r="D31" i="52"/>
  <c r="L27" i="52"/>
  <c r="P31" i="4"/>
  <c r="X27" i="4"/>
  <c r="T134" i="68"/>
  <c r="V130" i="68"/>
  <c r="H100" i="105"/>
  <c r="J97" i="105"/>
  <c r="P31" i="19"/>
  <c r="X27" i="19"/>
  <c r="N27" i="29"/>
  <c r="H31" i="29"/>
  <c r="D86" i="79"/>
  <c r="L82" i="79"/>
  <c r="J95" i="88"/>
  <c r="T31" i="4"/>
  <c r="Z27" i="4"/>
  <c r="T31" i="13"/>
  <c r="Z27" i="13"/>
  <c r="H31" i="44"/>
  <c r="N27" i="44"/>
  <c r="X31" i="21"/>
  <c r="Z31" i="21" s="1"/>
  <c r="P120" i="21"/>
  <c r="L98" i="97"/>
  <c r="N98" i="97" s="1"/>
  <c r="D102" i="97"/>
  <c r="L74" i="59"/>
  <c r="N74" i="59" s="1"/>
  <c r="D78" i="59"/>
  <c r="P330" i="3"/>
  <c r="X205" i="3"/>
  <c r="Z205" i="3" s="1"/>
  <c r="P115" i="76"/>
  <c r="X57" i="76"/>
  <c r="Z57" i="76" s="1"/>
  <c r="T80" i="109"/>
  <c r="V76" i="109"/>
  <c r="N27" i="34"/>
  <c r="H31" i="34"/>
  <c r="X27" i="72"/>
  <c r="Z27" i="72" s="1"/>
  <c r="P87" i="72"/>
  <c r="P31" i="22"/>
  <c r="X27" i="22"/>
  <c r="J117" i="33"/>
  <c r="H31" i="8"/>
  <c r="N27" i="8"/>
  <c r="X27" i="46"/>
  <c r="P31" i="46"/>
  <c r="H293" i="12"/>
  <c r="J289" i="12"/>
  <c r="H85" i="57"/>
  <c r="H127" i="74"/>
  <c r="J123" i="74"/>
  <c r="Z27" i="46"/>
  <c r="T31" i="46"/>
  <c r="Z27" i="34"/>
  <c r="T31" i="34"/>
  <c r="T152" i="39"/>
  <c r="V148" i="39"/>
  <c r="T97" i="105"/>
  <c r="V93" i="105"/>
  <c r="H115" i="63"/>
  <c r="F192" i="18"/>
  <c r="Z27" i="26"/>
  <c r="T31" i="26"/>
  <c r="T339" i="3"/>
  <c r="V334" i="3"/>
  <c r="H110" i="45"/>
  <c r="J106" i="45"/>
  <c r="P86" i="56"/>
  <c r="X82" i="56"/>
  <c r="Z82" i="56" s="1"/>
  <c r="T83" i="48"/>
  <c r="V80" i="48"/>
  <c r="L33" i="55"/>
  <c r="D37" i="55"/>
  <c r="T92" i="88"/>
  <c r="Z88" i="88"/>
  <c r="V88" i="88"/>
  <c r="P131" i="70"/>
  <c r="X63" i="70"/>
  <c r="Z63" i="70" s="1"/>
  <c r="D83" i="69"/>
  <c r="L79" i="69"/>
  <c r="N79" i="69" s="1"/>
  <c r="H83" i="48"/>
  <c r="J80" i="48"/>
  <c r="H110" i="95"/>
  <c r="J107" i="95"/>
  <c r="D31" i="111"/>
  <c r="L27" i="111"/>
  <c r="J144" i="24"/>
  <c r="H148" i="24"/>
  <c r="H31" i="4"/>
  <c r="N27" i="4"/>
  <c r="N27" i="46"/>
  <c r="H31" i="46"/>
  <c r="T66" i="60"/>
  <c r="Z62" i="60"/>
  <c r="X27" i="34"/>
  <c r="P31" i="34"/>
  <c r="D31" i="7"/>
  <c r="L27" i="7"/>
  <c r="D31" i="20"/>
  <c r="L27" i="20"/>
  <c r="L27" i="49"/>
  <c r="D31" i="49"/>
  <c r="T79" i="78"/>
  <c r="V75" i="78"/>
  <c r="Z64" i="102"/>
  <c r="T68" i="102"/>
  <c r="D31" i="44"/>
  <c r="L27" i="44"/>
  <c r="D124" i="21"/>
  <c r="L120" i="21"/>
  <c r="F120" i="21"/>
  <c r="T104" i="87"/>
  <c r="V100" i="87"/>
  <c r="P115" i="63"/>
  <c r="X111" i="63"/>
  <c r="Z111" i="63" s="1"/>
  <c r="H31" i="7"/>
  <c r="N27" i="7"/>
  <c r="D31" i="11"/>
  <c r="L27" i="11"/>
  <c r="X110" i="33"/>
  <c r="Z110" i="33" s="1"/>
  <c r="P114" i="33"/>
  <c r="R110" i="33"/>
  <c r="V39" i="85"/>
  <c r="P71" i="102"/>
  <c r="X68" i="102"/>
  <c r="N27" i="5"/>
  <c r="H31" i="5"/>
  <c r="H31" i="111"/>
  <c r="N27" i="111"/>
  <c r="T69" i="67"/>
  <c r="D31" i="10"/>
  <c r="L27" i="10"/>
  <c r="L27" i="31"/>
  <c r="D31" i="31"/>
  <c r="X27" i="53"/>
  <c r="P31" i="53"/>
  <c r="H79" i="78"/>
  <c r="J75" i="78"/>
  <c r="L27" i="13"/>
  <c r="D31" i="13"/>
  <c r="H78" i="59"/>
  <c r="L54" i="74"/>
  <c r="N54" i="74" s="1"/>
  <c r="D123" i="74"/>
  <c r="X103" i="95"/>
  <c r="Z103" i="95" s="1"/>
  <c r="P107" i="95"/>
  <c r="R103" i="95"/>
  <c r="H104" i="87"/>
  <c r="J100" i="87"/>
  <c r="P31" i="13"/>
  <c r="X27" i="13"/>
  <c r="L27" i="47"/>
  <c r="D31" i="47"/>
  <c r="Z78" i="57"/>
  <c r="T82" i="57"/>
  <c r="X25" i="101"/>
  <c r="Z25" i="101" s="1"/>
  <c r="P97" i="101"/>
  <c r="X27" i="49"/>
  <c r="P31" i="49"/>
  <c r="P69" i="60"/>
  <c r="L54" i="84"/>
  <c r="N54" i="84" s="1"/>
  <c r="D130" i="84"/>
  <c r="P106" i="91"/>
  <c r="X102" i="91"/>
  <c r="Z102" i="91" s="1"/>
  <c r="D68" i="102"/>
  <c r="L64" i="102"/>
  <c r="N64" i="102" s="1"/>
  <c r="X27" i="8"/>
  <c r="P31" i="8"/>
  <c r="P98" i="97"/>
  <c r="X23" i="97"/>
  <c r="Z23" i="97" s="1"/>
  <c r="D107" i="9"/>
  <c r="L103" i="9"/>
  <c r="D70" i="80"/>
  <c r="L66" i="80"/>
  <c r="N66" i="80" s="1"/>
  <c r="T31" i="17"/>
  <c r="Z27" i="17"/>
  <c r="Z27" i="11"/>
  <c r="T31" i="11"/>
  <c r="L166" i="15"/>
  <c r="N166" i="15" s="1"/>
  <c r="D276" i="15"/>
  <c r="J131" i="27"/>
  <c r="H135" i="27"/>
  <c r="D82" i="57"/>
  <c r="L78" i="57"/>
  <c r="N78" i="57" s="1"/>
  <c r="H339" i="3"/>
  <c r="J334" i="3"/>
  <c r="L27" i="32"/>
  <c r="D31" i="32"/>
  <c r="N27" i="26"/>
  <c r="H31" i="26"/>
  <c r="X38" i="39"/>
  <c r="Z38" i="39" s="1"/>
  <c r="P148" i="39"/>
  <c r="H86" i="79"/>
  <c r="N82" i="79"/>
  <c r="J82" i="79"/>
  <c r="P95" i="107"/>
  <c r="X23" i="107"/>
  <c r="Z23" i="107" s="1"/>
  <c r="T50" i="108"/>
  <c r="N27" i="22"/>
  <c r="H31" i="22"/>
  <c r="L22" i="82"/>
  <c r="N22" i="82" s="1"/>
  <c r="D28" i="82"/>
  <c r="T31" i="31"/>
  <c r="Z27" i="31"/>
  <c r="X23" i="100"/>
  <c r="Z23" i="100" s="1"/>
  <c r="P80" i="100"/>
  <c r="Z27" i="52"/>
  <c r="T31" i="52"/>
  <c r="F166" i="15"/>
  <c r="N33" i="55"/>
  <c r="H37" i="55"/>
  <c r="D100" i="87"/>
  <c r="L22" i="87"/>
  <c r="N22" i="87" s="1"/>
  <c r="T31" i="10"/>
  <c r="Z27" i="10"/>
  <c r="H93" i="94"/>
  <c r="J90" i="94"/>
  <c r="P86" i="79"/>
  <c r="X82" i="79"/>
  <c r="Z82" i="79" s="1"/>
  <c r="R82" i="79"/>
  <c r="N27" i="11"/>
  <c r="H31" i="11"/>
  <c r="J149" i="36"/>
  <c r="X27" i="10"/>
  <c r="P31" i="10"/>
  <c r="L27" i="37"/>
  <c r="D31" i="37"/>
  <c r="P106" i="45"/>
  <c r="X26" i="45"/>
  <c r="Z26" i="45" s="1"/>
  <c r="D72" i="67"/>
  <c r="L72" i="67" s="1"/>
  <c r="L69" i="67"/>
  <c r="N69" i="67" s="1"/>
  <c r="L22" i="106"/>
  <c r="N27" i="41"/>
  <c r="H31" i="41"/>
  <c r="P31" i="110"/>
  <c r="X27" i="110"/>
  <c r="H96" i="75"/>
  <c r="J92" i="75"/>
  <c r="T31" i="50"/>
  <c r="Z27" i="50"/>
  <c r="T293" i="12"/>
  <c r="V289" i="12"/>
  <c r="D31" i="6"/>
  <c r="L63" i="70"/>
  <c r="N63" i="70" s="1"/>
  <c r="D131" i="70"/>
  <c r="H89" i="93"/>
  <c r="J85" i="93"/>
  <c r="D85" i="93"/>
  <c r="L23" i="93"/>
  <c r="N23" i="93" s="1"/>
  <c r="T110" i="45"/>
  <c r="V106" i="45"/>
  <c r="D97" i="105"/>
  <c r="L93" i="105"/>
  <c r="N93" i="105" s="1"/>
  <c r="H70" i="80"/>
  <c r="J66" i="80"/>
  <c r="Z27" i="29"/>
  <c r="T31" i="29"/>
  <c r="P107" i="9"/>
  <c r="X103" i="9"/>
  <c r="Z103" i="9" s="1"/>
  <c r="H59" i="99"/>
  <c r="N27" i="25"/>
  <c r="H31" i="25"/>
  <c r="D29" i="106"/>
  <c r="L26" i="106"/>
  <c r="N27" i="10"/>
  <c r="H31" i="10"/>
  <c r="T66" i="61"/>
  <c r="X27" i="44"/>
  <c r="P31" i="44"/>
  <c r="J122" i="51"/>
  <c r="H119" i="76"/>
  <c r="J115" i="76"/>
  <c r="Z27" i="111"/>
  <c r="T31" i="111"/>
  <c r="D31" i="46"/>
  <c r="L27" i="46"/>
  <c r="L63" i="27"/>
  <c r="N63" i="27" s="1"/>
  <c r="D131" i="27"/>
  <c r="T149" i="36"/>
  <c r="V146" i="36"/>
  <c r="D101" i="101"/>
  <c r="L97" i="101"/>
  <c r="N97" i="101" s="1"/>
  <c r="X27" i="50"/>
  <c r="P31" i="50"/>
  <c r="H137" i="68"/>
  <c r="J134" i="68"/>
  <c r="T84" i="100"/>
  <c r="V80" i="100"/>
  <c r="N27" i="32"/>
  <c r="H31" i="32"/>
  <c r="H309" i="18"/>
  <c r="J305" i="18"/>
  <c r="L17" i="48"/>
  <c r="N17" i="48" s="1"/>
  <c r="D76" i="48"/>
  <c r="P84" i="58"/>
  <c r="F27" i="72"/>
  <c r="D103" i="95"/>
  <c r="L22" i="95"/>
  <c r="N22" i="95" s="1"/>
  <c r="H50" i="108"/>
  <c r="X27" i="28"/>
  <c r="P31" i="28"/>
  <c r="Z27" i="28"/>
  <c r="T31" i="28"/>
  <c r="T119" i="51"/>
  <c r="V115" i="51"/>
  <c r="T101" i="101"/>
  <c r="V97" i="101"/>
  <c r="X76" i="109"/>
  <c r="Z76" i="109" s="1"/>
  <c r="P80" i="109"/>
  <c r="R76" i="109"/>
  <c r="X27" i="47"/>
  <c r="P31" i="47"/>
  <c r="P157" i="30"/>
  <c r="X69" i="30"/>
  <c r="Z69" i="30" s="1"/>
  <c r="R23" i="104"/>
  <c r="V110" i="95"/>
  <c r="P31" i="23"/>
  <c r="X27" i="23"/>
  <c r="L27" i="50"/>
  <c r="D31" i="50"/>
  <c r="T115" i="63"/>
  <c r="P98" i="103"/>
  <c r="X94" i="103"/>
  <c r="R94" i="103"/>
  <c r="Z27" i="20"/>
  <c r="T31" i="20"/>
  <c r="T31" i="19"/>
  <c r="Z27" i="19"/>
  <c r="D144" i="24"/>
  <c r="L82" i="24"/>
  <c r="N82" i="24" s="1"/>
  <c r="F82" i="24"/>
  <c r="N27" i="49"/>
  <c r="H31" i="49"/>
  <c r="H152" i="39"/>
  <c r="J148" i="39"/>
  <c r="X27" i="111"/>
  <c r="P31" i="111"/>
  <c r="D66" i="60"/>
  <c r="L62" i="60"/>
  <c r="D31" i="25"/>
  <c r="L27" i="25"/>
  <c r="H31" i="35"/>
  <c r="N27" i="35"/>
  <c r="D142" i="36"/>
  <c r="L32" i="36"/>
  <c r="N32" i="36" s="1"/>
  <c r="H104" i="101"/>
  <c r="J101" i="101"/>
  <c r="Z27" i="38"/>
  <c r="T31" i="38"/>
  <c r="X65" i="67"/>
  <c r="Z65" i="67" s="1"/>
  <c r="H26" i="81"/>
  <c r="N22" i="81"/>
  <c r="P97" i="105"/>
  <c r="X93" i="105"/>
  <c r="Z93" i="105" s="1"/>
  <c r="R93" i="105"/>
  <c r="P89" i="93"/>
  <c r="X85" i="93"/>
  <c r="Z85" i="93" s="1"/>
  <c r="R85" i="93"/>
  <c r="H31" i="17"/>
  <c r="N27" i="17"/>
  <c r="P131" i="27"/>
  <c r="X63" i="27"/>
  <c r="Z63" i="27" s="1"/>
  <c r="L55" i="99"/>
  <c r="N55" i="99" s="1"/>
  <c r="D59" i="99"/>
  <c r="P26" i="106"/>
  <c r="X22" i="106"/>
  <c r="Z27" i="49"/>
  <c r="T31" i="49"/>
  <c r="L46" i="108"/>
  <c r="N46" i="108" s="1"/>
  <c r="D50" i="108"/>
  <c r="X22" i="54"/>
  <c r="P26" i="54"/>
  <c r="J72" i="104"/>
  <c r="T29" i="81"/>
  <c r="Z29" i="81" s="1"/>
  <c r="Z26" i="81"/>
  <c r="D115" i="63"/>
  <c r="L111" i="63"/>
  <c r="N111" i="63" s="1"/>
  <c r="X171" i="12"/>
  <c r="Z171" i="12" s="1"/>
  <c r="P289" i="12"/>
  <c r="L36" i="85"/>
  <c r="D39" i="85"/>
  <c r="T31" i="14"/>
  <c r="Z27" i="14"/>
  <c r="D31" i="53"/>
  <c r="L27" i="53"/>
  <c r="H280" i="15"/>
  <c r="J276" i="15"/>
  <c r="R69" i="30"/>
  <c r="L106" i="45"/>
  <c r="N106" i="45" s="1"/>
  <c r="D110" i="45"/>
  <c r="F106" i="45"/>
  <c r="Z53" i="98"/>
  <c r="T57" i="98"/>
  <c r="H26" i="54"/>
  <c r="N22" i="54"/>
  <c r="T37" i="55"/>
  <c r="Z33" i="55"/>
  <c r="L27" i="110"/>
  <c r="D31" i="110"/>
  <c r="D157" i="30"/>
  <c r="L69" i="30"/>
  <c r="N69" i="30" s="1"/>
  <c r="L42" i="33"/>
  <c r="N42" i="33" s="1"/>
  <c r="D110" i="33"/>
  <c r="L92" i="75"/>
  <c r="N92" i="75" s="1"/>
  <c r="D96" i="75"/>
  <c r="F92" i="75"/>
  <c r="P31" i="14"/>
  <c r="X27" i="14"/>
  <c r="N120" i="21"/>
  <c r="H124" i="21"/>
  <c r="J120" i="21"/>
  <c r="X22" i="82"/>
  <c r="Z22" i="82" s="1"/>
  <c r="P28" i="82"/>
  <c r="Z27" i="37"/>
  <c r="T31" i="37"/>
  <c r="Z27" i="22"/>
  <c r="T31" i="22"/>
  <c r="H89" i="56"/>
  <c r="Z27" i="7"/>
  <c r="T31" i="7"/>
  <c r="X27" i="40"/>
  <c r="P31" i="40"/>
  <c r="T83" i="69"/>
  <c r="V79" i="69"/>
  <c r="X27" i="38"/>
  <c r="P31" i="38"/>
  <c r="X27" i="52"/>
  <c r="P31" i="52"/>
  <c r="H81" i="58"/>
  <c r="N77" i="58"/>
  <c r="P26" i="81"/>
  <c r="X22" i="81"/>
  <c r="N22" i="6"/>
  <c r="H26" i="6"/>
  <c r="L26" i="6" s="1"/>
  <c r="T148" i="24"/>
  <c r="V144" i="24"/>
  <c r="X69" i="67"/>
  <c r="P72" i="67"/>
  <c r="X27" i="112"/>
  <c r="P31" i="112"/>
  <c r="L82" i="56"/>
  <c r="N82" i="56" s="1"/>
  <c r="D86" i="56"/>
  <c r="H134" i="84"/>
  <c r="J130" i="84"/>
  <c r="T59" i="99"/>
  <c r="Z55" i="99"/>
  <c r="P31" i="7"/>
  <c r="X27" i="7"/>
  <c r="X27" i="32"/>
  <c r="P31" i="32"/>
  <c r="T135" i="27"/>
  <c r="V131" i="27"/>
  <c r="T138" i="70"/>
  <c r="V135" i="70"/>
  <c r="R22" i="69"/>
  <c r="H99" i="107"/>
  <c r="J95" i="107"/>
  <c r="H141" i="42"/>
  <c r="J137" i="42"/>
  <c r="T31" i="5"/>
  <c r="Z27" i="5"/>
  <c r="L27" i="29"/>
  <c r="D31" i="29"/>
  <c r="L27" i="19"/>
  <c r="D31" i="19"/>
  <c r="T119" i="76"/>
  <c r="V115" i="76"/>
  <c r="T31" i="16"/>
  <c r="Z27" i="16"/>
  <c r="Z27" i="41"/>
  <c r="T31" i="41"/>
  <c r="H35" i="82"/>
  <c r="J32" i="82"/>
  <c r="N27" i="13"/>
  <c r="H31" i="13"/>
  <c r="L27" i="23"/>
  <c r="D31" i="23"/>
  <c r="L75" i="68"/>
  <c r="N75" i="68" s="1"/>
  <c r="D130" i="68"/>
  <c r="T69" i="104"/>
  <c r="V65" i="104"/>
  <c r="D31" i="35"/>
  <c r="L27" i="35"/>
  <c r="X54" i="73"/>
  <c r="Z54" i="73" s="1"/>
  <c r="P102" i="73"/>
  <c r="H84" i="100"/>
  <c r="J80" i="100"/>
  <c r="R23" i="107"/>
  <c r="X62" i="61"/>
  <c r="Z62" i="61" s="1"/>
  <c r="P66" i="61"/>
  <c r="T94" i="92"/>
  <c r="V90" i="92"/>
  <c r="D31" i="34"/>
  <c r="L27" i="34"/>
  <c r="N27" i="28"/>
  <c r="H31" i="28"/>
  <c r="P57" i="98"/>
  <c r="X53" i="98"/>
  <c r="R53" i="98"/>
  <c r="P31" i="37"/>
  <c r="X27" i="37"/>
  <c r="F63" i="27"/>
  <c r="H36" i="85"/>
  <c r="N32" i="85"/>
  <c r="J32" i="85"/>
  <c r="L23" i="88"/>
  <c r="N23" i="88" s="1"/>
  <c r="D88" i="88"/>
  <c r="Z27" i="23"/>
  <c r="T31" i="23"/>
  <c r="L22" i="54"/>
  <c r="N72" i="67"/>
  <c r="Z27" i="8"/>
  <c r="T31" i="8"/>
  <c r="T31" i="43"/>
  <c r="Z27" i="43"/>
  <c r="P137" i="42"/>
  <c r="X31" i="42"/>
  <c r="Z31" i="42" s="1"/>
  <c r="R31" i="42"/>
  <c r="X166" i="15"/>
  <c r="Z166" i="15" s="1"/>
  <c r="P276" i="15"/>
  <c r="D31" i="8"/>
  <c r="L27" i="8"/>
  <c r="D76" i="109"/>
  <c r="L17" i="109"/>
  <c r="N17" i="109" s="1"/>
  <c r="Z27" i="112"/>
  <c r="T31" i="112"/>
  <c r="L27" i="16"/>
  <c r="D31" i="16"/>
  <c r="D289" i="12"/>
  <c r="L171" i="12"/>
  <c r="N171" i="12" s="1"/>
  <c r="N27" i="112"/>
  <c r="H31" i="112"/>
  <c r="T96" i="75"/>
  <c r="V92" i="75"/>
  <c r="D31" i="17"/>
  <c r="L27" i="17"/>
  <c r="D31" i="112"/>
  <c r="L27" i="112"/>
  <c r="R38" i="39"/>
  <c r="X75" i="68"/>
  <c r="Z75" i="68" s="1"/>
  <c r="P130" i="68"/>
  <c r="R75" i="68"/>
  <c r="P90" i="92"/>
  <c r="X23" i="92"/>
  <c r="Z23" i="92" s="1"/>
  <c r="T26" i="106"/>
  <c r="Z22" i="106"/>
  <c r="L27" i="41"/>
  <c r="D31" i="41"/>
  <c r="D137" i="42"/>
  <c r="L31" i="42"/>
  <c r="N31" i="42" s="1"/>
  <c r="N27" i="53"/>
  <c r="H31" i="53"/>
  <c r="H31" i="16"/>
  <c r="N27" i="16"/>
  <c r="H31" i="50"/>
  <c r="N27" i="50"/>
  <c r="F22" i="82"/>
  <c r="P31" i="17"/>
  <c r="X27" i="17"/>
  <c r="N27" i="110"/>
  <c r="H31" i="110"/>
  <c r="L22" i="81"/>
  <c r="D26" i="81"/>
  <c r="L27" i="22"/>
  <c r="D31" i="22"/>
  <c r="D31" i="28"/>
  <c r="L27" i="28"/>
  <c r="L27" i="4"/>
  <c r="D31" i="4"/>
  <c r="D69" i="104"/>
  <c r="L65" i="104"/>
  <c r="N65" i="104" s="1"/>
  <c r="L26" i="54"/>
  <c r="D31" i="54"/>
  <c r="L75" i="78"/>
  <c r="N75" i="78" s="1"/>
  <c r="D79" i="78"/>
  <c r="F75" i="78"/>
  <c r="P123" i="74"/>
  <c r="X54" i="74"/>
  <c r="Z54" i="74" s="1"/>
  <c r="P36" i="85"/>
  <c r="X32" i="85"/>
  <c r="Z32" i="85" s="1"/>
  <c r="R32" i="85"/>
  <c r="D53" i="98"/>
  <c r="L20" i="98"/>
  <c r="P31" i="11"/>
  <c r="X27" i="11"/>
  <c r="L27" i="26"/>
  <c r="D31" i="26"/>
  <c r="X27" i="41"/>
  <c r="P31" i="41"/>
  <c r="N27" i="40"/>
  <c r="H31" i="40"/>
  <c r="Z22" i="54"/>
  <c r="T26" i="54"/>
  <c r="H31" i="43"/>
  <c r="N27" i="43"/>
  <c r="Z27" i="47"/>
  <c r="T31" i="47"/>
  <c r="L23" i="100"/>
  <c r="N23" i="100" s="1"/>
  <c r="D80" i="100"/>
  <c r="D31" i="38"/>
  <c r="L27" i="38"/>
  <c r="P142" i="36"/>
  <c r="X32" i="36"/>
  <c r="Z32" i="36" s="1"/>
  <c r="X27" i="29"/>
  <c r="P31" i="29"/>
  <c r="X27" i="25"/>
  <c r="P31" i="25"/>
  <c r="D99" i="107"/>
  <c r="L95" i="107"/>
  <c r="N95" i="107" s="1"/>
  <c r="T81" i="58"/>
  <c r="Z77" i="58"/>
  <c r="J105" i="97"/>
  <c r="X23" i="94"/>
  <c r="Z23" i="94" s="1"/>
  <c r="P86" i="94"/>
  <c r="T134" i="84"/>
  <c r="V130" i="84"/>
  <c r="N27" i="14"/>
  <c r="H31" i="14"/>
  <c r="P115" i="51"/>
  <c r="X57" i="51"/>
  <c r="Z57" i="51" s="1"/>
  <c r="T81" i="59"/>
  <c r="V78" i="59"/>
  <c r="P100" i="87"/>
  <c r="X22" i="87"/>
  <c r="Z22" i="87" s="1"/>
  <c r="T109" i="91"/>
  <c r="H80" i="109"/>
  <c r="J76" i="109"/>
  <c r="N27" i="38"/>
  <c r="H31" i="38"/>
  <c r="Z27" i="35"/>
  <c r="T31" i="35"/>
  <c r="T124" i="21"/>
  <c r="V120" i="21"/>
  <c r="T102" i="107"/>
  <c r="V99" i="107"/>
  <c r="T90" i="94"/>
  <c r="V86" i="94"/>
  <c r="V94" i="72"/>
  <c r="H161" i="30"/>
  <c r="J157" i="30"/>
  <c r="N62" i="60"/>
  <c r="H66" i="60"/>
  <c r="H91" i="72"/>
  <c r="J87" i="72"/>
  <c r="H31" i="37"/>
  <c r="N27" i="37"/>
  <c r="Z27" i="110"/>
  <c r="T31" i="110"/>
  <c r="D148" i="39"/>
  <c r="L38" i="39"/>
  <c r="N38" i="39" s="1"/>
  <c r="D31" i="40"/>
  <c r="L27" i="40"/>
  <c r="P130" i="84"/>
  <c r="X54" i="84"/>
  <c r="Z54" i="84" s="1"/>
  <c r="N102" i="91"/>
  <c r="H106" i="91"/>
  <c r="Z27" i="32"/>
  <c r="T31" i="32"/>
  <c r="X37" i="55"/>
  <c r="P40" i="55"/>
  <c r="P75" i="78"/>
  <c r="X28" i="78"/>
  <c r="Z28" i="78" s="1"/>
  <c r="D98" i="103"/>
  <c r="L94" i="103"/>
  <c r="N94" i="103" s="1"/>
  <c r="F94" i="103"/>
  <c r="N27" i="19"/>
  <c r="H31" i="19"/>
  <c r="N103" i="9"/>
  <c r="H107" i="9"/>
  <c r="D115" i="51"/>
  <c r="L57" i="51"/>
  <c r="N57" i="51" s="1"/>
  <c r="T102" i="97"/>
  <c r="V98" i="97"/>
  <c r="Z94" i="103"/>
  <c r="T98" i="103"/>
  <c r="V94" i="103"/>
  <c r="P39" i="85" l="1"/>
  <c r="X36" i="85"/>
  <c r="Z36" i="85" s="1"/>
  <c r="R36" i="85"/>
  <c r="T138" i="27"/>
  <c r="V135" i="27"/>
  <c r="L148" i="39"/>
  <c r="N148" i="39" s="1"/>
  <c r="D152" i="39"/>
  <c r="F148" i="39"/>
  <c r="T127" i="21"/>
  <c r="V124" i="21"/>
  <c r="X100" i="87"/>
  <c r="Z100" i="87" s="1"/>
  <c r="P104" i="87"/>
  <c r="R100" i="87"/>
  <c r="X142" i="36"/>
  <c r="Z142" i="36" s="1"/>
  <c r="P146" i="36"/>
  <c r="R142" i="36"/>
  <c r="D36" i="28"/>
  <c r="L31" i="28"/>
  <c r="X102" i="73"/>
  <c r="Z102" i="73" s="1"/>
  <c r="P106" i="73"/>
  <c r="R102" i="73"/>
  <c r="P36" i="32"/>
  <c r="X31" i="32"/>
  <c r="X31" i="52"/>
  <c r="P36" i="52"/>
  <c r="N124" i="21"/>
  <c r="H127" i="21"/>
  <c r="J124" i="21"/>
  <c r="L110" i="45"/>
  <c r="D113" i="45"/>
  <c r="F110" i="45"/>
  <c r="P293" i="12"/>
  <c r="X289" i="12"/>
  <c r="Z289" i="12" s="1"/>
  <c r="R289" i="12"/>
  <c r="Z31" i="49"/>
  <c r="T36" i="49"/>
  <c r="Z36" i="49" s="1"/>
  <c r="X89" i="93"/>
  <c r="Z89" i="93" s="1"/>
  <c r="P92" i="93"/>
  <c r="R89" i="93"/>
  <c r="T122" i="51"/>
  <c r="V119" i="51"/>
  <c r="L76" i="48"/>
  <c r="N76" i="48" s="1"/>
  <c r="D80" i="48"/>
  <c r="F76" i="48"/>
  <c r="L131" i="27"/>
  <c r="N131" i="27" s="1"/>
  <c r="D135" i="27"/>
  <c r="F131" i="27"/>
  <c r="N86" i="79"/>
  <c r="H89" i="79"/>
  <c r="J86" i="79"/>
  <c r="H138" i="27"/>
  <c r="J135" i="27"/>
  <c r="D73" i="80"/>
  <c r="L70" i="80"/>
  <c r="P118" i="63"/>
  <c r="X115" i="63"/>
  <c r="N31" i="46"/>
  <c r="H36" i="46"/>
  <c r="N36" i="46" s="1"/>
  <c r="L37" i="55"/>
  <c r="D40" i="55"/>
  <c r="V339" i="3"/>
  <c r="Z31" i="34"/>
  <c r="T36" i="34"/>
  <c r="Z36" i="34" s="1"/>
  <c r="X31" i="46"/>
  <c r="P36" i="46"/>
  <c r="L102" i="97"/>
  <c r="N102" i="97" s="1"/>
  <c r="D105" i="97"/>
  <c r="L105" i="97" s="1"/>
  <c r="N105" i="97" s="1"/>
  <c r="T137" i="68"/>
  <c r="V134" i="68"/>
  <c r="N31" i="23"/>
  <c r="H36" i="23"/>
  <c r="N36" i="23" s="1"/>
  <c r="D36" i="5"/>
  <c r="L31" i="5"/>
  <c r="N31" i="31"/>
  <c r="H36" i="31"/>
  <c r="N36" i="31" s="1"/>
  <c r="N31" i="20"/>
  <c r="H36" i="20"/>
  <c r="N36" i="20" s="1"/>
  <c r="H84" i="58"/>
  <c r="D134" i="84"/>
  <c r="L130" i="84"/>
  <c r="N130" i="84" s="1"/>
  <c r="T69" i="60"/>
  <c r="T36" i="4"/>
  <c r="Z36" i="4" s="1"/>
  <c r="Z31" i="4"/>
  <c r="D119" i="51"/>
  <c r="L115" i="51"/>
  <c r="N115" i="51" s="1"/>
  <c r="F115" i="51"/>
  <c r="Z31" i="32"/>
  <c r="T36" i="32"/>
  <c r="Z36" i="32" s="1"/>
  <c r="Z31" i="110"/>
  <c r="T36" i="110"/>
  <c r="Z36" i="110" s="1"/>
  <c r="X31" i="41"/>
  <c r="P36" i="41"/>
  <c r="P127" i="74"/>
  <c r="X123" i="74"/>
  <c r="Z123" i="74" s="1"/>
  <c r="R123" i="74"/>
  <c r="L31" i="22"/>
  <c r="D36" i="22"/>
  <c r="H36" i="16"/>
  <c r="N36" i="16" s="1"/>
  <c r="N31" i="16"/>
  <c r="P134" i="68"/>
  <c r="X130" i="68"/>
  <c r="Z130" i="68" s="1"/>
  <c r="R130" i="68"/>
  <c r="X276" i="15"/>
  <c r="Z276" i="15" s="1"/>
  <c r="P280" i="15"/>
  <c r="R276" i="15"/>
  <c r="H144" i="42"/>
  <c r="J141" i="42"/>
  <c r="X72" i="67"/>
  <c r="D146" i="36"/>
  <c r="L142" i="36"/>
  <c r="N142" i="36" s="1"/>
  <c r="F142" i="36"/>
  <c r="H155" i="39"/>
  <c r="J152" i="39"/>
  <c r="X157" i="30"/>
  <c r="Z157" i="30" s="1"/>
  <c r="P161" i="30"/>
  <c r="R157" i="30"/>
  <c r="Z31" i="28"/>
  <c r="T36" i="28"/>
  <c r="Z36" i="28" s="1"/>
  <c r="J137" i="68"/>
  <c r="X31" i="110"/>
  <c r="P36" i="110"/>
  <c r="T36" i="31"/>
  <c r="Z36" i="31" s="1"/>
  <c r="Z31" i="31"/>
  <c r="X148" i="39"/>
  <c r="Z148" i="39" s="1"/>
  <c r="P152" i="39"/>
  <c r="R148" i="39"/>
  <c r="X69" i="60"/>
  <c r="H81" i="59"/>
  <c r="D36" i="10"/>
  <c r="L31" i="10"/>
  <c r="T82" i="78"/>
  <c r="V79" i="78"/>
  <c r="Z31" i="26"/>
  <c r="T36" i="26"/>
  <c r="Z36" i="26" s="1"/>
  <c r="N31" i="34"/>
  <c r="H36" i="34"/>
  <c r="N36" i="34" s="1"/>
  <c r="N94" i="92"/>
  <c r="H97" i="92"/>
  <c r="J94" i="92"/>
  <c r="Z31" i="53"/>
  <c r="T36" i="53"/>
  <c r="Z36" i="53" s="1"/>
  <c r="D119" i="76"/>
  <c r="L115" i="76"/>
  <c r="N115" i="76" s="1"/>
  <c r="F115" i="76"/>
  <c r="H109" i="73"/>
  <c r="J106" i="73"/>
  <c r="N31" i="112"/>
  <c r="H36" i="112"/>
  <c r="N36" i="112" s="1"/>
  <c r="X31" i="112"/>
  <c r="P36" i="112"/>
  <c r="J104" i="101"/>
  <c r="P36" i="44"/>
  <c r="X31" i="44"/>
  <c r="H110" i="9"/>
  <c r="Z31" i="35"/>
  <c r="T36" i="35"/>
  <c r="Z36" i="35" s="1"/>
  <c r="D36" i="38"/>
  <c r="L31" i="38"/>
  <c r="N31" i="53"/>
  <c r="H36" i="53"/>
  <c r="N36" i="53" s="1"/>
  <c r="L289" i="12"/>
  <c r="N289" i="12" s="1"/>
  <c r="D293" i="12"/>
  <c r="F289" i="12"/>
  <c r="Z31" i="23"/>
  <c r="T36" i="23"/>
  <c r="Z36" i="23" s="1"/>
  <c r="D36" i="34"/>
  <c r="L31" i="34"/>
  <c r="T122" i="76"/>
  <c r="V119" i="76"/>
  <c r="X31" i="38"/>
  <c r="P36" i="38"/>
  <c r="D161" i="30"/>
  <c r="L157" i="30"/>
  <c r="N157" i="30" s="1"/>
  <c r="F157" i="30"/>
  <c r="P101" i="103"/>
  <c r="X98" i="103"/>
  <c r="R98" i="103"/>
  <c r="X31" i="47"/>
  <c r="P36" i="47"/>
  <c r="T69" i="61"/>
  <c r="P110" i="9"/>
  <c r="X110" i="9" s="1"/>
  <c r="X107" i="9"/>
  <c r="Z107" i="9" s="1"/>
  <c r="N31" i="41"/>
  <c r="H36" i="41"/>
  <c r="N36" i="41" s="1"/>
  <c r="D32" i="82"/>
  <c r="L28" i="82"/>
  <c r="N28" i="82" s="1"/>
  <c r="F28" i="82"/>
  <c r="D110" i="9"/>
  <c r="L110" i="9" s="1"/>
  <c r="L107" i="9"/>
  <c r="N107" i="9" s="1"/>
  <c r="X66" i="60"/>
  <c r="Z66" i="60" s="1"/>
  <c r="P36" i="13"/>
  <c r="X31" i="13"/>
  <c r="T107" i="87"/>
  <c r="V104" i="87"/>
  <c r="L31" i="49"/>
  <c r="D36" i="49"/>
  <c r="Z31" i="46"/>
  <c r="T36" i="46"/>
  <c r="Z36" i="46" s="1"/>
  <c r="X59" i="99"/>
  <c r="P62" i="99"/>
  <c r="T36" i="44"/>
  <c r="Z36" i="44" s="1"/>
  <c r="Z31" i="44"/>
  <c r="T164" i="30"/>
  <c r="V161" i="30"/>
  <c r="T73" i="80"/>
  <c r="V70" i="80"/>
  <c r="Z31" i="25"/>
  <c r="T36" i="25"/>
  <c r="Z36" i="25" s="1"/>
  <c r="D309" i="18"/>
  <c r="L305" i="18"/>
  <c r="N305" i="18" s="1"/>
  <c r="F305" i="18"/>
  <c r="H87" i="100"/>
  <c r="J84" i="100"/>
  <c r="L31" i="47"/>
  <c r="D36" i="47"/>
  <c r="H296" i="12"/>
  <c r="J293" i="12"/>
  <c r="Z81" i="59"/>
  <c r="V81" i="59"/>
  <c r="L31" i="26"/>
  <c r="D36" i="26"/>
  <c r="D82" i="78"/>
  <c r="L79" i="78"/>
  <c r="F79" i="78"/>
  <c r="L26" i="81"/>
  <c r="D29" i="81"/>
  <c r="L31" i="16"/>
  <c r="D36" i="16"/>
  <c r="P36" i="37"/>
  <c r="X31" i="37"/>
  <c r="D36" i="35"/>
  <c r="L31" i="35"/>
  <c r="L31" i="19"/>
  <c r="D36" i="19"/>
  <c r="P36" i="7"/>
  <c r="X31" i="7"/>
  <c r="P36" i="14"/>
  <c r="X31" i="14"/>
  <c r="L31" i="110"/>
  <c r="D36" i="110"/>
  <c r="D118" i="63"/>
  <c r="L115" i="63"/>
  <c r="N115" i="63" s="1"/>
  <c r="X26" i="106"/>
  <c r="P29" i="106"/>
  <c r="P100" i="105"/>
  <c r="X97" i="105"/>
  <c r="R97" i="105"/>
  <c r="H36" i="35"/>
  <c r="N36" i="35" s="1"/>
  <c r="N31" i="35"/>
  <c r="N31" i="49"/>
  <c r="H36" i="49"/>
  <c r="N36" i="49" s="1"/>
  <c r="T118" i="63"/>
  <c r="Z115" i="63"/>
  <c r="X31" i="28"/>
  <c r="P36" i="28"/>
  <c r="X31" i="50"/>
  <c r="P36" i="50"/>
  <c r="D36" i="46"/>
  <c r="L31" i="46"/>
  <c r="N31" i="10"/>
  <c r="H36" i="10"/>
  <c r="N36" i="10" s="1"/>
  <c r="Z31" i="29"/>
  <c r="T36" i="29"/>
  <c r="Z36" i="29" s="1"/>
  <c r="T113" i="45"/>
  <c r="V110" i="45"/>
  <c r="J93" i="94"/>
  <c r="N31" i="26"/>
  <c r="H36" i="26"/>
  <c r="N36" i="26" s="1"/>
  <c r="D280" i="15"/>
  <c r="L276" i="15"/>
  <c r="N276" i="15" s="1"/>
  <c r="F276" i="15"/>
  <c r="X31" i="49"/>
  <c r="P36" i="49"/>
  <c r="L31" i="13"/>
  <c r="D36" i="13"/>
  <c r="H36" i="4"/>
  <c r="N36" i="4" s="1"/>
  <c r="N31" i="4"/>
  <c r="H36" i="8"/>
  <c r="N36" i="8" s="1"/>
  <c r="N31" i="8"/>
  <c r="L86" i="79"/>
  <c r="D89" i="79"/>
  <c r="L89" i="79" s="1"/>
  <c r="P36" i="4"/>
  <c r="X31" i="4"/>
  <c r="T36" i="40"/>
  <c r="Z36" i="40" s="1"/>
  <c r="Z31" i="40"/>
  <c r="L86" i="94"/>
  <c r="N86" i="94" s="1"/>
  <c r="D90" i="94"/>
  <c r="V144" i="42"/>
  <c r="X92" i="88"/>
  <c r="P95" i="88"/>
  <c r="R92" i="88"/>
  <c r="X31" i="16"/>
  <c r="P36" i="16"/>
  <c r="Z110" i="9"/>
  <c r="V110" i="9"/>
  <c r="T105" i="97"/>
  <c r="V102" i="97"/>
  <c r="X31" i="10"/>
  <c r="P36" i="10"/>
  <c r="X31" i="43"/>
  <c r="P36" i="43"/>
  <c r="H109" i="91"/>
  <c r="D84" i="100"/>
  <c r="L80" i="100"/>
  <c r="N80" i="100" s="1"/>
  <c r="N31" i="19"/>
  <c r="H36" i="19"/>
  <c r="N36" i="19" s="1"/>
  <c r="H36" i="37"/>
  <c r="N36" i="37" s="1"/>
  <c r="N31" i="37"/>
  <c r="N31" i="38"/>
  <c r="H36" i="38"/>
  <c r="N36" i="38" s="1"/>
  <c r="T84" i="58"/>
  <c r="X84" i="58" s="1"/>
  <c r="D92" i="88"/>
  <c r="L88" i="88"/>
  <c r="N88" i="88" s="1"/>
  <c r="H102" i="107"/>
  <c r="N99" i="107"/>
  <c r="J99" i="107"/>
  <c r="H283" i="15"/>
  <c r="J280" i="15"/>
  <c r="L59" i="99"/>
  <c r="D62" i="99"/>
  <c r="H312" i="18"/>
  <c r="J309" i="18"/>
  <c r="Z31" i="111"/>
  <c r="T36" i="111"/>
  <c r="Z36" i="111" s="1"/>
  <c r="T296" i="12"/>
  <c r="V293" i="12"/>
  <c r="N31" i="22"/>
  <c r="H36" i="22"/>
  <c r="N36" i="22" s="1"/>
  <c r="P102" i="97"/>
  <c r="X98" i="97"/>
  <c r="Z98" i="97" s="1"/>
  <c r="R98" i="97"/>
  <c r="H151" i="24"/>
  <c r="J148" i="24"/>
  <c r="J83" i="48"/>
  <c r="V83" i="48"/>
  <c r="H118" i="63"/>
  <c r="T83" i="109"/>
  <c r="V80" i="109"/>
  <c r="P124" i="21"/>
  <c r="X120" i="21"/>
  <c r="Z120" i="21" s="1"/>
  <c r="R120" i="21"/>
  <c r="N31" i="29"/>
  <c r="H36" i="29"/>
  <c r="N36" i="29" s="1"/>
  <c r="N31" i="52"/>
  <c r="H36" i="52"/>
  <c r="N36" i="52" s="1"/>
  <c r="L81" i="58"/>
  <c r="N81" i="58" s="1"/>
  <c r="D84" i="58"/>
  <c r="L84" i="58" s="1"/>
  <c r="P69" i="104"/>
  <c r="X65" i="104"/>
  <c r="Z65" i="104" s="1"/>
  <c r="R65" i="104"/>
  <c r="P94" i="92"/>
  <c r="X90" i="92"/>
  <c r="Z90" i="92" s="1"/>
  <c r="R90" i="92"/>
  <c r="Z31" i="112"/>
  <c r="T36" i="112"/>
  <c r="Z36" i="112" s="1"/>
  <c r="J35" i="82"/>
  <c r="T151" i="24"/>
  <c r="V148" i="24"/>
  <c r="T86" i="69"/>
  <c r="V83" i="69"/>
  <c r="T36" i="22"/>
  <c r="Z36" i="22" s="1"/>
  <c r="Z31" i="22"/>
  <c r="N26" i="81"/>
  <c r="H29" i="81"/>
  <c r="N29" i="81" s="1"/>
  <c r="D36" i="25"/>
  <c r="L31" i="25"/>
  <c r="L31" i="50"/>
  <c r="D36" i="50"/>
  <c r="P83" i="109"/>
  <c r="X80" i="109"/>
  <c r="Z80" i="109" s="1"/>
  <c r="R80" i="109"/>
  <c r="N31" i="32"/>
  <c r="H36" i="32"/>
  <c r="N36" i="32" s="1"/>
  <c r="L85" i="93"/>
  <c r="N85" i="93" s="1"/>
  <c r="D89" i="93"/>
  <c r="N31" i="11"/>
  <c r="H36" i="11"/>
  <c r="N36" i="11" s="1"/>
  <c r="L31" i="32"/>
  <c r="D36" i="32"/>
  <c r="Z31" i="11"/>
  <c r="T36" i="11"/>
  <c r="Z36" i="11" s="1"/>
  <c r="X31" i="8"/>
  <c r="P36" i="8"/>
  <c r="P101" i="101"/>
  <c r="X97" i="101"/>
  <c r="Z97" i="101" s="1"/>
  <c r="R97" i="101"/>
  <c r="H107" i="87"/>
  <c r="J104" i="87"/>
  <c r="X114" i="33"/>
  <c r="P117" i="33"/>
  <c r="R114" i="33"/>
  <c r="D36" i="20"/>
  <c r="L31" i="20"/>
  <c r="D36" i="52"/>
  <c r="L31" i="52"/>
  <c r="N31" i="47"/>
  <c r="H36" i="47"/>
  <c r="N36" i="47" s="1"/>
  <c r="L330" i="3"/>
  <c r="N330" i="3" s="1"/>
  <c r="D334" i="3"/>
  <c r="F330" i="3"/>
  <c r="D106" i="73"/>
  <c r="L102" i="73"/>
  <c r="N102" i="73" s="1"/>
  <c r="F102" i="73"/>
  <c r="X31" i="35"/>
  <c r="P36" i="35"/>
  <c r="H36" i="40"/>
  <c r="N36" i="40" s="1"/>
  <c r="N31" i="40"/>
  <c r="D114" i="33"/>
  <c r="L110" i="33"/>
  <c r="N110" i="33" s="1"/>
  <c r="F110" i="33"/>
  <c r="P89" i="79"/>
  <c r="X86" i="79"/>
  <c r="R86" i="79"/>
  <c r="L31" i="14"/>
  <c r="D36" i="14"/>
  <c r="T93" i="94"/>
  <c r="V90" i="94"/>
  <c r="P141" i="42"/>
  <c r="X137" i="42"/>
  <c r="Z137" i="42" s="1"/>
  <c r="R137" i="42"/>
  <c r="T62" i="99"/>
  <c r="Z59" i="99"/>
  <c r="X130" i="84"/>
  <c r="Z130" i="84" s="1"/>
  <c r="P134" i="84"/>
  <c r="R130" i="84"/>
  <c r="N31" i="14"/>
  <c r="H36" i="14"/>
  <c r="N36" i="14" s="1"/>
  <c r="D102" i="107"/>
  <c r="L102" i="107" s="1"/>
  <c r="L99" i="107"/>
  <c r="P36" i="11"/>
  <c r="X31" i="11"/>
  <c r="D36" i="41"/>
  <c r="L31" i="41"/>
  <c r="P60" i="98"/>
  <c r="X57" i="98"/>
  <c r="R57" i="98"/>
  <c r="X66" i="61"/>
  <c r="Z66" i="61" s="1"/>
  <c r="P69" i="61"/>
  <c r="T72" i="104"/>
  <c r="V69" i="104"/>
  <c r="Z31" i="41"/>
  <c r="T36" i="41"/>
  <c r="Z36" i="41" s="1"/>
  <c r="N26" i="6"/>
  <c r="H31" i="6"/>
  <c r="L31" i="6" s="1"/>
  <c r="Z37" i="55"/>
  <c r="T40" i="55"/>
  <c r="X40" i="55" s="1"/>
  <c r="H53" i="108"/>
  <c r="D104" i="101"/>
  <c r="L104" i="101" s="1"/>
  <c r="N104" i="101" s="1"/>
  <c r="L101" i="101"/>
  <c r="N101" i="101" s="1"/>
  <c r="T36" i="50"/>
  <c r="Z36" i="50" s="1"/>
  <c r="Z31" i="50"/>
  <c r="T36" i="10"/>
  <c r="Z36" i="10" s="1"/>
  <c r="Z31" i="10"/>
  <c r="Z31" i="52"/>
  <c r="T36" i="52"/>
  <c r="Z36" i="52" s="1"/>
  <c r="Z69" i="67"/>
  <c r="T72" i="67"/>
  <c r="L124" i="21"/>
  <c r="D127" i="21"/>
  <c r="F124" i="21"/>
  <c r="L83" i="69"/>
  <c r="N83" i="69" s="1"/>
  <c r="D86" i="69"/>
  <c r="L86" i="69" s="1"/>
  <c r="N86" i="69" s="1"/>
  <c r="P89" i="56"/>
  <c r="X89" i="56" s="1"/>
  <c r="X86" i="56"/>
  <c r="Z86" i="56" s="1"/>
  <c r="H130" i="74"/>
  <c r="J127" i="74"/>
  <c r="L31" i="43"/>
  <c r="D36" i="43"/>
  <c r="X31" i="26"/>
  <c r="P36" i="26"/>
  <c r="V92" i="93"/>
  <c r="N31" i="13"/>
  <c r="H36" i="13"/>
  <c r="N36" i="13" s="1"/>
  <c r="D127" i="74"/>
  <c r="L123" i="74"/>
  <c r="N123" i="74" s="1"/>
  <c r="F123" i="74"/>
  <c r="T155" i="39"/>
  <c r="V152" i="39"/>
  <c r="D36" i="112"/>
  <c r="L31" i="112"/>
  <c r="Z98" i="103"/>
  <c r="T101" i="103"/>
  <c r="V98" i="103"/>
  <c r="D36" i="17"/>
  <c r="L31" i="17"/>
  <c r="T36" i="43"/>
  <c r="Z36" i="43" s="1"/>
  <c r="Z31" i="43"/>
  <c r="L130" i="68"/>
  <c r="N130" i="68" s="1"/>
  <c r="D134" i="68"/>
  <c r="L31" i="29"/>
  <c r="D36" i="29"/>
  <c r="Z31" i="37"/>
  <c r="T36" i="37"/>
  <c r="Z36" i="37" s="1"/>
  <c r="L96" i="75"/>
  <c r="D99" i="75"/>
  <c r="F96" i="75"/>
  <c r="D36" i="53"/>
  <c r="L31" i="53"/>
  <c r="P135" i="27"/>
  <c r="X131" i="27"/>
  <c r="Z131" i="27" s="1"/>
  <c r="R131" i="27"/>
  <c r="Z31" i="38"/>
  <c r="T36" i="38"/>
  <c r="Z36" i="38" s="1"/>
  <c r="D69" i="60"/>
  <c r="L69" i="60" s="1"/>
  <c r="L66" i="60"/>
  <c r="N66" i="60" s="1"/>
  <c r="L144" i="24"/>
  <c r="N144" i="24" s="1"/>
  <c r="D148" i="24"/>
  <c r="F144" i="24"/>
  <c r="H122" i="76"/>
  <c r="J119" i="76"/>
  <c r="N31" i="25"/>
  <c r="H36" i="25"/>
  <c r="N36" i="25" s="1"/>
  <c r="H73" i="80"/>
  <c r="N70" i="80"/>
  <c r="J70" i="80"/>
  <c r="H92" i="93"/>
  <c r="J89" i="93"/>
  <c r="T53" i="108"/>
  <c r="X107" i="95"/>
  <c r="Z107" i="95" s="1"/>
  <c r="P110" i="95"/>
  <c r="R107" i="95"/>
  <c r="N79" i="78"/>
  <c r="H82" i="78"/>
  <c r="J79" i="78"/>
  <c r="D36" i="7"/>
  <c r="L31" i="7"/>
  <c r="T100" i="105"/>
  <c r="Z97" i="105"/>
  <c r="V97" i="105"/>
  <c r="P119" i="76"/>
  <c r="X115" i="76"/>
  <c r="Z115" i="76" s="1"/>
  <c r="R115" i="76"/>
  <c r="H36" i="44"/>
  <c r="N36" i="44" s="1"/>
  <c r="N31" i="44"/>
  <c r="P36" i="19"/>
  <c r="X31" i="19"/>
  <c r="X78" i="59"/>
  <c r="Z78" i="59" s="1"/>
  <c r="P81" i="59"/>
  <c r="X81" i="59" s="1"/>
  <c r="Z114" i="33"/>
  <c r="T117" i="33"/>
  <c r="V114" i="33"/>
  <c r="Z86" i="79"/>
  <c r="T89" i="79"/>
  <c r="V86" i="79"/>
  <c r="H29" i="106"/>
  <c r="N29" i="106" s="1"/>
  <c r="N26" i="106"/>
  <c r="D109" i="91"/>
  <c r="L109" i="91" s="1"/>
  <c r="L106" i="91"/>
  <c r="N106" i="91" s="1"/>
  <c r="H138" i="70"/>
  <c r="J135" i="70"/>
  <c r="H36" i="50"/>
  <c r="N36" i="50" s="1"/>
  <c r="N31" i="50"/>
  <c r="D85" i="57"/>
  <c r="L85" i="57" s="1"/>
  <c r="N85" i="57" s="1"/>
  <c r="L82" i="57"/>
  <c r="N82" i="57" s="1"/>
  <c r="P119" i="51"/>
  <c r="X115" i="51"/>
  <c r="Z115" i="51" s="1"/>
  <c r="R115" i="51"/>
  <c r="D141" i="42"/>
  <c r="L137" i="42"/>
  <c r="N137" i="42" s="1"/>
  <c r="H94" i="72"/>
  <c r="J91" i="72"/>
  <c r="L98" i="103"/>
  <c r="N98" i="103" s="1"/>
  <c r="D101" i="103"/>
  <c r="F98" i="103"/>
  <c r="D36" i="40"/>
  <c r="L31" i="40"/>
  <c r="H69" i="60"/>
  <c r="H83" i="109"/>
  <c r="J80" i="109"/>
  <c r="H36" i="43"/>
  <c r="N36" i="43" s="1"/>
  <c r="N31" i="43"/>
  <c r="D57" i="98"/>
  <c r="L53" i="98"/>
  <c r="D72" i="104"/>
  <c r="L72" i="104" s="1"/>
  <c r="N72" i="104" s="1"/>
  <c r="L69" i="104"/>
  <c r="N69" i="104" s="1"/>
  <c r="P36" i="17"/>
  <c r="X31" i="17"/>
  <c r="D80" i="109"/>
  <c r="L76" i="109"/>
  <c r="N76" i="109" s="1"/>
  <c r="F76" i="109"/>
  <c r="Z31" i="8"/>
  <c r="T36" i="8"/>
  <c r="Z36" i="8" s="1"/>
  <c r="N36" i="85"/>
  <c r="H39" i="85"/>
  <c r="L39" i="85" s="1"/>
  <c r="J36" i="85"/>
  <c r="V138" i="70"/>
  <c r="H137" i="84"/>
  <c r="J134" i="84"/>
  <c r="H31" i="54"/>
  <c r="N26" i="54"/>
  <c r="X26" i="54"/>
  <c r="P31" i="54"/>
  <c r="X31" i="54" s="1"/>
  <c r="X31" i="111"/>
  <c r="P36" i="111"/>
  <c r="P36" i="23"/>
  <c r="X31" i="23"/>
  <c r="D107" i="95"/>
  <c r="L103" i="95"/>
  <c r="N103" i="95" s="1"/>
  <c r="T87" i="100"/>
  <c r="V84" i="100"/>
  <c r="X106" i="45"/>
  <c r="Z106" i="45" s="1"/>
  <c r="P110" i="45"/>
  <c r="R106" i="45"/>
  <c r="P84" i="100"/>
  <c r="X80" i="100"/>
  <c r="Z80" i="100" s="1"/>
  <c r="R80" i="100"/>
  <c r="J339" i="3"/>
  <c r="L68" i="102"/>
  <c r="D71" i="102"/>
  <c r="L71" i="102" s="1"/>
  <c r="X31" i="53"/>
  <c r="P36" i="53"/>
  <c r="H36" i="111"/>
  <c r="N36" i="111" s="1"/>
  <c r="N31" i="111"/>
  <c r="D36" i="11"/>
  <c r="L31" i="11"/>
  <c r="D36" i="44"/>
  <c r="L31" i="44"/>
  <c r="X31" i="34"/>
  <c r="P36" i="34"/>
  <c r="D36" i="111"/>
  <c r="L31" i="111"/>
  <c r="X131" i="70"/>
  <c r="Z131" i="70" s="1"/>
  <c r="P135" i="70"/>
  <c r="R131" i="70"/>
  <c r="N110" i="45"/>
  <c r="H113" i="45"/>
  <c r="J110" i="45"/>
  <c r="N68" i="102"/>
  <c r="H71" i="102"/>
  <c r="X80" i="48"/>
  <c r="Z80" i="48" s="1"/>
  <c r="P83" i="48"/>
  <c r="R80" i="48"/>
  <c r="Z89" i="56"/>
  <c r="X31" i="20"/>
  <c r="P36" i="20"/>
  <c r="X305" i="18"/>
  <c r="Z305" i="18" s="1"/>
  <c r="P309" i="18"/>
  <c r="R305" i="18"/>
  <c r="X31" i="5"/>
  <c r="P36" i="5"/>
  <c r="L87" i="72"/>
  <c r="N87" i="72" s="1"/>
  <c r="D91" i="72"/>
  <c r="F87" i="72"/>
  <c r="P36" i="31"/>
  <c r="X31" i="31"/>
  <c r="H164" i="30"/>
  <c r="J161" i="30"/>
  <c r="N37" i="55"/>
  <c r="H40" i="55"/>
  <c r="T130" i="74"/>
  <c r="V127" i="74"/>
  <c r="Z31" i="47"/>
  <c r="T36" i="47"/>
  <c r="Z36" i="47" s="1"/>
  <c r="V102" i="107"/>
  <c r="Z109" i="91"/>
  <c r="X31" i="29"/>
  <c r="P36" i="29"/>
  <c r="T31" i="54"/>
  <c r="Z26" i="54"/>
  <c r="L31" i="4"/>
  <c r="D36" i="4"/>
  <c r="Z26" i="106"/>
  <c r="T29" i="106"/>
  <c r="Z29" i="106" s="1"/>
  <c r="T99" i="75"/>
  <c r="V96" i="75"/>
  <c r="N31" i="28"/>
  <c r="H36" i="28"/>
  <c r="N36" i="28" s="1"/>
  <c r="L31" i="23"/>
  <c r="D36" i="23"/>
  <c r="Z31" i="16"/>
  <c r="T36" i="16"/>
  <c r="Z36" i="16" s="1"/>
  <c r="D89" i="56"/>
  <c r="L89" i="56" s="1"/>
  <c r="N89" i="56" s="1"/>
  <c r="L86" i="56"/>
  <c r="N86" i="56" s="1"/>
  <c r="P29" i="81"/>
  <c r="X29" i="81" s="1"/>
  <c r="X26" i="81"/>
  <c r="X31" i="40"/>
  <c r="P36" i="40"/>
  <c r="X28" i="82"/>
  <c r="Z28" i="82" s="1"/>
  <c r="P32" i="82"/>
  <c r="R28" i="82"/>
  <c r="Z57" i="98"/>
  <c r="T60" i="98"/>
  <c r="Z60" i="98" s="1"/>
  <c r="T36" i="14"/>
  <c r="Z36" i="14" s="1"/>
  <c r="Z31" i="14"/>
  <c r="H36" i="17"/>
  <c r="N36" i="17" s="1"/>
  <c r="N31" i="17"/>
  <c r="T36" i="19"/>
  <c r="Z36" i="19" s="1"/>
  <c r="Z31" i="19"/>
  <c r="T104" i="101"/>
  <c r="V101" i="101"/>
  <c r="N59" i="99"/>
  <c r="H62" i="99"/>
  <c r="L97" i="105"/>
  <c r="N97" i="105" s="1"/>
  <c r="D100" i="105"/>
  <c r="L100" i="105" s="1"/>
  <c r="N100" i="105" s="1"/>
  <c r="D135" i="70"/>
  <c r="L131" i="70"/>
  <c r="N131" i="70" s="1"/>
  <c r="F131" i="70"/>
  <c r="H99" i="75"/>
  <c r="N96" i="75"/>
  <c r="J96" i="75"/>
  <c r="L31" i="37"/>
  <c r="D36" i="37"/>
  <c r="X95" i="107"/>
  <c r="Z95" i="107" s="1"/>
  <c r="P99" i="107"/>
  <c r="R95" i="107"/>
  <c r="T85" i="57"/>
  <c r="N31" i="5"/>
  <c r="H36" i="5"/>
  <c r="N36" i="5" s="1"/>
  <c r="Z68" i="102"/>
  <c r="T71" i="102"/>
  <c r="X71" i="102" s="1"/>
  <c r="P36" i="22"/>
  <c r="X31" i="22"/>
  <c r="X330" i="3"/>
  <c r="Z330" i="3" s="1"/>
  <c r="P334" i="3"/>
  <c r="R330" i="3"/>
  <c r="T36" i="13"/>
  <c r="Z36" i="13" s="1"/>
  <c r="Z31" i="13"/>
  <c r="J100" i="105"/>
  <c r="P85" i="57"/>
  <c r="X82" i="57"/>
  <c r="Z82" i="57" s="1"/>
  <c r="P83" i="69"/>
  <c r="X79" i="69"/>
  <c r="Z79" i="69" s="1"/>
  <c r="R79" i="69"/>
  <c r="P90" i="94"/>
  <c r="X86" i="94"/>
  <c r="Z86" i="94" s="1"/>
  <c r="R86" i="94"/>
  <c r="Z31" i="7"/>
  <c r="T36" i="7"/>
  <c r="Z36" i="7" s="1"/>
  <c r="Z92" i="88"/>
  <c r="T95" i="88"/>
  <c r="V92" i="88"/>
  <c r="N31" i="110"/>
  <c r="H36" i="110"/>
  <c r="N36" i="110" s="1"/>
  <c r="T97" i="92"/>
  <c r="V94" i="92"/>
  <c r="X31" i="25"/>
  <c r="P36" i="25"/>
  <c r="P79" i="78"/>
  <c r="X75" i="78"/>
  <c r="Z75" i="78" s="1"/>
  <c r="R75" i="78"/>
  <c r="T137" i="84"/>
  <c r="V134" i="84"/>
  <c r="D36" i="8"/>
  <c r="L31" i="8"/>
  <c r="T36" i="5"/>
  <c r="Z36" i="5" s="1"/>
  <c r="Z31" i="5"/>
  <c r="L50" i="108"/>
  <c r="N50" i="108" s="1"/>
  <c r="D53" i="108"/>
  <c r="L53" i="108" s="1"/>
  <c r="Z31" i="20"/>
  <c r="T36" i="20"/>
  <c r="Z36" i="20" s="1"/>
  <c r="X81" i="58"/>
  <c r="Z81" i="58" s="1"/>
  <c r="V149" i="36"/>
  <c r="D104" i="87"/>
  <c r="L100" i="87"/>
  <c r="N100" i="87" s="1"/>
  <c r="T36" i="17"/>
  <c r="Z36" i="17" s="1"/>
  <c r="Z31" i="17"/>
  <c r="X106" i="91"/>
  <c r="Z106" i="91" s="1"/>
  <c r="P109" i="91"/>
  <c r="X109" i="91" s="1"/>
  <c r="L31" i="31"/>
  <c r="D36" i="31"/>
  <c r="H36" i="7"/>
  <c r="N36" i="7" s="1"/>
  <c r="N31" i="7"/>
  <c r="J110" i="95"/>
  <c r="P91" i="72"/>
  <c r="X87" i="72"/>
  <c r="Z87" i="72" s="1"/>
  <c r="R87" i="72"/>
  <c r="L78" i="59"/>
  <c r="N78" i="59" s="1"/>
  <c r="D81" i="59"/>
  <c r="L81" i="59" s="1"/>
  <c r="V109" i="73"/>
  <c r="H69" i="61"/>
  <c r="N66" i="61"/>
  <c r="P148" i="24"/>
  <c r="X144" i="24"/>
  <c r="Z144" i="24" s="1"/>
  <c r="R144" i="24"/>
  <c r="X70" i="80"/>
  <c r="Z70" i="80" s="1"/>
  <c r="P73" i="80"/>
  <c r="X73" i="80" s="1"/>
  <c r="X92" i="75"/>
  <c r="Z92" i="75" s="1"/>
  <c r="P96" i="75"/>
  <c r="R92" i="75"/>
  <c r="P53" i="108"/>
  <c r="X53" i="108" s="1"/>
  <c r="X50" i="108"/>
  <c r="Z50" i="108" s="1"/>
  <c r="D97" i="92"/>
  <c r="L97" i="92" s="1"/>
  <c r="L94" i="92"/>
  <c r="V283" i="15"/>
  <c r="L36" i="20" l="1"/>
  <c r="L36" i="4"/>
  <c r="L36" i="49"/>
  <c r="L36" i="23"/>
  <c r="X36" i="29"/>
  <c r="L36" i="41"/>
  <c r="L36" i="34"/>
  <c r="X36" i="53"/>
  <c r="L36" i="29"/>
  <c r="L36" i="22"/>
  <c r="X36" i="11"/>
  <c r="X36" i="4"/>
  <c r="L36" i="25"/>
  <c r="X36" i="28"/>
  <c r="X36" i="49"/>
  <c r="X36" i="20"/>
  <c r="X36" i="26"/>
  <c r="L36" i="10"/>
  <c r="X36" i="31"/>
  <c r="X36" i="40"/>
  <c r="L36" i="40"/>
  <c r="L36" i="110"/>
  <c r="L36" i="16"/>
  <c r="X36" i="112"/>
  <c r="X36" i="22"/>
  <c r="L36" i="31"/>
  <c r="L36" i="8"/>
  <c r="L36" i="111"/>
  <c r="X36" i="34"/>
  <c r="L36" i="14"/>
  <c r="X36" i="47"/>
  <c r="X36" i="23"/>
  <c r="X36" i="25"/>
  <c r="L36" i="11"/>
  <c r="X36" i="111"/>
  <c r="L36" i="32"/>
  <c r="X36" i="46"/>
  <c r="V296" i="12"/>
  <c r="X36" i="37"/>
  <c r="L309" i="18"/>
  <c r="N309" i="18" s="1"/>
  <c r="D312" i="18"/>
  <c r="F309" i="18"/>
  <c r="V137" i="68"/>
  <c r="L113" i="45"/>
  <c r="F113" i="45"/>
  <c r="V99" i="75"/>
  <c r="L101" i="103"/>
  <c r="N101" i="103" s="1"/>
  <c r="F101" i="103"/>
  <c r="L36" i="17"/>
  <c r="L127" i="74"/>
  <c r="N127" i="74" s="1"/>
  <c r="D130" i="74"/>
  <c r="F127" i="74"/>
  <c r="Z62" i="99"/>
  <c r="D339" i="3"/>
  <c r="L334" i="3"/>
  <c r="N334" i="3" s="1"/>
  <c r="F334" i="3"/>
  <c r="V151" i="24"/>
  <c r="J151" i="24"/>
  <c r="N102" i="107"/>
  <c r="J102" i="107"/>
  <c r="D87" i="100"/>
  <c r="L87" i="100" s="1"/>
  <c r="L84" i="100"/>
  <c r="N84" i="100" s="1"/>
  <c r="X36" i="16"/>
  <c r="V122" i="76"/>
  <c r="L36" i="38"/>
  <c r="V122" i="51"/>
  <c r="X69" i="104"/>
  <c r="Z69" i="104" s="1"/>
  <c r="P72" i="104"/>
  <c r="R69" i="104"/>
  <c r="P82" i="78"/>
  <c r="X79" i="78"/>
  <c r="Z79" i="78" s="1"/>
  <c r="R79" i="78"/>
  <c r="N39" i="85"/>
  <c r="J39" i="85"/>
  <c r="L57" i="98"/>
  <c r="D60" i="98"/>
  <c r="L60" i="98" s="1"/>
  <c r="V89" i="79"/>
  <c r="X110" i="95"/>
  <c r="Z110" i="95" s="1"/>
  <c r="R110" i="95"/>
  <c r="J73" i="80"/>
  <c r="V83" i="109"/>
  <c r="X152" i="39"/>
  <c r="Z152" i="39" s="1"/>
  <c r="P155" i="39"/>
  <c r="R152" i="39"/>
  <c r="D155" i="39"/>
  <c r="L152" i="39"/>
  <c r="N152" i="39" s="1"/>
  <c r="F152" i="39"/>
  <c r="J164" i="30"/>
  <c r="X135" i="70"/>
  <c r="Z135" i="70" s="1"/>
  <c r="P138" i="70"/>
  <c r="R135" i="70"/>
  <c r="D138" i="70"/>
  <c r="L135" i="70"/>
  <c r="N135" i="70" s="1"/>
  <c r="F135" i="70"/>
  <c r="X119" i="76"/>
  <c r="Z119" i="76" s="1"/>
  <c r="P122" i="76"/>
  <c r="R119" i="76"/>
  <c r="V101" i="103"/>
  <c r="D95" i="88"/>
  <c r="L95" i="88" s="1"/>
  <c r="N95" i="88" s="1"/>
  <c r="L92" i="88"/>
  <c r="N92" i="88" s="1"/>
  <c r="N109" i="91"/>
  <c r="X36" i="14"/>
  <c r="L29" i="81"/>
  <c r="J296" i="12"/>
  <c r="D35" i="82"/>
  <c r="L32" i="82"/>
  <c r="N32" i="82" s="1"/>
  <c r="F32" i="82"/>
  <c r="J144" i="42"/>
  <c r="D122" i="51"/>
  <c r="L119" i="51"/>
  <c r="N119" i="51" s="1"/>
  <c r="F119" i="51"/>
  <c r="X118" i="63"/>
  <c r="N127" i="21"/>
  <c r="J127" i="21"/>
  <c r="L36" i="28"/>
  <c r="X117" i="33"/>
  <c r="R117" i="33"/>
  <c r="J94" i="72"/>
  <c r="L29" i="106"/>
  <c r="D117" i="33"/>
  <c r="L114" i="33"/>
  <c r="N114" i="33" s="1"/>
  <c r="F114" i="33"/>
  <c r="J107" i="87"/>
  <c r="L89" i="93"/>
  <c r="N89" i="93" s="1"/>
  <c r="D92" i="93"/>
  <c r="L92" i="93" s="1"/>
  <c r="N92" i="93" s="1"/>
  <c r="J312" i="18"/>
  <c r="Z84" i="58"/>
  <c r="X36" i="43"/>
  <c r="X95" i="88"/>
  <c r="R95" i="88"/>
  <c r="D283" i="15"/>
  <c r="L280" i="15"/>
  <c r="N280" i="15" s="1"/>
  <c r="F280" i="15"/>
  <c r="Z73" i="80"/>
  <c r="V73" i="80"/>
  <c r="X101" i="103"/>
  <c r="Z101" i="103" s="1"/>
  <c r="R101" i="103"/>
  <c r="N110" i="9"/>
  <c r="J109" i="73"/>
  <c r="P164" i="30"/>
  <c r="X161" i="30"/>
  <c r="Z161" i="30" s="1"/>
  <c r="R161" i="30"/>
  <c r="X92" i="93"/>
  <c r="Z92" i="93" s="1"/>
  <c r="R92" i="93"/>
  <c r="P127" i="21"/>
  <c r="X124" i="21"/>
  <c r="Z124" i="21" s="1"/>
  <c r="R124" i="21"/>
  <c r="X141" i="42"/>
  <c r="Z141" i="42" s="1"/>
  <c r="P144" i="42"/>
  <c r="R141" i="42"/>
  <c r="X334" i="3"/>
  <c r="Z334" i="3" s="1"/>
  <c r="P339" i="3"/>
  <c r="R334" i="3"/>
  <c r="L91" i="72"/>
  <c r="N91" i="72" s="1"/>
  <c r="D94" i="72"/>
  <c r="F91" i="72"/>
  <c r="X110" i="45"/>
  <c r="Z110" i="45" s="1"/>
  <c r="P113" i="45"/>
  <c r="R110" i="45"/>
  <c r="Z117" i="33"/>
  <c r="V117" i="33"/>
  <c r="L36" i="47"/>
  <c r="X36" i="52"/>
  <c r="X146" i="36"/>
  <c r="Z146" i="36" s="1"/>
  <c r="P149" i="36"/>
  <c r="R146" i="36"/>
  <c r="V97" i="92"/>
  <c r="J122" i="76"/>
  <c r="L36" i="112"/>
  <c r="L127" i="21"/>
  <c r="F127" i="21"/>
  <c r="L62" i="99"/>
  <c r="X36" i="10"/>
  <c r="L36" i="46"/>
  <c r="X36" i="7"/>
  <c r="V107" i="87"/>
  <c r="V82" i="78"/>
  <c r="P130" i="74"/>
  <c r="X127" i="74"/>
  <c r="Z127" i="74" s="1"/>
  <c r="R127" i="74"/>
  <c r="Z69" i="60"/>
  <c r="L69" i="61"/>
  <c r="N69" i="61" s="1"/>
  <c r="L73" i="80"/>
  <c r="N73" i="80" s="1"/>
  <c r="X148" i="24"/>
  <c r="Z148" i="24" s="1"/>
  <c r="P151" i="24"/>
  <c r="R148" i="24"/>
  <c r="Z85" i="57"/>
  <c r="N62" i="99"/>
  <c r="L134" i="68"/>
  <c r="N134" i="68" s="1"/>
  <c r="D137" i="68"/>
  <c r="L137" i="68" s="1"/>
  <c r="N137" i="68" s="1"/>
  <c r="V72" i="104"/>
  <c r="X36" i="5"/>
  <c r="N31" i="54"/>
  <c r="D144" i="42"/>
  <c r="L144" i="42" s="1"/>
  <c r="N144" i="42" s="1"/>
  <c r="L141" i="42"/>
  <c r="N141" i="42" s="1"/>
  <c r="J138" i="70"/>
  <c r="Z100" i="105"/>
  <c r="V100" i="105"/>
  <c r="L31" i="54"/>
  <c r="V93" i="94"/>
  <c r="X36" i="35"/>
  <c r="X101" i="101"/>
  <c r="Z101" i="101" s="1"/>
  <c r="P104" i="101"/>
  <c r="R101" i="101"/>
  <c r="P105" i="97"/>
  <c r="X102" i="97"/>
  <c r="Z102" i="97" s="1"/>
  <c r="R102" i="97"/>
  <c r="X36" i="50"/>
  <c r="X100" i="105"/>
  <c r="R100" i="105"/>
  <c r="L36" i="19"/>
  <c r="L82" i="78"/>
  <c r="N82" i="78" s="1"/>
  <c r="F82" i="78"/>
  <c r="V164" i="30"/>
  <c r="L161" i="30"/>
  <c r="N161" i="30" s="1"/>
  <c r="D164" i="30"/>
  <c r="F161" i="30"/>
  <c r="X36" i="44"/>
  <c r="D122" i="76"/>
  <c r="L119" i="76"/>
  <c r="N119" i="76" s="1"/>
  <c r="F119" i="76"/>
  <c r="J155" i="39"/>
  <c r="X280" i="15"/>
  <c r="Z280" i="15" s="1"/>
  <c r="P283" i="15"/>
  <c r="R280" i="15"/>
  <c r="X36" i="41"/>
  <c r="L135" i="27"/>
  <c r="N135" i="27" s="1"/>
  <c r="D138" i="27"/>
  <c r="F135" i="27"/>
  <c r="V138" i="27"/>
  <c r="L104" i="87"/>
  <c r="N104" i="87" s="1"/>
  <c r="D107" i="87"/>
  <c r="L107" i="87" s="1"/>
  <c r="N107" i="87" s="1"/>
  <c r="X96" i="75"/>
  <c r="Z96" i="75" s="1"/>
  <c r="P99" i="75"/>
  <c r="R96" i="75"/>
  <c r="P93" i="94"/>
  <c r="X90" i="94"/>
  <c r="Z90" i="94" s="1"/>
  <c r="R90" i="94"/>
  <c r="X99" i="107"/>
  <c r="Z99" i="107" s="1"/>
  <c r="P102" i="107"/>
  <c r="R99" i="107"/>
  <c r="X83" i="48"/>
  <c r="Z83" i="48" s="1"/>
  <c r="R83" i="48"/>
  <c r="J83" i="109"/>
  <c r="Z53" i="108"/>
  <c r="X135" i="27"/>
  <c r="Z135" i="27" s="1"/>
  <c r="P138" i="27"/>
  <c r="R135" i="27"/>
  <c r="L36" i="37"/>
  <c r="Z31" i="54"/>
  <c r="V130" i="74"/>
  <c r="N71" i="102"/>
  <c r="V87" i="100"/>
  <c r="L80" i="109"/>
  <c r="N80" i="109" s="1"/>
  <c r="D83" i="109"/>
  <c r="F80" i="109"/>
  <c r="N69" i="60"/>
  <c r="L36" i="53"/>
  <c r="L36" i="43"/>
  <c r="Z72" i="67"/>
  <c r="N53" i="108"/>
  <c r="X69" i="61"/>
  <c r="L36" i="52"/>
  <c r="X36" i="8"/>
  <c r="L90" i="94"/>
  <c r="N90" i="94" s="1"/>
  <c r="D93" i="94"/>
  <c r="L93" i="94" s="1"/>
  <c r="N93" i="94" s="1"/>
  <c r="X29" i="106"/>
  <c r="L36" i="26"/>
  <c r="N87" i="100"/>
  <c r="J87" i="100"/>
  <c r="L293" i="12"/>
  <c r="N293" i="12" s="1"/>
  <c r="D296" i="12"/>
  <c r="F293" i="12"/>
  <c r="X36" i="110"/>
  <c r="L36" i="5"/>
  <c r="J138" i="27"/>
  <c r="X36" i="32"/>
  <c r="P107" i="87"/>
  <c r="X104" i="87"/>
  <c r="Z104" i="87" s="1"/>
  <c r="R104" i="87"/>
  <c r="P87" i="100"/>
  <c r="X84" i="100"/>
  <c r="Z84" i="100" s="1"/>
  <c r="R84" i="100"/>
  <c r="P86" i="69"/>
  <c r="X83" i="69"/>
  <c r="Z83" i="69" s="1"/>
  <c r="R83" i="69"/>
  <c r="Z71" i="102"/>
  <c r="V104" i="101"/>
  <c r="N40" i="55"/>
  <c r="L36" i="44"/>
  <c r="L36" i="7"/>
  <c r="V155" i="39"/>
  <c r="Z40" i="55"/>
  <c r="X94" i="92"/>
  <c r="Z94" i="92" s="1"/>
  <c r="P97" i="92"/>
  <c r="R94" i="92"/>
  <c r="X36" i="13"/>
  <c r="D137" i="84"/>
  <c r="L137" i="84" s="1"/>
  <c r="N137" i="84" s="1"/>
  <c r="L134" i="84"/>
  <c r="N134" i="84" s="1"/>
  <c r="X60" i="98"/>
  <c r="R60" i="98"/>
  <c r="Z118" i="63"/>
  <c r="V137" i="84"/>
  <c r="X32" i="82"/>
  <c r="Z32" i="82" s="1"/>
  <c r="P35" i="82"/>
  <c r="R32" i="82"/>
  <c r="P312" i="18"/>
  <c r="X309" i="18"/>
  <c r="Z309" i="18" s="1"/>
  <c r="R309" i="18"/>
  <c r="J137" i="84"/>
  <c r="X36" i="17"/>
  <c r="X119" i="51"/>
  <c r="Z119" i="51" s="1"/>
  <c r="P122" i="51"/>
  <c r="R119" i="51"/>
  <c r="X36" i="19"/>
  <c r="J92" i="93"/>
  <c r="L148" i="24"/>
  <c r="N148" i="24" s="1"/>
  <c r="D151" i="24"/>
  <c r="F148" i="24"/>
  <c r="L99" i="75"/>
  <c r="N99" i="75" s="1"/>
  <c r="F99" i="75"/>
  <c r="X134" i="84"/>
  <c r="Z134" i="84" s="1"/>
  <c r="P137" i="84"/>
  <c r="R134" i="84"/>
  <c r="X83" i="109"/>
  <c r="Z83" i="109" s="1"/>
  <c r="R83" i="109"/>
  <c r="V86" i="69"/>
  <c r="J283" i="15"/>
  <c r="V105" i="97"/>
  <c r="L36" i="13"/>
  <c r="L36" i="35"/>
  <c r="Z69" i="61"/>
  <c r="X36" i="38"/>
  <c r="N84" i="58"/>
  <c r="L40" i="55"/>
  <c r="L80" i="48"/>
  <c r="N80" i="48" s="1"/>
  <c r="D83" i="48"/>
  <c r="F80" i="48"/>
  <c r="P296" i="12"/>
  <c r="X293" i="12"/>
  <c r="Z293" i="12" s="1"/>
  <c r="R293" i="12"/>
  <c r="X106" i="73"/>
  <c r="Z106" i="73" s="1"/>
  <c r="P109" i="73"/>
  <c r="R106" i="73"/>
  <c r="P94" i="72"/>
  <c r="X91" i="72"/>
  <c r="Z91" i="72" s="1"/>
  <c r="R91" i="72"/>
  <c r="J99" i="75"/>
  <c r="X89" i="79"/>
  <c r="Z89" i="79" s="1"/>
  <c r="R89" i="79"/>
  <c r="Z95" i="88"/>
  <c r="V95" i="88"/>
  <c r="X85" i="57"/>
  <c r="N113" i="45"/>
  <c r="J113" i="45"/>
  <c r="L107" i="95"/>
  <c r="N107" i="95" s="1"/>
  <c r="D110" i="95"/>
  <c r="L110" i="95" s="1"/>
  <c r="N110" i="95" s="1"/>
  <c r="J82" i="78"/>
  <c r="J130" i="74"/>
  <c r="N31" i="6"/>
  <c r="D109" i="73"/>
  <c r="L106" i="73"/>
  <c r="N106" i="73" s="1"/>
  <c r="F106" i="73"/>
  <c r="L36" i="50"/>
  <c r="V113" i="45"/>
  <c r="L118" i="63"/>
  <c r="N118" i="63" s="1"/>
  <c r="X62" i="99"/>
  <c r="N97" i="92"/>
  <c r="J97" i="92"/>
  <c r="N81" i="59"/>
  <c r="D149" i="36"/>
  <c r="L146" i="36"/>
  <c r="N146" i="36" s="1"/>
  <c r="F146" i="36"/>
  <c r="X134" i="68"/>
  <c r="Z134" i="68" s="1"/>
  <c r="P137" i="68"/>
  <c r="R134" i="68"/>
  <c r="N89" i="79"/>
  <c r="J89" i="79"/>
  <c r="V127" i="21"/>
  <c r="X39" i="85"/>
  <c r="Z39" i="85" s="1"/>
  <c r="R39" i="85"/>
  <c r="X137" i="68" l="1"/>
  <c r="Z137" i="68" s="1"/>
  <c r="R137" i="68"/>
  <c r="L35" i="82"/>
  <c r="N35" i="82" s="1"/>
  <c r="F35" i="82"/>
  <c r="X107" i="87"/>
  <c r="Z107" i="87" s="1"/>
  <c r="R107" i="87"/>
  <c r="X105" i="97"/>
  <c r="Z105" i="97" s="1"/>
  <c r="R105" i="97"/>
  <c r="X127" i="21"/>
  <c r="Z127" i="21" s="1"/>
  <c r="R127" i="21"/>
  <c r="X122" i="76"/>
  <c r="Z122" i="76" s="1"/>
  <c r="R122" i="76"/>
  <c r="L155" i="39"/>
  <c r="N155" i="39" s="1"/>
  <c r="F155" i="39"/>
  <c r="X94" i="72"/>
  <c r="Z94" i="72" s="1"/>
  <c r="R94" i="72"/>
  <c r="X137" i="84"/>
  <c r="Z137" i="84" s="1"/>
  <c r="R137" i="84"/>
  <c r="X109" i="73"/>
  <c r="Z109" i="73" s="1"/>
  <c r="R109" i="73"/>
  <c r="X138" i="27"/>
  <c r="Z138" i="27" s="1"/>
  <c r="R138" i="27"/>
  <c r="X93" i="94"/>
  <c r="Z93" i="94" s="1"/>
  <c r="R93" i="94"/>
  <c r="L164" i="30"/>
  <c r="N164" i="30" s="1"/>
  <c r="F164" i="30"/>
  <c r="X113" i="45"/>
  <c r="Z113" i="45" s="1"/>
  <c r="R113" i="45"/>
  <c r="L83" i="109"/>
  <c r="N83" i="109" s="1"/>
  <c r="F83" i="109"/>
  <c r="X283" i="15"/>
  <c r="Z283" i="15" s="1"/>
  <c r="R283" i="15"/>
  <c r="X151" i="24"/>
  <c r="Z151" i="24" s="1"/>
  <c r="R151" i="24"/>
  <c r="X99" i="75"/>
  <c r="Z99" i="75" s="1"/>
  <c r="R99" i="75"/>
  <c r="X104" i="101"/>
  <c r="Z104" i="101" s="1"/>
  <c r="R104" i="101"/>
  <c r="L94" i="72"/>
  <c r="N94" i="72" s="1"/>
  <c r="F94" i="72"/>
  <c r="X155" i="39"/>
  <c r="Z155" i="39" s="1"/>
  <c r="R155" i="39"/>
  <c r="L339" i="3"/>
  <c r="N339" i="3" s="1"/>
  <c r="F339" i="3"/>
  <c r="L151" i="24"/>
  <c r="N151" i="24" s="1"/>
  <c r="F151" i="24"/>
  <c r="L117" i="33"/>
  <c r="N117" i="33" s="1"/>
  <c r="F117" i="33"/>
  <c r="L138" i="70"/>
  <c r="N138" i="70" s="1"/>
  <c r="F138" i="70"/>
  <c r="X97" i="92"/>
  <c r="Z97" i="92" s="1"/>
  <c r="R97" i="92"/>
  <c r="X339" i="3"/>
  <c r="Z339" i="3" s="1"/>
  <c r="R339" i="3"/>
  <c r="X164" i="30"/>
  <c r="Z164" i="30" s="1"/>
  <c r="R164" i="30"/>
  <c r="L130" i="74"/>
  <c r="N130" i="74" s="1"/>
  <c r="F130" i="74"/>
  <c r="L109" i="73"/>
  <c r="N109" i="73" s="1"/>
  <c r="F109" i="73"/>
  <c r="L149" i="36"/>
  <c r="N149" i="36" s="1"/>
  <c r="F149" i="36"/>
  <c r="L283" i="15"/>
  <c r="N283" i="15" s="1"/>
  <c r="F283" i="15"/>
  <c r="X312" i="18"/>
  <c r="Z312" i="18" s="1"/>
  <c r="R312" i="18"/>
  <c r="X149" i="36"/>
  <c r="Z149" i="36" s="1"/>
  <c r="R149" i="36"/>
  <c r="L83" i="48"/>
  <c r="N83" i="48" s="1"/>
  <c r="F83" i="48"/>
  <c r="X35" i="82"/>
  <c r="Z35" i="82" s="1"/>
  <c r="R35" i="82"/>
  <c r="X86" i="69"/>
  <c r="Z86" i="69" s="1"/>
  <c r="R86" i="69"/>
  <c r="L122" i="51"/>
  <c r="N122" i="51" s="1"/>
  <c r="F122" i="51"/>
  <c r="X138" i="70"/>
  <c r="Z138" i="70" s="1"/>
  <c r="R138" i="70"/>
  <c r="X82" i="78"/>
  <c r="Z82" i="78" s="1"/>
  <c r="R82" i="78"/>
  <c r="L312" i="18"/>
  <c r="N312" i="18" s="1"/>
  <c r="F312" i="18"/>
  <c r="X296" i="12"/>
  <c r="Z296" i="12" s="1"/>
  <c r="R296" i="12"/>
  <c r="L296" i="12"/>
  <c r="N296" i="12" s="1"/>
  <c r="F296" i="12"/>
  <c r="X102" i="107"/>
  <c r="Z102" i="107" s="1"/>
  <c r="R102" i="107"/>
  <c r="L122" i="76"/>
  <c r="N122" i="76" s="1"/>
  <c r="F122" i="76"/>
  <c r="X130" i="74"/>
  <c r="Z130" i="74" s="1"/>
  <c r="R130" i="74"/>
  <c r="X144" i="42"/>
  <c r="Z144" i="42" s="1"/>
  <c r="R144" i="42"/>
  <c r="X72" i="104"/>
  <c r="Z72" i="104" s="1"/>
  <c r="R72" i="104"/>
  <c r="X122" i="51"/>
  <c r="Z122" i="51" s="1"/>
  <c r="R122" i="51"/>
  <c r="X87" i="100"/>
  <c r="Z87" i="100" s="1"/>
  <c r="R87" i="100"/>
  <c r="L138" i="27"/>
  <c r="N138" i="27" s="1"/>
  <c r="F138" i="27"/>
</calcChain>
</file>

<file path=xl/sharedStrings.xml><?xml version="1.0" encoding="utf-8"?>
<sst xmlns="http://schemas.openxmlformats.org/spreadsheetml/2006/main" count="2948" uniqueCount="315">
  <si>
    <t>Credits &amp; Revenues</t>
  </si>
  <si>
    <t>Interest Income/Other</t>
  </si>
  <si>
    <t>Gain/(Loss) on FMV of Investments</t>
  </si>
  <si>
    <t>OPERATING INCOME</t>
  </si>
  <si>
    <t>OPERATING CONTRIBUTION</t>
  </si>
  <si>
    <t>NET CONTRIBUTION</t>
  </si>
  <si>
    <t>GROSS MARGIN</t>
  </si>
  <si>
    <t>Sales</t>
  </si>
  <si>
    <t>Cost of Goods Sold</t>
  </si>
  <si>
    <t>Operating Expenses</t>
  </si>
  <si>
    <t>Actual</t>
  </si>
  <si>
    <t>Budget</t>
  </si>
  <si>
    <t>Variance</t>
  </si>
  <si>
    <t xml:space="preserve">Forty Niner Shops, Inc. </t>
  </si>
  <si>
    <t>G &amp; A Allocation</t>
  </si>
  <si>
    <t>% of Sales</t>
  </si>
  <si>
    <t>% Budget Sales</t>
  </si>
  <si>
    <t>% Variance</t>
  </si>
  <si>
    <t>Sheet Name</t>
  </si>
  <si>
    <t>InfoManager Number</t>
  </si>
  <si>
    <t>Grid Title</t>
  </si>
  <si>
    <t>Grid Cell Range</t>
  </si>
  <si>
    <t>Grid Special Rules</t>
  </si>
  <si>
    <t>Module Name</t>
  </si>
  <si>
    <t>Entity</t>
  </si>
  <si>
    <t>Entity Relate to data</t>
  </si>
  <si>
    <t>Entity Special Rules</t>
  </si>
  <si>
    <t>Entity Text</t>
  </si>
  <si>
    <t>Time</t>
  </si>
  <si>
    <t>Time  Relate to data</t>
  </si>
  <si>
    <t>Time  Special Rules</t>
  </si>
  <si>
    <t>Time Text</t>
  </si>
  <si>
    <t>Scenario</t>
  </si>
  <si>
    <t>Scenario  Relate to data</t>
  </si>
  <si>
    <t>Scenario  Special Rules</t>
  </si>
  <si>
    <t>Scenario Text</t>
  </si>
  <si>
    <t>Category</t>
  </si>
  <si>
    <t>Category  Relate to data</t>
  </si>
  <si>
    <t>Category  Special Rules</t>
  </si>
  <si>
    <t>Category Text</t>
  </si>
  <si>
    <t xml:space="preserve">FxCode </t>
  </si>
  <si>
    <t>FxCode  Relate to data</t>
  </si>
  <si>
    <t>FxCode  Special Rules</t>
  </si>
  <si>
    <t>FxCode Text</t>
  </si>
  <si>
    <t>Storage Type</t>
  </si>
  <si>
    <t>Created Date</t>
  </si>
  <si>
    <t>Updated Date</t>
  </si>
  <si>
    <t>Retain Zero Value</t>
  </si>
  <si>
    <t>Dim0</t>
  </si>
  <si>
    <t>Dim Label0</t>
  </si>
  <si>
    <t>Dim0Relate to data</t>
  </si>
  <si>
    <t>Dim0Special Rules</t>
  </si>
  <si>
    <t>Dim0Text</t>
  </si>
  <si>
    <t>Dim1</t>
  </si>
  <si>
    <t>Dim Label1</t>
  </si>
  <si>
    <t>Dim1Relate to data</t>
  </si>
  <si>
    <t>Dim1Special Rules</t>
  </si>
  <si>
    <t>Dim1Text</t>
  </si>
  <si>
    <t>Dim2</t>
  </si>
  <si>
    <t>Dim Label2</t>
  </si>
  <si>
    <t>Dim2Relate to data</t>
  </si>
  <si>
    <t>Dim2Special Rules</t>
  </si>
  <si>
    <t>Dim2Text</t>
  </si>
  <si>
    <t>Dim3</t>
  </si>
  <si>
    <t>Dim Label3</t>
  </si>
  <si>
    <t>Dim3Relate to data</t>
  </si>
  <si>
    <t>Dim3Special Rules</t>
  </si>
  <si>
    <t>Dim3Text</t>
  </si>
  <si>
    <t>Dim4</t>
  </si>
  <si>
    <t>Dim Label4</t>
  </si>
  <si>
    <t>Dim4Relate to data</t>
  </si>
  <si>
    <t>Dim4Special Rules</t>
  </si>
  <si>
    <t>Dim4Text</t>
  </si>
  <si>
    <t>Dim5</t>
  </si>
  <si>
    <t>Dim Label5</t>
  </si>
  <si>
    <t>Dim5Relate to data</t>
  </si>
  <si>
    <t>Dim5Special Rules</t>
  </si>
  <si>
    <t>Dim5Text</t>
  </si>
  <si>
    <t>Dim6</t>
  </si>
  <si>
    <t>Dim Label6</t>
  </si>
  <si>
    <t>Dim6Relate to data</t>
  </si>
  <si>
    <t>Dim6Special Rules</t>
  </si>
  <si>
    <t>Dim6Text</t>
  </si>
  <si>
    <t>Dim7</t>
  </si>
  <si>
    <t>Dim Label7</t>
  </si>
  <si>
    <t>Dim7Relate to data</t>
  </si>
  <si>
    <t>Dim7Special Rules</t>
  </si>
  <si>
    <t>Dim7Text</t>
  </si>
  <si>
    <t>Dim8</t>
  </si>
  <si>
    <t>Dim Label8</t>
  </si>
  <si>
    <t>Dim8Relate to data</t>
  </si>
  <si>
    <t>Dim8Special Rules</t>
  </si>
  <si>
    <t>Dim8Text</t>
  </si>
  <si>
    <t>Dim9</t>
  </si>
  <si>
    <t>Dim Label9</t>
  </si>
  <si>
    <t>Dim9Relate to data</t>
  </si>
  <si>
    <t>Dim9Special Rules</t>
  </si>
  <si>
    <t>Dim9Text</t>
  </si>
  <si>
    <t>Variable Dim Name0</t>
  </si>
  <si>
    <t>Variable Dim0</t>
  </si>
  <si>
    <t>Variable Dim0Relate to data</t>
  </si>
  <si>
    <t>Variable Dim0Special Rules</t>
  </si>
  <si>
    <t>Variable Dim0Text</t>
  </si>
  <si>
    <t>Variable Dim Name1</t>
  </si>
  <si>
    <t>Variable Dim1</t>
  </si>
  <si>
    <t>Variable Dim1Relate to data</t>
  </si>
  <si>
    <t>Variable Dim1Special Rules</t>
  </si>
  <si>
    <t>Variable Dim1Text</t>
  </si>
  <si>
    <t>Variable Dim Name2</t>
  </si>
  <si>
    <t>Variable Dim2</t>
  </si>
  <si>
    <t>Variable Dim2Relate to data</t>
  </si>
  <si>
    <t>Variable Dim2Special Rules</t>
  </si>
  <si>
    <t>Variable Dim2Text</t>
  </si>
  <si>
    <t>Variable Dim Name3</t>
  </si>
  <si>
    <t>Variable Dim3</t>
  </si>
  <si>
    <t>Variable Dim3Relate to data</t>
  </si>
  <si>
    <t>Variable Dim3Special Rules</t>
  </si>
  <si>
    <t>Variable Dim3Text</t>
  </si>
  <si>
    <t>Variable Dim Name4</t>
  </si>
  <si>
    <t>Variable Dim4</t>
  </si>
  <si>
    <t>Variable Dim4Relate to data</t>
  </si>
  <si>
    <t>Variable Dim4Special Rules</t>
  </si>
  <si>
    <t>Variable Dim4Text</t>
  </si>
  <si>
    <t>Variable Dim Name5</t>
  </si>
  <si>
    <t>Variable Dim5</t>
  </si>
  <si>
    <t>Variable Dim5Relate to data</t>
  </si>
  <si>
    <t>Variable Dim5Special Rules</t>
  </si>
  <si>
    <t>Variable Dim5Text</t>
  </si>
  <si>
    <t>Variable Dim Name6</t>
  </si>
  <si>
    <t>Variable Dim6</t>
  </si>
  <si>
    <t>Variable Dim6Relate to data</t>
  </si>
  <si>
    <t>Variable Dim6Special Rules</t>
  </si>
  <si>
    <t>Variable Dim6Text</t>
  </si>
  <si>
    <t>Variable Dim Name7</t>
  </si>
  <si>
    <t>Variable Dim7</t>
  </si>
  <si>
    <t>Variable Dim7Relate to data</t>
  </si>
  <si>
    <t>Variable Dim7Special Rules</t>
  </si>
  <si>
    <t>Variable Dim7Text</t>
  </si>
  <si>
    <t>Variable Dim Name8</t>
  </si>
  <si>
    <t>Variable Dim8</t>
  </si>
  <si>
    <t>Variable Dim8Relate to data</t>
  </si>
  <si>
    <t>Variable Dim8Special Rules</t>
  </si>
  <si>
    <t>Variable Dim8Text</t>
  </si>
  <si>
    <t>Variable Dim Name9</t>
  </si>
  <si>
    <t>Variable Dim9</t>
  </si>
  <si>
    <t>Variable Dim9Relate to data</t>
  </si>
  <si>
    <t>Variable Dim9Special Rules</t>
  </si>
  <si>
    <t>Variable Dim9Text</t>
  </si>
  <si>
    <t>Variable Dim Name10</t>
  </si>
  <si>
    <t>Variable Dim10</t>
  </si>
  <si>
    <t>Variable Dim10Relate to data</t>
  </si>
  <si>
    <t>Variable Dim10Special Rules</t>
  </si>
  <si>
    <t>Variable Dim10Text</t>
  </si>
  <si>
    <t>Variable Dim Name11</t>
  </si>
  <si>
    <t>Variable Dim11</t>
  </si>
  <si>
    <t>Variable Dim11Relate to data</t>
  </si>
  <si>
    <t>Variable Dim11Special Rules</t>
  </si>
  <si>
    <t>Variable Dim11Text</t>
  </si>
  <si>
    <t>Variable Dim Name12</t>
  </si>
  <si>
    <t>Variable Dim12</t>
  </si>
  <si>
    <t>Variable Dim12Relate to data</t>
  </si>
  <si>
    <t>Variable Dim12Special Rules</t>
  </si>
  <si>
    <t>Variable Dim12Text</t>
  </si>
  <si>
    <t>Variable Dim Name13</t>
  </si>
  <si>
    <t>Variable Dim13</t>
  </si>
  <si>
    <t>Variable Dim13Relate to data</t>
  </si>
  <si>
    <t>Variable Dim13Special Rules</t>
  </si>
  <si>
    <t>Variable Dim13Text</t>
  </si>
  <si>
    <t>Variable Dim Name14</t>
  </si>
  <si>
    <t>Variable Dim14</t>
  </si>
  <si>
    <t>Variable Dim14Relate to data</t>
  </si>
  <si>
    <t>Variable Dim14Special Rules</t>
  </si>
  <si>
    <t>Variable Dim14Text</t>
  </si>
  <si>
    <t>Variable Dim Name15</t>
  </si>
  <si>
    <t>Variable Dim15</t>
  </si>
  <si>
    <t>Variable Dim15Relate to data</t>
  </si>
  <si>
    <t>Variable Dim15Special Rules</t>
  </si>
  <si>
    <t>Variable Dim15Text</t>
  </si>
  <si>
    <t>Variable Dim Name16</t>
  </si>
  <si>
    <t>Variable Dim16</t>
  </si>
  <si>
    <t>Variable Dim16Relate to data</t>
  </si>
  <si>
    <t>Variable Dim16Special Rules</t>
  </si>
  <si>
    <t>Variable Dim16Text</t>
  </si>
  <si>
    <t>Variable Dim Name17</t>
  </si>
  <si>
    <t>Variable Dim17</t>
  </si>
  <si>
    <t>Variable Dim17Relate to data</t>
  </si>
  <si>
    <t>Variable Dim17Special Rules</t>
  </si>
  <si>
    <t>Variable Dim17Text</t>
  </si>
  <si>
    <t>Variable Dim Name18</t>
  </si>
  <si>
    <t>Variable Dim18</t>
  </si>
  <si>
    <t>Variable Dim18Relate to data</t>
  </si>
  <si>
    <t>Variable Dim18Special Rules</t>
  </si>
  <si>
    <t>Variable Dim18Text</t>
  </si>
  <si>
    <t>Variable Dim Name19</t>
  </si>
  <si>
    <t>Variable Dim19</t>
  </si>
  <si>
    <t>Variable Dim19Relate to data</t>
  </si>
  <si>
    <t>Variable Dim19Special Rules</t>
  </si>
  <si>
    <t>Variable Dim19Text</t>
  </si>
  <si>
    <t>Storage Field0</t>
  </si>
  <si>
    <t>Storage Field0 Name</t>
  </si>
  <si>
    <t>Storage Field1</t>
  </si>
  <si>
    <t>Storage Field1 Name</t>
  </si>
  <si>
    <t>Storage Field2</t>
  </si>
  <si>
    <t>Storage Field2 Name</t>
  </si>
  <si>
    <t>Storage Field3</t>
  </si>
  <si>
    <t>Storage Field3 Name</t>
  </si>
  <si>
    <t>Storage Field4</t>
  </si>
  <si>
    <t>Storage Field4 Name</t>
  </si>
  <si>
    <t>Storage Field5</t>
  </si>
  <si>
    <t>Storage Field5 Name</t>
  </si>
  <si>
    <t>Storage Field6</t>
  </si>
  <si>
    <t>Storage Field6 Name</t>
  </si>
  <si>
    <t>Storage Field7</t>
  </si>
  <si>
    <t>Storage Field7 Name</t>
  </si>
  <si>
    <t>Storage Field8</t>
  </si>
  <si>
    <t>Storage Field8 Name</t>
  </si>
  <si>
    <t>Storage Field9</t>
  </si>
  <si>
    <t>Storage Field9 Name</t>
  </si>
  <si>
    <t>Storage Field10</t>
  </si>
  <si>
    <t>Storage Field10 Name</t>
  </si>
  <si>
    <t>Storage Field11</t>
  </si>
  <si>
    <t>Storage Field11 Name</t>
  </si>
  <si>
    <t>Storage Field12</t>
  </si>
  <si>
    <t>Storage Field12 Name</t>
  </si>
  <si>
    <t>Storage Field13</t>
  </si>
  <si>
    <t>Storage Field13 Name</t>
  </si>
  <si>
    <t>Storage Field14</t>
  </si>
  <si>
    <t>Storage Field14 Name</t>
  </si>
  <si>
    <t>Storage Field15</t>
  </si>
  <si>
    <t>Storage Field15 Name</t>
  </si>
  <si>
    <t>Storage Field16</t>
  </si>
  <si>
    <t>Storage Field16 Name</t>
  </si>
  <si>
    <t>Storage Field17</t>
  </si>
  <si>
    <t>Storage Field17 Name</t>
  </si>
  <si>
    <t>Storage Field18</t>
  </si>
  <si>
    <t>Storage Field18 Name</t>
  </si>
  <si>
    <t>Storage Field19</t>
  </si>
  <si>
    <t>Storage Field19 Name</t>
  </si>
  <si>
    <t>DimGridName</t>
  </si>
  <si>
    <t>DimSheetName</t>
  </si>
  <si>
    <t>StorageGridName</t>
  </si>
  <si>
    <t>StorageSheetName</t>
  </si>
  <si>
    <t>Enable SIMWindow</t>
  </si>
  <si>
    <t>Period Type</t>
  </si>
  <si>
    <t>Interface Setting Grid Number</t>
  </si>
  <si>
    <t>Active Grid Number</t>
  </si>
  <si>
    <t>Running Actual Sheet row Number</t>
  </si>
  <si>
    <t>Running Actual Grid Number</t>
  </si>
  <si>
    <t>Chart Legend Location</t>
  </si>
  <si>
    <t>ChartType</t>
  </si>
  <si>
    <t>ChartDisplayLabel</t>
  </si>
  <si>
    <t>ChartXAxiesLabel</t>
  </si>
  <si>
    <t>Chart 1stData Series</t>
  </si>
  <si>
    <t>Chart 1st DataSeries Name</t>
  </si>
  <si>
    <t>Chart 2nd Data Series</t>
  </si>
  <si>
    <t>Chart 2nd Data Series Name</t>
  </si>
  <si>
    <t>Chart 3rd Data Series</t>
  </si>
  <si>
    <t>Chart 3rd Data SeriesName</t>
  </si>
  <si>
    <t>Chart 4th Data Series</t>
  </si>
  <si>
    <t>Chart 4th Data Series Name</t>
  </si>
  <si>
    <t>Chart 5th Data Series</t>
  </si>
  <si>
    <t>Chart 5th Data Series Name</t>
  </si>
  <si>
    <t>Chart 6th Data Series</t>
  </si>
  <si>
    <t>Chart 6th Data Series Name</t>
  </si>
  <si>
    <t>ChartHide</t>
  </si>
  <si>
    <t>DGCol Label</t>
  </si>
  <si>
    <t>DGRow Label</t>
  </si>
  <si>
    <t>DGData</t>
  </si>
  <si>
    <t>DG Display Label</t>
  </si>
  <si>
    <t>DG Decimal Digits</t>
  </si>
  <si>
    <t>DGHide</t>
  </si>
  <si>
    <t>IGColLabelRange</t>
  </si>
  <si>
    <t>IGRowLabelRange</t>
  </si>
  <si>
    <t>IGDataRange</t>
  </si>
  <si>
    <t>IGDisplayLabel</t>
  </si>
  <si>
    <t>IGDecimalDigits</t>
  </si>
  <si>
    <t>IGHide</t>
  </si>
  <si>
    <t>LIDColLabelRange</t>
  </si>
  <si>
    <t>LIDActualDataRange</t>
  </si>
  <si>
    <t>LIDDisplayLabel</t>
  </si>
  <si>
    <t>LIDRowsNumber</t>
  </si>
  <si>
    <t>LIDHide</t>
  </si>
  <si>
    <t>SliderMaxpercentage</t>
  </si>
  <si>
    <t>SliderMinMovePer</t>
  </si>
  <si>
    <t>SaveType</t>
  </si>
  <si>
    <t>FormatType</t>
  </si>
  <si>
    <t>BudgetTotal</t>
  </si>
  <si>
    <t>ActualTotal</t>
  </si>
  <si>
    <t>TotalHide</t>
  </si>
  <si>
    <t>TotalGridHeadings</t>
  </si>
  <si>
    <t>EnableLID</t>
  </si>
  <si>
    <t>MinChart</t>
  </si>
  <si>
    <t>MinDG</t>
  </si>
  <si>
    <t>EnableCustomSpreading</t>
  </si>
  <si>
    <t>CURRENT PERIOD</t>
  </si>
  <si>
    <t>YEAR TO DATE</t>
  </si>
  <si>
    <t>Combined Operating Statement by Department</t>
  </si>
  <si>
    <t>All Departments</t>
  </si>
  <si>
    <t>Division 5 - ID Card Services</t>
  </si>
  <si>
    <t>Division 1 - Corporate</t>
  </si>
  <si>
    <t>Division 2 - Administration</t>
  </si>
  <si>
    <t>Division 491 - Cash Food Operations</t>
  </si>
  <si>
    <t>Division 492 - Residential Dining</t>
  </si>
  <si>
    <t>Division 308 - Combined Textbooks</t>
  </si>
  <si>
    <t>Division 331 - Combined 315 &amp; 326</t>
  </si>
  <si>
    <t>Division 332 - Combined 316, 320, &amp; 323</t>
  </si>
  <si>
    <t>Division 330 - Combined 307 &amp; 314</t>
  </si>
  <si>
    <t>Division 310 - C-Stores</t>
  </si>
  <si>
    <t>Division 3 - Bookstore &amp; C-Stores</t>
  </si>
  <si>
    <t>Division 300 - Bookstore</t>
  </si>
  <si>
    <t>Division 4 - Food Services</t>
  </si>
  <si>
    <t>Division 6 - Computer Store</t>
  </si>
  <si>
    <t>Division 300 &amp; 317 - Bookstore &amp; Computer Store</t>
  </si>
  <si>
    <t>Division 310 &amp; 491 - C-Stores &amp; Cash Food Operations</t>
  </si>
  <si>
    <t>49er.local\tsantos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</si>
</sst>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[$-409]mmmm\ d\,\ yyyy;@"/>
    <numFmt numFmtId="166" formatCode="[$-409]m/d/yy\ h:mm\ AM/PM;@"/>
    <numFmt numFmtId="167" formatCode="#,##0.0%;\(#,##0.0%\)"/>
    <numFmt numFmtId="168" formatCode="_(&quot;$&quot;* #,##0_);_(&quot;$&quot;* \(#,##0\);_(&quot;$&quot;* &quot;-&quot;??_);_(@_)"/>
  </numFmts>
  <fonts count="7" x14ac:knownFonts="1">
    <font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 tint="-0.49995422223578601"/>
      <name val="Calibri"/>
      <family val="2"/>
      <scheme val="minor"/>
    </font>
    <font>
      <sz val="8"/>
      <color theme="0" tint="-0.4999542222357860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C324"/>
        <bgColor indexed="64"/>
      </patternFill>
    </fill>
    <fill>
      <patternFill patternType="solid">
        <fgColor indexed="43"/>
        <bgColor indexed="64"/>
      </patternFill>
    </fill>
  </fills>
  <borders count="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9" fontId="6" fillId="0" borderId="0" applyFont="0" applyFill="0" applyBorder="0" applyAlignment="0" applyProtection="0"/>
  </cellStyleXfs>
  <cellXfs count="68">
    <xf numFmtId="0" fontId="0" fillId="0" borderId="0" xfId="0"/>
    <xf numFmtId="164" fontId="0" fillId="0" borderId="0" xfId="1" applyNumberFormat="1" applyFont="1" applyFill="1" applyBorder="1"/>
    <xf numFmtId="164" fontId="1" fillId="0" borderId="0" xfId="1" applyNumberFormat="1" applyFont="1" applyFill="1"/>
    <xf numFmtId="164" fontId="0" fillId="0" borderId="0" xfId="1" applyNumberFormat="1" applyFont="1" applyFill="1"/>
    <xf numFmtId="164" fontId="2" fillId="0" borderId="0" xfId="1" applyNumberFormat="1" applyFont="1" applyFill="1"/>
    <xf numFmtId="167" fontId="0" fillId="0" borderId="0" xfId="3" applyNumberFormat="1" applyFont="1" applyFill="1" applyBorder="1"/>
    <xf numFmtId="167" fontId="1" fillId="0" borderId="0" xfId="3" applyNumberFormat="1" applyFont="1" applyFill="1" applyBorder="1"/>
    <xf numFmtId="164" fontId="1" fillId="0" borderId="0" xfId="1" applyNumberFormat="1" applyFont="1" applyFill="1" applyBorder="1"/>
    <xf numFmtId="167" fontId="0" fillId="0" borderId="0" xfId="3" applyNumberFormat="1" applyFont="1" applyFill="1"/>
    <xf numFmtId="0" fontId="0" fillId="0" borderId="0" xfId="0" applyFill="1"/>
    <xf numFmtId="0" fontId="2" fillId="0" borderId="0" xfId="0" applyFont="1" applyFill="1"/>
    <xf numFmtId="0" fontId="1" fillId="0" borderId="0" xfId="0" applyFont="1" applyFill="1"/>
    <xf numFmtId="0" fontId="0" fillId="0" borderId="0" xfId="0" applyFont="1" applyFill="1" applyBorder="1"/>
    <xf numFmtId="167" fontId="2" fillId="0" borderId="0" xfId="3" applyNumberFormat="1" applyFont="1" applyFill="1"/>
    <xf numFmtId="164" fontId="2" fillId="2" borderId="0" xfId="1" applyNumberFormat="1" applyFont="1" applyFill="1" applyBorder="1"/>
    <xf numFmtId="0" fontId="2" fillId="2" borderId="1" xfId="0" applyFont="1" applyFill="1" applyBorder="1" applyAlignment="1">
      <alignment horizontal="centerContinuous"/>
    </xf>
    <xf numFmtId="164" fontId="2" fillId="2" borderId="0" xfId="1" applyNumberFormat="1" applyFont="1" applyFill="1"/>
    <xf numFmtId="0" fontId="0" fillId="0" borderId="0" xfId="0" applyAlignment="1">
      <alignment horizontal="centerContinuous"/>
    </xf>
    <xf numFmtId="164" fontId="0" fillId="0" borderId="0" xfId="1" applyNumberFormat="1" applyFont="1"/>
    <xf numFmtId="167" fontId="1" fillId="0" borderId="0" xfId="3" applyNumberFormat="1" applyFont="1" applyFill="1"/>
    <xf numFmtId="168" fontId="2" fillId="2" borderId="2" xfId="2" applyNumberFormat="1" applyFont="1" applyFill="1" applyBorder="1"/>
    <xf numFmtId="164" fontId="2" fillId="0" borderId="0" xfId="1" applyNumberFormat="1" applyFont="1" applyFill="1" applyBorder="1"/>
    <xf numFmtId="167" fontId="2" fillId="2" borderId="2" xfId="3" applyNumberFormat="1" applyFont="1" applyFill="1" applyBorder="1"/>
    <xf numFmtId="0" fontId="2" fillId="0" borderId="0" xfId="0" applyFont="1"/>
    <xf numFmtId="0" fontId="1" fillId="0" borderId="0" xfId="0" applyFont="1"/>
    <xf numFmtId="49" fontId="0" fillId="0" borderId="0" xfId="0" applyNumberFormat="1" applyFont="1" applyFill="1" applyBorder="1" applyAlignment="1">
      <alignment horizontal="right"/>
    </xf>
    <xf numFmtId="49" fontId="1" fillId="0" borderId="0" xfId="0" applyNumberFormat="1" applyFont="1" applyFill="1" applyAlignment="1">
      <alignment horizontal="right"/>
    </xf>
    <xf numFmtId="0" fontId="0" fillId="0" borderId="0" xfId="0" applyFont="1" applyBorder="1"/>
    <xf numFmtId="0" fontId="2" fillId="0" borderId="0" xfId="0" applyFont="1" applyFill="1" applyAlignment="1">
      <alignment horizontal="left"/>
    </xf>
    <xf numFmtId="0" fontId="2" fillId="2" borderId="0" xfId="0" applyFont="1" applyFill="1" applyAlignment="1">
      <alignment horizontal="left"/>
    </xf>
    <xf numFmtId="167" fontId="2" fillId="0" borderId="0" xfId="3" applyNumberFormat="1" applyFont="1" applyFill="1" applyBorder="1"/>
    <xf numFmtId="167" fontId="2" fillId="2" borderId="3" xfId="3" applyNumberFormat="1" applyFont="1" applyFill="1" applyBorder="1"/>
    <xf numFmtId="167" fontId="2" fillId="2" borderId="4" xfId="3" applyNumberFormat="1" applyFont="1" applyFill="1" applyBorder="1"/>
    <xf numFmtId="49" fontId="2" fillId="0" borderId="0" xfId="0" applyNumberFormat="1" applyFont="1" applyFill="1" applyBorder="1" applyAlignment="1">
      <alignment horizontal="center"/>
    </xf>
    <xf numFmtId="168" fontId="2" fillId="2" borderId="3" xfId="2" applyNumberFormat="1" applyFont="1" applyFill="1" applyBorder="1"/>
    <xf numFmtId="168" fontId="2" fillId="2" borderId="4" xfId="2" applyNumberFormat="1" applyFont="1" applyFill="1" applyBorder="1"/>
    <xf numFmtId="0" fontId="0" fillId="0" borderId="0" xfId="0" applyFill="1" applyBorder="1"/>
    <xf numFmtId="167" fontId="0" fillId="0" borderId="0" xfId="0" applyNumberFormat="1"/>
    <xf numFmtId="167" fontId="2" fillId="2" borderId="1" xfId="3" applyNumberFormat="1" applyFont="1" applyFill="1" applyBorder="1" applyAlignment="1">
      <alignment horizontal="centerContinuous"/>
    </xf>
    <xf numFmtId="167" fontId="0" fillId="0" borderId="0" xfId="0" applyNumberFormat="1" applyAlignment="1">
      <alignment horizontal="centerContinuous"/>
    </xf>
    <xf numFmtId="167" fontId="2" fillId="2" borderId="1" xfId="3" applyNumberFormat="1" applyFont="1" applyFill="1" applyBorder="1" applyAlignment="1">
      <alignment horizontal="center"/>
    </xf>
    <xf numFmtId="0" fontId="0" fillId="3" borderId="5" xfId="0" applyFill="1" applyBorder="1" applyAlignment="1">
      <alignment horizontal="center" vertical="center" wrapText="1"/>
    </xf>
    <xf numFmtId="167" fontId="0" fillId="0" borderId="0" xfId="1" applyNumberFormat="1" applyFont="1"/>
    <xf numFmtId="0" fontId="2" fillId="2" borderId="1" xfId="0" applyFont="1" applyFill="1" applyBorder="1" applyAlignment="1">
      <alignment horizontal="center"/>
    </xf>
    <xf numFmtId="49" fontId="1" fillId="0" borderId="0" xfId="0" applyNumberFormat="1" applyFont="1" applyFill="1"/>
    <xf numFmtId="167" fontId="2" fillId="2" borderId="1" xfId="0" applyNumberFormat="1" applyFont="1" applyFill="1" applyBorder="1" applyAlignment="1">
      <alignment horizontal="center"/>
    </xf>
    <xf numFmtId="167" fontId="2" fillId="2" borderId="1" xfId="0" applyNumberFormat="1" applyFont="1" applyFill="1" applyBorder="1" applyAlignment="1">
      <alignment horizontal="centerContinuous"/>
    </xf>
    <xf numFmtId="0" fontId="2" fillId="2" borderId="1" xfId="0" applyNumberFormat="1" applyFont="1" applyFill="1" applyBorder="1" applyAlignment="1">
      <alignment horizontal="center"/>
    </xf>
    <xf numFmtId="167" fontId="0" fillId="0" borderId="0" xfId="0" applyNumberFormat="1" applyFill="1"/>
    <xf numFmtId="167" fontId="0" fillId="0" borderId="0" xfId="3" applyNumberFormat="1" applyFont="1"/>
    <xf numFmtId="167" fontId="0" fillId="0" borderId="0" xfId="3" applyNumberFormat="1" applyFont="1" applyAlignment="1">
      <alignment horizontal="centerContinuous"/>
    </xf>
    <xf numFmtId="164" fontId="2" fillId="0" borderId="0" xfId="1" applyNumberFormat="1" applyFont="1" applyAlignment="1">
      <alignment horizontal="left"/>
    </xf>
    <xf numFmtId="49" fontId="2" fillId="0" borderId="0" xfId="0" applyNumberFormat="1" applyFont="1" applyFill="1"/>
    <xf numFmtId="49" fontId="2" fillId="2" borderId="1" xfId="0" applyNumberFormat="1" applyFont="1" applyFill="1" applyBorder="1" applyAlignment="1">
      <alignment horizontal="center"/>
    </xf>
    <xf numFmtId="0" fontId="3" fillId="0" borderId="0" xfId="0" applyFont="1"/>
    <xf numFmtId="0" fontId="2" fillId="0" borderId="0" xfId="0" applyFont="1" applyFill="1" applyBorder="1"/>
    <xf numFmtId="0" fontId="4" fillId="0" borderId="0" xfId="0" applyFont="1" applyAlignment="1">
      <alignment horizontal="left"/>
    </xf>
    <xf numFmtId="164" fontId="2" fillId="0" borderId="0" xfId="1" applyNumberFormat="1" applyFont="1" applyFill="1" applyAlignment="1">
      <alignment horizontal="centerContinuous"/>
    </xf>
    <xf numFmtId="0" fontId="5" fillId="0" borderId="0" xfId="0" applyFont="1" applyFill="1"/>
    <xf numFmtId="166" fontId="4" fillId="0" borderId="0" xfId="0" applyNumberFormat="1" applyFont="1" applyAlignment="1">
      <alignment horizontal="left"/>
    </xf>
    <xf numFmtId="165" fontId="0" fillId="0" borderId="0" xfId="0" applyNumberFormat="1"/>
    <xf numFmtId="0" fontId="0" fillId="0" borderId="0" xfId="0" applyFill="1" applyAlignment="1">
      <alignment horizontal="centerContinuous"/>
    </xf>
    <xf numFmtId="0" fontId="0" fillId="0" borderId="0" xfId="0" applyBorder="1"/>
    <xf numFmtId="0" fontId="2" fillId="0" borderId="0" xfId="0" applyFont="1" applyAlignment="1">
      <alignment horizontal="left"/>
    </xf>
    <xf numFmtId="14" fontId="2" fillId="0" borderId="0" xfId="0" applyNumberFormat="1" applyFont="1" applyAlignment="1">
      <alignment horizontal="left"/>
    </xf>
    <xf numFmtId="0" fontId="2" fillId="0" borderId="0" xfId="0" applyNumberFormat="1" applyFont="1" applyAlignment="1">
      <alignment horizontal="left"/>
    </xf>
    <xf numFmtId="49" fontId="0" fillId="3" borderId="5" xfId="0" applyNumberFormat="1" applyFill="1" applyBorder="1" applyAlignment="1">
      <alignment horizontal="center" vertical="center" wrapText="1"/>
    </xf>
    <xf numFmtId="49" fontId="0" fillId="0" borderId="0" xfId="0" applyNumberFormat="1"/>
  </cellXfs>
  <cellStyles count="4">
    <cellStyle name="Comma" xfId="1" builtinId="3"/>
    <cellStyle name="Currency" xfId="2" builtinId="4"/>
    <cellStyle name="Normal" xfId="0" builtinId="0"/>
    <cellStyle name="Percent" xfId="3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102" Type="http://schemas.openxmlformats.org/officeDocument/2006/relationships/theme" Target="theme/theme1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styles" Target="style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8.xml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6.xml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7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8.xml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9.xml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0.xml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1.xml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2.xml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3.xml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4.xml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5.xml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6.xml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7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8.xml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9.xml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0.xml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1.xml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2.xml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3.xml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4.xml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5.xml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6.xml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7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8.xml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9.xml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0.xml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1.xml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2.xml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3.xml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4.xml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5.xml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6.xml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7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8.xml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9.xml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0.xml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1.xml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2.xml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3.xml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4.xml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5.xml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6.xml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8.xml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9.xml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0.xml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1.xml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2.xml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3.xml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4.xml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5.xml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6.xml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8.xml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9.xml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0.xml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1.xml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2.xml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3.xml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4.xml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5.xml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6.xml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Z3"/>
  <sheetViews>
    <sheetView workbookViewId="0"/>
  </sheetViews>
  <sheetFormatPr defaultRowHeight="15" x14ac:dyDescent="0.25"/>
  <cols>
    <col min="1" max="130" width="20.7109375" customWidth="1"/>
  </cols>
  <sheetData>
    <row r="1" spans="1:130" x14ac:dyDescent="0.25">
      <c r="B1">
        <v>4</v>
      </c>
    </row>
    <row r="3" spans="1:130" ht="30" x14ac:dyDescent="0.25">
      <c r="A3" s="41" t="s">
        <v>244</v>
      </c>
      <c r="B3" s="41" t="s">
        <v>245</v>
      </c>
      <c r="C3" s="41" t="s">
        <v>18</v>
      </c>
      <c r="D3" s="41" t="s">
        <v>246</v>
      </c>
      <c r="E3" s="41" t="s">
        <v>247</v>
      </c>
      <c r="F3" s="41" t="s">
        <v>20</v>
      </c>
      <c r="G3" s="41" t="s">
        <v>248</v>
      </c>
      <c r="H3" s="41" t="s">
        <v>249</v>
      </c>
      <c r="I3" s="41" t="s">
        <v>250</v>
      </c>
      <c r="J3" s="41" t="s">
        <v>251</v>
      </c>
      <c r="K3" s="41" t="s">
        <v>252</v>
      </c>
      <c r="L3" s="41" t="s">
        <v>253</v>
      </c>
      <c r="M3" s="41" t="s">
        <v>254</v>
      </c>
      <c r="N3" s="41" t="s">
        <v>255</v>
      </c>
      <c r="O3" s="41" t="s">
        <v>256</v>
      </c>
      <c r="P3" s="41" t="s">
        <v>257</v>
      </c>
      <c r="Q3" s="41" t="s">
        <v>258</v>
      </c>
      <c r="R3" s="41" t="s">
        <v>259</v>
      </c>
      <c r="S3" s="41" t="s">
        <v>260</v>
      </c>
      <c r="T3" s="41" t="s">
        <v>261</v>
      </c>
      <c r="U3" s="41" t="s">
        <v>264</v>
      </c>
      <c r="V3" s="41" t="s">
        <v>265</v>
      </c>
      <c r="W3" s="41" t="s">
        <v>266</v>
      </c>
      <c r="X3" s="41" t="s">
        <v>267</v>
      </c>
      <c r="Y3" s="41" t="s">
        <v>268</v>
      </c>
      <c r="Z3" s="41" t="s">
        <v>269</v>
      </c>
      <c r="AA3" s="41" t="s">
        <v>270</v>
      </c>
      <c r="AB3" s="41" t="s">
        <v>271</v>
      </c>
      <c r="AC3" s="41" t="s">
        <v>272</v>
      </c>
      <c r="AD3" s="41" t="s">
        <v>273</v>
      </c>
      <c r="AE3" s="41" t="s">
        <v>274</v>
      </c>
      <c r="AF3" s="41" t="s">
        <v>275</v>
      </c>
      <c r="AG3" s="41" t="s">
        <v>276</v>
      </c>
      <c r="AH3" s="41" t="s">
        <v>277</v>
      </c>
      <c r="AI3" s="41" t="s">
        <v>278</v>
      </c>
      <c r="AJ3" s="41" t="s">
        <v>279</v>
      </c>
      <c r="AK3" s="41" t="s">
        <v>280</v>
      </c>
      <c r="AL3" s="41" t="s">
        <v>281</v>
      </c>
      <c r="AM3" s="41" t="s">
        <v>282</v>
      </c>
      <c r="AN3" s="41" t="s">
        <v>283</v>
      </c>
      <c r="AO3" s="41" t="s">
        <v>284</v>
      </c>
      <c r="AP3" s="41" t="s">
        <v>285</v>
      </c>
      <c r="AQ3" s="41" t="s">
        <v>286</v>
      </c>
      <c r="AR3" s="41" t="s">
        <v>287</v>
      </c>
      <c r="AS3" s="41" t="s">
        <v>288</v>
      </c>
      <c r="AT3" s="41" t="s">
        <v>289</v>
      </c>
      <c r="AU3" s="41" t="s">
        <v>290</v>
      </c>
      <c r="AV3" s="41" t="s">
        <v>262</v>
      </c>
      <c r="AW3" s="41" t="s">
        <v>263</v>
      </c>
      <c r="AX3" s="41" t="s">
        <v>291</v>
      </c>
      <c r="AY3" s="41" t="s">
        <v>292</v>
      </c>
      <c r="AZ3" s="41" t="s">
        <v>293</v>
      </c>
      <c r="BA3" s="41" t="s">
        <v>45</v>
      </c>
      <c r="BB3" s="41" t="s">
        <v>46</v>
      </c>
      <c r="BC3" s="41"/>
      <c r="BD3" s="41"/>
      <c r="BE3" s="41"/>
      <c r="BF3" s="41"/>
      <c r="BG3" s="41"/>
      <c r="BH3" s="41"/>
      <c r="BI3" s="41"/>
      <c r="BJ3" s="41"/>
      <c r="BK3" s="41"/>
      <c r="BL3" s="41"/>
      <c r="BM3" s="41"/>
      <c r="BN3" s="41"/>
      <c r="BO3" s="41"/>
      <c r="BP3" s="41"/>
      <c r="BQ3" s="41"/>
      <c r="BR3" s="41"/>
      <c r="BS3" s="41"/>
      <c r="BT3" s="41"/>
      <c r="BU3" s="41"/>
      <c r="BV3" s="41"/>
      <c r="BW3" s="41"/>
      <c r="BX3" s="41"/>
      <c r="BY3" s="41"/>
      <c r="BZ3" s="41"/>
      <c r="CA3" s="41"/>
      <c r="CB3" s="41"/>
      <c r="CC3" s="41"/>
      <c r="CD3" s="41"/>
      <c r="CE3" s="41"/>
      <c r="CF3" s="41"/>
      <c r="CG3" s="41"/>
      <c r="CH3" s="41"/>
      <c r="CI3" s="41"/>
      <c r="CJ3" s="41"/>
      <c r="CK3" s="41"/>
      <c r="CL3" s="41"/>
      <c r="CM3" s="41"/>
      <c r="CN3" s="41"/>
      <c r="CO3" s="41"/>
      <c r="CP3" s="41"/>
      <c r="CQ3" s="41"/>
      <c r="CR3" s="41"/>
      <c r="CS3" s="41"/>
      <c r="CT3" s="41"/>
      <c r="CU3" s="41"/>
      <c r="CV3" s="41"/>
      <c r="CW3" s="41"/>
      <c r="CX3" s="41"/>
      <c r="CY3" s="41"/>
      <c r="CZ3" s="41"/>
      <c r="DA3" s="41"/>
      <c r="DB3" s="41"/>
      <c r="DC3" s="41"/>
      <c r="DD3" s="41"/>
      <c r="DE3" s="41"/>
      <c r="DF3" s="41"/>
      <c r="DG3" s="41"/>
      <c r="DH3" s="41"/>
      <c r="DI3" s="41"/>
      <c r="DJ3" s="41"/>
      <c r="DK3" s="41"/>
      <c r="DL3" s="41"/>
      <c r="DM3" s="41"/>
      <c r="DN3" s="41"/>
      <c r="DO3" s="41"/>
      <c r="DP3" s="41"/>
      <c r="DQ3" s="41"/>
      <c r="DR3" s="41"/>
      <c r="DS3" s="41"/>
      <c r="DT3" s="41"/>
      <c r="DU3" s="41"/>
      <c r="DV3" s="41"/>
      <c r="DW3" s="41"/>
      <c r="DX3" s="41"/>
      <c r="DY3" s="41"/>
      <c r="DZ3" s="41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63" t="s">
        <v>13</v>
      </c>
    </row>
    <row r="3" spans="1:26" x14ac:dyDescent="0.25">
      <c r="D3" s="63" t="s">
        <v>296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61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63" t="e">
        <f ca="1">CONCATENATE("Period ",RIGHT(_xll.OneStop.ReportPlayer.OSRFunctions.OSRGet("Period","PeriodId"),2),", ",_xll.OneStop.ReportPlayer.OSRFunctions.OSRGet("Period","Year"))</f>
        <v>#NAME?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61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5" t="e">
        <f ca="1">_xll.OneStop.ReportPlayer.OSRFunctions.OSRGet("Period","PeriodEnd")</f>
        <v>#NAME?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61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51"/>
      <c r="C6" s="51"/>
      <c r="D6" s="23" t="s">
        <v>308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57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5" t="s">
        <v>294</v>
      </c>
      <c r="E9" s="15"/>
      <c r="F9" s="38"/>
      <c r="G9" s="15"/>
      <c r="H9" s="15"/>
      <c r="I9" s="15"/>
      <c r="J9" s="46"/>
      <c r="K9" s="15"/>
      <c r="L9" s="15"/>
      <c r="M9" s="15"/>
      <c r="N9" s="38"/>
      <c r="P9" s="15" t="s">
        <v>295</v>
      </c>
      <c r="Q9" s="15"/>
      <c r="R9" s="38"/>
      <c r="S9" s="15"/>
      <c r="T9" s="15"/>
      <c r="U9" s="15"/>
      <c r="V9" s="46"/>
      <c r="W9" s="15"/>
      <c r="X9" s="15"/>
      <c r="Y9" s="15"/>
      <c r="Z9" s="38"/>
    </row>
    <row r="10" spans="1:26" x14ac:dyDescent="0.25">
      <c r="A10" s="10"/>
      <c r="B10" s="55"/>
      <c r="C10" s="10"/>
      <c r="D10" s="43" t="s">
        <v>10</v>
      </c>
      <c r="E10" s="33"/>
      <c r="F10" s="40" t="s">
        <v>15</v>
      </c>
      <c r="G10" s="33"/>
      <c r="H10" s="47" t="s">
        <v>11</v>
      </c>
      <c r="I10" s="33"/>
      <c r="J10" s="45" t="s">
        <v>16</v>
      </c>
      <c r="K10" s="10"/>
      <c r="L10" s="43" t="s">
        <v>12</v>
      </c>
      <c r="M10" s="10"/>
      <c r="N10" s="40" t="s">
        <v>17</v>
      </c>
      <c r="O10" s="10"/>
      <c r="P10" s="53" t="s">
        <v>10</v>
      </c>
      <c r="Q10" s="33"/>
      <c r="R10" s="40" t="s">
        <v>15</v>
      </c>
      <c r="S10" s="33"/>
      <c r="T10" s="47" t="s">
        <v>11</v>
      </c>
      <c r="U10" s="33"/>
      <c r="V10" s="45" t="s">
        <v>16</v>
      </c>
      <c r="W10" s="10"/>
      <c r="X10" s="43" t="s">
        <v>12</v>
      </c>
      <c r="Y10" s="10"/>
      <c r="Z10" s="40" t="s">
        <v>17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 t="e">
        <f ca="1">SUM(_xll.OneStop.ReportPlayer.OSRFunctions.OSRRef(D13))</f>
        <v>#NAME?</v>
      </c>
      <c r="E12" s="4"/>
      <c r="F12" s="13"/>
      <c r="G12" s="4"/>
      <c r="H12" s="4" t="e">
        <f ca="1">SUM(_xll.OneStop.ReportPlayer.OSRFunctions.OSRRef(H13))</f>
        <v>#NAME?</v>
      </c>
      <c r="I12" s="4"/>
      <c r="J12" s="13"/>
      <c r="K12" s="4"/>
      <c r="L12" s="4" t="e">
        <f t="shared" ref="L12:L13" ca="1" si="0">+D12-H12</f>
        <v>#NAME?</v>
      </c>
      <c r="M12" s="4"/>
      <c r="N12" s="13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3"/>
      <c r="S12" s="4"/>
      <c r="T12" s="4" t="e">
        <f ca="1">SUM(_xll.OneStop.ReportPlayer.OSRFunctions.OSRRef(T13))</f>
        <v>#NAME?</v>
      </c>
      <c r="U12" s="4"/>
      <c r="V12" s="13"/>
      <c r="W12" s="4"/>
      <c r="X12" s="4" t="e">
        <f t="shared" ref="X12:X13" ca="1" si="2">+P12-T12</f>
        <v>#NAME?</v>
      </c>
      <c r="Y12" s="4"/>
      <c r="Z12" s="13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8</v>
      </c>
      <c r="C15" s="10"/>
      <c r="D15" s="4" t="e">
        <f ca="1">SUM(_xll.OneStop.ReportPlayer.OSRFunctions.OSRRef(D16))</f>
        <v>#NAME?</v>
      </c>
      <c r="E15" s="4"/>
      <c r="F15" s="13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3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3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3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3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3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6</v>
      </c>
      <c r="C18" s="29"/>
      <c r="D18" s="20" t="e">
        <f ca="1">D12-D15</f>
        <v>#NAME?</v>
      </c>
      <c r="E18" s="14"/>
      <c r="F18" s="22" t="e">
        <f ca="1">IF(D$12=0,0,D18/D$12)</f>
        <v>#NAME?</v>
      </c>
      <c r="G18" s="14"/>
      <c r="H18" s="20" t="e">
        <f ca="1">H12-H15</f>
        <v>#NAME?</v>
      </c>
      <c r="I18" s="14"/>
      <c r="J18" s="22" t="e">
        <f ca="1">IF(H$12=0,0,H18/H$12)</f>
        <v>#NAME?</v>
      </c>
      <c r="K18" s="16"/>
      <c r="L18" s="20" t="e">
        <f ca="1">+D18-H18</f>
        <v>#NAME?</v>
      </c>
      <c r="M18" s="16"/>
      <c r="N18" s="22" t="e">
        <f ca="1">IF(H18=0,0,L18/H18)</f>
        <v>#NAME?</v>
      </c>
      <c r="O18" s="28"/>
      <c r="P18" s="20" t="e">
        <f ca="1">P12-P15</f>
        <v>#NAME?</v>
      </c>
      <c r="Q18" s="14"/>
      <c r="R18" s="22" t="e">
        <f ca="1">IF(P$12=0,0,P18/P$12)</f>
        <v>#NAME?</v>
      </c>
      <c r="S18" s="14"/>
      <c r="T18" s="20" t="e">
        <f ca="1">T12-T15</f>
        <v>#NAME?</v>
      </c>
      <c r="U18" s="14"/>
      <c r="V18" s="22" t="e">
        <f ca="1">IF(T$12=0,0,T18/T$12)</f>
        <v>#NAME?</v>
      </c>
      <c r="W18" s="16"/>
      <c r="X18" s="20" t="e">
        <f ca="1">+P18-T18</f>
        <v>#NAME?</v>
      </c>
      <c r="Y18" s="16"/>
      <c r="Z18" s="22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9</v>
      </c>
      <c r="C20" s="10"/>
      <c r="D20" s="21" t="e">
        <f ca="1">SUM(_xll.OneStop.ReportPlayer.OSRFunctions.OSRRef(D22))</f>
        <v>#NAME?</v>
      </c>
      <c r="E20" s="21"/>
      <c r="F20" s="30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0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0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0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0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0" t="e">
        <f t="shared" ref="Z20:Z22" ca="1" si="19">IF(T20=0,0,X20/T20)</f>
        <v>#NAME?</v>
      </c>
    </row>
    <row r="21" spans="1:26" s="27" customFormat="1" outlineLevel="1" collapsed="1" x14ac:dyDescent="0.25">
      <c r="A21" s="25"/>
      <c r="B21" s="12" t="e">
        <f ca="1">CONCATENATE("     ",_xll.OneStop.ReportPlayer.OSRFunctions.OSRGet("d_Account","AccountCategory"))</f>
        <v>#NAME?</v>
      </c>
      <c r="C21" s="12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2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6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62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8" t="s">
        <v>0</v>
      </c>
      <c r="C24" s="10"/>
      <c r="D24" s="4" t="e">
        <f ca="1">SUM(_xll.OneStop.ReportPlayer.OSRFunctions.OSRRef(D25))</f>
        <v>#NAME?</v>
      </c>
      <c r="E24" s="4"/>
      <c r="F24" s="13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3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3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3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3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3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3</v>
      </c>
      <c r="C27" s="29"/>
      <c r="D27" s="20" t="e">
        <f ca="1">+D18-D20+D24</f>
        <v>#NAME?</v>
      </c>
      <c r="E27" s="14"/>
      <c r="F27" s="22" t="e">
        <f ca="1">IF(D$12=0,0,D27/D$12)</f>
        <v>#NAME?</v>
      </c>
      <c r="G27" s="14"/>
      <c r="H27" s="20" t="e">
        <f ca="1">+H18-H20+H24</f>
        <v>#NAME?</v>
      </c>
      <c r="I27" s="14"/>
      <c r="J27" s="22" t="e">
        <f ca="1">IF(H$12=0,0,H27/H$12)</f>
        <v>#NAME?</v>
      </c>
      <c r="K27" s="16"/>
      <c r="L27" s="20" t="e">
        <f ca="1">+D27-H27</f>
        <v>#NAME?</v>
      </c>
      <c r="M27" s="16"/>
      <c r="N27" s="22" t="e">
        <f ca="1">IF(H27=0,0,L27/H27)</f>
        <v>#NAME?</v>
      </c>
      <c r="O27" s="28"/>
      <c r="P27" s="20" t="e">
        <f ca="1">+P18-P20+P24</f>
        <v>#NAME?</v>
      </c>
      <c r="Q27" s="14"/>
      <c r="R27" s="22" t="e">
        <f ca="1">IF(P$12=0,0,P27/P$12)</f>
        <v>#NAME?</v>
      </c>
      <c r="S27" s="14"/>
      <c r="T27" s="20" t="e">
        <f ca="1">+T18-T20+T24</f>
        <v>#NAME?</v>
      </c>
      <c r="U27" s="14"/>
      <c r="V27" s="22" t="e">
        <f ca="1">IF(T$12=0,0,T27/T$12)</f>
        <v>#NAME?</v>
      </c>
      <c r="W27" s="16"/>
      <c r="X27" s="20" t="e">
        <f ca="1">+P27-T27</f>
        <v>#NAME?</v>
      </c>
      <c r="Y27" s="16"/>
      <c r="Z27" s="22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3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3" t="e">
        <f ca="1">IF(H$12=0,0,H29/H$12)</f>
        <v>#NAME?</v>
      </c>
      <c r="K29" s="4"/>
      <c r="L29" s="4" t="e">
        <f ca="1">+D29-H29</f>
        <v>#NAME?</v>
      </c>
      <c r="M29" s="4"/>
      <c r="N29" s="13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3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3" t="e">
        <f ca="1">IF(T$12=0,0,T29/T$12)</f>
        <v>#NAME?</v>
      </c>
      <c r="W29" s="4"/>
      <c r="X29" s="4" t="e">
        <f ca="1">+P29-T29</f>
        <v>#NAME?</v>
      </c>
      <c r="Y29" s="4"/>
      <c r="Z29" s="13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4</v>
      </c>
      <c r="C31" s="29"/>
      <c r="D31" s="35" t="e">
        <f ca="1">+D27-D29</f>
        <v>#NAME?</v>
      </c>
      <c r="E31" s="14"/>
      <c r="F31" s="32" t="e">
        <f ca="1">IF(D$12=0,0,D31/D$12)</f>
        <v>#NAME?</v>
      </c>
      <c r="G31" s="14"/>
      <c r="H31" s="35" t="e">
        <f ca="1">+H27-H29</f>
        <v>#NAME?</v>
      </c>
      <c r="I31" s="14"/>
      <c r="J31" s="32" t="e">
        <f ca="1">IF(H$12=0,0,H31/H$12)</f>
        <v>#NAME?</v>
      </c>
      <c r="K31" s="16"/>
      <c r="L31" s="35" t="e">
        <f ca="1">D31-H31</f>
        <v>#NAME?</v>
      </c>
      <c r="M31" s="16"/>
      <c r="N31" s="32" t="e">
        <f ca="1">IF(H31=0,0,L31/H31)</f>
        <v>#NAME?</v>
      </c>
      <c r="O31" s="28"/>
      <c r="P31" s="35" t="e">
        <f ca="1">+P27-P29</f>
        <v>#NAME?</v>
      </c>
      <c r="Q31" s="14"/>
      <c r="R31" s="32" t="e">
        <f ca="1">IF(P$12=0,0,P31/P$12)</f>
        <v>#NAME?</v>
      </c>
      <c r="S31" s="14"/>
      <c r="T31" s="35" t="e">
        <f ca="1">+T27-T29</f>
        <v>#NAME?</v>
      </c>
      <c r="U31" s="14"/>
      <c r="V31" s="32" t="e">
        <f ca="1">IF(T$12=0,0,T31/T$12)</f>
        <v>#NAME?</v>
      </c>
      <c r="W31" s="16"/>
      <c r="X31" s="35" t="e">
        <f ca="1">P31-T31</f>
        <v>#NAME?</v>
      </c>
      <c r="Y31" s="16"/>
      <c r="Z31" s="32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3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3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3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3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3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3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3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3" t="e">
        <f t="shared" ca="1" si="29"/>
        <v>#NAME?</v>
      </c>
      <c r="K34" s="4"/>
      <c r="L34" s="4" t="e">
        <f t="shared" ca="1" si="30"/>
        <v>#NAME?</v>
      </c>
      <c r="M34" s="4"/>
      <c r="N34" s="13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3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3" t="e">
        <f t="shared" ca="1" si="33"/>
        <v>#NAME?</v>
      </c>
      <c r="W34" s="4"/>
      <c r="X34" s="4" t="e">
        <f t="shared" ca="1" si="34"/>
        <v>#NAME?</v>
      </c>
      <c r="Y34" s="4"/>
      <c r="Z34" s="13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5</v>
      </c>
      <c r="C36" s="29"/>
      <c r="D36" s="34" t="e">
        <f ca="1">SUM(D31:D35)</f>
        <v>#NAME?</v>
      </c>
      <c r="E36" s="14"/>
      <c r="F36" s="31" t="e">
        <f ca="1">IF(D$12=0,0,D36/D$12)</f>
        <v>#NAME?</v>
      </c>
      <c r="G36" s="14"/>
      <c r="H36" s="34" t="e">
        <f ca="1">SUM(H31:H35)</f>
        <v>#NAME?</v>
      </c>
      <c r="I36" s="14"/>
      <c r="J36" s="31" t="e">
        <f ca="1">IF(H$12=0,0,H36/H$12)</f>
        <v>#NAME?</v>
      </c>
      <c r="K36" s="16"/>
      <c r="L36" s="34" t="e">
        <f ca="1">+D36-H36</f>
        <v>#NAME?</v>
      </c>
      <c r="M36" s="16"/>
      <c r="N36" s="31" t="e">
        <f ca="1">IF(H36=0,0,L36/H36)</f>
        <v>#NAME?</v>
      </c>
      <c r="O36" s="28"/>
      <c r="P36" s="34" t="e">
        <f ca="1">SUM(P31:P35)</f>
        <v>#NAME?</v>
      </c>
      <c r="Q36" s="14"/>
      <c r="R36" s="31" t="e">
        <f ca="1">IF(P$12=0,0,P36/P$12)</f>
        <v>#NAME?</v>
      </c>
      <c r="S36" s="14"/>
      <c r="T36" s="34" t="e">
        <f ca="1">SUM(T31:T35)</f>
        <v>#NAME?</v>
      </c>
      <c r="U36" s="14"/>
      <c r="V36" s="31" t="e">
        <f ca="1">IF(T$12=0,0,T36/T$12)</f>
        <v>#NAME?</v>
      </c>
      <c r="W36" s="16"/>
      <c r="X36" s="34" t="e">
        <f ca="1">+P36-T36</f>
        <v>#NAME?</v>
      </c>
      <c r="Y36" s="16"/>
      <c r="Z36" s="31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59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56" t="e">
        <f ca="1">_xll.OneStop.ReportPlayer.OSRFunctions.OSRGet("User","UserId")</f>
        <v>#NAME?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54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63" t="s">
        <v>13</v>
      </c>
    </row>
    <row r="3" spans="1:26" x14ac:dyDescent="0.25">
      <c r="D3" s="63" t="s">
        <v>296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61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63" t="e">
        <f ca="1">CONCATENATE("Period ",RIGHT(_xll.OneStop.ReportPlayer.OSRFunctions.OSRGet("Period","PeriodId"),2),", ",_xll.OneStop.ReportPlayer.OSRFunctions.OSRGet("Period","Year"))</f>
        <v>#NAME?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61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5" t="e">
        <f ca="1">_xll.OneStop.ReportPlayer.OSRFunctions.OSRGet("Period","PeriodEnd")</f>
        <v>#NAME?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61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51"/>
      <c r="C6" s="51"/>
      <c r="D6" s="23" t="e">
        <f ca="1">CONCATENATE("Department ",_xll.OneStop.ReportPlayer.OSRFunctions.OSRGet("d_dim0","Code"), " - ", _xll.OneStop.ReportPlayer.OSRFunctions.OSRGet("d_dim0","Description"))</f>
        <v>#NAME?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57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5" t="s">
        <v>294</v>
      </c>
      <c r="E9" s="15"/>
      <c r="F9" s="38"/>
      <c r="G9" s="15"/>
      <c r="H9" s="15"/>
      <c r="I9" s="15"/>
      <c r="J9" s="46"/>
      <c r="K9" s="15"/>
      <c r="L9" s="15"/>
      <c r="M9" s="15"/>
      <c r="N9" s="38"/>
      <c r="P9" s="15" t="s">
        <v>295</v>
      </c>
      <c r="Q9" s="15"/>
      <c r="R9" s="38"/>
      <c r="S9" s="15"/>
      <c r="T9" s="15"/>
      <c r="U9" s="15"/>
      <c r="V9" s="46"/>
      <c r="W9" s="15"/>
      <c r="X9" s="15"/>
      <c r="Y9" s="15"/>
      <c r="Z9" s="38"/>
    </row>
    <row r="10" spans="1:26" x14ac:dyDescent="0.25">
      <c r="A10" s="10"/>
      <c r="B10" s="55"/>
      <c r="C10" s="10"/>
      <c r="D10" s="43" t="s">
        <v>10</v>
      </c>
      <c r="E10" s="33"/>
      <c r="F10" s="40" t="s">
        <v>15</v>
      </c>
      <c r="G10" s="33"/>
      <c r="H10" s="47" t="s">
        <v>11</v>
      </c>
      <c r="I10" s="33"/>
      <c r="J10" s="45" t="s">
        <v>16</v>
      </c>
      <c r="K10" s="10"/>
      <c r="L10" s="43" t="s">
        <v>12</v>
      </c>
      <c r="M10" s="10"/>
      <c r="N10" s="40" t="s">
        <v>17</v>
      </c>
      <c r="O10" s="10"/>
      <c r="P10" s="53" t="s">
        <v>10</v>
      </c>
      <c r="Q10" s="33"/>
      <c r="R10" s="40" t="s">
        <v>15</v>
      </c>
      <c r="S10" s="33"/>
      <c r="T10" s="47" t="s">
        <v>11</v>
      </c>
      <c r="U10" s="33"/>
      <c r="V10" s="45" t="s">
        <v>16</v>
      </c>
      <c r="W10" s="10"/>
      <c r="X10" s="43" t="s">
        <v>12</v>
      </c>
      <c r="Y10" s="10"/>
      <c r="Z10" s="40" t="s">
        <v>17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 t="e">
        <f ca="1">SUM(_xll.OneStop.ReportPlayer.OSRFunctions.OSRRef(D13))</f>
        <v>#NAME?</v>
      </c>
      <c r="E12" s="4"/>
      <c r="F12" s="13"/>
      <c r="G12" s="4"/>
      <c r="H12" s="4" t="e">
        <f ca="1">SUM(_xll.OneStop.ReportPlayer.OSRFunctions.OSRRef(H13))</f>
        <v>#NAME?</v>
      </c>
      <c r="I12" s="4"/>
      <c r="J12" s="13"/>
      <c r="K12" s="4"/>
      <c r="L12" s="4" t="e">
        <f t="shared" ref="L12:L13" ca="1" si="0">+D12-H12</f>
        <v>#NAME?</v>
      </c>
      <c r="M12" s="4"/>
      <c r="N12" s="13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3"/>
      <c r="S12" s="4"/>
      <c r="T12" s="4" t="e">
        <f ca="1">SUM(_xll.OneStop.ReportPlayer.OSRFunctions.OSRRef(T13))</f>
        <v>#NAME?</v>
      </c>
      <c r="U12" s="4"/>
      <c r="V12" s="13"/>
      <c r="W12" s="4"/>
      <c r="X12" s="4" t="e">
        <f t="shared" ref="X12:X13" ca="1" si="2">+P12-T12</f>
        <v>#NAME?</v>
      </c>
      <c r="Y12" s="4"/>
      <c r="Z12" s="13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8</v>
      </c>
      <c r="C15" s="10"/>
      <c r="D15" s="4" t="e">
        <f ca="1">SUM(_xll.OneStop.ReportPlayer.OSRFunctions.OSRRef(D16))</f>
        <v>#NAME?</v>
      </c>
      <c r="E15" s="4"/>
      <c r="F15" s="13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3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3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3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3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3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6</v>
      </c>
      <c r="C18" s="29"/>
      <c r="D18" s="20" t="e">
        <f ca="1">D12-D15</f>
        <v>#NAME?</v>
      </c>
      <c r="E18" s="14"/>
      <c r="F18" s="22" t="e">
        <f ca="1">IF(D$12=0,0,D18/D$12)</f>
        <v>#NAME?</v>
      </c>
      <c r="G18" s="14"/>
      <c r="H18" s="20" t="e">
        <f ca="1">H12-H15</f>
        <v>#NAME?</v>
      </c>
      <c r="I18" s="14"/>
      <c r="J18" s="22" t="e">
        <f ca="1">IF(H$12=0,0,H18/H$12)</f>
        <v>#NAME?</v>
      </c>
      <c r="K18" s="16"/>
      <c r="L18" s="20" t="e">
        <f ca="1">+D18-H18</f>
        <v>#NAME?</v>
      </c>
      <c r="M18" s="16"/>
      <c r="N18" s="22" t="e">
        <f ca="1">IF(H18=0,0,L18/H18)</f>
        <v>#NAME?</v>
      </c>
      <c r="O18" s="28"/>
      <c r="P18" s="20" t="e">
        <f ca="1">P12-P15</f>
        <v>#NAME?</v>
      </c>
      <c r="Q18" s="14"/>
      <c r="R18" s="22" t="e">
        <f ca="1">IF(P$12=0,0,P18/P$12)</f>
        <v>#NAME?</v>
      </c>
      <c r="S18" s="14"/>
      <c r="T18" s="20" t="e">
        <f ca="1">T12-T15</f>
        <v>#NAME?</v>
      </c>
      <c r="U18" s="14"/>
      <c r="V18" s="22" t="e">
        <f ca="1">IF(T$12=0,0,T18/T$12)</f>
        <v>#NAME?</v>
      </c>
      <c r="W18" s="16"/>
      <c r="X18" s="20" t="e">
        <f ca="1">+P18-T18</f>
        <v>#NAME?</v>
      </c>
      <c r="Y18" s="16"/>
      <c r="Z18" s="22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9</v>
      </c>
      <c r="C20" s="10"/>
      <c r="D20" s="21" t="e">
        <f ca="1">SUM(_xll.OneStop.ReportPlayer.OSRFunctions.OSRRef(D22))</f>
        <v>#NAME?</v>
      </c>
      <c r="E20" s="21"/>
      <c r="F20" s="30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0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0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0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0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0" t="e">
        <f t="shared" ref="Z20:Z22" ca="1" si="19">IF(T20=0,0,X20/T20)</f>
        <v>#NAME?</v>
      </c>
    </row>
    <row r="21" spans="1:26" s="27" customFormat="1" outlineLevel="1" collapsed="1" x14ac:dyDescent="0.25">
      <c r="A21" s="25"/>
      <c r="B21" s="12" t="e">
        <f ca="1">CONCATENATE("     ",_xll.OneStop.ReportPlayer.OSRFunctions.OSRGet("d_Account","AccountCategory"))</f>
        <v>#NAME?</v>
      </c>
      <c r="C21" s="12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2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6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62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8" t="s">
        <v>0</v>
      </c>
      <c r="C24" s="10"/>
      <c r="D24" s="4" t="e">
        <f ca="1">SUM(_xll.OneStop.ReportPlayer.OSRFunctions.OSRRef(D25))</f>
        <v>#NAME?</v>
      </c>
      <c r="E24" s="4"/>
      <c r="F24" s="13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3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3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3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3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3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3</v>
      </c>
      <c r="C27" s="29"/>
      <c r="D27" s="20" t="e">
        <f ca="1">+D18-D20+D24</f>
        <v>#NAME?</v>
      </c>
      <c r="E27" s="14"/>
      <c r="F27" s="22" t="e">
        <f ca="1">IF(D$12=0,0,D27/D$12)</f>
        <v>#NAME?</v>
      </c>
      <c r="G27" s="14"/>
      <c r="H27" s="20" t="e">
        <f ca="1">+H18-H20+H24</f>
        <v>#NAME?</v>
      </c>
      <c r="I27" s="14"/>
      <c r="J27" s="22" t="e">
        <f ca="1">IF(H$12=0,0,H27/H$12)</f>
        <v>#NAME?</v>
      </c>
      <c r="K27" s="16"/>
      <c r="L27" s="20" t="e">
        <f ca="1">+D27-H27</f>
        <v>#NAME?</v>
      </c>
      <c r="M27" s="16"/>
      <c r="N27" s="22" t="e">
        <f ca="1">IF(H27=0,0,L27/H27)</f>
        <v>#NAME?</v>
      </c>
      <c r="O27" s="28"/>
      <c r="P27" s="20" t="e">
        <f ca="1">+P18-P20+P24</f>
        <v>#NAME?</v>
      </c>
      <c r="Q27" s="14"/>
      <c r="R27" s="22" t="e">
        <f ca="1">IF(P$12=0,0,P27/P$12)</f>
        <v>#NAME?</v>
      </c>
      <c r="S27" s="14"/>
      <c r="T27" s="20" t="e">
        <f ca="1">+T18-T20+T24</f>
        <v>#NAME?</v>
      </c>
      <c r="U27" s="14"/>
      <c r="V27" s="22" t="e">
        <f ca="1">IF(T$12=0,0,T27/T$12)</f>
        <v>#NAME?</v>
      </c>
      <c r="W27" s="16"/>
      <c r="X27" s="20" t="e">
        <f ca="1">+P27-T27</f>
        <v>#NAME?</v>
      </c>
      <c r="Y27" s="16"/>
      <c r="Z27" s="22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3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3" t="e">
        <f ca="1">IF(H$12=0,0,H29/H$12)</f>
        <v>#NAME?</v>
      </c>
      <c r="K29" s="4"/>
      <c r="L29" s="4" t="e">
        <f ca="1">+D29-H29</f>
        <v>#NAME?</v>
      </c>
      <c r="M29" s="4"/>
      <c r="N29" s="13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3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3" t="e">
        <f ca="1">IF(T$12=0,0,T29/T$12)</f>
        <v>#NAME?</v>
      </c>
      <c r="W29" s="4"/>
      <c r="X29" s="4" t="e">
        <f ca="1">+P29-T29</f>
        <v>#NAME?</v>
      </c>
      <c r="Y29" s="4"/>
      <c r="Z29" s="13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4</v>
      </c>
      <c r="C31" s="29"/>
      <c r="D31" s="35" t="e">
        <f ca="1">+D27-D29</f>
        <v>#NAME?</v>
      </c>
      <c r="E31" s="14"/>
      <c r="F31" s="32" t="e">
        <f ca="1">IF(D$12=0,0,D31/D$12)</f>
        <v>#NAME?</v>
      </c>
      <c r="G31" s="14"/>
      <c r="H31" s="35" t="e">
        <f ca="1">+H27-H29</f>
        <v>#NAME?</v>
      </c>
      <c r="I31" s="14"/>
      <c r="J31" s="32" t="e">
        <f ca="1">IF(H$12=0,0,H31/H$12)</f>
        <v>#NAME?</v>
      </c>
      <c r="K31" s="16"/>
      <c r="L31" s="35" t="e">
        <f ca="1">D31-H31</f>
        <v>#NAME?</v>
      </c>
      <c r="M31" s="16"/>
      <c r="N31" s="32" t="e">
        <f ca="1">IF(H31=0,0,L31/H31)</f>
        <v>#NAME?</v>
      </c>
      <c r="O31" s="28"/>
      <c r="P31" s="35" t="e">
        <f ca="1">+P27-P29</f>
        <v>#NAME?</v>
      </c>
      <c r="Q31" s="14"/>
      <c r="R31" s="32" t="e">
        <f ca="1">IF(P$12=0,0,P31/P$12)</f>
        <v>#NAME?</v>
      </c>
      <c r="S31" s="14"/>
      <c r="T31" s="35" t="e">
        <f ca="1">+T27-T29</f>
        <v>#NAME?</v>
      </c>
      <c r="U31" s="14"/>
      <c r="V31" s="32" t="e">
        <f ca="1">IF(T$12=0,0,T31/T$12)</f>
        <v>#NAME?</v>
      </c>
      <c r="W31" s="16"/>
      <c r="X31" s="35" t="e">
        <f ca="1">P31-T31</f>
        <v>#NAME?</v>
      </c>
      <c r="Y31" s="16"/>
      <c r="Z31" s="32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3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3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3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3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3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3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3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3" t="e">
        <f t="shared" ca="1" si="29"/>
        <v>#NAME?</v>
      </c>
      <c r="K34" s="4"/>
      <c r="L34" s="4" t="e">
        <f t="shared" ca="1" si="30"/>
        <v>#NAME?</v>
      </c>
      <c r="M34" s="4"/>
      <c r="N34" s="13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3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3" t="e">
        <f t="shared" ca="1" si="33"/>
        <v>#NAME?</v>
      </c>
      <c r="W34" s="4"/>
      <c r="X34" s="4" t="e">
        <f t="shared" ca="1" si="34"/>
        <v>#NAME?</v>
      </c>
      <c r="Y34" s="4"/>
      <c r="Z34" s="13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5</v>
      </c>
      <c r="C36" s="29"/>
      <c r="D36" s="34" t="e">
        <f ca="1">SUM(D31:D35)</f>
        <v>#NAME?</v>
      </c>
      <c r="E36" s="14"/>
      <c r="F36" s="31" t="e">
        <f ca="1">IF(D$12=0,0,D36/D$12)</f>
        <v>#NAME?</v>
      </c>
      <c r="G36" s="14"/>
      <c r="H36" s="34" t="e">
        <f ca="1">SUM(H31:H35)</f>
        <v>#NAME?</v>
      </c>
      <c r="I36" s="14"/>
      <c r="J36" s="31" t="e">
        <f ca="1">IF(H$12=0,0,H36/H$12)</f>
        <v>#NAME?</v>
      </c>
      <c r="K36" s="16"/>
      <c r="L36" s="34" t="e">
        <f ca="1">+D36-H36</f>
        <v>#NAME?</v>
      </c>
      <c r="M36" s="16"/>
      <c r="N36" s="31" t="e">
        <f ca="1">IF(H36=0,0,L36/H36)</f>
        <v>#NAME?</v>
      </c>
      <c r="O36" s="28"/>
      <c r="P36" s="34" t="e">
        <f ca="1">SUM(P31:P35)</f>
        <v>#NAME?</v>
      </c>
      <c r="Q36" s="14"/>
      <c r="R36" s="31" t="e">
        <f ca="1">IF(P$12=0,0,P36/P$12)</f>
        <v>#NAME?</v>
      </c>
      <c r="S36" s="14"/>
      <c r="T36" s="34" t="e">
        <f ca="1">SUM(T31:T35)</f>
        <v>#NAME?</v>
      </c>
      <c r="U36" s="14"/>
      <c r="V36" s="31" t="e">
        <f ca="1">IF(T$12=0,0,T36/T$12)</f>
        <v>#NAME?</v>
      </c>
      <c r="W36" s="16"/>
      <c r="X36" s="34" t="e">
        <f ca="1">+P36-T36</f>
        <v>#NAME?</v>
      </c>
      <c r="Y36" s="16"/>
      <c r="Z36" s="31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59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56" t="e">
        <f ca="1">_xll.OneStop.ReportPlayer.OSRFunctions.OSRGet("User","UserId")</f>
        <v>#NAME?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54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63" t="s">
        <v>13</v>
      </c>
    </row>
    <row r="3" spans="1:26" x14ac:dyDescent="0.25">
      <c r="D3" s="63" t="s">
        <v>296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61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63" t="e">
        <f ca="1">CONCATENATE("Period ",RIGHT(_xll.OneStop.ReportPlayer.OSRFunctions.OSRGet("Period","PeriodId"),2),", ",_xll.OneStop.ReportPlayer.OSRFunctions.OSRGet("Period","Year"))</f>
        <v>#NAME?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61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5" t="e">
        <f ca="1">_xll.OneStop.ReportPlayer.OSRFunctions.OSRGet("Period","PeriodEnd")</f>
        <v>#NAME?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61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51"/>
      <c r="C6" s="51"/>
      <c r="D6" s="23" t="e">
        <f ca="1">CONCATENATE("Department ",_xll.OneStop.ReportPlayer.OSRFunctions.OSRGet("d_dim0","Code"), " - ", _xll.OneStop.ReportPlayer.OSRFunctions.OSRGet("d_dim0","Description"))</f>
        <v>#NAME?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57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5" t="s">
        <v>294</v>
      </c>
      <c r="E9" s="15"/>
      <c r="F9" s="38"/>
      <c r="G9" s="15"/>
      <c r="H9" s="15"/>
      <c r="I9" s="15"/>
      <c r="J9" s="46"/>
      <c r="K9" s="15"/>
      <c r="L9" s="15"/>
      <c r="M9" s="15"/>
      <c r="N9" s="38"/>
      <c r="P9" s="15" t="s">
        <v>295</v>
      </c>
      <c r="Q9" s="15"/>
      <c r="R9" s="38"/>
      <c r="S9" s="15"/>
      <c r="T9" s="15"/>
      <c r="U9" s="15"/>
      <c r="V9" s="46"/>
      <c r="W9" s="15"/>
      <c r="X9" s="15"/>
      <c r="Y9" s="15"/>
      <c r="Z9" s="38"/>
    </row>
    <row r="10" spans="1:26" x14ac:dyDescent="0.25">
      <c r="A10" s="10"/>
      <c r="B10" s="55"/>
      <c r="C10" s="10"/>
      <c r="D10" s="43" t="s">
        <v>10</v>
      </c>
      <c r="E10" s="33"/>
      <c r="F10" s="40" t="s">
        <v>15</v>
      </c>
      <c r="G10" s="33"/>
      <c r="H10" s="47" t="s">
        <v>11</v>
      </c>
      <c r="I10" s="33"/>
      <c r="J10" s="45" t="s">
        <v>16</v>
      </c>
      <c r="K10" s="10"/>
      <c r="L10" s="43" t="s">
        <v>12</v>
      </c>
      <c r="M10" s="10"/>
      <c r="N10" s="40" t="s">
        <v>17</v>
      </c>
      <c r="O10" s="10"/>
      <c r="P10" s="53" t="s">
        <v>10</v>
      </c>
      <c r="Q10" s="33"/>
      <c r="R10" s="40" t="s">
        <v>15</v>
      </c>
      <c r="S10" s="33"/>
      <c r="T10" s="47" t="s">
        <v>11</v>
      </c>
      <c r="U10" s="33"/>
      <c r="V10" s="45" t="s">
        <v>16</v>
      </c>
      <c r="W10" s="10"/>
      <c r="X10" s="43" t="s">
        <v>12</v>
      </c>
      <c r="Y10" s="10"/>
      <c r="Z10" s="40" t="s">
        <v>17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 t="e">
        <f ca="1">SUM(_xll.OneStop.ReportPlayer.OSRFunctions.OSRRef(D13))</f>
        <v>#NAME?</v>
      </c>
      <c r="E12" s="4"/>
      <c r="F12" s="13"/>
      <c r="G12" s="4"/>
      <c r="H12" s="4" t="e">
        <f ca="1">SUM(_xll.OneStop.ReportPlayer.OSRFunctions.OSRRef(H13))</f>
        <v>#NAME?</v>
      </c>
      <c r="I12" s="4"/>
      <c r="J12" s="13"/>
      <c r="K12" s="4"/>
      <c r="L12" s="4" t="e">
        <f t="shared" ref="L12:L13" ca="1" si="0">+D12-H12</f>
        <v>#NAME?</v>
      </c>
      <c r="M12" s="4"/>
      <c r="N12" s="13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3"/>
      <c r="S12" s="4"/>
      <c r="T12" s="4" t="e">
        <f ca="1">SUM(_xll.OneStop.ReportPlayer.OSRFunctions.OSRRef(T13))</f>
        <v>#NAME?</v>
      </c>
      <c r="U12" s="4"/>
      <c r="V12" s="13"/>
      <c r="W12" s="4"/>
      <c r="X12" s="4" t="e">
        <f t="shared" ref="X12:X13" ca="1" si="2">+P12-T12</f>
        <v>#NAME?</v>
      </c>
      <c r="Y12" s="4"/>
      <c r="Z12" s="13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8</v>
      </c>
      <c r="C15" s="10"/>
      <c r="D15" s="4" t="e">
        <f ca="1">SUM(_xll.OneStop.ReportPlayer.OSRFunctions.OSRRef(D16))</f>
        <v>#NAME?</v>
      </c>
      <c r="E15" s="4"/>
      <c r="F15" s="13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3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3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3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3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3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6</v>
      </c>
      <c r="C18" s="29"/>
      <c r="D18" s="20" t="e">
        <f ca="1">D12-D15</f>
        <v>#NAME?</v>
      </c>
      <c r="E18" s="14"/>
      <c r="F18" s="22" t="e">
        <f ca="1">IF(D$12=0,0,D18/D$12)</f>
        <v>#NAME?</v>
      </c>
      <c r="G18" s="14"/>
      <c r="H18" s="20" t="e">
        <f ca="1">H12-H15</f>
        <v>#NAME?</v>
      </c>
      <c r="I18" s="14"/>
      <c r="J18" s="22" t="e">
        <f ca="1">IF(H$12=0,0,H18/H$12)</f>
        <v>#NAME?</v>
      </c>
      <c r="K18" s="16"/>
      <c r="L18" s="20" t="e">
        <f ca="1">+D18-H18</f>
        <v>#NAME?</v>
      </c>
      <c r="M18" s="16"/>
      <c r="N18" s="22" t="e">
        <f ca="1">IF(H18=0,0,L18/H18)</f>
        <v>#NAME?</v>
      </c>
      <c r="O18" s="28"/>
      <c r="P18" s="20" t="e">
        <f ca="1">P12-P15</f>
        <v>#NAME?</v>
      </c>
      <c r="Q18" s="14"/>
      <c r="R18" s="22" t="e">
        <f ca="1">IF(P$12=0,0,P18/P$12)</f>
        <v>#NAME?</v>
      </c>
      <c r="S18" s="14"/>
      <c r="T18" s="20" t="e">
        <f ca="1">T12-T15</f>
        <v>#NAME?</v>
      </c>
      <c r="U18" s="14"/>
      <c r="V18" s="22" t="e">
        <f ca="1">IF(T$12=0,0,T18/T$12)</f>
        <v>#NAME?</v>
      </c>
      <c r="W18" s="16"/>
      <c r="X18" s="20" t="e">
        <f ca="1">+P18-T18</f>
        <v>#NAME?</v>
      </c>
      <c r="Y18" s="16"/>
      <c r="Z18" s="22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9</v>
      </c>
      <c r="C20" s="10"/>
      <c r="D20" s="21" t="e">
        <f ca="1">SUM(_xll.OneStop.ReportPlayer.OSRFunctions.OSRRef(D22))</f>
        <v>#NAME?</v>
      </c>
      <c r="E20" s="21"/>
      <c r="F20" s="30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0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0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0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0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0" t="e">
        <f t="shared" ref="Z20:Z22" ca="1" si="19">IF(T20=0,0,X20/T20)</f>
        <v>#NAME?</v>
      </c>
    </row>
    <row r="21" spans="1:26" s="27" customFormat="1" outlineLevel="1" collapsed="1" x14ac:dyDescent="0.25">
      <c r="A21" s="25"/>
      <c r="B21" s="12" t="e">
        <f ca="1">CONCATENATE("     ",_xll.OneStop.ReportPlayer.OSRFunctions.OSRGet("d_Account","AccountCategory"))</f>
        <v>#NAME?</v>
      </c>
      <c r="C21" s="12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2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6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62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8" t="s">
        <v>0</v>
      </c>
      <c r="C24" s="10"/>
      <c r="D24" s="4" t="e">
        <f ca="1">SUM(_xll.OneStop.ReportPlayer.OSRFunctions.OSRRef(D25))</f>
        <v>#NAME?</v>
      </c>
      <c r="E24" s="4"/>
      <c r="F24" s="13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3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3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3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3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3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3</v>
      </c>
      <c r="C27" s="29"/>
      <c r="D27" s="20" t="e">
        <f ca="1">+D18-D20+D24</f>
        <v>#NAME?</v>
      </c>
      <c r="E27" s="14"/>
      <c r="F27" s="22" t="e">
        <f ca="1">IF(D$12=0,0,D27/D$12)</f>
        <v>#NAME?</v>
      </c>
      <c r="G27" s="14"/>
      <c r="H27" s="20" t="e">
        <f ca="1">+H18-H20+H24</f>
        <v>#NAME?</v>
      </c>
      <c r="I27" s="14"/>
      <c r="J27" s="22" t="e">
        <f ca="1">IF(H$12=0,0,H27/H$12)</f>
        <v>#NAME?</v>
      </c>
      <c r="K27" s="16"/>
      <c r="L27" s="20" t="e">
        <f ca="1">+D27-H27</f>
        <v>#NAME?</v>
      </c>
      <c r="M27" s="16"/>
      <c r="N27" s="22" t="e">
        <f ca="1">IF(H27=0,0,L27/H27)</f>
        <v>#NAME?</v>
      </c>
      <c r="O27" s="28"/>
      <c r="P27" s="20" t="e">
        <f ca="1">+P18-P20+P24</f>
        <v>#NAME?</v>
      </c>
      <c r="Q27" s="14"/>
      <c r="R27" s="22" t="e">
        <f ca="1">IF(P$12=0,0,P27/P$12)</f>
        <v>#NAME?</v>
      </c>
      <c r="S27" s="14"/>
      <c r="T27" s="20" t="e">
        <f ca="1">+T18-T20+T24</f>
        <v>#NAME?</v>
      </c>
      <c r="U27" s="14"/>
      <c r="V27" s="22" t="e">
        <f ca="1">IF(T$12=0,0,T27/T$12)</f>
        <v>#NAME?</v>
      </c>
      <c r="W27" s="16"/>
      <c r="X27" s="20" t="e">
        <f ca="1">+P27-T27</f>
        <v>#NAME?</v>
      </c>
      <c r="Y27" s="16"/>
      <c r="Z27" s="22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3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3" t="e">
        <f ca="1">IF(H$12=0,0,H29/H$12)</f>
        <v>#NAME?</v>
      </c>
      <c r="K29" s="4"/>
      <c r="L29" s="4" t="e">
        <f ca="1">+D29-H29</f>
        <v>#NAME?</v>
      </c>
      <c r="M29" s="4"/>
      <c r="N29" s="13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3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3" t="e">
        <f ca="1">IF(T$12=0,0,T29/T$12)</f>
        <v>#NAME?</v>
      </c>
      <c r="W29" s="4"/>
      <c r="X29" s="4" t="e">
        <f ca="1">+P29-T29</f>
        <v>#NAME?</v>
      </c>
      <c r="Y29" s="4"/>
      <c r="Z29" s="13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4</v>
      </c>
      <c r="C31" s="29"/>
      <c r="D31" s="35" t="e">
        <f ca="1">+D27-D29</f>
        <v>#NAME?</v>
      </c>
      <c r="E31" s="14"/>
      <c r="F31" s="32" t="e">
        <f ca="1">IF(D$12=0,0,D31/D$12)</f>
        <v>#NAME?</v>
      </c>
      <c r="G31" s="14"/>
      <c r="H31" s="35" t="e">
        <f ca="1">+H27-H29</f>
        <v>#NAME?</v>
      </c>
      <c r="I31" s="14"/>
      <c r="J31" s="32" t="e">
        <f ca="1">IF(H$12=0,0,H31/H$12)</f>
        <v>#NAME?</v>
      </c>
      <c r="K31" s="16"/>
      <c r="L31" s="35" t="e">
        <f ca="1">D31-H31</f>
        <v>#NAME?</v>
      </c>
      <c r="M31" s="16"/>
      <c r="N31" s="32" t="e">
        <f ca="1">IF(H31=0,0,L31/H31)</f>
        <v>#NAME?</v>
      </c>
      <c r="O31" s="28"/>
      <c r="P31" s="35" t="e">
        <f ca="1">+P27-P29</f>
        <v>#NAME?</v>
      </c>
      <c r="Q31" s="14"/>
      <c r="R31" s="32" t="e">
        <f ca="1">IF(P$12=0,0,P31/P$12)</f>
        <v>#NAME?</v>
      </c>
      <c r="S31" s="14"/>
      <c r="T31" s="35" t="e">
        <f ca="1">+T27-T29</f>
        <v>#NAME?</v>
      </c>
      <c r="U31" s="14"/>
      <c r="V31" s="32" t="e">
        <f ca="1">IF(T$12=0,0,T31/T$12)</f>
        <v>#NAME?</v>
      </c>
      <c r="W31" s="16"/>
      <c r="X31" s="35" t="e">
        <f ca="1">P31-T31</f>
        <v>#NAME?</v>
      </c>
      <c r="Y31" s="16"/>
      <c r="Z31" s="32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3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3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3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3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3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3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3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3" t="e">
        <f t="shared" ca="1" si="29"/>
        <v>#NAME?</v>
      </c>
      <c r="K34" s="4"/>
      <c r="L34" s="4" t="e">
        <f t="shared" ca="1" si="30"/>
        <v>#NAME?</v>
      </c>
      <c r="M34" s="4"/>
      <c r="N34" s="13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3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3" t="e">
        <f t="shared" ca="1" si="33"/>
        <v>#NAME?</v>
      </c>
      <c r="W34" s="4"/>
      <c r="X34" s="4" t="e">
        <f t="shared" ca="1" si="34"/>
        <v>#NAME?</v>
      </c>
      <c r="Y34" s="4"/>
      <c r="Z34" s="13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5</v>
      </c>
      <c r="C36" s="29"/>
      <c r="D36" s="34" t="e">
        <f ca="1">SUM(D31:D35)</f>
        <v>#NAME?</v>
      </c>
      <c r="E36" s="14"/>
      <c r="F36" s="31" t="e">
        <f ca="1">IF(D$12=0,0,D36/D$12)</f>
        <v>#NAME?</v>
      </c>
      <c r="G36" s="14"/>
      <c r="H36" s="34" t="e">
        <f ca="1">SUM(H31:H35)</f>
        <v>#NAME?</v>
      </c>
      <c r="I36" s="14"/>
      <c r="J36" s="31" t="e">
        <f ca="1">IF(H$12=0,0,H36/H$12)</f>
        <v>#NAME?</v>
      </c>
      <c r="K36" s="16"/>
      <c r="L36" s="34" t="e">
        <f ca="1">+D36-H36</f>
        <v>#NAME?</v>
      </c>
      <c r="M36" s="16"/>
      <c r="N36" s="31" t="e">
        <f ca="1">IF(H36=0,0,L36/H36)</f>
        <v>#NAME?</v>
      </c>
      <c r="O36" s="28"/>
      <c r="P36" s="34" t="e">
        <f ca="1">SUM(P31:P35)</f>
        <v>#NAME?</v>
      </c>
      <c r="Q36" s="14"/>
      <c r="R36" s="31" t="e">
        <f ca="1">IF(P$12=0,0,P36/P$12)</f>
        <v>#NAME?</v>
      </c>
      <c r="S36" s="14"/>
      <c r="T36" s="34" t="e">
        <f ca="1">SUM(T31:T35)</f>
        <v>#NAME?</v>
      </c>
      <c r="U36" s="14"/>
      <c r="V36" s="31" t="e">
        <f ca="1">IF(T$12=0,0,T36/T$12)</f>
        <v>#NAME?</v>
      </c>
      <c r="W36" s="16"/>
      <c r="X36" s="34" t="e">
        <f ca="1">+P36-T36</f>
        <v>#NAME?</v>
      </c>
      <c r="Y36" s="16"/>
      <c r="Z36" s="31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59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56" t="e">
        <f ca="1">_xll.OneStop.ReportPlayer.OSRFunctions.OSRGet("User","UserId")</f>
        <v>#NAME?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54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63" t="s">
        <v>13</v>
      </c>
    </row>
    <row r="3" spans="1:26" x14ac:dyDescent="0.25">
      <c r="D3" s="63" t="s">
        <v>296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61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63" t="e">
        <f ca="1">CONCATENATE("Period ",RIGHT(_xll.OneStop.ReportPlayer.OSRFunctions.OSRGet("Period","PeriodId"),2),", ",_xll.OneStop.ReportPlayer.OSRFunctions.OSRGet("Period","Year"))</f>
        <v>#NAME?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61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5" t="e">
        <f ca="1">_xll.OneStop.ReportPlayer.OSRFunctions.OSRGet("Period","PeriodEnd")</f>
        <v>#NAME?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61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51"/>
      <c r="C6" s="51"/>
      <c r="D6" s="23" t="s">
        <v>308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57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5" t="s">
        <v>294</v>
      </c>
      <c r="E9" s="15"/>
      <c r="F9" s="38"/>
      <c r="G9" s="15"/>
      <c r="H9" s="15"/>
      <c r="I9" s="15"/>
      <c r="J9" s="46"/>
      <c r="K9" s="15"/>
      <c r="L9" s="15"/>
      <c r="M9" s="15"/>
      <c r="N9" s="38"/>
      <c r="P9" s="15" t="s">
        <v>295</v>
      </c>
      <c r="Q9" s="15"/>
      <c r="R9" s="38"/>
      <c r="S9" s="15"/>
      <c r="T9" s="15"/>
      <c r="U9" s="15"/>
      <c r="V9" s="46"/>
      <c r="W9" s="15"/>
      <c r="X9" s="15"/>
      <c r="Y9" s="15"/>
      <c r="Z9" s="38"/>
    </row>
    <row r="10" spans="1:26" x14ac:dyDescent="0.25">
      <c r="A10" s="10"/>
      <c r="B10" s="55"/>
      <c r="C10" s="10"/>
      <c r="D10" s="43" t="s">
        <v>10</v>
      </c>
      <c r="E10" s="33"/>
      <c r="F10" s="40" t="s">
        <v>15</v>
      </c>
      <c r="G10" s="33"/>
      <c r="H10" s="47" t="s">
        <v>11</v>
      </c>
      <c r="I10" s="33"/>
      <c r="J10" s="45" t="s">
        <v>16</v>
      </c>
      <c r="K10" s="10"/>
      <c r="L10" s="43" t="s">
        <v>12</v>
      </c>
      <c r="M10" s="10"/>
      <c r="N10" s="40" t="s">
        <v>17</v>
      </c>
      <c r="O10" s="10"/>
      <c r="P10" s="53" t="s">
        <v>10</v>
      </c>
      <c r="Q10" s="33"/>
      <c r="R10" s="40" t="s">
        <v>15</v>
      </c>
      <c r="S10" s="33"/>
      <c r="T10" s="47" t="s">
        <v>11</v>
      </c>
      <c r="U10" s="33"/>
      <c r="V10" s="45" t="s">
        <v>16</v>
      </c>
      <c r="W10" s="10"/>
      <c r="X10" s="43" t="s">
        <v>12</v>
      </c>
      <c r="Y10" s="10"/>
      <c r="Z10" s="40" t="s">
        <v>17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 t="e">
        <f ca="1">SUM(_xll.OneStop.ReportPlayer.OSRFunctions.OSRRef(D13))</f>
        <v>#NAME?</v>
      </c>
      <c r="E12" s="4"/>
      <c r="F12" s="13"/>
      <c r="G12" s="4"/>
      <c r="H12" s="4" t="e">
        <f ca="1">SUM(_xll.OneStop.ReportPlayer.OSRFunctions.OSRRef(H13))</f>
        <v>#NAME?</v>
      </c>
      <c r="I12" s="4"/>
      <c r="J12" s="13"/>
      <c r="K12" s="4"/>
      <c r="L12" s="4" t="e">
        <f t="shared" ref="L12:L13" ca="1" si="0">+D12-H12</f>
        <v>#NAME?</v>
      </c>
      <c r="M12" s="4"/>
      <c r="N12" s="13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3"/>
      <c r="S12" s="4"/>
      <c r="T12" s="4" t="e">
        <f ca="1">SUM(_xll.OneStop.ReportPlayer.OSRFunctions.OSRRef(T13))</f>
        <v>#NAME?</v>
      </c>
      <c r="U12" s="4"/>
      <c r="V12" s="13"/>
      <c r="W12" s="4"/>
      <c r="X12" s="4" t="e">
        <f t="shared" ref="X12:X13" ca="1" si="2">+P12-T12</f>
        <v>#NAME?</v>
      </c>
      <c r="Y12" s="4"/>
      <c r="Z12" s="13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8</v>
      </c>
      <c r="C15" s="10"/>
      <c r="D15" s="4" t="e">
        <f ca="1">SUM(_xll.OneStop.ReportPlayer.OSRFunctions.OSRRef(D16))</f>
        <v>#NAME?</v>
      </c>
      <c r="E15" s="4"/>
      <c r="F15" s="13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3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3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3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3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3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6</v>
      </c>
      <c r="C18" s="29"/>
      <c r="D18" s="20" t="e">
        <f ca="1">D12-D15</f>
        <v>#NAME?</v>
      </c>
      <c r="E18" s="14"/>
      <c r="F18" s="22" t="e">
        <f ca="1">IF(D$12=0,0,D18/D$12)</f>
        <v>#NAME?</v>
      </c>
      <c r="G18" s="14"/>
      <c r="H18" s="20" t="e">
        <f ca="1">H12-H15</f>
        <v>#NAME?</v>
      </c>
      <c r="I18" s="14"/>
      <c r="J18" s="22" t="e">
        <f ca="1">IF(H$12=0,0,H18/H$12)</f>
        <v>#NAME?</v>
      </c>
      <c r="K18" s="16"/>
      <c r="L18" s="20" t="e">
        <f ca="1">+D18-H18</f>
        <v>#NAME?</v>
      </c>
      <c r="M18" s="16"/>
      <c r="N18" s="22" t="e">
        <f ca="1">IF(H18=0,0,L18/H18)</f>
        <v>#NAME?</v>
      </c>
      <c r="O18" s="28"/>
      <c r="P18" s="20" t="e">
        <f ca="1">P12-P15</f>
        <v>#NAME?</v>
      </c>
      <c r="Q18" s="14"/>
      <c r="R18" s="22" t="e">
        <f ca="1">IF(P$12=0,0,P18/P$12)</f>
        <v>#NAME?</v>
      </c>
      <c r="S18" s="14"/>
      <c r="T18" s="20" t="e">
        <f ca="1">T12-T15</f>
        <v>#NAME?</v>
      </c>
      <c r="U18" s="14"/>
      <c r="V18" s="22" t="e">
        <f ca="1">IF(T$12=0,0,T18/T$12)</f>
        <v>#NAME?</v>
      </c>
      <c r="W18" s="16"/>
      <c r="X18" s="20" t="e">
        <f ca="1">+P18-T18</f>
        <v>#NAME?</v>
      </c>
      <c r="Y18" s="16"/>
      <c r="Z18" s="22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9</v>
      </c>
      <c r="C20" s="10"/>
      <c r="D20" s="21" t="e">
        <f ca="1">SUM(_xll.OneStop.ReportPlayer.OSRFunctions.OSRRef(D22))</f>
        <v>#NAME?</v>
      </c>
      <c r="E20" s="21"/>
      <c r="F20" s="30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0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0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0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0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0" t="e">
        <f t="shared" ref="Z20:Z22" ca="1" si="19">IF(T20=0,0,X20/T20)</f>
        <v>#NAME?</v>
      </c>
    </row>
    <row r="21" spans="1:26" s="27" customFormat="1" outlineLevel="1" collapsed="1" x14ac:dyDescent="0.25">
      <c r="A21" s="25"/>
      <c r="B21" s="12" t="e">
        <f ca="1">CONCATENATE("     ",_xll.OneStop.ReportPlayer.OSRFunctions.OSRGet("d_Account","AccountCategory"))</f>
        <v>#NAME?</v>
      </c>
      <c r="C21" s="12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2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6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62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8" t="s">
        <v>0</v>
      </c>
      <c r="C24" s="10"/>
      <c r="D24" s="4" t="e">
        <f ca="1">SUM(_xll.OneStop.ReportPlayer.OSRFunctions.OSRRef(D25))</f>
        <v>#NAME?</v>
      </c>
      <c r="E24" s="4"/>
      <c r="F24" s="13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3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3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3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3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3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3</v>
      </c>
      <c r="C27" s="29"/>
      <c r="D27" s="20" t="e">
        <f ca="1">+D18-D20+D24</f>
        <v>#NAME?</v>
      </c>
      <c r="E27" s="14"/>
      <c r="F27" s="22" t="e">
        <f ca="1">IF(D$12=0,0,D27/D$12)</f>
        <v>#NAME?</v>
      </c>
      <c r="G27" s="14"/>
      <c r="H27" s="20" t="e">
        <f ca="1">+H18-H20+H24</f>
        <v>#NAME?</v>
      </c>
      <c r="I27" s="14"/>
      <c r="J27" s="22" t="e">
        <f ca="1">IF(H$12=0,0,H27/H$12)</f>
        <v>#NAME?</v>
      </c>
      <c r="K27" s="16"/>
      <c r="L27" s="20" t="e">
        <f ca="1">+D27-H27</f>
        <v>#NAME?</v>
      </c>
      <c r="M27" s="16"/>
      <c r="N27" s="22" t="e">
        <f ca="1">IF(H27=0,0,L27/H27)</f>
        <v>#NAME?</v>
      </c>
      <c r="O27" s="28"/>
      <c r="P27" s="20" t="e">
        <f ca="1">+P18-P20+P24</f>
        <v>#NAME?</v>
      </c>
      <c r="Q27" s="14"/>
      <c r="R27" s="22" t="e">
        <f ca="1">IF(P$12=0,0,P27/P$12)</f>
        <v>#NAME?</v>
      </c>
      <c r="S27" s="14"/>
      <c r="T27" s="20" t="e">
        <f ca="1">+T18-T20+T24</f>
        <v>#NAME?</v>
      </c>
      <c r="U27" s="14"/>
      <c r="V27" s="22" t="e">
        <f ca="1">IF(T$12=0,0,T27/T$12)</f>
        <v>#NAME?</v>
      </c>
      <c r="W27" s="16"/>
      <c r="X27" s="20" t="e">
        <f ca="1">+P27-T27</f>
        <v>#NAME?</v>
      </c>
      <c r="Y27" s="16"/>
      <c r="Z27" s="22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3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3" t="e">
        <f ca="1">IF(H$12=0,0,H29/H$12)</f>
        <v>#NAME?</v>
      </c>
      <c r="K29" s="4"/>
      <c r="L29" s="4" t="e">
        <f ca="1">+D29-H29</f>
        <v>#NAME?</v>
      </c>
      <c r="M29" s="4"/>
      <c r="N29" s="13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3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3" t="e">
        <f ca="1">IF(T$12=0,0,T29/T$12)</f>
        <v>#NAME?</v>
      </c>
      <c r="W29" s="4"/>
      <c r="X29" s="4" t="e">
        <f ca="1">+P29-T29</f>
        <v>#NAME?</v>
      </c>
      <c r="Y29" s="4"/>
      <c r="Z29" s="13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4</v>
      </c>
      <c r="C31" s="29"/>
      <c r="D31" s="35" t="e">
        <f ca="1">+D27-D29</f>
        <v>#NAME?</v>
      </c>
      <c r="E31" s="14"/>
      <c r="F31" s="32" t="e">
        <f ca="1">IF(D$12=0,0,D31/D$12)</f>
        <v>#NAME?</v>
      </c>
      <c r="G31" s="14"/>
      <c r="H31" s="35" t="e">
        <f ca="1">+H27-H29</f>
        <v>#NAME?</v>
      </c>
      <c r="I31" s="14"/>
      <c r="J31" s="32" t="e">
        <f ca="1">IF(H$12=0,0,H31/H$12)</f>
        <v>#NAME?</v>
      </c>
      <c r="K31" s="16"/>
      <c r="L31" s="35" t="e">
        <f ca="1">D31-H31</f>
        <v>#NAME?</v>
      </c>
      <c r="M31" s="16"/>
      <c r="N31" s="32" t="e">
        <f ca="1">IF(H31=0,0,L31/H31)</f>
        <v>#NAME?</v>
      </c>
      <c r="O31" s="28"/>
      <c r="P31" s="35" t="e">
        <f ca="1">+P27-P29</f>
        <v>#NAME?</v>
      </c>
      <c r="Q31" s="14"/>
      <c r="R31" s="32" t="e">
        <f ca="1">IF(P$12=0,0,P31/P$12)</f>
        <v>#NAME?</v>
      </c>
      <c r="S31" s="14"/>
      <c r="T31" s="35" t="e">
        <f ca="1">+T27-T29</f>
        <v>#NAME?</v>
      </c>
      <c r="U31" s="14"/>
      <c r="V31" s="32" t="e">
        <f ca="1">IF(T$12=0,0,T31/T$12)</f>
        <v>#NAME?</v>
      </c>
      <c r="W31" s="16"/>
      <c r="X31" s="35" t="e">
        <f ca="1">P31-T31</f>
        <v>#NAME?</v>
      </c>
      <c r="Y31" s="16"/>
      <c r="Z31" s="32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3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3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3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3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3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3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3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3" t="e">
        <f t="shared" ca="1" si="29"/>
        <v>#NAME?</v>
      </c>
      <c r="K34" s="4"/>
      <c r="L34" s="4" t="e">
        <f t="shared" ca="1" si="30"/>
        <v>#NAME?</v>
      </c>
      <c r="M34" s="4"/>
      <c r="N34" s="13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3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3" t="e">
        <f t="shared" ca="1" si="33"/>
        <v>#NAME?</v>
      </c>
      <c r="W34" s="4"/>
      <c r="X34" s="4" t="e">
        <f t="shared" ca="1" si="34"/>
        <v>#NAME?</v>
      </c>
      <c r="Y34" s="4"/>
      <c r="Z34" s="13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5</v>
      </c>
      <c r="C36" s="29"/>
      <c r="D36" s="34" t="e">
        <f ca="1">SUM(D31:D35)</f>
        <v>#NAME?</v>
      </c>
      <c r="E36" s="14"/>
      <c r="F36" s="31" t="e">
        <f ca="1">IF(D$12=0,0,D36/D$12)</f>
        <v>#NAME?</v>
      </c>
      <c r="G36" s="14"/>
      <c r="H36" s="34" t="e">
        <f ca="1">SUM(H31:H35)</f>
        <v>#NAME?</v>
      </c>
      <c r="I36" s="14"/>
      <c r="J36" s="31" t="e">
        <f ca="1">IF(H$12=0,0,H36/H$12)</f>
        <v>#NAME?</v>
      </c>
      <c r="K36" s="16"/>
      <c r="L36" s="34" t="e">
        <f ca="1">+D36-H36</f>
        <v>#NAME?</v>
      </c>
      <c r="M36" s="16"/>
      <c r="N36" s="31" t="e">
        <f ca="1">IF(H36=0,0,L36/H36)</f>
        <v>#NAME?</v>
      </c>
      <c r="O36" s="28"/>
      <c r="P36" s="34" t="e">
        <f ca="1">SUM(P31:P35)</f>
        <v>#NAME?</v>
      </c>
      <c r="Q36" s="14"/>
      <c r="R36" s="31" t="e">
        <f ca="1">IF(P$12=0,0,P36/P$12)</f>
        <v>#NAME?</v>
      </c>
      <c r="S36" s="14"/>
      <c r="T36" s="34" t="e">
        <f ca="1">SUM(T31:T35)</f>
        <v>#NAME?</v>
      </c>
      <c r="U36" s="14"/>
      <c r="V36" s="31" t="e">
        <f ca="1">IF(T$12=0,0,T36/T$12)</f>
        <v>#NAME?</v>
      </c>
      <c r="W36" s="16"/>
      <c r="X36" s="34" t="e">
        <f ca="1">+P36-T36</f>
        <v>#NAME?</v>
      </c>
      <c r="Y36" s="16"/>
      <c r="Z36" s="31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59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56" t="e">
        <f ca="1">_xll.OneStop.ReportPlayer.OSRFunctions.OSRGet("User","UserId")</f>
        <v>#NAME?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54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63" t="s">
        <v>13</v>
      </c>
    </row>
    <row r="3" spans="1:26" x14ac:dyDescent="0.25">
      <c r="D3" s="63" t="s">
        <v>296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61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63" t="e">
        <f ca="1">CONCATENATE("Period ",RIGHT(_xll.OneStop.ReportPlayer.OSRFunctions.OSRGet("Period","PeriodId"),2),", ",_xll.OneStop.ReportPlayer.OSRFunctions.OSRGet("Period","Year"))</f>
        <v>#NAME?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61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5" t="e">
        <f ca="1">_xll.OneStop.ReportPlayer.OSRFunctions.OSRGet("Period","PeriodEnd")</f>
        <v>#NAME?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61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51"/>
      <c r="C6" s="51"/>
      <c r="D6" s="23" t="s">
        <v>309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57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5" t="s">
        <v>294</v>
      </c>
      <c r="E9" s="15"/>
      <c r="F9" s="38"/>
      <c r="G9" s="15"/>
      <c r="H9" s="15"/>
      <c r="I9" s="15"/>
      <c r="J9" s="46"/>
      <c r="K9" s="15"/>
      <c r="L9" s="15"/>
      <c r="M9" s="15"/>
      <c r="N9" s="38"/>
      <c r="P9" s="15" t="s">
        <v>295</v>
      </c>
      <c r="Q9" s="15"/>
      <c r="R9" s="38"/>
      <c r="S9" s="15"/>
      <c r="T9" s="15"/>
      <c r="U9" s="15"/>
      <c r="V9" s="46"/>
      <c r="W9" s="15"/>
      <c r="X9" s="15"/>
      <c r="Y9" s="15"/>
      <c r="Z9" s="38"/>
    </row>
    <row r="10" spans="1:26" x14ac:dyDescent="0.25">
      <c r="A10" s="10"/>
      <c r="B10" s="55"/>
      <c r="C10" s="10"/>
      <c r="D10" s="43" t="s">
        <v>10</v>
      </c>
      <c r="E10" s="33"/>
      <c r="F10" s="40" t="s">
        <v>15</v>
      </c>
      <c r="G10" s="33"/>
      <c r="H10" s="47" t="s">
        <v>11</v>
      </c>
      <c r="I10" s="33"/>
      <c r="J10" s="45" t="s">
        <v>16</v>
      </c>
      <c r="K10" s="10"/>
      <c r="L10" s="43" t="s">
        <v>12</v>
      </c>
      <c r="M10" s="10"/>
      <c r="N10" s="40" t="s">
        <v>17</v>
      </c>
      <c r="O10" s="10"/>
      <c r="P10" s="53" t="s">
        <v>10</v>
      </c>
      <c r="Q10" s="33"/>
      <c r="R10" s="40" t="s">
        <v>15</v>
      </c>
      <c r="S10" s="33"/>
      <c r="T10" s="47" t="s">
        <v>11</v>
      </c>
      <c r="U10" s="33"/>
      <c r="V10" s="45" t="s">
        <v>16</v>
      </c>
      <c r="W10" s="10"/>
      <c r="X10" s="43" t="s">
        <v>12</v>
      </c>
      <c r="Y10" s="10"/>
      <c r="Z10" s="40" t="s">
        <v>17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 t="e">
        <f ca="1">SUM(_xll.OneStop.ReportPlayer.OSRFunctions.OSRRef(D13))</f>
        <v>#NAME?</v>
      </c>
      <c r="E12" s="4"/>
      <c r="F12" s="13"/>
      <c r="G12" s="4"/>
      <c r="H12" s="4" t="e">
        <f ca="1">SUM(_xll.OneStop.ReportPlayer.OSRFunctions.OSRRef(H13))</f>
        <v>#NAME?</v>
      </c>
      <c r="I12" s="4"/>
      <c r="J12" s="13"/>
      <c r="K12" s="4"/>
      <c r="L12" s="4" t="e">
        <f t="shared" ref="L12:L13" ca="1" si="0">+D12-H12</f>
        <v>#NAME?</v>
      </c>
      <c r="M12" s="4"/>
      <c r="N12" s="13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3"/>
      <c r="S12" s="4"/>
      <c r="T12" s="4" t="e">
        <f ca="1">SUM(_xll.OneStop.ReportPlayer.OSRFunctions.OSRRef(T13))</f>
        <v>#NAME?</v>
      </c>
      <c r="U12" s="4"/>
      <c r="V12" s="13"/>
      <c r="W12" s="4"/>
      <c r="X12" s="4" t="e">
        <f t="shared" ref="X12:X13" ca="1" si="2">+P12-T12</f>
        <v>#NAME?</v>
      </c>
      <c r="Y12" s="4"/>
      <c r="Z12" s="13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8</v>
      </c>
      <c r="C15" s="10"/>
      <c r="D15" s="4" t="e">
        <f ca="1">SUM(_xll.OneStop.ReportPlayer.OSRFunctions.OSRRef(D16))</f>
        <v>#NAME?</v>
      </c>
      <c r="E15" s="4"/>
      <c r="F15" s="13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3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3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3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3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3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6</v>
      </c>
      <c r="C18" s="29"/>
      <c r="D18" s="20" t="e">
        <f ca="1">D12-D15</f>
        <v>#NAME?</v>
      </c>
      <c r="E18" s="14"/>
      <c r="F18" s="22" t="e">
        <f ca="1">IF(D$12=0,0,D18/D$12)</f>
        <v>#NAME?</v>
      </c>
      <c r="G18" s="14"/>
      <c r="H18" s="20" t="e">
        <f ca="1">H12-H15</f>
        <v>#NAME?</v>
      </c>
      <c r="I18" s="14"/>
      <c r="J18" s="22" t="e">
        <f ca="1">IF(H$12=0,0,H18/H$12)</f>
        <v>#NAME?</v>
      </c>
      <c r="K18" s="16"/>
      <c r="L18" s="20" t="e">
        <f ca="1">+D18-H18</f>
        <v>#NAME?</v>
      </c>
      <c r="M18" s="16"/>
      <c r="N18" s="22" t="e">
        <f ca="1">IF(H18=0,0,L18/H18)</f>
        <v>#NAME?</v>
      </c>
      <c r="O18" s="28"/>
      <c r="P18" s="20" t="e">
        <f ca="1">P12-P15</f>
        <v>#NAME?</v>
      </c>
      <c r="Q18" s="14"/>
      <c r="R18" s="22" t="e">
        <f ca="1">IF(P$12=0,0,P18/P$12)</f>
        <v>#NAME?</v>
      </c>
      <c r="S18" s="14"/>
      <c r="T18" s="20" t="e">
        <f ca="1">T12-T15</f>
        <v>#NAME?</v>
      </c>
      <c r="U18" s="14"/>
      <c r="V18" s="22" t="e">
        <f ca="1">IF(T$12=0,0,T18/T$12)</f>
        <v>#NAME?</v>
      </c>
      <c r="W18" s="16"/>
      <c r="X18" s="20" t="e">
        <f ca="1">+P18-T18</f>
        <v>#NAME?</v>
      </c>
      <c r="Y18" s="16"/>
      <c r="Z18" s="22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9</v>
      </c>
      <c r="C20" s="10"/>
      <c r="D20" s="21" t="e">
        <f ca="1">SUM(_xll.OneStop.ReportPlayer.OSRFunctions.OSRRef(D22))</f>
        <v>#NAME?</v>
      </c>
      <c r="E20" s="21"/>
      <c r="F20" s="30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0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0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0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0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0" t="e">
        <f t="shared" ref="Z20:Z22" ca="1" si="19">IF(T20=0,0,X20/T20)</f>
        <v>#NAME?</v>
      </c>
    </row>
    <row r="21" spans="1:26" s="27" customFormat="1" outlineLevel="1" collapsed="1" x14ac:dyDescent="0.25">
      <c r="A21" s="25"/>
      <c r="B21" s="12" t="e">
        <f ca="1">CONCATENATE("     ",_xll.OneStop.ReportPlayer.OSRFunctions.OSRGet("d_Account","AccountCategory"))</f>
        <v>#NAME?</v>
      </c>
      <c r="C21" s="12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2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6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62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8" t="s">
        <v>0</v>
      </c>
      <c r="C24" s="10"/>
      <c r="D24" s="4" t="e">
        <f ca="1">SUM(_xll.OneStop.ReportPlayer.OSRFunctions.OSRRef(D25))</f>
        <v>#NAME?</v>
      </c>
      <c r="E24" s="4"/>
      <c r="F24" s="13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3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3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3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3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3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3</v>
      </c>
      <c r="C27" s="29"/>
      <c r="D27" s="20" t="e">
        <f ca="1">+D18-D20+D24</f>
        <v>#NAME?</v>
      </c>
      <c r="E27" s="14"/>
      <c r="F27" s="22" t="e">
        <f ca="1">IF(D$12=0,0,D27/D$12)</f>
        <v>#NAME?</v>
      </c>
      <c r="G27" s="14"/>
      <c r="H27" s="20" t="e">
        <f ca="1">+H18-H20+H24</f>
        <v>#NAME?</v>
      </c>
      <c r="I27" s="14"/>
      <c r="J27" s="22" t="e">
        <f ca="1">IF(H$12=0,0,H27/H$12)</f>
        <v>#NAME?</v>
      </c>
      <c r="K27" s="16"/>
      <c r="L27" s="20" t="e">
        <f ca="1">+D27-H27</f>
        <v>#NAME?</v>
      </c>
      <c r="M27" s="16"/>
      <c r="N27" s="22" t="e">
        <f ca="1">IF(H27=0,0,L27/H27)</f>
        <v>#NAME?</v>
      </c>
      <c r="O27" s="28"/>
      <c r="P27" s="20" t="e">
        <f ca="1">+P18-P20+P24</f>
        <v>#NAME?</v>
      </c>
      <c r="Q27" s="14"/>
      <c r="R27" s="22" t="e">
        <f ca="1">IF(P$12=0,0,P27/P$12)</f>
        <v>#NAME?</v>
      </c>
      <c r="S27" s="14"/>
      <c r="T27" s="20" t="e">
        <f ca="1">+T18-T20+T24</f>
        <v>#NAME?</v>
      </c>
      <c r="U27" s="14"/>
      <c r="V27" s="22" t="e">
        <f ca="1">IF(T$12=0,0,T27/T$12)</f>
        <v>#NAME?</v>
      </c>
      <c r="W27" s="16"/>
      <c r="X27" s="20" t="e">
        <f ca="1">+P27-T27</f>
        <v>#NAME?</v>
      </c>
      <c r="Y27" s="16"/>
      <c r="Z27" s="22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3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3" t="e">
        <f ca="1">IF(H$12=0,0,H29/H$12)</f>
        <v>#NAME?</v>
      </c>
      <c r="K29" s="4"/>
      <c r="L29" s="4" t="e">
        <f ca="1">+D29-H29</f>
        <v>#NAME?</v>
      </c>
      <c r="M29" s="4"/>
      <c r="N29" s="13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3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3" t="e">
        <f ca="1">IF(T$12=0,0,T29/T$12)</f>
        <v>#NAME?</v>
      </c>
      <c r="W29" s="4"/>
      <c r="X29" s="4" t="e">
        <f ca="1">+P29-T29</f>
        <v>#NAME?</v>
      </c>
      <c r="Y29" s="4"/>
      <c r="Z29" s="13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4</v>
      </c>
      <c r="C31" s="29"/>
      <c r="D31" s="35" t="e">
        <f ca="1">+D27-D29</f>
        <v>#NAME?</v>
      </c>
      <c r="E31" s="14"/>
      <c r="F31" s="32" t="e">
        <f ca="1">IF(D$12=0,0,D31/D$12)</f>
        <v>#NAME?</v>
      </c>
      <c r="G31" s="14"/>
      <c r="H31" s="35" t="e">
        <f ca="1">+H27-H29</f>
        <v>#NAME?</v>
      </c>
      <c r="I31" s="14"/>
      <c r="J31" s="32" t="e">
        <f ca="1">IF(H$12=0,0,H31/H$12)</f>
        <v>#NAME?</v>
      </c>
      <c r="K31" s="16"/>
      <c r="L31" s="35" t="e">
        <f ca="1">D31-H31</f>
        <v>#NAME?</v>
      </c>
      <c r="M31" s="16"/>
      <c r="N31" s="32" t="e">
        <f ca="1">IF(H31=0,0,L31/H31)</f>
        <v>#NAME?</v>
      </c>
      <c r="O31" s="28"/>
      <c r="P31" s="35" t="e">
        <f ca="1">+P27-P29</f>
        <v>#NAME?</v>
      </c>
      <c r="Q31" s="14"/>
      <c r="R31" s="32" t="e">
        <f ca="1">IF(P$12=0,0,P31/P$12)</f>
        <v>#NAME?</v>
      </c>
      <c r="S31" s="14"/>
      <c r="T31" s="35" t="e">
        <f ca="1">+T27-T29</f>
        <v>#NAME?</v>
      </c>
      <c r="U31" s="14"/>
      <c r="V31" s="32" t="e">
        <f ca="1">IF(T$12=0,0,T31/T$12)</f>
        <v>#NAME?</v>
      </c>
      <c r="W31" s="16"/>
      <c r="X31" s="35" t="e">
        <f ca="1">P31-T31</f>
        <v>#NAME?</v>
      </c>
      <c r="Y31" s="16"/>
      <c r="Z31" s="32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3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3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3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3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3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3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3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3" t="e">
        <f t="shared" ca="1" si="29"/>
        <v>#NAME?</v>
      </c>
      <c r="K34" s="4"/>
      <c r="L34" s="4" t="e">
        <f t="shared" ca="1" si="30"/>
        <v>#NAME?</v>
      </c>
      <c r="M34" s="4"/>
      <c r="N34" s="13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3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3" t="e">
        <f t="shared" ca="1" si="33"/>
        <v>#NAME?</v>
      </c>
      <c r="W34" s="4"/>
      <c r="X34" s="4" t="e">
        <f t="shared" ca="1" si="34"/>
        <v>#NAME?</v>
      </c>
      <c r="Y34" s="4"/>
      <c r="Z34" s="13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5</v>
      </c>
      <c r="C36" s="29"/>
      <c r="D36" s="34" t="e">
        <f ca="1">SUM(D31:D35)</f>
        <v>#NAME?</v>
      </c>
      <c r="E36" s="14"/>
      <c r="F36" s="31" t="e">
        <f ca="1">IF(D$12=0,0,D36/D$12)</f>
        <v>#NAME?</v>
      </c>
      <c r="G36" s="14"/>
      <c r="H36" s="34" t="e">
        <f ca="1">SUM(H31:H35)</f>
        <v>#NAME?</v>
      </c>
      <c r="I36" s="14"/>
      <c r="J36" s="31" t="e">
        <f ca="1">IF(H$12=0,0,H36/H$12)</f>
        <v>#NAME?</v>
      </c>
      <c r="K36" s="16"/>
      <c r="L36" s="34" t="e">
        <f ca="1">+D36-H36</f>
        <v>#NAME?</v>
      </c>
      <c r="M36" s="16"/>
      <c r="N36" s="31" t="e">
        <f ca="1">IF(H36=0,0,L36/H36)</f>
        <v>#NAME?</v>
      </c>
      <c r="O36" s="28"/>
      <c r="P36" s="34" t="e">
        <f ca="1">SUM(P31:P35)</f>
        <v>#NAME?</v>
      </c>
      <c r="Q36" s="14"/>
      <c r="R36" s="31" t="e">
        <f ca="1">IF(P$12=0,0,P36/P$12)</f>
        <v>#NAME?</v>
      </c>
      <c r="S36" s="14"/>
      <c r="T36" s="34" t="e">
        <f ca="1">SUM(T31:T35)</f>
        <v>#NAME?</v>
      </c>
      <c r="U36" s="14"/>
      <c r="V36" s="31" t="e">
        <f ca="1">IF(T$12=0,0,T36/T$12)</f>
        <v>#NAME?</v>
      </c>
      <c r="W36" s="16"/>
      <c r="X36" s="34" t="e">
        <f ca="1">+P36-T36</f>
        <v>#NAME?</v>
      </c>
      <c r="Y36" s="16"/>
      <c r="Z36" s="31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59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56" t="e">
        <f ca="1">_xll.OneStop.ReportPlayer.OSRFunctions.OSRGet("User","UserId")</f>
        <v>#NAME?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54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63" t="s">
        <v>13</v>
      </c>
    </row>
    <row r="3" spans="1:26" x14ac:dyDescent="0.25">
      <c r="D3" s="63" t="s">
        <v>296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61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63" t="e">
        <f ca="1">CONCATENATE("Period ",RIGHT(_xll.OneStop.ReportPlayer.OSRFunctions.OSRGet("Period","PeriodId"),2),", ",_xll.OneStop.ReportPlayer.OSRFunctions.OSRGet("Period","Year"))</f>
        <v>#NAME?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61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5" t="e">
        <f ca="1">_xll.OneStop.ReportPlayer.OSRFunctions.OSRGet("Period","PeriodEnd")</f>
        <v>#NAME?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61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51"/>
      <c r="C6" s="51"/>
      <c r="D6" s="23" t="s">
        <v>309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57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5" t="s">
        <v>294</v>
      </c>
      <c r="E9" s="15"/>
      <c r="F9" s="38"/>
      <c r="G9" s="15"/>
      <c r="H9" s="15"/>
      <c r="I9" s="15"/>
      <c r="J9" s="46"/>
      <c r="K9" s="15"/>
      <c r="L9" s="15"/>
      <c r="M9" s="15"/>
      <c r="N9" s="38"/>
      <c r="P9" s="15" t="s">
        <v>295</v>
      </c>
      <c r="Q9" s="15"/>
      <c r="R9" s="38"/>
      <c r="S9" s="15"/>
      <c r="T9" s="15"/>
      <c r="U9" s="15"/>
      <c r="V9" s="46"/>
      <c r="W9" s="15"/>
      <c r="X9" s="15"/>
      <c r="Y9" s="15"/>
      <c r="Z9" s="38"/>
    </row>
    <row r="10" spans="1:26" x14ac:dyDescent="0.25">
      <c r="A10" s="10"/>
      <c r="B10" s="55"/>
      <c r="C10" s="10"/>
      <c r="D10" s="43" t="s">
        <v>10</v>
      </c>
      <c r="E10" s="33"/>
      <c r="F10" s="40" t="s">
        <v>15</v>
      </c>
      <c r="G10" s="33"/>
      <c r="H10" s="47" t="s">
        <v>11</v>
      </c>
      <c r="I10" s="33"/>
      <c r="J10" s="45" t="s">
        <v>16</v>
      </c>
      <c r="K10" s="10"/>
      <c r="L10" s="43" t="s">
        <v>12</v>
      </c>
      <c r="M10" s="10"/>
      <c r="N10" s="40" t="s">
        <v>17</v>
      </c>
      <c r="O10" s="10"/>
      <c r="P10" s="53" t="s">
        <v>10</v>
      </c>
      <c r="Q10" s="33"/>
      <c r="R10" s="40" t="s">
        <v>15</v>
      </c>
      <c r="S10" s="33"/>
      <c r="T10" s="47" t="s">
        <v>11</v>
      </c>
      <c r="U10" s="33"/>
      <c r="V10" s="45" t="s">
        <v>16</v>
      </c>
      <c r="W10" s="10"/>
      <c r="X10" s="43" t="s">
        <v>12</v>
      </c>
      <c r="Y10" s="10"/>
      <c r="Z10" s="40" t="s">
        <v>17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 t="e">
        <f ca="1">SUM(_xll.OneStop.ReportPlayer.OSRFunctions.OSRRef(D13))</f>
        <v>#NAME?</v>
      </c>
      <c r="E12" s="4"/>
      <c r="F12" s="13"/>
      <c r="G12" s="4"/>
      <c r="H12" s="4" t="e">
        <f ca="1">SUM(_xll.OneStop.ReportPlayer.OSRFunctions.OSRRef(H13))</f>
        <v>#NAME?</v>
      </c>
      <c r="I12" s="4"/>
      <c r="J12" s="13"/>
      <c r="K12" s="4"/>
      <c r="L12" s="4" t="e">
        <f t="shared" ref="L12:L13" ca="1" si="0">+D12-H12</f>
        <v>#NAME?</v>
      </c>
      <c r="M12" s="4"/>
      <c r="N12" s="13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3"/>
      <c r="S12" s="4"/>
      <c r="T12" s="4" t="e">
        <f ca="1">SUM(_xll.OneStop.ReportPlayer.OSRFunctions.OSRRef(T13))</f>
        <v>#NAME?</v>
      </c>
      <c r="U12" s="4"/>
      <c r="V12" s="13"/>
      <c r="W12" s="4"/>
      <c r="X12" s="4" t="e">
        <f t="shared" ref="X12:X13" ca="1" si="2">+P12-T12</f>
        <v>#NAME?</v>
      </c>
      <c r="Y12" s="4"/>
      <c r="Z12" s="13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8</v>
      </c>
      <c r="C15" s="10"/>
      <c r="D15" s="4" t="e">
        <f ca="1">SUM(_xll.OneStop.ReportPlayer.OSRFunctions.OSRRef(D16))</f>
        <v>#NAME?</v>
      </c>
      <c r="E15" s="4"/>
      <c r="F15" s="13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3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3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3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3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3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6</v>
      </c>
      <c r="C18" s="29"/>
      <c r="D18" s="20" t="e">
        <f ca="1">D12-D15</f>
        <v>#NAME?</v>
      </c>
      <c r="E18" s="14"/>
      <c r="F18" s="22" t="e">
        <f ca="1">IF(D$12=0,0,D18/D$12)</f>
        <v>#NAME?</v>
      </c>
      <c r="G18" s="14"/>
      <c r="H18" s="20" t="e">
        <f ca="1">H12-H15</f>
        <v>#NAME?</v>
      </c>
      <c r="I18" s="14"/>
      <c r="J18" s="22" t="e">
        <f ca="1">IF(H$12=0,0,H18/H$12)</f>
        <v>#NAME?</v>
      </c>
      <c r="K18" s="16"/>
      <c r="L18" s="20" t="e">
        <f ca="1">+D18-H18</f>
        <v>#NAME?</v>
      </c>
      <c r="M18" s="16"/>
      <c r="N18" s="22" t="e">
        <f ca="1">IF(H18=0,0,L18/H18)</f>
        <v>#NAME?</v>
      </c>
      <c r="O18" s="28"/>
      <c r="P18" s="20" t="e">
        <f ca="1">P12-P15</f>
        <v>#NAME?</v>
      </c>
      <c r="Q18" s="14"/>
      <c r="R18" s="22" t="e">
        <f ca="1">IF(P$12=0,0,P18/P$12)</f>
        <v>#NAME?</v>
      </c>
      <c r="S18" s="14"/>
      <c r="T18" s="20" t="e">
        <f ca="1">T12-T15</f>
        <v>#NAME?</v>
      </c>
      <c r="U18" s="14"/>
      <c r="V18" s="22" t="e">
        <f ca="1">IF(T$12=0,0,T18/T$12)</f>
        <v>#NAME?</v>
      </c>
      <c r="W18" s="16"/>
      <c r="X18" s="20" t="e">
        <f ca="1">+P18-T18</f>
        <v>#NAME?</v>
      </c>
      <c r="Y18" s="16"/>
      <c r="Z18" s="22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9</v>
      </c>
      <c r="C20" s="10"/>
      <c r="D20" s="21" t="e">
        <f ca="1">SUM(_xll.OneStop.ReportPlayer.OSRFunctions.OSRRef(D22))</f>
        <v>#NAME?</v>
      </c>
      <c r="E20" s="21"/>
      <c r="F20" s="30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0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0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0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0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0" t="e">
        <f t="shared" ref="Z20:Z22" ca="1" si="19">IF(T20=0,0,X20/T20)</f>
        <v>#NAME?</v>
      </c>
    </row>
    <row r="21" spans="1:26" s="27" customFormat="1" outlineLevel="1" collapsed="1" x14ac:dyDescent="0.25">
      <c r="A21" s="25"/>
      <c r="B21" s="12" t="e">
        <f ca="1">CONCATENATE("     ",_xll.OneStop.ReportPlayer.OSRFunctions.OSRGet("d_Account","AccountCategory"))</f>
        <v>#NAME?</v>
      </c>
      <c r="C21" s="12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2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6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62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8" t="s">
        <v>0</v>
      </c>
      <c r="C24" s="10"/>
      <c r="D24" s="4" t="e">
        <f ca="1">SUM(_xll.OneStop.ReportPlayer.OSRFunctions.OSRRef(D25))</f>
        <v>#NAME?</v>
      </c>
      <c r="E24" s="4"/>
      <c r="F24" s="13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3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3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3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3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3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3</v>
      </c>
      <c r="C27" s="29"/>
      <c r="D27" s="20" t="e">
        <f ca="1">+D18-D20+D24</f>
        <v>#NAME?</v>
      </c>
      <c r="E27" s="14"/>
      <c r="F27" s="22" t="e">
        <f ca="1">IF(D$12=0,0,D27/D$12)</f>
        <v>#NAME?</v>
      </c>
      <c r="G27" s="14"/>
      <c r="H27" s="20" t="e">
        <f ca="1">+H18-H20+H24</f>
        <v>#NAME?</v>
      </c>
      <c r="I27" s="14"/>
      <c r="J27" s="22" t="e">
        <f ca="1">IF(H$12=0,0,H27/H$12)</f>
        <v>#NAME?</v>
      </c>
      <c r="K27" s="16"/>
      <c r="L27" s="20" t="e">
        <f ca="1">+D27-H27</f>
        <v>#NAME?</v>
      </c>
      <c r="M27" s="16"/>
      <c r="N27" s="22" t="e">
        <f ca="1">IF(H27=0,0,L27/H27)</f>
        <v>#NAME?</v>
      </c>
      <c r="O27" s="28"/>
      <c r="P27" s="20" t="e">
        <f ca="1">+P18-P20+P24</f>
        <v>#NAME?</v>
      </c>
      <c r="Q27" s="14"/>
      <c r="R27" s="22" t="e">
        <f ca="1">IF(P$12=0,0,P27/P$12)</f>
        <v>#NAME?</v>
      </c>
      <c r="S27" s="14"/>
      <c r="T27" s="20" t="e">
        <f ca="1">+T18-T20+T24</f>
        <v>#NAME?</v>
      </c>
      <c r="U27" s="14"/>
      <c r="V27" s="22" t="e">
        <f ca="1">IF(T$12=0,0,T27/T$12)</f>
        <v>#NAME?</v>
      </c>
      <c r="W27" s="16"/>
      <c r="X27" s="20" t="e">
        <f ca="1">+P27-T27</f>
        <v>#NAME?</v>
      </c>
      <c r="Y27" s="16"/>
      <c r="Z27" s="22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3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3" t="e">
        <f ca="1">IF(H$12=0,0,H29/H$12)</f>
        <v>#NAME?</v>
      </c>
      <c r="K29" s="4"/>
      <c r="L29" s="4" t="e">
        <f ca="1">+D29-H29</f>
        <v>#NAME?</v>
      </c>
      <c r="M29" s="4"/>
      <c r="N29" s="13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3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3" t="e">
        <f ca="1">IF(T$12=0,0,T29/T$12)</f>
        <v>#NAME?</v>
      </c>
      <c r="W29" s="4"/>
      <c r="X29" s="4" t="e">
        <f ca="1">+P29-T29</f>
        <v>#NAME?</v>
      </c>
      <c r="Y29" s="4"/>
      <c r="Z29" s="13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4</v>
      </c>
      <c r="C31" s="29"/>
      <c r="D31" s="35" t="e">
        <f ca="1">+D27-D29</f>
        <v>#NAME?</v>
      </c>
      <c r="E31" s="14"/>
      <c r="F31" s="32" t="e">
        <f ca="1">IF(D$12=0,0,D31/D$12)</f>
        <v>#NAME?</v>
      </c>
      <c r="G31" s="14"/>
      <c r="H31" s="35" t="e">
        <f ca="1">+H27-H29</f>
        <v>#NAME?</v>
      </c>
      <c r="I31" s="14"/>
      <c r="J31" s="32" t="e">
        <f ca="1">IF(H$12=0,0,H31/H$12)</f>
        <v>#NAME?</v>
      </c>
      <c r="K31" s="16"/>
      <c r="L31" s="35" t="e">
        <f ca="1">D31-H31</f>
        <v>#NAME?</v>
      </c>
      <c r="M31" s="16"/>
      <c r="N31" s="32" t="e">
        <f ca="1">IF(H31=0,0,L31/H31)</f>
        <v>#NAME?</v>
      </c>
      <c r="O31" s="28"/>
      <c r="P31" s="35" t="e">
        <f ca="1">+P27-P29</f>
        <v>#NAME?</v>
      </c>
      <c r="Q31" s="14"/>
      <c r="R31" s="32" t="e">
        <f ca="1">IF(P$12=0,0,P31/P$12)</f>
        <v>#NAME?</v>
      </c>
      <c r="S31" s="14"/>
      <c r="T31" s="35" t="e">
        <f ca="1">+T27-T29</f>
        <v>#NAME?</v>
      </c>
      <c r="U31" s="14"/>
      <c r="V31" s="32" t="e">
        <f ca="1">IF(T$12=0,0,T31/T$12)</f>
        <v>#NAME?</v>
      </c>
      <c r="W31" s="16"/>
      <c r="X31" s="35" t="e">
        <f ca="1">P31-T31</f>
        <v>#NAME?</v>
      </c>
      <c r="Y31" s="16"/>
      <c r="Z31" s="32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3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3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3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3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3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3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3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3" t="e">
        <f t="shared" ca="1" si="29"/>
        <v>#NAME?</v>
      </c>
      <c r="K34" s="4"/>
      <c r="L34" s="4" t="e">
        <f t="shared" ca="1" si="30"/>
        <v>#NAME?</v>
      </c>
      <c r="M34" s="4"/>
      <c r="N34" s="13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3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3" t="e">
        <f t="shared" ca="1" si="33"/>
        <v>#NAME?</v>
      </c>
      <c r="W34" s="4"/>
      <c r="X34" s="4" t="e">
        <f t="shared" ca="1" si="34"/>
        <v>#NAME?</v>
      </c>
      <c r="Y34" s="4"/>
      <c r="Z34" s="13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5</v>
      </c>
      <c r="C36" s="29"/>
      <c r="D36" s="34" t="e">
        <f ca="1">SUM(D31:D35)</f>
        <v>#NAME?</v>
      </c>
      <c r="E36" s="14"/>
      <c r="F36" s="31" t="e">
        <f ca="1">IF(D$12=0,0,D36/D$12)</f>
        <v>#NAME?</v>
      </c>
      <c r="G36" s="14"/>
      <c r="H36" s="34" t="e">
        <f ca="1">SUM(H31:H35)</f>
        <v>#NAME?</v>
      </c>
      <c r="I36" s="14"/>
      <c r="J36" s="31" t="e">
        <f ca="1">IF(H$12=0,0,H36/H$12)</f>
        <v>#NAME?</v>
      </c>
      <c r="K36" s="16"/>
      <c r="L36" s="34" t="e">
        <f ca="1">+D36-H36</f>
        <v>#NAME?</v>
      </c>
      <c r="M36" s="16"/>
      <c r="N36" s="31" t="e">
        <f ca="1">IF(H36=0,0,L36/H36)</f>
        <v>#NAME?</v>
      </c>
      <c r="O36" s="28"/>
      <c r="P36" s="34" t="e">
        <f ca="1">SUM(P31:P35)</f>
        <v>#NAME?</v>
      </c>
      <c r="Q36" s="14"/>
      <c r="R36" s="31" t="e">
        <f ca="1">IF(P$12=0,0,P36/P$12)</f>
        <v>#NAME?</v>
      </c>
      <c r="S36" s="14"/>
      <c r="T36" s="34" t="e">
        <f ca="1">SUM(T31:T35)</f>
        <v>#NAME?</v>
      </c>
      <c r="U36" s="14"/>
      <c r="V36" s="31" t="e">
        <f ca="1">IF(T$12=0,0,T36/T$12)</f>
        <v>#NAME?</v>
      </c>
      <c r="W36" s="16"/>
      <c r="X36" s="34" t="e">
        <f ca="1">+P36-T36</f>
        <v>#NAME?</v>
      </c>
      <c r="Y36" s="16"/>
      <c r="Z36" s="31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59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56" t="e">
        <f ca="1">_xll.OneStop.ReportPlayer.OSRFunctions.OSRGet("User","UserId")</f>
        <v>#NAME?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54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63" t="s">
        <v>13</v>
      </c>
    </row>
    <row r="3" spans="1:26" x14ac:dyDescent="0.25">
      <c r="D3" s="63" t="s">
        <v>296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61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63" t="e">
        <f ca="1">CONCATENATE("Period ",RIGHT(_xll.OneStop.ReportPlayer.OSRFunctions.OSRGet("Period","PeriodId"),2),", ",_xll.OneStop.ReportPlayer.OSRFunctions.OSRGet("Period","Year"))</f>
        <v>#NAME?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61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5" t="e">
        <f ca="1">_xll.OneStop.ReportPlayer.OSRFunctions.OSRGet("Period","PeriodEnd")</f>
        <v>#NAME?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61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51"/>
      <c r="C6" s="51"/>
      <c r="D6" s="23" t="s">
        <v>312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57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5" t="s">
        <v>294</v>
      </c>
      <c r="E9" s="15"/>
      <c r="F9" s="38"/>
      <c r="G9" s="15"/>
      <c r="H9" s="15"/>
      <c r="I9" s="15"/>
      <c r="J9" s="46"/>
      <c r="K9" s="15"/>
      <c r="L9" s="15"/>
      <c r="M9" s="15"/>
      <c r="N9" s="38"/>
      <c r="P9" s="15" t="s">
        <v>295</v>
      </c>
      <c r="Q9" s="15"/>
      <c r="R9" s="38"/>
      <c r="S9" s="15"/>
      <c r="T9" s="15"/>
      <c r="U9" s="15"/>
      <c r="V9" s="46"/>
      <c r="W9" s="15"/>
      <c r="X9" s="15"/>
      <c r="Y9" s="15"/>
      <c r="Z9" s="38"/>
    </row>
    <row r="10" spans="1:26" x14ac:dyDescent="0.25">
      <c r="A10" s="10"/>
      <c r="B10" s="55"/>
      <c r="C10" s="10"/>
      <c r="D10" s="43" t="s">
        <v>10</v>
      </c>
      <c r="E10" s="33"/>
      <c r="F10" s="40" t="s">
        <v>15</v>
      </c>
      <c r="G10" s="33"/>
      <c r="H10" s="47" t="s">
        <v>11</v>
      </c>
      <c r="I10" s="33"/>
      <c r="J10" s="45" t="s">
        <v>16</v>
      </c>
      <c r="K10" s="10"/>
      <c r="L10" s="43" t="s">
        <v>12</v>
      </c>
      <c r="M10" s="10"/>
      <c r="N10" s="40" t="s">
        <v>17</v>
      </c>
      <c r="O10" s="10"/>
      <c r="P10" s="53" t="s">
        <v>10</v>
      </c>
      <c r="Q10" s="33"/>
      <c r="R10" s="40" t="s">
        <v>15</v>
      </c>
      <c r="S10" s="33"/>
      <c r="T10" s="47" t="s">
        <v>11</v>
      </c>
      <c r="U10" s="33"/>
      <c r="V10" s="45" t="s">
        <v>16</v>
      </c>
      <c r="W10" s="10"/>
      <c r="X10" s="43" t="s">
        <v>12</v>
      </c>
      <c r="Y10" s="10"/>
      <c r="Z10" s="40" t="s">
        <v>17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 t="e">
        <f ca="1">SUM(_xll.OneStop.ReportPlayer.OSRFunctions.OSRRef(D13))</f>
        <v>#NAME?</v>
      </c>
      <c r="E12" s="4"/>
      <c r="F12" s="13"/>
      <c r="G12" s="4"/>
      <c r="H12" s="4" t="e">
        <f ca="1">SUM(_xll.OneStop.ReportPlayer.OSRFunctions.OSRRef(H13))</f>
        <v>#NAME?</v>
      </c>
      <c r="I12" s="4"/>
      <c r="J12" s="13"/>
      <c r="K12" s="4"/>
      <c r="L12" s="4" t="e">
        <f t="shared" ref="L12:L13" ca="1" si="0">+D12-H12</f>
        <v>#NAME?</v>
      </c>
      <c r="M12" s="4"/>
      <c r="N12" s="13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3"/>
      <c r="S12" s="4"/>
      <c r="T12" s="4" t="e">
        <f ca="1">SUM(_xll.OneStop.ReportPlayer.OSRFunctions.OSRRef(T13))</f>
        <v>#NAME?</v>
      </c>
      <c r="U12" s="4"/>
      <c r="V12" s="13"/>
      <c r="W12" s="4"/>
      <c r="X12" s="4" t="e">
        <f t="shared" ref="X12:X13" ca="1" si="2">+P12-T12</f>
        <v>#NAME?</v>
      </c>
      <c r="Y12" s="4"/>
      <c r="Z12" s="13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8</v>
      </c>
      <c r="C15" s="10"/>
      <c r="D15" s="4" t="e">
        <f ca="1">SUM(_xll.OneStop.ReportPlayer.OSRFunctions.OSRRef(D16))</f>
        <v>#NAME?</v>
      </c>
      <c r="E15" s="4"/>
      <c r="F15" s="13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3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3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3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3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3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6</v>
      </c>
      <c r="C18" s="29"/>
      <c r="D18" s="20" t="e">
        <f ca="1">D12-D15</f>
        <v>#NAME?</v>
      </c>
      <c r="E18" s="14"/>
      <c r="F18" s="22" t="e">
        <f ca="1">IF(D$12=0,0,D18/D$12)</f>
        <v>#NAME?</v>
      </c>
      <c r="G18" s="14"/>
      <c r="H18" s="20" t="e">
        <f ca="1">H12-H15</f>
        <v>#NAME?</v>
      </c>
      <c r="I18" s="14"/>
      <c r="J18" s="22" t="e">
        <f ca="1">IF(H$12=0,0,H18/H$12)</f>
        <v>#NAME?</v>
      </c>
      <c r="K18" s="16"/>
      <c r="L18" s="20" t="e">
        <f ca="1">+D18-H18</f>
        <v>#NAME?</v>
      </c>
      <c r="M18" s="16"/>
      <c r="N18" s="22" t="e">
        <f ca="1">IF(H18=0,0,L18/H18)</f>
        <v>#NAME?</v>
      </c>
      <c r="O18" s="28"/>
      <c r="P18" s="20" t="e">
        <f ca="1">P12-P15</f>
        <v>#NAME?</v>
      </c>
      <c r="Q18" s="14"/>
      <c r="R18" s="22" t="e">
        <f ca="1">IF(P$12=0,0,P18/P$12)</f>
        <v>#NAME?</v>
      </c>
      <c r="S18" s="14"/>
      <c r="T18" s="20" t="e">
        <f ca="1">T12-T15</f>
        <v>#NAME?</v>
      </c>
      <c r="U18" s="14"/>
      <c r="V18" s="22" t="e">
        <f ca="1">IF(T$12=0,0,T18/T$12)</f>
        <v>#NAME?</v>
      </c>
      <c r="W18" s="16"/>
      <c r="X18" s="20" t="e">
        <f ca="1">+P18-T18</f>
        <v>#NAME?</v>
      </c>
      <c r="Y18" s="16"/>
      <c r="Z18" s="22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9</v>
      </c>
      <c r="C20" s="10"/>
      <c r="D20" s="21" t="e">
        <f ca="1">SUM(_xll.OneStop.ReportPlayer.OSRFunctions.OSRRef(D22))</f>
        <v>#NAME?</v>
      </c>
      <c r="E20" s="21"/>
      <c r="F20" s="30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0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0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0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0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0" t="e">
        <f t="shared" ref="Z20:Z22" ca="1" si="19">IF(T20=0,0,X20/T20)</f>
        <v>#NAME?</v>
      </c>
    </row>
    <row r="21" spans="1:26" s="27" customFormat="1" outlineLevel="1" collapsed="1" x14ac:dyDescent="0.25">
      <c r="A21" s="25"/>
      <c r="B21" s="12" t="e">
        <f ca="1">CONCATENATE("     ",_xll.OneStop.ReportPlayer.OSRFunctions.OSRGet("d_Account","AccountCategory"))</f>
        <v>#NAME?</v>
      </c>
      <c r="C21" s="12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2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6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62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8" t="s">
        <v>0</v>
      </c>
      <c r="C24" s="10"/>
      <c r="D24" s="4" t="e">
        <f ca="1">SUM(_xll.OneStop.ReportPlayer.OSRFunctions.OSRRef(D25))</f>
        <v>#NAME?</v>
      </c>
      <c r="E24" s="4"/>
      <c r="F24" s="13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3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3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3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3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3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3</v>
      </c>
      <c r="C27" s="29"/>
      <c r="D27" s="20" t="e">
        <f ca="1">+D18-D20+D24</f>
        <v>#NAME?</v>
      </c>
      <c r="E27" s="14"/>
      <c r="F27" s="22" t="e">
        <f ca="1">IF(D$12=0,0,D27/D$12)</f>
        <v>#NAME?</v>
      </c>
      <c r="G27" s="14"/>
      <c r="H27" s="20" t="e">
        <f ca="1">+H18-H20+H24</f>
        <v>#NAME?</v>
      </c>
      <c r="I27" s="14"/>
      <c r="J27" s="22" t="e">
        <f ca="1">IF(H$12=0,0,H27/H$12)</f>
        <v>#NAME?</v>
      </c>
      <c r="K27" s="16"/>
      <c r="L27" s="20" t="e">
        <f ca="1">+D27-H27</f>
        <v>#NAME?</v>
      </c>
      <c r="M27" s="16"/>
      <c r="N27" s="22" t="e">
        <f ca="1">IF(H27=0,0,L27/H27)</f>
        <v>#NAME?</v>
      </c>
      <c r="O27" s="28"/>
      <c r="P27" s="20" t="e">
        <f ca="1">+P18-P20+P24</f>
        <v>#NAME?</v>
      </c>
      <c r="Q27" s="14"/>
      <c r="R27" s="22" t="e">
        <f ca="1">IF(P$12=0,0,P27/P$12)</f>
        <v>#NAME?</v>
      </c>
      <c r="S27" s="14"/>
      <c r="T27" s="20" t="e">
        <f ca="1">+T18-T20+T24</f>
        <v>#NAME?</v>
      </c>
      <c r="U27" s="14"/>
      <c r="V27" s="22" t="e">
        <f ca="1">IF(T$12=0,0,T27/T$12)</f>
        <v>#NAME?</v>
      </c>
      <c r="W27" s="16"/>
      <c r="X27" s="20" t="e">
        <f ca="1">+P27-T27</f>
        <v>#NAME?</v>
      </c>
      <c r="Y27" s="16"/>
      <c r="Z27" s="22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3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3" t="e">
        <f ca="1">IF(H$12=0,0,H29/H$12)</f>
        <v>#NAME?</v>
      </c>
      <c r="K29" s="4"/>
      <c r="L29" s="4" t="e">
        <f ca="1">+D29-H29</f>
        <v>#NAME?</v>
      </c>
      <c r="M29" s="4"/>
      <c r="N29" s="13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3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3" t="e">
        <f ca="1">IF(T$12=0,0,T29/T$12)</f>
        <v>#NAME?</v>
      </c>
      <c r="W29" s="4"/>
      <c r="X29" s="4" t="e">
        <f ca="1">+P29-T29</f>
        <v>#NAME?</v>
      </c>
      <c r="Y29" s="4"/>
      <c r="Z29" s="13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4</v>
      </c>
      <c r="C31" s="29"/>
      <c r="D31" s="35" t="e">
        <f ca="1">+D27-D29</f>
        <v>#NAME?</v>
      </c>
      <c r="E31" s="14"/>
      <c r="F31" s="32" t="e">
        <f ca="1">IF(D$12=0,0,D31/D$12)</f>
        <v>#NAME?</v>
      </c>
      <c r="G31" s="14"/>
      <c r="H31" s="35" t="e">
        <f ca="1">+H27-H29</f>
        <v>#NAME?</v>
      </c>
      <c r="I31" s="14"/>
      <c r="J31" s="32" t="e">
        <f ca="1">IF(H$12=0,0,H31/H$12)</f>
        <v>#NAME?</v>
      </c>
      <c r="K31" s="16"/>
      <c r="L31" s="35" t="e">
        <f ca="1">D31-H31</f>
        <v>#NAME?</v>
      </c>
      <c r="M31" s="16"/>
      <c r="N31" s="32" t="e">
        <f ca="1">IF(H31=0,0,L31/H31)</f>
        <v>#NAME?</v>
      </c>
      <c r="O31" s="28"/>
      <c r="P31" s="35" t="e">
        <f ca="1">+P27-P29</f>
        <v>#NAME?</v>
      </c>
      <c r="Q31" s="14"/>
      <c r="R31" s="32" t="e">
        <f ca="1">IF(P$12=0,0,P31/P$12)</f>
        <v>#NAME?</v>
      </c>
      <c r="S31" s="14"/>
      <c r="T31" s="35" t="e">
        <f ca="1">+T27-T29</f>
        <v>#NAME?</v>
      </c>
      <c r="U31" s="14"/>
      <c r="V31" s="32" t="e">
        <f ca="1">IF(T$12=0,0,T31/T$12)</f>
        <v>#NAME?</v>
      </c>
      <c r="W31" s="16"/>
      <c r="X31" s="35" t="e">
        <f ca="1">P31-T31</f>
        <v>#NAME?</v>
      </c>
      <c r="Y31" s="16"/>
      <c r="Z31" s="32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3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3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3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3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3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3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3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3" t="e">
        <f t="shared" ca="1" si="29"/>
        <v>#NAME?</v>
      </c>
      <c r="K34" s="4"/>
      <c r="L34" s="4" t="e">
        <f t="shared" ca="1" si="30"/>
        <v>#NAME?</v>
      </c>
      <c r="M34" s="4"/>
      <c r="N34" s="13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3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3" t="e">
        <f t="shared" ca="1" si="33"/>
        <v>#NAME?</v>
      </c>
      <c r="W34" s="4"/>
      <c r="X34" s="4" t="e">
        <f t="shared" ca="1" si="34"/>
        <v>#NAME?</v>
      </c>
      <c r="Y34" s="4"/>
      <c r="Z34" s="13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5</v>
      </c>
      <c r="C36" s="29"/>
      <c r="D36" s="34" t="e">
        <f ca="1">SUM(D31:D35)</f>
        <v>#NAME?</v>
      </c>
      <c r="E36" s="14"/>
      <c r="F36" s="31" t="e">
        <f ca="1">IF(D$12=0,0,D36/D$12)</f>
        <v>#NAME?</v>
      </c>
      <c r="G36" s="14"/>
      <c r="H36" s="34" t="e">
        <f ca="1">SUM(H31:H35)</f>
        <v>#NAME?</v>
      </c>
      <c r="I36" s="14"/>
      <c r="J36" s="31" t="e">
        <f ca="1">IF(H$12=0,0,H36/H$12)</f>
        <v>#NAME?</v>
      </c>
      <c r="K36" s="16"/>
      <c r="L36" s="34" t="e">
        <f ca="1">+D36-H36</f>
        <v>#NAME?</v>
      </c>
      <c r="M36" s="16"/>
      <c r="N36" s="31" t="e">
        <f ca="1">IF(H36=0,0,L36/H36)</f>
        <v>#NAME?</v>
      </c>
      <c r="O36" s="28"/>
      <c r="P36" s="34" t="e">
        <f ca="1">SUM(P31:P35)</f>
        <v>#NAME?</v>
      </c>
      <c r="Q36" s="14"/>
      <c r="R36" s="31" t="e">
        <f ca="1">IF(P$12=0,0,P36/P$12)</f>
        <v>#NAME?</v>
      </c>
      <c r="S36" s="14"/>
      <c r="T36" s="34" t="e">
        <f ca="1">SUM(T31:T35)</f>
        <v>#NAME?</v>
      </c>
      <c r="U36" s="14"/>
      <c r="V36" s="31" t="e">
        <f ca="1">IF(T$12=0,0,T36/T$12)</f>
        <v>#NAME?</v>
      </c>
      <c r="W36" s="16"/>
      <c r="X36" s="34" t="e">
        <f ca="1">+P36-T36</f>
        <v>#NAME?</v>
      </c>
      <c r="Y36" s="16"/>
      <c r="Z36" s="31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59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56" t="e">
        <f ca="1">_xll.OneStop.ReportPlayer.OSRFunctions.OSRGet("User","UserId")</f>
        <v>#NAME?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54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63" t="s">
        <v>13</v>
      </c>
    </row>
    <row r="3" spans="1:26" x14ac:dyDescent="0.25">
      <c r="D3" s="63" t="s">
        <v>296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61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63" t="e">
        <f ca="1">CONCATENATE("Period ",RIGHT(_xll.OneStop.ReportPlayer.OSRFunctions.OSRGet("Period","PeriodId"),2),", ",_xll.OneStop.ReportPlayer.OSRFunctions.OSRGet("Period","Year"))</f>
        <v>#NAME?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61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5" t="e">
        <f ca="1">_xll.OneStop.ReportPlayer.OSRFunctions.OSRGet("Period","PeriodEnd")</f>
        <v>#NAME?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61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51"/>
      <c r="C6" s="51"/>
      <c r="D6" s="23" t="s">
        <v>312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57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5" t="s">
        <v>294</v>
      </c>
      <c r="E9" s="15"/>
      <c r="F9" s="38"/>
      <c r="G9" s="15"/>
      <c r="H9" s="15"/>
      <c r="I9" s="15"/>
      <c r="J9" s="46"/>
      <c r="K9" s="15"/>
      <c r="L9" s="15"/>
      <c r="M9" s="15"/>
      <c r="N9" s="38"/>
      <c r="P9" s="15" t="s">
        <v>295</v>
      </c>
      <c r="Q9" s="15"/>
      <c r="R9" s="38"/>
      <c r="S9" s="15"/>
      <c r="T9" s="15"/>
      <c r="U9" s="15"/>
      <c r="V9" s="46"/>
      <c r="W9" s="15"/>
      <c r="X9" s="15"/>
      <c r="Y9" s="15"/>
      <c r="Z9" s="38"/>
    </row>
    <row r="10" spans="1:26" x14ac:dyDescent="0.25">
      <c r="A10" s="10"/>
      <c r="B10" s="55"/>
      <c r="C10" s="10"/>
      <c r="D10" s="43" t="s">
        <v>10</v>
      </c>
      <c r="E10" s="33"/>
      <c r="F10" s="40" t="s">
        <v>15</v>
      </c>
      <c r="G10" s="33"/>
      <c r="H10" s="47" t="s">
        <v>11</v>
      </c>
      <c r="I10" s="33"/>
      <c r="J10" s="45" t="s">
        <v>16</v>
      </c>
      <c r="K10" s="10"/>
      <c r="L10" s="43" t="s">
        <v>12</v>
      </c>
      <c r="M10" s="10"/>
      <c r="N10" s="40" t="s">
        <v>17</v>
      </c>
      <c r="O10" s="10"/>
      <c r="P10" s="53" t="s">
        <v>10</v>
      </c>
      <c r="Q10" s="33"/>
      <c r="R10" s="40" t="s">
        <v>15</v>
      </c>
      <c r="S10" s="33"/>
      <c r="T10" s="47" t="s">
        <v>11</v>
      </c>
      <c r="U10" s="33"/>
      <c r="V10" s="45" t="s">
        <v>16</v>
      </c>
      <c r="W10" s="10"/>
      <c r="X10" s="43" t="s">
        <v>12</v>
      </c>
      <c r="Y10" s="10"/>
      <c r="Z10" s="40" t="s">
        <v>17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 t="e">
        <f ca="1">SUM(_xll.OneStop.ReportPlayer.OSRFunctions.OSRRef(D13))</f>
        <v>#NAME?</v>
      </c>
      <c r="E12" s="4"/>
      <c r="F12" s="13"/>
      <c r="G12" s="4"/>
      <c r="H12" s="4" t="e">
        <f ca="1">SUM(_xll.OneStop.ReportPlayer.OSRFunctions.OSRRef(H13))</f>
        <v>#NAME?</v>
      </c>
      <c r="I12" s="4"/>
      <c r="J12" s="13"/>
      <c r="K12" s="4"/>
      <c r="L12" s="4" t="e">
        <f t="shared" ref="L12:L13" ca="1" si="0">+D12-H12</f>
        <v>#NAME?</v>
      </c>
      <c r="M12" s="4"/>
      <c r="N12" s="13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3"/>
      <c r="S12" s="4"/>
      <c r="T12" s="4" t="e">
        <f ca="1">SUM(_xll.OneStop.ReportPlayer.OSRFunctions.OSRRef(T13))</f>
        <v>#NAME?</v>
      </c>
      <c r="U12" s="4"/>
      <c r="V12" s="13"/>
      <c r="W12" s="4"/>
      <c r="X12" s="4" t="e">
        <f t="shared" ref="X12:X13" ca="1" si="2">+P12-T12</f>
        <v>#NAME?</v>
      </c>
      <c r="Y12" s="4"/>
      <c r="Z12" s="13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8</v>
      </c>
      <c r="C15" s="10"/>
      <c r="D15" s="4" t="e">
        <f ca="1">SUM(_xll.OneStop.ReportPlayer.OSRFunctions.OSRRef(D16))</f>
        <v>#NAME?</v>
      </c>
      <c r="E15" s="4"/>
      <c r="F15" s="13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3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3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3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3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3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6</v>
      </c>
      <c r="C18" s="29"/>
      <c r="D18" s="20" t="e">
        <f ca="1">D12-D15</f>
        <v>#NAME?</v>
      </c>
      <c r="E18" s="14"/>
      <c r="F18" s="22" t="e">
        <f ca="1">IF(D$12=0,0,D18/D$12)</f>
        <v>#NAME?</v>
      </c>
      <c r="G18" s="14"/>
      <c r="H18" s="20" t="e">
        <f ca="1">H12-H15</f>
        <v>#NAME?</v>
      </c>
      <c r="I18" s="14"/>
      <c r="J18" s="22" t="e">
        <f ca="1">IF(H$12=0,0,H18/H$12)</f>
        <v>#NAME?</v>
      </c>
      <c r="K18" s="16"/>
      <c r="L18" s="20" t="e">
        <f ca="1">+D18-H18</f>
        <v>#NAME?</v>
      </c>
      <c r="M18" s="16"/>
      <c r="N18" s="22" t="e">
        <f ca="1">IF(H18=0,0,L18/H18)</f>
        <v>#NAME?</v>
      </c>
      <c r="O18" s="28"/>
      <c r="P18" s="20" t="e">
        <f ca="1">P12-P15</f>
        <v>#NAME?</v>
      </c>
      <c r="Q18" s="14"/>
      <c r="R18" s="22" t="e">
        <f ca="1">IF(P$12=0,0,P18/P$12)</f>
        <v>#NAME?</v>
      </c>
      <c r="S18" s="14"/>
      <c r="T18" s="20" t="e">
        <f ca="1">T12-T15</f>
        <v>#NAME?</v>
      </c>
      <c r="U18" s="14"/>
      <c r="V18" s="22" t="e">
        <f ca="1">IF(T$12=0,0,T18/T$12)</f>
        <v>#NAME?</v>
      </c>
      <c r="W18" s="16"/>
      <c r="X18" s="20" t="e">
        <f ca="1">+P18-T18</f>
        <v>#NAME?</v>
      </c>
      <c r="Y18" s="16"/>
      <c r="Z18" s="22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9</v>
      </c>
      <c r="C20" s="10"/>
      <c r="D20" s="21" t="e">
        <f ca="1">SUM(_xll.OneStop.ReportPlayer.OSRFunctions.OSRRef(D22))</f>
        <v>#NAME?</v>
      </c>
      <c r="E20" s="21"/>
      <c r="F20" s="30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0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0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0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0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0" t="e">
        <f t="shared" ref="Z20:Z22" ca="1" si="19">IF(T20=0,0,X20/T20)</f>
        <v>#NAME?</v>
      </c>
    </row>
    <row r="21" spans="1:26" s="27" customFormat="1" outlineLevel="1" collapsed="1" x14ac:dyDescent="0.25">
      <c r="A21" s="25"/>
      <c r="B21" s="12" t="e">
        <f ca="1">CONCATENATE("     ",_xll.OneStop.ReportPlayer.OSRFunctions.OSRGet("d_Account","AccountCategory"))</f>
        <v>#NAME?</v>
      </c>
      <c r="C21" s="12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2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6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62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8" t="s">
        <v>0</v>
      </c>
      <c r="C24" s="10"/>
      <c r="D24" s="4" t="e">
        <f ca="1">SUM(_xll.OneStop.ReportPlayer.OSRFunctions.OSRRef(D25))</f>
        <v>#NAME?</v>
      </c>
      <c r="E24" s="4"/>
      <c r="F24" s="13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3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3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3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3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3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3</v>
      </c>
      <c r="C27" s="29"/>
      <c r="D27" s="20" t="e">
        <f ca="1">+D18-D20+D24</f>
        <v>#NAME?</v>
      </c>
      <c r="E27" s="14"/>
      <c r="F27" s="22" t="e">
        <f ca="1">IF(D$12=0,0,D27/D$12)</f>
        <v>#NAME?</v>
      </c>
      <c r="G27" s="14"/>
      <c r="H27" s="20" t="e">
        <f ca="1">+H18-H20+H24</f>
        <v>#NAME?</v>
      </c>
      <c r="I27" s="14"/>
      <c r="J27" s="22" t="e">
        <f ca="1">IF(H$12=0,0,H27/H$12)</f>
        <v>#NAME?</v>
      </c>
      <c r="K27" s="16"/>
      <c r="L27" s="20" t="e">
        <f ca="1">+D27-H27</f>
        <v>#NAME?</v>
      </c>
      <c r="M27" s="16"/>
      <c r="N27" s="22" t="e">
        <f ca="1">IF(H27=0,0,L27/H27)</f>
        <v>#NAME?</v>
      </c>
      <c r="O27" s="28"/>
      <c r="P27" s="20" t="e">
        <f ca="1">+P18-P20+P24</f>
        <v>#NAME?</v>
      </c>
      <c r="Q27" s="14"/>
      <c r="R27" s="22" t="e">
        <f ca="1">IF(P$12=0,0,P27/P$12)</f>
        <v>#NAME?</v>
      </c>
      <c r="S27" s="14"/>
      <c r="T27" s="20" t="e">
        <f ca="1">+T18-T20+T24</f>
        <v>#NAME?</v>
      </c>
      <c r="U27" s="14"/>
      <c r="V27" s="22" t="e">
        <f ca="1">IF(T$12=0,0,T27/T$12)</f>
        <v>#NAME?</v>
      </c>
      <c r="W27" s="16"/>
      <c r="X27" s="20" t="e">
        <f ca="1">+P27-T27</f>
        <v>#NAME?</v>
      </c>
      <c r="Y27" s="16"/>
      <c r="Z27" s="22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3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3" t="e">
        <f ca="1">IF(H$12=0,0,H29/H$12)</f>
        <v>#NAME?</v>
      </c>
      <c r="K29" s="4"/>
      <c r="L29" s="4" t="e">
        <f ca="1">+D29-H29</f>
        <v>#NAME?</v>
      </c>
      <c r="M29" s="4"/>
      <c r="N29" s="13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3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3" t="e">
        <f ca="1">IF(T$12=0,0,T29/T$12)</f>
        <v>#NAME?</v>
      </c>
      <c r="W29" s="4"/>
      <c r="X29" s="4" t="e">
        <f ca="1">+P29-T29</f>
        <v>#NAME?</v>
      </c>
      <c r="Y29" s="4"/>
      <c r="Z29" s="13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4</v>
      </c>
      <c r="C31" s="29"/>
      <c r="D31" s="35" t="e">
        <f ca="1">+D27-D29</f>
        <v>#NAME?</v>
      </c>
      <c r="E31" s="14"/>
      <c r="F31" s="32" t="e">
        <f ca="1">IF(D$12=0,0,D31/D$12)</f>
        <v>#NAME?</v>
      </c>
      <c r="G31" s="14"/>
      <c r="H31" s="35" t="e">
        <f ca="1">+H27-H29</f>
        <v>#NAME?</v>
      </c>
      <c r="I31" s="14"/>
      <c r="J31" s="32" t="e">
        <f ca="1">IF(H$12=0,0,H31/H$12)</f>
        <v>#NAME?</v>
      </c>
      <c r="K31" s="16"/>
      <c r="L31" s="35" t="e">
        <f ca="1">D31-H31</f>
        <v>#NAME?</v>
      </c>
      <c r="M31" s="16"/>
      <c r="N31" s="32" t="e">
        <f ca="1">IF(H31=0,0,L31/H31)</f>
        <v>#NAME?</v>
      </c>
      <c r="O31" s="28"/>
      <c r="P31" s="35" t="e">
        <f ca="1">+P27-P29</f>
        <v>#NAME?</v>
      </c>
      <c r="Q31" s="14"/>
      <c r="R31" s="32" t="e">
        <f ca="1">IF(P$12=0,0,P31/P$12)</f>
        <v>#NAME?</v>
      </c>
      <c r="S31" s="14"/>
      <c r="T31" s="35" t="e">
        <f ca="1">+T27-T29</f>
        <v>#NAME?</v>
      </c>
      <c r="U31" s="14"/>
      <c r="V31" s="32" t="e">
        <f ca="1">IF(T$12=0,0,T31/T$12)</f>
        <v>#NAME?</v>
      </c>
      <c r="W31" s="16"/>
      <c r="X31" s="35" t="e">
        <f ca="1">P31-T31</f>
        <v>#NAME?</v>
      </c>
      <c r="Y31" s="16"/>
      <c r="Z31" s="32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3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3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3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3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3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3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3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3" t="e">
        <f t="shared" ca="1" si="29"/>
        <v>#NAME?</v>
      </c>
      <c r="K34" s="4"/>
      <c r="L34" s="4" t="e">
        <f t="shared" ca="1" si="30"/>
        <v>#NAME?</v>
      </c>
      <c r="M34" s="4"/>
      <c r="N34" s="13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3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3" t="e">
        <f t="shared" ca="1" si="33"/>
        <v>#NAME?</v>
      </c>
      <c r="W34" s="4"/>
      <c r="X34" s="4" t="e">
        <f t="shared" ca="1" si="34"/>
        <v>#NAME?</v>
      </c>
      <c r="Y34" s="4"/>
      <c r="Z34" s="13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5</v>
      </c>
      <c r="C36" s="29"/>
      <c r="D36" s="34" t="e">
        <f ca="1">SUM(D31:D35)</f>
        <v>#NAME?</v>
      </c>
      <c r="E36" s="14"/>
      <c r="F36" s="31" t="e">
        <f ca="1">IF(D$12=0,0,D36/D$12)</f>
        <v>#NAME?</v>
      </c>
      <c r="G36" s="14"/>
      <c r="H36" s="34" t="e">
        <f ca="1">SUM(H31:H35)</f>
        <v>#NAME?</v>
      </c>
      <c r="I36" s="14"/>
      <c r="J36" s="31" t="e">
        <f ca="1">IF(H$12=0,0,H36/H$12)</f>
        <v>#NAME?</v>
      </c>
      <c r="K36" s="16"/>
      <c r="L36" s="34" t="e">
        <f ca="1">+D36-H36</f>
        <v>#NAME?</v>
      </c>
      <c r="M36" s="16"/>
      <c r="N36" s="31" t="e">
        <f ca="1">IF(H36=0,0,L36/H36)</f>
        <v>#NAME?</v>
      </c>
      <c r="O36" s="28"/>
      <c r="P36" s="34" t="e">
        <f ca="1">SUM(P31:P35)</f>
        <v>#NAME?</v>
      </c>
      <c r="Q36" s="14"/>
      <c r="R36" s="31" t="e">
        <f ca="1">IF(P$12=0,0,P36/P$12)</f>
        <v>#NAME?</v>
      </c>
      <c r="S36" s="14"/>
      <c r="T36" s="34" t="e">
        <f ca="1">SUM(T31:T35)</f>
        <v>#NAME?</v>
      </c>
      <c r="U36" s="14"/>
      <c r="V36" s="31" t="e">
        <f ca="1">IF(T$12=0,0,T36/T$12)</f>
        <v>#NAME?</v>
      </c>
      <c r="W36" s="16"/>
      <c r="X36" s="34" t="e">
        <f ca="1">+P36-T36</f>
        <v>#NAME?</v>
      </c>
      <c r="Y36" s="16"/>
      <c r="Z36" s="31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59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56" t="e">
        <f ca="1">_xll.OneStop.ReportPlayer.OSRFunctions.OSRGet("User","UserId")</f>
        <v>#NAME?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54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63" t="s">
        <v>13</v>
      </c>
    </row>
    <row r="3" spans="1:26" x14ac:dyDescent="0.25">
      <c r="D3" s="63" t="s">
        <v>296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61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63" t="e">
        <f ca="1">CONCATENATE("Period ",RIGHT(_xll.OneStop.ReportPlayer.OSRFunctions.OSRGet("Period","PeriodId"),2),", ",_xll.OneStop.ReportPlayer.OSRFunctions.OSRGet("Period","Year"))</f>
        <v>#NAME?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61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5" t="e">
        <f ca="1">_xll.OneStop.ReportPlayer.OSRFunctions.OSRGet("Period","PeriodEnd")</f>
        <v>#NAME?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61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51"/>
      <c r="C6" s="51"/>
      <c r="D6" s="23" t="s">
        <v>307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57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5" t="s">
        <v>294</v>
      </c>
      <c r="E9" s="15"/>
      <c r="F9" s="38"/>
      <c r="G9" s="15"/>
      <c r="H9" s="15"/>
      <c r="I9" s="15"/>
      <c r="J9" s="46"/>
      <c r="K9" s="15"/>
      <c r="L9" s="15"/>
      <c r="M9" s="15"/>
      <c r="N9" s="38"/>
      <c r="P9" s="15" t="s">
        <v>295</v>
      </c>
      <c r="Q9" s="15"/>
      <c r="R9" s="38"/>
      <c r="S9" s="15"/>
      <c r="T9" s="15"/>
      <c r="U9" s="15"/>
      <c r="V9" s="46"/>
      <c r="W9" s="15"/>
      <c r="X9" s="15"/>
      <c r="Y9" s="15"/>
      <c r="Z9" s="38"/>
    </row>
    <row r="10" spans="1:26" x14ac:dyDescent="0.25">
      <c r="A10" s="10"/>
      <c r="B10" s="55"/>
      <c r="C10" s="10"/>
      <c r="D10" s="43" t="s">
        <v>10</v>
      </c>
      <c r="E10" s="33"/>
      <c r="F10" s="40" t="s">
        <v>15</v>
      </c>
      <c r="G10" s="33"/>
      <c r="H10" s="47" t="s">
        <v>11</v>
      </c>
      <c r="I10" s="33"/>
      <c r="J10" s="45" t="s">
        <v>16</v>
      </c>
      <c r="K10" s="10"/>
      <c r="L10" s="43" t="s">
        <v>12</v>
      </c>
      <c r="M10" s="10"/>
      <c r="N10" s="40" t="s">
        <v>17</v>
      </c>
      <c r="O10" s="10"/>
      <c r="P10" s="53" t="s">
        <v>10</v>
      </c>
      <c r="Q10" s="33"/>
      <c r="R10" s="40" t="s">
        <v>15</v>
      </c>
      <c r="S10" s="33"/>
      <c r="T10" s="47" t="s">
        <v>11</v>
      </c>
      <c r="U10" s="33"/>
      <c r="V10" s="45" t="s">
        <v>16</v>
      </c>
      <c r="W10" s="10"/>
      <c r="X10" s="43" t="s">
        <v>12</v>
      </c>
      <c r="Y10" s="10"/>
      <c r="Z10" s="40" t="s">
        <v>17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 t="e">
        <f ca="1">SUM(_xll.OneStop.ReportPlayer.OSRFunctions.OSRRef(D13))</f>
        <v>#NAME?</v>
      </c>
      <c r="E12" s="4"/>
      <c r="F12" s="13"/>
      <c r="G12" s="4"/>
      <c r="H12" s="4" t="e">
        <f ca="1">SUM(_xll.OneStop.ReportPlayer.OSRFunctions.OSRRef(H13))</f>
        <v>#NAME?</v>
      </c>
      <c r="I12" s="4"/>
      <c r="J12" s="13"/>
      <c r="K12" s="4"/>
      <c r="L12" s="4" t="e">
        <f t="shared" ref="L12:L13" ca="1" si="0">+D12-H12</f>
        <v>#NAME?</v>
      </c>
      <c r="M12" s="4"/>
      <c r="N12" s="13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3"/>
      <c r="S12" s="4"/>
      <c r="T12" s="4" t="e">
        <f ca="1">SUM(_xll.OneStop.ReportPlayer.OSRFunctions.OSRRef(T13))</f>
        <v>#NAME?</v>
      </c>
      <c r="U12" s="4"/>
      <c r="V12" s="13"/>
      <c r="W12" s="4"/>
      <c r="X12" s="4" t="e">
        <f t="shared" ref="X12:X13" ca="1" si="2">+P12-T12</f>
        <v>#NAME?</v>
      </c>
      <c r="Y12" s="4"/>
      <c r="Z12" s="13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8</v>
      </c>
      <c r="C15" s="10"/>
      <c r="D15" s="4" t="e">
        <f ca="1">SUM(_xll.OneStop.ReportPlayer.OSRFunctions.OSRRef(D16))</f>
        <v>#NAME?</v>
      </c>
      <c r="E15" s="4"/>
      <c r="F15" s="13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3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3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3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3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3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6</v>
      </c>
      <c r="C18" s="29"/>
      <c r="D18" s="20" t="e">
        <f ca="1">D12-D15</f>
        <v>#NAME?</v>
      </c>
      <c r="E18" s="14"/>
      <c r="F18" s="22" t="e">
        <f ca="1">IF(D$12=0,0,D18/D$12)</f>
        <v>#NAME?</v>
      </c>
      <c r="G18" s="14"/>
      <c r="H18" s="20" t="e">
        <f ca="1">H12-H15</f>
        <v>#NAME?</v>
      </c>
      <c r="I18" s="14"/>
      <c r="J18" s="22" t="e">
        <f ca="1">IF(H$12=0,0,H18/H$12)</f>
        <v>#NAME?</v>
      </c>
      <c r="K18" s="16"/>
      <c r="L18" s="20" t="e">
        <f ca="1">+D18-H18</f>
        <v>#NAME?</v>
      </c>
      <c r="M18" s="16"/>
      <c r="N18" s="22" t="e">
        <f ca="1">IF(H18=0,0,L18/H18)</f>
        <v>#NAME?</v>
      </c>
      <c r="O18" s="28"/>
      <c r="P18" s="20" t="e">
        <f ca="1">P12-P15</f>
        <v>#NAME?</v>
      </c>
      <c r="Q18" s="14"/>
      <c r="R18" s="22" t="e">
        <f ca="1">IF(P$12=0,0,P18/P$12)</f>
        <v>#NAME?</v>
      </c>
      <c r="S18" s="14"/>
      <c r="T18" s="20" t="e">
        <f ca="1">T12-T15</f>
        <v>#NAME?</v>
      </c>
      <c r="U18" s="14"/>
      <c r="V18" s="22" t="e">
        <f ca="1">IF(T$12=0,0,T18/T$12)</f>
        <v>#NAME?</v>
      </c>
      <c r="W18" s="16"/>
      <c r="X18" s="20" t="e">
        <f ca="1">+P18-T18</f>
        <v>#NAME?</v>
      </c>
      <c r="Y18" s="16"/>
      <c r="Z18" s="22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9</v>
      </c>
      <c r="C20" s="10"/>
      <c r="D20" s="21" t="e">
        <f ca="1">SUM(_xll.OneStop.ReportPlayer.OSRFunctions.OSRRef(D22))</f>
        <v>#NAME?</v>
      </c>
      <c r="E20" s="21"/>
      <c r="F20" s="30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0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0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0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0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0" t="e">
        <f t="shared" ref="Z20:Z22" ca="1" si="19">IF(T20=0,0,X20/T20)</f>
        <v>#NAME?</v>
      </c>
    </row>
    <row r="21" spans="1:26" s="27" customFormat="1" outlineLevel="1" collapsed="1" x14ac:dyDescent="0.25">
      <c r="A21" s="25"/>
      <c r="B21" s="12" t="e">
        <f ca="1">CONCATENATE("     ",_xll.OneStop.ReportPlayer.OSRFunctions.OSRGet("d_Account","AccountCategory"))</f>
        <v>#NAME?</v>
      </c>
      <c r="C21" s="12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2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6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62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8" t="s">
        <v>0</v>
      </c>
      <c r="C24" s="10"/>
      <c r="D24" s="4" t="e">
        <f ca="1">SUM(_xll.OneStop.ReportPlayer.OSRFunctions.OSRRef(D25))</f>
        <v>#NAME?</v>
      </c>
      <c r="E24" s="4"/>
      <c r="F24" s="13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3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3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3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3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3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3</v>
      </c>
      <c r="C27" s="29"/>
      <c r="D27" s="20" t="e">
        <f ca="1">+D18-D20+D24</f>
        <v>#NAME?</v>
      </c>
      <c r="E27" s="14"/>
      <c r="F27" s="22" t="e">
        <f ca="1">IF(D$12=0,0,D27/D$12)</f>
        <v>#NAME?</v>
      </c>
      <c r="G27" s="14"/>
      <c r="H27" s="20" t="e">
        <f ca="1">+H18-H20+H24</f>
        <v>#NAME?</v>
      </c>
      <c r="I27" s="14"/>
      <c r="J27" s="22" t="e">
        <f ca="1">IF(H$12=0,0,H27/H$12)</f>
        <v>#NAME?</v>
      </c>
      <c r="K27" s="16"/>
      <c r="L27" s="20" t="e">
        <f ca="1">+D27-H27</f>
        <v>#NAME?</v>
      </c>
      <c r="M27" s="16"/>
      <c r="N27" s="22" t="e">
        <f ca="1">IF(H27=0,0,L27/H27)</f>
        <v>#NAME?</v>
      </c>
      <c r="O27" s="28"/>
      <c r="P27" s="20" t="e">
        <f ca="1">+P18-P20+P24</f>
        <v>#NAME?</v>
      </c>
      <c r="Q27" s="14"/>
      <c r="R27" s="22" t="e">
        <f ca="1">IF(P$12=0,0,P27/P$12)</f>
        <v>#NAME?</v>
      </c>
      <c r="S27" s="14"/>
      <c r="T27" s="20" t="e">
        <f ca="1">+T18-T20+T24</f>
        <v>#NAME?</v>
      </c>
      <c r="U27" s="14"/>
      <c r="V27" s="22" t="e">
        <f ca="1">IF(T$12=0,0,T27/T$12)</f>
        <v>#NAME?</v>
      </c>
      <c r="W27" s="16"/>
      <c r="X27" s="20" t="e">
        <f ca="1">+P27-T27</f>
        <v>#NAME?</v>
      </c>
      <c r="Y27" s="16"/>
      <c r="Z27" s="22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3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3" t="e">
        <f ca="1">IF(H$12=0,0,H29/H$12)</f>
        <v>#NAME?</v>
      </c>
      <c r="K29" s="4"/>
      <c r="L29" s="4" t="e">
        <f ca="1">+D29-H29</f>
        <v>#NAME?</v>
      </c>
      <c r="M29" s="4"/>
      <c r="N29" s="13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3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3" t="e">
        <f ca="1">IF(T$12=0,0,T29/T$12)</f>
        <v>#NAME?</v>
      </c>
      <c r="W29" s="4"/>
      <c r="X29" s="4" t="e">
        <f ca="1">+P29-T29</f>
        <v>#NAME?</v>
      </c>
      <c r="Y29" s="4"/>
      <c r="Z29" s="13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4</v>
      </c>
      <c r="C31" s="29"/>
      <c r="D31" s="35" t="e">
        <f ca="1">+D27-D29</f>
        <v>#NAME?</v>
      </c>
      <c r="E31" s="14"/>
      <c r="F31" s="32" t="e">
        <f ca="1">IF(D$12=0,0,D31/D$12)</f>
        <v>#NAME?</v>
      </c>
      <c r="G31" s="14"/>
      <c r="H31" s="35" t="e">
        <f ca="1">+H27-H29</f>
        <v>#NAME?</v>
      </c>
      <c r="I31" s="14"/>
      <c r="J31" s="32" t="e">
        <f ca="1">IF(H$12=0,0,H31/H$12)</f>
        <v>#NAME?</v>
      </c>
      <c r="K31" s="16"/>
      <c r="L31" s="35" t="e">
        <f ca="1">D31-H31</f>
        <v>#NAME?</v>
      </c>
      <c r="M31" s="16"/>
      <c r="N31" s="32" t="e">
        <f ca="1">IF(H31=0,0,L31/H31)</f>
        <v>#NAME?</v>
      </c>
      <c r="O31" s="28"/>
      <c r="P31" s="35" t="e">
        <f ca="1">+P27-P29</f>
        <v>#NAME?</v>
      </c>
      <c r="Q31" s="14"/>
      <c r="R31" s="32" t="e">
        <f ca="1">IF(P$12=0,0,P31/P$12)</f>
        <v>#NAME?</v>
      </c>
      <c r="S31" s="14"/>
      <c r="T31" s="35" t="e">
        <f ca="1">+T27-T29</f>
        <v>#NAME?</v>
      </c>
      <c r="U31" s="14"/>
      <c r="V31" s="32" t="e">
        <f ca="1">IF(T$12=0,0,T31/T$12)</f>
        <v>#NAME?</v>
      </c>
      <c r="W31" s="16"/>
      <c r="X31" s="35" t="e">
        <f ca="1">P31-T31</f>
        <v>#NAME?</v>
      </c>
      <c r="Y31" s="16"/>
      <c r="Z31" s="32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3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3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3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3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3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3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3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3" t="e">
        <f t="shared" ca="1" si="29"/>
        <v>#NAME?</v>
      </c>
      <c r="K34" s="4"/>
      <c r="L34" s="4" t="e">
        <f t="shared" ca="1" si="30"/>
        <v>#NAME?</v>
      </c>
      <c r="M34" s="4"/>
      <c r="N34" s="13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3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3" t="e">
        <f t="shared" ca="1" si="33"/>
        <v>#NAME?</v>
      </c>
      <c r="W34" s="4"/>
      <c r="X34" s="4" t="e">
        <f t="shared" ca="1" si="34"/>
        <v>#NAME?</v>
      </c>
      <c r="Y34" s="4"/>
      <c r="Z34" s="13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5</v>
      </c>
      <c r="C36" s="29"/>
      <c r="D36" s="34" t="e">
        <f ca="1">SUM(D31:D35)</f>
        <v>#NAME?</v>
      </c>
      <c r="E36" s="14"/>
      <c r="F36" s="31" t="e">
        <f ca="1">IF(D$12=0,0,D36/D$12)</f>
        <v>#NAME?</v>
      </c>
      <c r="G36" s="14"/>
      <c r="H36" s="34" t="e">
        <f ca="1">SUM(H31:H35)</f>
        <v>#NAME?</v>
      </c>
      <c r="I36" s="14"/>
      <c r="J36" s="31" t="e">
        <f ca="1">IF(H$12=0,0,H36/H$12)</f>
        <v>#NAME?</v>
      </c>
      <c r="K36" s="16"/>
      <c r="L36" s="34" t="e">
        <f ca="1">+D36-H36</f>
        <v>#NAME?</v>
      </c>
      <c r="M36" s="16"/>
      <c r="N36" s="31" t="e">
        <f ca="1">IF(H36=0,0,L36/H36)</f>
        <v>#NAME?</v>
      </c>
      <c r="O36" s="28"/>
      <c r="P36" s="34" t="e">
        <f ca="1">SUM(P31:P35)</f>
        <v>#NAME?</v>
      </c>
      <c r="Q36" s="14"/>
      <c r="R36" s="31" t="e">
        <f ca="1">IF(P$12=0,0,P36/P$12)</f>
        <v>#NAME?</v>
      </c>
      <c r="S36" s="14"/>
      <c r="T36" s="34" t="e">
        <f ca="1">SUM(T31:T35)</f>
        <v>#NAME?</v>
      </c>
      <c r="U36" s="14"/>
      <c r="V36" s="31" t="e">
        <f ca="1">IF(T$12=0,0,T36/T$12)</f>
        <v>#NAME?</v>
      </c>
      <c r="W36" s="16"/>
      <c r="X36" s="34" t="e">
        <f ca="1">+P36-T36</f>
        <v>#NAME?</v>
      </c>
      <c r="Y36" s="16"/>
      <c r="Z36" s="31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59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56" t="e">
        <f ca="1">_xll.OneStop.ReportPlayer.OSRFunctions.OSRGet("User","UserId")</f>
        <v>#NAME?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54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63" t="s">
        <v>13</v>
      </c>
    </row>
    <row r="3" spans="1:26" x14ac:dyDescent="0.25">
      <c r="D3" s="63" t="s">
        <v>296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61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63" t="e">
        <f ca="1">CONCATENATE("Period ",RIGHT(_xll.OneStop.ReportPlayer.OSRFunctions.OSRGet("Period","PeriodId"),2),", ",_xll.OneStop.ReportPlayer.OSRFunctions.OSRGet("Period","Year"))</f>
        <v>#NAME?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61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5" t="e">
        <f ca="1">_xll.OneStop.ReportPlayer.OSRFunctions.OSRGet("Period","PeriodEnd")</f>
        <v>#NAME?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61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51"/>
      <c r="C6" s="51"/>
      <c r="D6" s="23" t="s">
        <v>307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57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5" t="s">
        <v>294</v>
      </c>
      <c r="E9" s="15"/>
      <c r="F9" s="38"/>
      <c r="G9" s="15"/>
      <c r="H9" s="15"/>
      <c r="I9" s="15"/>
      <c r="J9" s="46"/>
      <c r="K9" s="15"/>
      <c r="L9" s="15"/>
      <c r="M9" s="15"/>
      <c r="N9" s="38"/>
      <c r="P9" s="15" t="s">
        <v>295</v>
      </c>
      <c r="Q9" s="15"/>
      <c r="R9" s="38"/>
      <c r="S9" s="15"/>
      <c r="T9" s="15"/>
      <c r="U9" s="15"/>
      <c r="V9" s="46"/>
      <c r="W9" s="15"/>
      <c r="X9" s="15"/>
      <c r="Y9" s="15"/>
      <c r="Z9" s="38"/>
    </row>
    <row r="10" spans="1:26" x14ac:dyDescent="0.25">
      <c r="A10" s="10"/>
      <c r="B10" s="55"/>
      <c r="C10" s="10"/>
      <c r="D10" s="43" t="s">
        <v>10</v>
      </c>
      <c r="E10" s="33"/>
      <c r="F10" s="40" t="s">
        <v>15</v>
      </c>
      <c r="G10" s="33"/>
      <c r="H10" s="47" t="s">
        <v>11</v>
      </c>
      <c r="I10" s="33"/>
      <c r="J10" s="45" t="s">
        <v>16</v>
      </c>
      <c r="K10" s="10"/>
      <c r="L10" s="43" t="s">
        <v>12</v>
      </c>
      <c r="M10" s="10"/>
      <c r="N10" s="40" t="s">
        <v>17</v>
      </c>
      <c r="O10" s="10"/>
      <c r="P10" s="53" t="s">
        <v>10</v>
      </c>
      <c r="Q10" s="33"/>
      <c r="R10" s="40" t="s">
        <v>15</v>
      </c>
      <c r="S10" s="33"/>
      <c r="T10" s="47" t="s">
        <v>11</v>
      </c>
      <c r="U10" s="33"/>
      <c r="V10" s="45" t="s">
        <v>16</v>
      </c>
      <c r="W10" s="10"/>
      <c r="X10" s="43" t="s">
        <v>12</v>
      </c>
      <c r="Y10" s="10"/>
      <c r="Z10" s="40" t="s">
        <v>17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 t="e">
        <f ca="1">SUM(_xll.OneStop.ReportPlayer.OSRFunctions.OSRRef(D13))</f>
        <v>#NAME?</v>
      </c>
      <c r="E12" s="4"/>
      <c r="F12" s="13"/>
      <c r="G12" s="4"/>
      <c r="H12" s="4" t="e">
        <f ca="1">SUM(_xll.OneStop.ReportPlayer.OSRFunctions.OSRRef(H13))</f>
        <v>#NAME?</v>
      </c>
      <c r="I12" s="4"/>
      <c r="J12" s="13"/>
      <c r="K12" s="4"/>
      <c r="L12" s="4" t="e">
        <f t="shared" ref="L12:L13" ca="1" si="0">+D12-H12</f>
        <v>#NAME?</v>
      </c>
      <c r="M12" s="4"/>
      <c r="N12" s="13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3"/>
      <c r="S12" s="4"/>
      <c r="T12" s="4" t="e">
        <f ca="1">SUM(_xll.OneStop.ReportPlayer.OSRFunctions.OSRRef(T13))</f>
        <v>#NAME?</v>
      </c>
      <c r="U12" s="4"/>
      <c r="V12" s="13"/>
      <c r="W12" s="4"/>
      <c r="X12" s="4" t="e">
        <f t="shared" ref="X12:X13" ca="1" si="2">+P12-T12</f>
        <v>#NAME?</v>
      </c>
      <c r="Y12" s="4"/>
      <c r="Z12" s="13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8</v>
      </c>
      <c r="C15" s="10"/>
      <c r="D15" s="4" t="e">
        <f ca="1">SUM(_xll.OneStop.ReportPlayer.OSRFunctions.OSRRef(D16))</f>
        <v>#NAME?</v>
      </c>
      <c r="E15" s="4"/>
      <c r="F15" s="13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3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3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3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3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3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6</v>
      </c>
      <c r="C18" s="29"/>
      <c r="D18" s="20" t="e">
        <f ca="1">D12-D15</f>
        <v>#NAME?</v>
      </c>
      <c r="E18" s="14"/>
      <c r="F18" s="22" t="e">
        <f ca="1">IF(D$12=0,0,D18/D$12)</f>
        <v>#NAME?</v>
      </c>
      <c r="G18" s="14"/>
      <c r="H18" s="20" t="e">
        <f ca="1">H12-H15</f>
        <v>#NAME?</v>
      </c>
      <c r="I18" s="14"/>
      <c r="J18" s="22" t="e">
        <f ca="1">IF(H$12=0,0,H18/H$12)</f>
        <v>#NAME?</v>
      </c>
      <c r="K18" s="16"/>
      <c r="L18" s="20" t="e">
        <f ca="1">+D18-H18</f>
        <v>#NAME?</v>
      </c>
      <c r="M18" s="16"/>
      <c r="N18" s="22" t="e">
        <f ca="1">IF(H18=0,0,L18/H18)</f>
        <v>#NAME?</v>
      </c>
      <c r="O18" s="28"/>
      <c r="P18" s="20" t="e">
        <f ca="1">P12-P15</f>
        <v>#NAME?</v>
      </c>
      <c r="Q18" s="14"/>
      <c r="R18" s="22" t="e">
        <f ca="1">IF(P$12=0,0,P18/P$12)</f>
        <v>#NAME?</v>
      </c>
      <c r="S18" s="14"/>
      <c r="T18" s="20" t="e">
        <f ca="1">T12-T15</f>
        <v>#NAME?</v>
      </c>
      <c r="U18" s="14"/>
      <c r="V18" s="22" t="e">
        <f ca="1">IF(T$12=0,0,T18/T$12)</f>
        <v>#NAME?</v>
      </c>
      <c r="W18" s="16"/>
      <c r="X18" s="20" t="e">
        <f ca="1">+P18-T18</f>
        <v>#NAME?</v>
      </c>
      <c r="Y18" s="16"/>
      <c r="Z18" s="22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9</v>
      </c>
      <c r="C20" s="10"/>
      <c r="D20" s="21" t="e">
        <f ca="1">SUM(_xll.OneStop.ReportPlayer.OSRFunctions.OSRRef(D22))</f>
        <v>#NAME?</v>
      </c>
      <c r="E20" s="21"/>
      <c r="F20" s="30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0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0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0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0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0" t="e">
        <f t="shared" ref="Z20:Z22" ca="1" si="19">IF(T20=0,0,X20/T20)</f>
        <v>#NAME?</v>
      </c>
    </row>
    <row r="21" spans="1:26" s="27" customFormat="1" outlineLevel="1" collapsed="1" x14ac:dyDescent="0.25">
      <c r="A21" s="25"/>
      <c r="B21" s="12" t="e">
        <f ca="1">CONCATENATE("     ",_xll.OneStop.ReportPlayer.OSRFunctions.OSRGet("d_Account","AccountCategory"))</f>
        <v>#NAME?</v>
      </c>
      <c r="C21" s="12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2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6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62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8" t="s">
        <v>0</v>
      </c>
      <c r="C24" s="10"/>
      <c r="D24" s="4" t="e">
        <f ca="1">SUM(_xll.OneStop.ReportPlayer.OSRFunctions.OSRRef(D25))</f>
        <v>#NAME?</v>
      </c>
      <c r="E24" s="4"/>
      <c r="F24" s="13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3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3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3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3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3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3</v>
      </c>
      <c r="C27" s="29"/>
      <c r="D27" s="20" t="e">
        <f ca="1">+D18-D20+D24</f>
        <v>#NAME?</v>
      </c>
      <c r="E27" s="14"/>
      <c r="F27" s="22" t="e">
        <f ca="1">IF(D$12=0,0,D27/D$12)</f>
        <v>#NAME?</v>
      </c>
      <c r="G27" s="14"/>
      <c r="H27" s="20" t="e">
        <f ca="1">+H18-H20+H24</f>
        <v>#NAME?</v>
      </c>
      <c r="I27" s="14"/>
      <c r="J27" s="22" t="e">
        <f ca="1">IF(H$12=0,0,H27/H$12)</f>
        <v>#NAME?</v>
      </c>
      <c r="K27" s="16"/>
      <c r="L27" s="20" t="e">
        <f ca="1">+D27-H27</f>
        <v>#NAME?</v>
      </c>
      <c r="M27" s="16"/>
      <c r="N27" s="22" t="e">
        <f ca="1">IF(H27=0,0,L27/H27)</f>
        <v>#NAME?</v>
      </c>
      <c r="O27" s="28"/>
      <c r="P27" s="20" t="e">
        <f ca="1">+P18-P20+P24</f>
        <v>#NAME?</v>
      </c>
      <c r="Q27" s="14"/>
      <c r="R27" s="22" t="e">
        <f ca="1">IF(P$12=0,0,P27/P$12)</f>
        <v>#NAME?</v>
      </c>
      <c r="S27" s="14"/>
      <c r="T27" s="20" t="e">
        <f ca="1">+T18-T20+T24</f>
        <v>#NAME?</v>
      </c>
      <c r="U27" s="14"/>
      <c r="V27" s="22" t="e">
        <f ca="1">IF(T$12=0,0,T27/T$12)</f>
        <v>#NAME?</v>
      </c>
      <c r="W27" s="16"/>
      <c r="X27" s="20" t="e">
        <f ca="1">+P27-T27</f>
        <v>#NAME?</v>
      </c>
      <c r="Y27" s="16"/>
      <c r="Z27" s="22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3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3" t="e">
        <f ca="1">IF(H$12=0,0,H29/H$12)</f>
        <v>#NAME?</v>
      </c>
      <c r="K29" s="4"/>
      <c r="L29" s="4" t="e">
        <f ca="1">+D29-H29</f>
        <v>#NAME?</v>
      </c>
      <c r="M29" s="4"/>
      <c r="N29" s="13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3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3" t="e">
        <f ca="1">IF(T$12=0,0,T29/T$12)</f>
        <v>#NAME?</v>
      </c>
      <c r="W29" s="4"/>
      <c r="X29" s="4" t="e">
        <f ca="1">+P29-T29</f>
        <v>#NAME?</v>
      </c>
      <c r="Y29" s="4"/>
      <c r="Z29" s="13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4</v>
      </c>
      <c r="C31" s="29"/>
      <c r="D31" s="35" t="e">
        <f ca="1">+D27-D29</f>
        <v>#NAME?</v>
      </c>
      <c r="E31" s="14"/>
      <c r="F31" s="32" t="e">
        <f ca="1">IF(D$12=0,0,D31/D$12)</f>
        <v>#NAME?</v>
      </c>
      <c r="G31" s="14"/>
      <c r="H31" s="35" t="e">
        <f ca="1">+H27-H29</f>
        <v>#NAME?</v>
      </c>
      <c r="I31" s="14"/>
      <c r="J31" s="32" t="e">
        <f ca="1">IF(H$12=0,0,H31/H$12)</f>
        <v>#NAME?</v>
      </c>
      <c r="K31" s="16"/>
      <c r="L31" s="35" t="e">
        <f ca="1">D31-H31</f>
        <v>#NAME?</v>
      </c>
      <c r="M31" s="16"/>
      <c r="N31" s="32" t="e">
        <f ca="1">IF(H31=0,0,L31/H31)</f>
        <v>#NAME?</v>
      </c>
      <c r="O31" s="28"/>
      <c r="P31" s="35" t="e">
        <f ca="1">+P27-P29</f>
        <v>#NAME?</v>
      </c>
      <c r="Q31" s="14"/>
      <c r="R31" s="32" t="e">
        <f ca="1">IF(P$12=0,0,P31/P$12)</f>
        <v>#NAME?</v>
      </c>
      <c r="S31" s="14"/>
      <c r="T31" s="35" t="e">
        <f ca="1">+T27-T29</f>
        <v>#NAME?</v>
      </c>
      <c r="U31" s="14"/>
      <c r="V31" s="32" t="e">
        <f ca="1">IF(T$12=0,0,T31/T$12)</f>
        <v>#NAME?</v>
      </c>
      <c r="W31" s="16"/>
      <c r="X31" s="35" t="e">
        <f ca="1">P31-T31</f>
        <v>#NAME?</v>
      </c>
      <c r="Y31" s="16"/>
      <c r="Z31" s="32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3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3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3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3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3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3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3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3" t="e">
        <f t="shared" ca="1" si="29"/>
        <v>#NAME?</v>
      </c>
      <c r="K34" s="4"/>
      <c r="L34" s="4" t="e">
        <f t="shared" ca="1" si="30"/>
        <v>#NAME?</v>
      </c>
      <c r="M34" s="4"/>
      <c r="N34" s="13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3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3" t="e">
        <f t="shared" ca="1" si="33"/>
        <v>#NAME?</v>
      </c>
      <c r="W34" s="4"/>
      <c r="X34" s="4" t="e">
        <f t="shared" ca="1" si="34"/>
        <v>#NAME?</v>
      </c>
      <c r="Y34" s="4"/>
      <c r="Z34" s="13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5</v>
      </c>
      <c r="C36" s="29"/>
      <c r="D36" s="34" t="e">
        <f ca="1">SUM(D31:D35)</f>
        <v>#NAME?</v>
      </c>
      <c r="E36" s="14"/>
      <c r="F36" s="31" t="e">
        <f ca="1">IF(D$12=0,0,D36/D$12)</f>
        <v>#NAME?</v>
      </c>
      <c r="G36" s="14"/>
      <c r="H36" s="34" t="e">
        <f ca="1">SUM(H31:H35)</f>
        <v>#NAME?</v>
      </c>
      <c r="I36" s="14"/>
      <c r="J36" s="31" t="e">
        <f ca="1">IF(H$12=0,0,H36/H$12)</f>
        <v>#NAME?</v>
      </c>
      <c r="K36" s="16"/>
      <c r="L36" s="34" t="e">
        <f ca="1">+D36-H36</f>
        <v>#NAME?</v>
      </c>
      <c r="M36" s="16"/>
      <c r="N36" s="31" t="e">
        <f ca="1">IF(H36=0,0,L36/H36)</f>
        <v>#NAME?</v>
      </c>
      <c r="O36" s="28"/>
      <c r="P36" s="34" t="e">
        <f ca="1">SUM(P31:P35)</f>
        <v>#NAME?</v>
      </c>
      <c r="Q36" s="14"/>
      <c r="R36" s="31" t="e">
        <f ca="1">IF(P$12=0,0,P36/P$12)</f>
        <v>#NAME?</v>
      </c>
      <c r="S36" s="14"/>
      <c r="T36" s="34" t="e">
        <f ca="1">SUM(T31:T35)</f>
        <v>#NAME?</v>
      </c>
      <c r="U36" s="14"/>
      <c r="V36" s="31" t="e">
        <f ca="1">IF(T$12=0,0,T36/T$12)</f>
        <v>#NAME?</v>
      </c>
      <c r="W36" s="16"/>
      <c r="X36" s="34" t="e">
        <f ca="1">+P36-T36</f>
        <v>#NAME?</v>
      </c>
      <c r="Y36" s="16"/>
      <c r="Z36" s="31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59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56" t="e">
        <f ca="1">_xll.OneStop.ReportPlayer.OSRFunctions.OSRGet("User","UserId")</f>
        <v>#NAME?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54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63" t="s">
        <v>13</v>
      </c>
    </row>
    <row r="3" spans="1:26" x14ac:dyDescent="0.25">
      <c r="D3" s="63" t="s">
        <v>296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61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63" t="e">
        <f ca="1">CONCATENATE("Period ",RIGHT(_xll.OneStop.ReportPlayer.OSRFunctions.OSRGet("Period","PeriodId"),2),", ",_xll.OneStop.ReportPlayer.OSRFunctions.OSRGet("Period","Year"))</f>
        <v>#NAME?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61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5" t="e">
        <f ca="1">_xll.OneStop.ReportPlayer.OSRFunctions.OSRGet("Period","PeriodEnd")</f>
        <v>#NAME?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61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51"/>
      <c r="C6" s="51"/>
      <c r="D6" s="23" t="s">
        <v>306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57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5" t="s">
        <v>294</v>
      </c>
      <c r="E9" s="15"/>
      <c r="F9" s="38"/>
      <c r="G9" s="15"/>
      <c r="H9" s="15"/>
      <c r="I9" s="15"/>
      <c r="J9" s="46"/>
      <c r="K9" s="15"/>
      <c r="L9" s="15"/>
      <c r="M9" s="15"/>
      <c r="N9" s="38"/>
      <c r="P9" s="15" t="s">
        <v>295</v>
      </c>
      <c r="Q9" s="15"/>
      <c r="R9" s="38"/>
      <c r="S9" s="15"/>
      <c r="T9" s="15"/>
      <c r="U9" s="15"/>
      <c r="V9" s="46"/>
      <c r="W9" s="15"/>
      <c r="X9" s="15"/>
      <c r="Y9" s="15"/>
      <c r="Z9" s="38"/>
    </row>
    <row r="10" spans="1:26" x14ac:dyDescent="0.25">
      <c r="A10" s="10"/>
      <c r="B10" s="55"/>
      <c r="C10" s="10"/>
      <c r="D10" s="43" t="s">
        <v>10</v>
      </c>
      <c r="E10" s="33"/>
      <c r="F10" s="40" t="s">
        <v>15</v>
      </c>
      <c r="G10" s="33"/>
      <c r="H10" s="47" t="s">
        <v>11</v>
      </c>
      <c r="I10" s="33"/>
      <c r="J10" s="45" t="s">
        <v>16</v>
      </c>
      <c r="K10" s="10"/>
      <c r="L10" s="43" t="s">
        <v>12</v>
      </c>
      <c r="M10" s="10"/>
      <c r="N10" s="40" t="s">
        <v>17</v>
      </c>
      <c r="O10" s="10"/>
      <c r="P10" s="53" t="s">
        <v>10</v>
      </c>
      <c r="Q10" s="33"/>
      <c r="R10" s="40" t="s">
        <v>15</v>
      </c>
      <c r="S10" s="33"/>
      <c r="T10" s="47" t="s">
        <v>11</v>
      </c>
      <c r="U10" s="33"/>
      <c r="V10" s="45" t="s">
        <v>16</v>
      </c>
      <c r="W10" s="10"/>
      <c r="X10" s="43" t="s">
        <v>12</v>
      </c>
      <c r="Y10" s="10"/>
      <c r="Z10" s="40" t="s">
        <v>17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 t="e">
        <f ca="1">SUM(_xll.OneStop.ReportPlayer.OSRFunctions.OSRRef(D13))</f>
        <v>#NAME?</v>
      </c>
      <c r="E12" s="4"/>
      <c r="F12" s="13"/>
      <c r="G12" s="4"/>
      <c r="H12" s="4" t="e">
        <f ca="1">SUM(_xll.OneStop.ReportPlayer.OSRFunctions.OSRRef(H13))</f>
        <v>#NAME?</v>
      </c>
      <c r="I12" s="4"/>
      <c r="J12" s="13"/>
      <c r="K12" s="4"/>
      <c r="L12" s="4" t="e">
        <f t="shared" ref="L12:L13" ca="1" si="0">+D12-H12</f>
        <v>#NAME?</v>
      </c>
      <c r="M12" s="4"/>
      <c r="N12" s="13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3"/>
      <c r="S12" s="4"/>
      <c r="T12" s="4" t="e">
        <f ca="1">SUM(_xll.OneStop.ReportPlayer.OSRFunctions.OSRRef(T13))</f>
        <v>#NAME?</v>
      </c>
      <c r="U12" s="4"/>
      <c r="V12" s="13"/>
      <c r="W12" s="4"/>
      <c r="X12" s="4" t="e">
        <f t="shared" ref="X12:X13" ca="1" si="2">+P12-T12</f>
        <v>#NAME?</v>
      </c>
      <c r="Y12" s="4"/>
      <c r="Z12" s="13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8</v>
      </c>
      <c r="C15" s="10"/>
      <c r="D15" s="4" t="e">
        <f ca="1">SUM(_xll.OneStop.ReportPlayer.OSRFunctions.OSRRef(D16))</f>
        <v>#NAME?</v>
      </c>
      <c r="E15" s="4"/>
      <c r="F15" s="13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3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3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3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3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3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6</v>
      </c>
      <c r="C18" s="29"/>
      <c r="D18" s="20" t="e">
        <f ca="1">D12-D15</f>
        <v>#NAME?</v>
      </c>
      <c r="E18" s="14"/>
      <c r="F18" s="22" t="e">
        <f ca="1">IF(D$12=0,0,D18/D$12)</f>
        <v>#NAME?</v>
      </c>
      <c r="G18" s="14"/>
      <c r="H18" s="20" t="e">
        <f ca="1">H12-H15</f>
        <v>#NAME?</v>
      </c>
      <c r="I18" s="14"/>
      <c r="J18" s="22" t="e">
        <f ca="1">IF(H$12=0,0,H18/H$12)</f>
        <v>#NAME?</v>
      </c>
      <c r="K18" s="16"/>
      <c r="L18" s="20" t="e">
        <f ca="1">+D18-H18</f>
        <v>#NAME?</v>
      </c>
      <c r="M18" s="16"/>
      <c r="N18" s="22" t="e">
        <f ca="1">IF(H18=0,0,L18/H18)</f>
        <v>#NAME?</v>
      </c>
      <c r="O18" s="28"/>
      <c r="P18" s="20" t="e">
        <f ca="1">P12-P15</f>
        <v>#NAME?</v>
      </c>
      <c r="Q18" s="14"/>
      <c r="R18" s="22" t="e">
        <f ca="1">IF(P$12=0,0,P18/P$12)</f>
        <v>#NAME?</v>
      </c>
      <c r="S18" s="14"/>
      <c r="T18" s="20" t="e">
        <f ca="1">T12-T15</f>
        <v>#NAME?</v>
      </c>
      <c r="U18" s="14"/>
      <c r="V18" s="22" t="e">
        <f ca="1">IF(T$12=0,0,T18/T$12)</f>
        <v>#NAME?</v>
      </c>
      <c r="W18" s="16"/>
      <c r="X18" s="20" t="e">
        <f ca="1">+P18-T18</f>
        <v>#NAME?</v>
      </c>
      <c r="Y18" s="16"/>
      <c r="Z18" s="22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9</v>
      </c>
      <c r="C20" s="10"/>
      <c r="D20" s="21" t="e">
        <f ca="1">SUM(_xll.OneStop.ReportPlayer.OSRFunctions.OSRRef(D22))</f>
        <v>#NAME?</v>
      </c>
      <c r="E20" s="21"/>
      <c r="F20" s="30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0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0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0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0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0" t="e">
        <f t="shared" ref="Z20:Z22" ca="1" si="19">IF(T20=0,0,X20/T20)</f>
        <v>#NAME?</v>
      </c>
    </row>
    <row r="21" spans="1:26" s="27" customFormat="1" outlineLevel="1" collapsed="1" x14ac:dyDescent="0.25">
      <c r="A21" s="25"/>
      <c r="B21" s="12" t="e">
        <f ca="1">CONCATENATE("     ",_xll.OneStop.ReportPlayer.OSRFunctions.OSRGet("d_Account","AccountCategory"))</f>
        <v>#NAME?</v>
      </c>
      <c r="C21" s="12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2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6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62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8" t="s">
        <v>0</v>
      </c>
      <c r="C24" s="10"/>
      <c r="D24" s="4" t="e">
        <f ca="1">SUM(_xll.OneStop.ReportPlayer.OSRFunctions.OSRRef(D25))</f>
        <v>#NAME?</v>
      </c>
      <c r="E24" s="4"/>
      <c r="F24" s="13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3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3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3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3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3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3</v>
      </c>
      <c r="C27" s="29"/>
      <c r="D27" s="20" t="e">
        <f ca="1">+D18-D20+D24</f>
        <v>#NAME?</v>
      </c>
      <c r="E27" s="14"/>
      <c r="F27" s="22" t="e">
        <f ca="1">IF(D$12=0,0,D27/D$12)</f>
        <v>#NAME?</v>
      </c>
      <c r="G27" s="14"/>
      <c r="H27" s="20" t="e">
        <f ca="1">+H18-H20+H24</f>
        <v>#NAME?</v>
      </c>
      <c r="I27" s="14"/>
      <c r="J27" s="22" t="e">
        <f ca="1">IF(H$12=0,0,H27/H$12)</f>
        <v>#NAME?</v>
      </c>
      <c r="K27" s="16"/>
      <c r="L27" s="20" t="e">
        <f ca="1">+D27-H27</f>
        <v>#NAME?</v>
      </c>
      <c r="M27" s="16"/>
      <c r="N27" s="22" t="e">
        <f ca="1">IF(H27=0,0,L27/H27)</f>
        <v>#NAME?</v>
      </c>
      <c r="O27" s="28"/>
      <c r="P27" s="20" t="e">
        <f ca="1">+P18-P20+P24</f>
        <v>#NAME?</v>
      </c>
      <c r="Q27" s="14"/>
      <c r="R27" s="22" t="e">
        <f ca="1">IF(P$12=0,0,P27/P$12)</f>
        <v>#NAME?</v>
      </c>
      <c r="S27" s="14"/>
      <c r="T27" s="20" t="e">
        <f ca="1">+T18-T20+T24</f>
        <v>#NAME?</v>
      </c>
      <c r="U27" s="14"/>
      <c r="V27" s="22" t="e">
        <f ca="1">IF(T$12=0,0,T27/T$12)</f>
        <v>#NAME?</v>
      </c>
      <c r="W27" s="16"/>
      <c r="X27" s="20" t="e">
        <f ca="1">+P27-T27</f>
        <v>#NAME?</v>
      </c>
      <c r="Y27" s="16"/>
      <c r="Z27" s="22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3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3" t="e">
        <f ca="1">IF(H$12=0,0,H29/H$12)</f>
        <v>#NAME?</v>
      </c>
      <c r="K29" s="4"/>
      <c r="L29" s="4" t="e">
        <f ca="1">+D29-H29</f>
        <v>#NAME?</v>
      </c>
      <c r="M29" s="4"/>
      <c r="N29" s="13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3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3" t="e">
        <f ca="1">IF(T$12=0,0,T29/T$12)</f>
        <v>#NAME?</v>
      </c>
      <c r="W29" s="4"/>
      <c r="X29" s="4" t="e">
        <f ca="1">+P29-T29</f>
        <v>#NAME?</v>
      </c>
      <c r="Y29" s="4"/>
      <c r="Z29" s="13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4</v>
      </c>
      <c r="C31" s="29"/>
      <c r="D31" s="35" t="e">
        <f ca="1">+D27-D29</f>
        <v>#NAME?</v>
      </c>
      <c r="E31" s="14"/>
      <c r="F31" s="32" t="e">
        <f ca="1">IF(D$12=0,0,D31/D$12)</f>
        <v>#NAME?</v>
      </c>
      <c r="G31" s="14"/>
      <c r="H31" s="35" t="e">
        <f ca="1">+H27-H29</f>
        <v>#NAME?</v>
      </c>
      <c r="I31" s="14"/>
      <c r="J31" s="32" t="e">
        <f ca="1">IF(H$12=0,0,H31/H$12)</f>
        <v>#NAME?</v>
      </c>
      <c r="K31" s="16"/>
      <c r="L31" s="35" t="e">
        <f ca="1">D31-H31</f>
        <v>#NAME?</v>
      </c>
      <c r="M31" s="16"/>
      <c r="N31" s="32" t="e">
        <f ca="1">IF(H31=0,0,L31/H31)</f>
        <v>#NAME?</v>
      </c>
      <c r="O31" s="28"/>
      <c r="P31" s="35" t="e">
        <f ca="1">+P27-P29</f>
        <v>#NAME?</v>
      </c>
      <c r="Q31" s="14"/>
      <c r="R31" s="32" t="e">
        <f ca="1">IF(P$12=0,0,P31/P$12)</f>
        <v>#NAME?</v>
      </c>
      <c r="S31" s="14"/>
      <c r="T31" s="35" t="e">
        <f ca="1">+T27-T29</f>
        <v>#NAME?</v>
      </c>
      <c r="U31" s="14"/>
      <c r="V31" s="32" t="e">
        <f ca="1">IF(T$12=0,0,T31/T$12)</f>
        <v>#NAME?</v>
      </c>
      <c r="W31" s="16"/>
      <c r="X31" s="35" t="e">
        <f ca="1">P31-T31</f>
        <v>#NAME?</v>
      </c>
      <c r="Y31" s="16"/>
      <c r="Z31" s="32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3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3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3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3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3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3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3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3" t="e">
        <f t="shared" ca="1" si="29"/>
        <v>#NAME?</v>
      </c>
      <c r="K34" s="4"/>
      <c r="L34" s="4" t="e">
        <f t="shared" ca="1" si="30"/>
        <v>#NAME?</v>
      </c>
      <c r="M34" s="4"/>
      <c r="N34" s="13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3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3" t="e">
        <f t="shared" ca="1" si="33"/>
        <v>#NAME?</v>
      </c>
      <c r="W34" s="4"/>
      <c r="X34" s="4" t="e">
        <f t="shared" ca="1" si="34"/>
        <v>#NAME?</v>
      </c>
      <c r="Y34" s="4"/>
      <c r="Z34" s="13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5</v>
      </c>
      <c r="C36" s="29"/>
      <c r="D36" s="34" t="e">
        <f ca="1">SUM(D31:D35)</f>
        <v>#NAME?</v>
      </c>
      <c r="E36" s="14"/>
      <c r="F36" s="31" t="e">
        <f ca="1">IF(D$12=0,0,D36/D$12)</f>
        <v>#NAME?</v>
      </c>
      <c r="G36" s="14"/>
      <c r="H36" s="34" t="e">
        <f ca="1">SUM(H31:H35)</f>
        <v>#NAME?</v>
      </c>
      <c r="I36" s="14"/>
      <c r="J36" s="31" t="e">
        <f ca="1">IF(H$12=0,0,H36/H$12)</f>
        <v>#NAME?</v>
      </c>
      <c r="K36" s="16"/>
      <c r="L36" s="34" t="e">
        <f ca="1">+D36-H36</f>
        <v>#NAME?</v>
      </c>
      <c r="M36" s="16"/>
      <c r="N36" s="31" t="e">
        <f ca="1">IF(H36=0,0,L36/H36)</f>
        <v>#NAME?</v>
      </c>
      <c r="O36" s="28"/>
      <c r="P36" s="34" t="e">
        <f ca="1">SUM(P31:P35)</f>
        <v>#NAME?</v>
      </c>
      <c r="Q36" s="14"/>
      <c r="R36" s="31" t="e">
        <f ca="1">IF(P$12=0,0,P36/P$12)</f>
        <v>#NAME?</v>
      </c>
      <c r="S36" s="14"/>
      <c r="T36" s="34" t="e">
        <f ca="1">SUM(T31:T35)</f>
        <v>#NAME?</v>
      </c>
      <c r="U36" s="14"/>
      <c r="V36" s="31" t="e">
        <f ca="1">IF(T$12=0,0,T36/T$12)</f>
        <v>#NAME?</v>
      </c>
      <c r="W36" s="16"/>
      <c r="X36" s="34" t="e">
        <f ca="1">+P36-T36</f>
        <v>#NAME?</v>
      </c>
      <c r="Y36" s="16"/>
      <c r="Z36" s="31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59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56" t="e">
        <f ca="1">_xll.OneStop.ReportPlayer.OSRFunctions.OSRGet("User","UserId")</f>
        <v>#NAME?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54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63" t="s">
        <v>13</v>
      </c>
    </row>
    <row r="3" spans="1:26" x14ac:dyDescent="0.25">
      <c r="D3" s="63" t="s">
        <v>296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61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63" t="e">
        <f ca="1">CONCATENATE("Period ",RIGHT(_xll.OneStop.ReportPlayer.OSRFunctions.OSRGet("Period","PeriodId"),2),", ",_xll.OneStop.ReportPlayer.OSRFunctions.OSRGet("Period","Year"))</f>
        <v>#NAME?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61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5" t="e">
        <f ca="1">_xll.OneStop.ReportPlayer.OSRFunctions.OSRGet("Period","PeriodEnd")</f>
        <v>#NAME?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61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51"/>
      <c r="C6" s="51"/>
      <c r="D6" s="23" t="s">
        <v>306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57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5" t="s">
        <v>294</v>
      </c>
      <c r="E9" s="15"/>
      <c r="F9" s="38"/>
      <c r="G9" s="15"/>
      <c r="H9" s="15"/>
      <c r="I9" s="15"/>
      <c r="J9" s="46"/>
      <c r="K9" s="15"/>
      <c r="L9" s="15"/>
      <c r="M9" s="15"/>
      <c r="N9" s="38"/>
      <c r="P9" s="15" t="s">
        <v>295</v>
      </c>
      <c r="Q9" s="15"/>
      <c r="R9" s="38"/>
      <c r="S9" s="15"/>
      <c r="T9" s="15"/>
      <c r="U9" s="15"/>
      <c r="V9" s="46"/>
      <c r="W9" s="15"/>
      <c r="X9" s="15"/>
      <c r="Y9" s="15"/>
      <c r="Z9" s="38"/>
    </row>
    <row r="10" spans="1:26" x14ac:dyDescent="0.25">
      <c r="A10" s="10"/>
      <c r="B10" s="55"/>
      <c r="C10" s="10"/>
      <c r="D10" s="43" t="s">
        <v>10</v>
      </c>
      <c r="E10" s="33"/>
      <c r="F10" s="40" t="s">
        <v>15</v>
      </c>
      <c r="G10" s="33"/>
      <c r="H10" s="47" t="s">
        <v>11</v>
      </c>
      <c r="I10" s="33"/>
      <c r="J10" s="45" t="s">
        <v>16</v>
      </c>
      <c r="K10" s="10"/>
      <c r="L10" s="43" t="s">
        <v>12</v>
      </c>
      <c r="M10" s="10"/>
      <c r="N10" s="40" t="s">
        <v>17</v>
      </c>
      <c r="O10" s="10"/>
      <c r="P10" s="53" t="s">
        <v>10</v>
      </c>
      <c r="Q10" s="33"/>
      <c r="R10" s="40" t="s">
        <v>15</v>
      </c>
      <c r="S10" s="33"/>
      <c r="T10" s="47" t="s">
        <v>11</v>
      </c>
      <c r="U10" s="33"/>
      <c r="V10" s="45" t="s">
        <v>16</v>
      </c>
      <c r="W10" s="10"/>
      <c r="X10" s="43" t="s">
        <v>12</v>
      </c>
      <c r="Y10" s="10"/>
      <c r="Z10" s="40" t="s">
        <v>17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 t="e">
        <f ca="1">SUM(_xll.OneStop.ReportPlayer.OSRFunctions.OSRRef(D13))</f>
        <v>#NAME?</v>
      </c>
      <c r="E12" s="4"/>
      <c r="F12" s="13"/>
      <c r="G12" s="4"/>
      <c r="H12" s="4" t="e">
        <f ca="1">SUM(_xll.OneStop.ReportPlayer.OSRFunctions.OSRRef(H13))</f>
        <v>#NAME?</v>
      </c>
      <c r="I12" s="4"/>
      <c r="J12" s="13"/>
      <c r="K12" s="4"/>
      <c r="L12" s="4" t="e">
        <f t="shared" ref="L12:L13" ca="1" si="0">+D12-H12</f>
        <v>#NAME?</v>
      </c>
      <c r="M12" s="4"/>
      <c r="N12" s="13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3"/>
      <c r="S12" s="4"/>
      <c r="T12" s="4" t="e">
        <f ca="1">SUM(_xll.OneStop.ReportPlayer.OSRFunctions.OSRRef(T13))</f>
        <v>#NAME?</v>
      </c>
      <c r="U12" s="4"/>
      <c r="V12" s="13"/>
      <c r="W12" s="4"/>
      <c r="X12" s="4" t="e">
        <f t="shared" ref="X12:X13" ca="1" si="2">+P12-T12</f>
        <v>#NAME?</v>
      </c>
      <c r="Y12" s="4"/>
      <c r="Z12" s="13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8</v>
      </c>
      <c r="C15" s="10"/>
      <c r="D15" s="4" t="e">
        <f ca="1">SUM(_xll.OneStop.ReportPlayer.OSRFunctions.OSRRef(D16))</f>
        <v>#NAME?</v>
      </c>
      <c r="E15" s="4"/>
      <c r="F15" s="13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3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3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3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3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3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6</v>
      </c>
      <c r="C18" s="29"/>
      <c r="D18" s="20" t="e">
        <f ca="1">D12-D15</f>
        <v>#NAME?</v>
      </c>
      <c r="E18" s="14"/>
      <c r="F18" s="22" t="e">
        <f ca="1">IF(D$12=0,0,D18/D$12)</f>
        <v>#NAME?</v>
      </c>
      <c r="G18" s="14"/>
      <c r="H18" s="20" t="e">
        <f ca="1">H12-H15</f>
        <v>#NAME?</v>
      </c>
      <c r="I18" s="14"/>
      <c r="J18" s="22" t="e">
        <f ca="1">IF(H$12=0,0,H18/H$12)</f>
        <v>#NAME?</v>
      </c>
      <c r="K18" s="16"/>
      <c r="L18" s="20" t="e">
        <f ca="1">+D18-H18</f>
        <v>#NAME?</v>
      </c>
      <c r="M18" s="16"/>
      <c r="N18" s="22" t="e">
        <f ca="1">IF(H18=0,0,L18/H18)</f>
        <v>#NAME?</v>
      </c>
      <c r="O18" s="28"/>
      <c r="P18" s="20" t="e">
        <f ca="1">P12-P15</f>
        <v>#NAME?</v>
      </c>
      <c r="Q18" s="14"/>
      <c r="R18" s="22" t="e">
        <f ca="1">IF(P$12=0,0,P18/P$12)</f>
        <v>#NAME?</v>
      </c>
      <c r="S18" s="14"/>
      <c r="T18" s="20" t="e">
        <f ca="1">T12-T15</f>
        <v>#NAME?</v>
      </c>
      <c r="U18" s="14"/>
      <c r="V18" s="22" t="e">
        <f ca="1">IF(T$12=0,0,T18/T$12)</f>
        <v>#NAME?</v>
      </c>
      <c r="W18" s="16"/>
      <c r="X18" s="20" t="e">
        <f ca="1">+P18-T18</f>
        <v>#NAME?</v>
      </c>
      <c r="Y18" s="16"/>
      <c r="Z18" s="22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9</v>
      </c>
      <c r="C20" s="10"/>
      <c r="D20" s="21" t="e">
        <f ca="1">SUM(_xll.OneStop.ReportPlayer.OSRFunctions.OSRRef(D22))</f>
        <v>#NAME?</v>
      </c>
      <c r="E20" s="21"/>
      <c r="F20" s="30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0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0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0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0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0" t="e">
        <f t="shared" ref="Z20:Z22" ca="1" si="19">IF(T20=0,0,X20/T20)</f>
        <v>#NAME?</v>
      </c>
    </row>
    <row r="21" spans="1:26" s="27" customFormat="1" outlineLevel="1" collapsed="1" x14ac:dyDescent="0.25">
      <c r="A21" s="25"/>
      <c r="B21" s="12" t="e">
        <f ca="1">CONCATENATE("     ",_xll.OneStop.ReportPlayer.OSRFunctions.OSRGet("d_Account","AccountCategory"))</f>
        <v>#NAME?</v>
      </c>
      <c r="C21" s="12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2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6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62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8" t="s">
        <v>0</v>
      </c>
      <c r="C24" s="10"/>
      <c r="D24" s="4" t="e">
        <f ca="1">SUM(_xll.OneStop.ReportPlayer.OSRFunctions.OSRRef(D25))</f>
        <v>#NAME?</v>
      </c>
      <c r="E24" s="4"/>
      <c r="F24" s="13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3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3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3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3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3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3</v>
      </c>
      <c r="C27" s="29"/>
      <c r="D27" s="20" t="e">
        <f ca="1">+D18-D20+D24</f>
        <v>#NAME?</v>
      </c>
      <c r="E27" s="14"/>
      <c r="F27" s="22" t="e">
        <f ca="1">IF(D$12=0,0,D27/D$12)</f>
        <v>#NAME?</v>
      </c>
      <c r="G27" s="14"/>
      <c r="H27" s="20" t="e">
        <f ca="1">+H18-H20+H24</f>
        <v>#NAME?</v>
      </c>
      <c r="I27" s="14"/>
      <c r="J27" s="22" t="e">
        <f ca="1">IF(H$12=0,0,H27/H$12)</f>
        <v>#NAME?</v>
      </c>
      <c r="K27" s="16"/>
      <c r="L27" s="20" t="e">
        <f ca="1">+D27-H27</f>
        <v>#NAME?</v>
      </c>
      <c r="M27" s="16"/>
      <c r="N27" s="22" t="e">
        <f ca="1">IF(H27=0,0,L27/H27)</f>
        <v>#NAME?</v>
      </c>
      <c r="O27" s="28"/>
      <c r="P27" s="20" t="e">
        <f ca="1">+P18-P20+P24</f>
        <v>#NAME?</v>
      </c>
      <c r="Q27" s="14"/>
      <c r="R27" s="22" t="e">
        <f ca="1">IF(P$12=0,0,P27/P$12)</f>
        <v>#NAME?</v>
      </c>
      <c r="S27" s="14"/>
      <c r="T27" s="20" t="e">
        <f ca="1">+T18-T20+T24</f>
        <v>#NAME?</v>
      </c>
      <c r="U27" s="14"/>
      <c r="V27" s="22" t="e">
        <f ca="1">IF(T$12=0,0,T27/T$12)</f>
        <v>#NAME?</v>
      </c>
      <c r="W27" s="16"/>
      <c r="X27" s="20" t="e">
        <f ca="1">+P27-T27</f>
        <v>#NAME?</v>
      </c>
      <c r="Y27" s="16"/>
      <c r="Z27" s="22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3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3" t="e">
        <f ca="1">IF(H$12=0,0,H29/H$12)</f>
        <v>#NAME?</v>
      </c>
      <c r="K29" s="4"/>
      <c r="L29" s="4" t="e">
        <f ca="1">+D29-H29</f>
        <v>#NAME?</v>
      </c>
      <c r="M29" s="4"/>
      <c r="N29" s="13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3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3" t="e">
        <f ca="1">IF(T$12=0,0,T29/T$12)</f>
        <v>#NAME?</v>
      </c>
      <c r="W29" s="4"/>
      <c r="X29" s="4" t="e">
        <f ca="1">+P29-T29</f>
        <v>#NAME?</v>
      </c>
      <c r="Y29" s="4"/>
      <c r="Z29" s="13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4</v>
      </c>
      <c r="C31" s="29"/>
      <c r="D31" s="35" t="e">
        <f ca="1">+D27-D29</f>
        <v>#NAME?</v>
      </c>
      <c r="E31" s="14"/>
      <c r="F31" s="32" t="e">
        <f ca="1">IF(D$12=0,0,D31/D$12)</f>
        <v>#NAME?</v>
      </c>
      <c r="G31" s="14"/>
      <c r="H31" s="35" t="e">
        <f ca="1">+H27-H29</f>
        <v>#NAME?</v>
      </c>
      <c r="I31" s="14"/>
      <c r="J31" s="32" t="e">
        <f ca="1">IF(H$12=0,0,H31/H$12)</f>
        <v>#NAME?</v>
      </c>
      <c r="K31" s="16"/>
      <c r="L31" s="35" t="e">
        <f ca="1">D31-H31</f>
        <v>#NAME?</v>
      </c>
      <c r="M31" s="16"/>
      <c r="N31" s="32" t="e">
        <f ca="1">IF(H31=0,0,L31/H31)</f>
        <v>#NAME?</v>
      </c>
      <c r="O31" s="28"/>
      <c r="P31" s="35" t="e">
        <f ca="1">+P27-P29</f>
        <v>#NAME?</v>
      </c>
      <c r="Q31" s="14"/>
      <c r="R31" s="32" t="e">
        <f ca="1">IF(P$12=0,0,P31/P$12)</f>
        <v>#NAME?</v>
      </c>
      <c r="S31" s="14"/>
      <c r="T31" s="35" t="e">
        <f ca="1">+T27-T29</f>
        <v>#NAME?</v>
      </c>
      <c r="U31" s="14"/>
      <c r="V31" s="32" t="e">
        <f ca="1">IF(T$12=0,0,T31/T$12)</f>
        <v>#NAME?</v>
      </c>
      <c r="W31" s="16"/>
      <c r="X31" s="35" t="e">
        <f ca="1">P31-T31</f>
        <v>#NAME?</v>
      </c>
      <c r="Y31" s="16"/>
      <c r="Z31" s="32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3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3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3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3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3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3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3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3" t="e">
        <f t="shared" ca="1" si="29"/>
        <v>#NAME?</v>
      </c>
      <c r="K34" s="4"/>
      <c r="L34" s="4" t="e">
        <f t="shared" ca="1" si="30"/>
        <v>#NAME?</v>
      </c>
      <c r="M34" s="4"/>
      <c r="N34" s="13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3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3" t="e">
        <f t="shared" ca="1" si="33"/>
        <v>#NAME?</v>
      </c>
      <c r="W34" s="4"/>
      <c r="X34" s="4" t="e">
        <f t="shared" ca="1" si="34"/>
        <v>#NAME?</v>
      </c>
      <c r="Y34" s="4"/>
      <c r="Z34" s="13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5</v>
      </c>
      <c r="C36" s="29"/>
      <c r="D36" s="34" t="e">
        <f ca="1">SUM(D31:D35)</f>
        <v>#NAME?</v>
      </c>
      <c r="E36" s="14"/>
      <c r="F36" s="31" t="e">
        <f ca="1">IF(D$12=0,0,D36/D$12)</f>
        <v>#NAME?</v>
      </c>
      <c r="G36" s="14"/>
      <c r="H36" s="34" t="e">
        <f ca="1">SUM(H31:H35)</f>
        <v>#NAME?</v>
      </c>
      <c r="I36" s="14"/>
      <c r="J36" s="31" t="e">
        <f ca="1">IF(H$12=0,0,H36/H$12)</f>
        <v>#NAME?</v>
      </c>
      <c r="K36" s="16"/>
      <c r="L36" s="34" t="e">
        <f ca="1">+D36-H36</f>
        <v>#NAME?</v>
      </c>
      <c r="M36" s="16"/>
      <c r="N36" s="31" t="e">
        <f ca="1">IF(H36=0,0,L36/H36)</f>
        <v>#NAME?</v>
      </c>
      <c r="O36" s="28"/>
      <c r="P36" s="34" t="e">
        <f ca="1">SUM(P31:P35)</f>
        <v>#NAME?</v>
      </c>
      <c r="Q36" s="14"/>
      <c r="R36" s="31" t="e">
        <f ca="1">IF(P$12=0,0,P36/P$12)</f>
        <v>#NAME?</v>
      </c>
      <c r="S36" s="14"/>
      <c r="T36" s="34" t="e">
        <f ca="1">SUM(T31:T35)</f>
        <v>#NAME?</v>
      </c>
      <c r="U36" s="14"/>
      <c r="V36" s="31" t="e">
        <f ca="1">IF(T$12=0,0,T36/T$12)</f>
        <v>#NAME?</v>
      </c>
      <c r="W36" s="16"/>
      <c r="X36" s="34" t="e">
        <f ca="1">+P36-T36</f>
        <v>#NAME?</v>
      </c>
      <c r="Y36" s="16"/>
      <c r="Z36" s="31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59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56" t="e">
        <f ca="1">_xll.OneStop.ReportPlayer.OSRFunctions.OSRGet("User","UserId")</f>
        <v>#NAME?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54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L10002"/>
  <sheetViews>
    <sheetView workbookViewId="0"/>
  </sheetViews>
  <sheetFormatPr defaultRowHeight="15" x14ac:dyDescent="0.25"/>
  <cols>
    <col min="1" max="220" width="20.7109375" customWidth="1"/>
    <col min="221" max="221" width="20.7109375" style="67" customWidth="1"/>
    <col min="222" max="223" width="20.7109375" customWidth="1"/>
  </cols>
  <sheetData>
    <row r="1" spans="1:272" x14ac:dyDescent="0.25">
      <c r="D1">
        <v>4</v>
      </c>
    </row>
    <row r="2" spans="1:272" x14ac:dyDescent="0.25">
      <c r="JK2">
        <v>271</v>
      </c>
      <c r="JL2">
        <v>4</v>
      </c>
    </row>
    <row r="3" spans="1:272" ht="30" x14ac:dyDescent="0.25">
      <c r="A3" s="41" t="s">
        <v>18</v>
      </c>
      <c r="B3" s="41" t="s">
        <v>19</v>
      </c>
      <c r="C3" s="41" t="s">
        <v>20</v>
      </c>
      <c r="D3" s="41" t="s">
        <v>21</v>
      </c>
      <c r="E3" s="41" t="s">
        <v>22</v>
      </c>
      <c r="F3" s="41" t="s">
        <v>23</v>
      </c>
      <c r="G3" s="41" t="s">
        <v>24</v>
      </c>
      <c r="H3" s="41" t="s">
        <v>25</v>
      </c>
      <c r="I3" s="41" t="s">
        <v>26</v>
      </c>
      <c r="J3" s="41" t="s">
        <v>27</v>
      </c>
      <c r="K3" s="41" t="s">
        <v>28</v>
      </c>
      <c r="L3" s="41" t="s">
        <v>29</v>
      </c>
      <c r="M3" s="41" t="s">
        <v>30</v>
      </c>
      <c r="N3" s="41" t="s">
        <v>31</v>
      </c>
      <c r="O3" s="41" t="s">
        <v>32</v>
      </c>
      <c r="P3" s="41" t="s">
        <v>33</v>
      </c>
      <c r="Q3" s="41" t="s">
        <v>34</v>
      </c>
      <c r="R3" s="41" t="s">
        <v>35</v>
      </c>
      <c r="S3" s="41" t="s">
        <v>36</v>
      </c>
      <c r="T3" s="41" t="s">
        <v>37</v>
      </c>
      <c r="U3" s="41" t="s">
        <v>38</v>
      </c>
      <c r="V3" s="41" t="s">
        <v>39</v>
      </c>
      <c r="W3" s="41" t="s">
        <v>40</v>
      </c>
      <c r="X3" s="41" t="s">
        <v>41</v>
      </c>
      <c r="Y3" s="41" t="s">
        <v>42</v>
      </c>
      <c r="Z3" s="41" t="s">
        <v>43</v>
      </c>
      <c r="AA3" s="41" t="s">
        <v>48</v>
      </c>
      <c r="AB3" s="41" t="s">
        <v>49</v>
      </c>
      <c r="AC3" s="41" t="s">
        <v>50</v>
      </c>
      <c r="AD3" s="41" t="s">
        <v>51</v>
      </c>
      <c r="AE3" s="41" t="s">
        <v>52</v>
      </c>
      <c r="AF3" s="41" t="s">
        <v>53</v>
      </c>
      <c r="AG3" s="41" t="s">
        <v>54</v>
      </c>
      <c r="AH3" s="41" t="s">
        <v>55</v>
      </c>
      <c r="AI3" s="41" t="s">
        <v>56</v>
      </c>
      <c r="AJ3" s="41" t="s">
        <v>57</v>
      </c>
      <c r="AK3" s="41" t="s">
        <v>58</v>
      </c>
      <c r="AL3" s="41" t="s">
        <v>59</v>
      </c>
      <c r="AM3" s="41" t="s">
        <v>60</v>
      </c>
      <c r="AN3" s="41" t="s">
        <v>61</v>
      </c>
      <c r="AO3" s="41" t="s">
        <v>62</v>
      </c>
      <c r="AP3" s="41" t="s">
        <v>63</v>
      </c>
      <c r="AQ3" s="41" t="s">
        <v>64</v>
      </c>
      <c r="AR3" s="41" t="s">
        <v>65</v>
      </c>
      <c r="AS3" s="41" t="s">
        <v>66</v>
      </c>
      <c r="AT3" s="41" t="s">
        <v>67</v>
      </c>
      <c r="AU3" s="41" t="s">
        <v>68</v>
      </c>
      <c r="AV3" s="41" t="s">
        <v>69</v>
      </c>
      <c r="AW3" s="41" t="s">
        <v>70</v>
      </c>
      <c r="AX3" s="41" t="s">
        <v>71</v>
      </c>
      <c r="AY3" s="41" t="s">
        <v>72</v>
      </c>
      <c r="AZ3" s="41" t="s">
        <v>73</v>
      </c>
      <c r="BA3" s="41" t="s">
        <v>74</v>
      </c>
      <c r="BB3" s="41" t="s">
        <v>75</v>
      </c>
      <c r="BC3" s="41" t="s">
        <v>76</v>
      </c>
      <c r="BD3" s="41" t="s">
        <v>77</v>
      </c>
      <c r="BE3" s="41" t="s">
        <v>78</v>
      </c>
      <c r="BF3" s="41" t="s">
        <v>79</v>
      </c>
      <c r="BG3" s="41" t="s">
        <v>80</v>
      </c>
      <c r="BH3" s="41" t="s">
        <v>81</v>
      </c>
      <c r="BI3" s="41" t="s">
        <v>82</v>
      </c>
      <c r="BJ3" s="41" t="s">
        <v>83</v>
      </c>
      <c r="BK3" s="41" t="s">
        <v>84</v>
      </c>
      <c r="BL3" s="41" t="s">
        <v>85</v>
      </c>
      <c r="BM3" s="41" t="s">
        <v>86</v>
      </c>
      <c r="BN3" s="41" t="s">
        <v>87</v>
      </c>
      <c r="BO3" s="41" t="s">
        <v>88</v>
      </c>
      <c r="BP3" s="41" t="s">
        <v>89</v>
      </c>
      <c r="BQ3" s="41" t="s">
        <v>90</v>
      </c>
      <c r="BR3" s="41" t="s">
        <v>91</v>
      </c>
      <c r="BS3" s="41" t="s">
        <v>92</v>
      </c>
      <c r="BT3" s="41" t="s">
        <v>93</v>
      </c>
      <c r="BU3" s="41" t="s">
        <v>94</v>
      </c>
      <c r="BV3" s="41" t="s">
        <v>95</v>
      </c>
      <c r="BW3" s="41" t="s">
        <v>96</v>
      </c>
      <c r="BX3" s="41" t="s">
        <v>97</v>
      </c>
      <c r="BY3" s="41" t="s">
        <v>98</v>
      </c>
      <c r="BZ3" s="41" t="s">
        <v>99</v>
      </c>
      <c r="CA3" s="41" t="s">
        <v>100</v>
      </c>
      <c r="CB3" s="41" t="s">
        <v>101</v>
      </c>
      <c r="CC3" s="41" t="s">
        <v>102</v>
      </c>
      <c r="CD3" s="41" t="s">
        <v>103</v>
      </c>
      <c r="CE3" s="41" t="s">
        <v>104</v>
      </c>
      <c r="CF3" s="41" t="s">
        <v>105</v>
      </c>
      <c r="CG3" s="41" t="s">
        <v>106</v>
      </c>
      <c r="CH3" s="41" t="s">
        <v>107</v>
      </c>
      <c r="CI3" s="41" t="s">
        <v>108</v>
      </c>
      <c r="CJ3" s="41" t="s">
        <v>109</v>
      </c>
      <c r="CK3" s="41" t="s">
        <v>110</v>
      </c>
      <c r="CL3" s="41" t="s">
        <v>111</v>
      </c>
      <c r="CM3" s="41" t="s">
        <v>112</v>
      </c>
      <c r="CN3" s="41" t="s">
        <v>113</v>
      </c>
      <c r="CO3" s="41" t="s">
        <v>114</v>
      </c>
      <c r="CP3" s="41" t="s">
        <v>115</v>
      </c>
      <c r="CQ3" s="41" t="s">
        <v>116</v>
      </c>
      <c r="CR3" s="41" t="s">
        <v>117</v>
      </c>
      <c r="CS3" s="41" t="s">
        <v>118</v>
      </c>
      <c r="CT3" s="41" t="s">
        <v>119</v>
      </c>
      <c r="CU3" s="41" t="s">
        <v>120</v>
      </c>
      <c r="CV3" s="41" t="s">
        <v>121</v>
      </c>
      <c r="CW3" s="41" t="s">
        <v>122</v>
      </c>
      <c r="CX3" s="41" t="s">
        <v>123</v>
      </c>
      <c r="CY3" s="41" t="s">
        <v>124</v>
      </c>
      <c r="CZ3" s="41" t="s">
        <v>125</v>
      </c>
      <c r="DA3" s="41" t="s">
        <v>126</v>
      </c>
      <c r="DB3" s="41" t="s">
        <v>127</v>
      </c>
      <c r="DC3" s="41" t="s">
        <v>128</v>
      </c>
      <c r="DD3" s="41" t="s">
        <v>129</v>
      </c>
      <c r="DE3" s="41" t="s">
        <v>130</v>
      </c>
      <c r="DF3" s="41" t="s">
        <v>131</v>
      </c>
      <c r="DG3" s="41" t="s">
        <v>132</v>
      </c>
      <c r="DH3" s="41" t="s">
        <v>133</v>
      </c>
      <c r="DI3" s="41" t="s">
        <v>134</v>
      </c>
      <c r="DJ3" s="41" t="s">
        <v>135</v>
      </c>
      <c r="DK3" s="41" t="s">
        <v>136</v>
      </c>
      <c r="DL3" s="41" t="s">
        <v>137</v>
      </c>
      <c r="DM3" s="41" t="s">
        <v>138</v>
      </c>
      <c r="DN3" s="41" t="s">
        <v>139</v>
      </c>
      <c r="DO3" s="41" t="s">
        <v>140</v>
      </c>
      <c r="DP3" s="41" t="s">
        <v>141</v>
      </c>
      <c r="DQ3" s="41" t="s">
        <v>142</v>
      </c>
      <c r="DR3" s="41" t="s">
        <v>143</v>
      </c>
      <c r="DS3" s="41" t="s">
        <v>144</v>
      </c>
      <c r="DT3" s="41" t="s">
        <v>145</v>
      </c>
      <c r="DU3" s="41" t="s">
        <v>146</v>
      </c>
      <c r="DV3" s="41" t="s">
        <v>147</v>
      </c>
      <c r="DW3" s="41" t="s">
        <v>148</v>
      </c>
      <c r="DX3" s="41" t="s">
        <v>149</v>
      </c>
      <c r="DY3" s="41" t="s">
        <v>150</v>
      </c>
      <c r="DZ3" s="41" t="s">
        <v>151</v>
      </c>
      <c r="EA3" s="41" t="s">
        <v>152</v>
      </c>
      <c r="EB3" s="41" t="s">
        <v>153</v>
      </c>
      <c r="EC3" s="41" t="s">
        <v>154</v>
      </c>
      <c r="ED3" s="41" t="s">
        <v>155</v>
      </c>
      <c r="EE3" s="41" t="s">
        <v>156</v>
      </c>
      <c r="EF3" s="41" t="s">
        <v>157</v>
      </c>
      <c r="EG3" s="41" t="s">
        <v>158</v>
      </c>
      <c r="EH3" s="41" t="s">
        <v>159</v>
      </c>
      <c r="EI3" s="41" t="s">
        <v>160</v>
      </c>
      <c r="EJ3" s="41" t="s">
        <v>161</v>
      </c>
      <c r="EK3" s="41" t="s">
        <v>162</v>
      </c>
      <c r="EL3" s="41" t="s">
        <v>163</v>
      </c>
      <c r="EM3" s="41" t="s">
        <v>164</v>
      </c>
      <c r="EN3" s="41" t="s">
        <v>165</v>
      </c>
      <c r="EO3" s="41" t="s">
        <v>166</v>
      </c>
      <c r="EP3" s="41" t="s">
        <v>167</v>
      </c>
      <c r="EQ3" s="41" t="s">
        <v>168</v>
      </c>
      <c r="ER3" s="41" t="s">
        <v>169</v>
      </c>
      <c r="ES3" s="41" t="s">
        <v>170</v>
      </c>
      <c r="ET3" s="41" t="s">
        <v>171</v>
      </c>
      <c r="EU3" s="41" t="s">
        <v>172</v>
      </c>
      <c r="EV3" s="41" t="s">
        <v>173</v>
      </c>
      <c r="EW3" s="41" t="s">
        <v>174</v>
      </c>
      <c r="EX3" s="41" t="s">
        <v>175</v>
      </c>
      <c r="EY3" s="41" t="s">
        <v>176</v>
      </c>
      <c r="EZ3" s="41" t="s">
        <v>177</v>
      </c>
      <c r="FA3" s="41" t="s">
        <v>178</v>
      </c>
      <c r="FB3" s="41" t="s">
        <v>179</v>
      </c>
      <c r="FC3" s="41" t="s">
        <v>180</v>
      </c>
      <c r="FD3" s="41" t="s">
        <v>181</v>
      </c>
      <c r="FE3" s="41" t="s">
        <v>182</v>
      </c>
      <c r="FF3" s="41" t="s">
        <v>183</v>
      </c>
      <c r="FG3" s="41" t="s">
        <v>184</v>
      </c>
      <c r="FH3" s="41" t="s">
        <v>185</v>
      </c>
      <c r="FI3" s="41" t="s">
        <v>186</v>
      </c>
      <c r="FJ3" s="41" t="s">
        <v>187</v>
      </c>
      <c r="FK3" s="41" t="s">
        <v>188</v>
      </c>
      <c r="FL3" s="41" t="s">
        <v>189</v>
      </c>
      <c r="FM3" s="41" t="s">
        <v>190</v>
      </c>
      <c r="FN3" s="41" t="s">
        <v>191</v>
      </c>
      <c r="FO3" s="41" t="s">
        <v>192</v>
      </c>
      <c r="FP3" s="41" t="s">
        <v>193</v>
      </c>
      <c r="FQ3" s="41" t="s">
        <v>194</v>
      </c>
      <c r="FR3" s="41" t="s">
        <v>195</v>
      </c>
      <c r="FS3" s="41" t="s">
        <v>196</v>
      </c>
      <c r="FT3" s="41" t="s">
        <v>197</v>
      </c>
      <c r="FU3" s="41" t="s">
        <v>198</v>
      </c>
      <c r="FV3" s="41" t="s">
        <v>199</v>
      </c>
      <c r="FW3" s="41" t="s">
        <v>200</v>
      </c>
      <c r="FX3" s="41" t="s">
        <v>201</v>
      </c>
      <c r="FY3" s="41" t="s">
        <v>202</v>
      </c>
      <c r="FZ3" s="41" t="s">
        <v>203</v>
      </c>
      <c r="GA3" s="41" t="s">
        <v>204</v>
      </c>
      <c r="GB3" s="41" t="s">
        <v>205</v>
      </c>
      <c r="GC3" s="41" t="s">
        <v>206</v>
      </c>
      <c r="GD3" s="41" t="s">
        <v>207</v>
      </c>
      <c r="GE3" s="41" t="s">
        <v>208</v>
      </c>
      <c r="GF3" s="41" t="s">
        <v>209</v>
      </c>
      <c r="GG3" s="41" t="s">
        <v>210</v>
      </c>
      <c r="GH3" s="41" t="s">
        <v>211</v>
      </c>
      <c r="GI3" s="41" t="s">
        <v>212</v>
      </c>
      <c r="GJ3" s="41" t="s">
        <v>213</v>
      </c>
      <c r="GK3" s="41" t="s">
        <v>214</v>
      </c>
      <c r="GL3" s="41" t="s">
        <v>215</v>
      </c>
      <c r="GM3" s="41" t="s">
        <v>216</v>
      </c>
      <c r="GN3" s="41" t="s">
        <v>217</v>
      </c>
      <c r="GO3" s="41" t="s">
        <v>218</v>
      </c>
      <c r="GP3" s="41" t="s">
        <v>219</v>
      </c>
      <c r="GQ3" s="41" t="s">
        <v>220</v>
      </c>
      <c r="GR3" s="41" t="s">
        <v>221</v>
      </c>
      <c r="GS3" s="41" t="s">
        <v>222</v>
      </c>
      <c r="GT3" s="41" t="s">
        <v>223</v>
      </c>
      <c r="GU3" s="41" t="s">
        <v>224</v>
      </c>
      <c r="GV3" s="41" t="s">
        <v>225</v>
      </c>
      <c r="GW3" s="41" t="s">
        <v>226</v>
      </c>
      <c r="GX3" s="41" t="s">
        <v>227</v>
      </c>
      <c r="GY3" s="41" t="s">
        <v>228</v>
      </c>
      <c r="GZ3" s="41" t="s">
        <v>229</v>
      </c>
      <c r="HA3" s="41" t="s">
        <v>230</v>
      </c>
      <c r="HB3" s="41" t="s">
        <v>231</v>
      </c>
      <c r="HC3" s="41" t="s">
        <v>232</v>
      </c>
      <c r="HD3" s="41" t="s">
        <v>233</v>
      </c>
      <c r="HE3" s="41" t="s">
        <v>234</v>
      </c>
      <c r="HF3" s="41" t="s">
        <v>235</v>
      </c>
      <c r="HG3" s="41" t="s">
        <v>236</v>
      </c>
      <c r="HH3" s="41" t="s">
        <v>237</v>
      </c>
      <c r="HI3" s="41" t="s">
        <v>242</v>
      </c>
      <c r="HJ3" s="41" t="s">
        <v>243</v>
      </c>
      <c r="HK3" s="41"/>
      <c r="HL3" s="41" t="s">
        <v>44</v>
      </c>
      <c r="HM3" s="66"/>
      <c r="HN3" s="41" t="s">
        <v>45</v>
      </c>
      <c r="HO3" s="41" t="s">
        <v>46</v>
      </c>
      <c r="HP3" t="s">
        <v>47</v>
      </c>
      <c r="JK3" s="41" t="s">
        <v>238</v>
      </c>
      <c r="JL3" s="41" t="s">
        <v>239</v>
      </c>
    </row>
    <row r="10001" spans="271:272" x14ac:dyDescent="0.25">
      <c r="JK10001">
        <v>271</v>
      </c>
      <c r="JL10001">
        <v>10003</v>
      </c>
    </row>
    <row r="10002" spans="271:272" ht="45" x14ac:dyDescent="0.25">
      <c r="JK10002" s="41" t="s">
        <v>240</v>
      </c>
      <c r="JL10002" s="41" t="s">
        <v>241</v>
      </c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63" t="s">
        <v>13</v>
      </c>
    </row>
    <row r="3" spans="1:26" x14ac:dyDescent="0.25">
      <c r="D3" s="63" t="s">
        <v>296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61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63" t="e">
        <f ca="1">CONCATENATE("Period ",RIGHT(_xll.OneStop.ReportPlayer.OSRFunctions.OSRGet("Period","PeriodId"),2),", ",_xll.OneStop.ReportPlayer.OSRFunctions.OSRGet("Period","Year"))</f>
        <v>#NAME?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61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5" t="e">
        <f ca="1">_xll.OneStop.ReportPlayer.OSRFunctions.OSRGet("Period","PeriodEnd")</f>
        <v>#NAME?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61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51"/>
      <c r="C6" s="51"/>
      <c r="D6" s="23" t="s">
        <v>303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57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5" t="s">
        <v>294</v>
      </c>
      <c r="E9" s="15"/>
      <c r="F9" s="38"/>
      <c r="G9" s="15"/>
      <c r="H9" s="15"/>
      <c r="I9" s="15"/>
      <c r="J9" s="46"/>
      <c r="K9" s="15"/>
      <c r="L9" s="15"/>
      <c r="M9" s="15"/>
      <c r="N9" s="38"/>
      <c r="P9" s="15" t="s">
        <v>295</v>
      </c>
      <c r="Q9" s="15"/>
      <c r="R9" s="38"/>
      <c r="S9" s="15"/>
      <c r="T9" s="15"/>
      <c r="U9" s="15"/>
      <c r="V9" s="46"/>
      <c r="W9" s="15"/>
      <c r="X9" s="15"/>
      <c r="Y9" s="15"/>
      <c r="Z9" s="38"/>
    </row>
    <row r="10" spans="1:26" x14ac:dyDescent="0.25">
      <c r="A10" s="10"/>
      <c r="B10" s="55"/>
      <c r="C10" s="10"/>
      <c r="D10" s="43" t="s">
        <v>10</v>
      </c>
      <c r="E10" s="33"/>
      <c r="F10" s="40" t="s">
        <v>15</v>
      </c>
      <c r="G10" s="33"/>
      <c r="H10" s="47" t="s">
        <v>11</v>
      </c>
      <c r="I10" s="33"/>
      <c r="J10" s="45" t="s">
        <v>16</v>
      </c>
      <c r="K10" s="10"/>
      <c r="L10" s="43" t="s">
        <v>12</v>
      </c>
      <c r="M10" s="10"/>
      <c r="N10" s="40" t="s">
        <v>17</v>
      </c>
      <c r="O10" s="10"/>
      <c r="P10" s="53" t="s">
        <v>10</v>
      </c>
      <c r="Q10" s="33"/>
      <c r="R10" s="40" t="s">
        <v>15</v>
      </c>
      <c r="S10" s="33"/>
      <c r="T10" s="47" t="s">
        <v>11</v>
      </c>
      <c r="U10" s="33"/>
      <c r="V10" s="45" t="s">
        <v>16</v>
      </c>
      <c r="W10" s="10"/>
      <c r="X10" s="43" t="s">
        <v>12</v>
      </c>
      <c r="Y10" s="10"/>
      <c r="Z10" s="40" t="s">
        <v>17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 t="e">
        <f ca="1">SUM(_xll.OneStop.ReportPlayer.OSRFunctions.OSRRef(D13))</f>
        <v>#NAME?</v>
      </c>
      <c r="E12" s="4"/>
      <c r="F12" s="13"/>
      <c r="G12" s="4"/>
      <c r="H12" s="4" t="e">
        <f ca="1">SUM(_xll.OneStop.ReportPlayer.OSRFunctions.OSRRef(H13))</f>
        <v>#NAME?</v>
      </c>
      <c r="I12" s="4"/>
      <c r="J12" s="13"/>
      <c r="K12" s="4"/>
      <c r="L12" s="4" t="e">
        <f t="shared" ref="L12:L13" ca="1" si="0">+D12-H12</f>
        <v>#NAME?</v>
      </c>
      <c r="M12" s="4"/>
      <c r="N12" s="13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3"/>
      <c r="S12" s="4"/>
      <c r="T12" s="4" t="e">
        <f ca="1">SUM(_xll.OneStop.ReportPlayer.OSRFunctions.OSRRef(T13))</f>
        <v>#NAME?</v>
      </c>
      <c r="U12" s="4"/>
      <c r="V12" s="13"/>
      <c r="W12" s="4"/>
      <c r="X12" s="4" t="e">
        <f t="shared" ref="X12:X13" ca="1" si="2">+P12-T12</f>
        <v>#NAME?</v>
      </c>
      <c r="Y12" s="4"/>
      <c r="Z12" s="13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8</v>
      </c>
      <c r="C15" s="10"/>
      <c r="D15" s="4" t="e">
        <f ca="1">SUM(_xll.OneStop.ReportPlayer.OSRFunctions.OSRRef(D16))</f>
        <v>#NAME?</v>
      </c>
      <c r="E15" s="4"/>
      <c r="F15" s="13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3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3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3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3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3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6</v>
      </c>
      <c r="C18" s="29"/>
      <c r="D18" s="20" t="e">
        <f ca="1">D12-D15</f>
        <v>#NAME?</v>
      </c>
      <c r="E18" s="14"/>
      <c r="F18" s="22" t="e">
        <f ca="1">IF(D$12=0,0,D18/D$12)</f>
        <v>#NAME?</v>
      </c>
      <c r="G18" s="14"/>
      <c r="H18" s="20" t="e">
        <f ca="1">H12-H15</f>
        <v>#NAME?</v>
      </c>
      <c r="I18" s="14"/>
      <c r="J18" s="22" t="e">
        <f ca="1">IF(H$12=0,0,H18/H$12)</f>
        <v>#NAME?</v>
      </c>
      <c r="K18" s="16"/>
      <c r="L18" s="20" t="e">
        <f ca="1">+D18-H18</f>
        <v>#NAME?</v>
      </c>
      <c r="M18" s="16"/>
      <c r="N18" s="22" t="e">
        <f ca="1">IF(H18=0,0,L18/H18)</f>
        <v>#NAME?</v>
      </c>
      <c r="O18" s="28"/>
      <c r="P18" s="20" t="e">
        <f ca="1">P12-P15</f>
        <v>#NAME?</v>
      </c>
      <c r="Q18" s="14"/>
      <c r="R18" s="22" t="e">
        <f ca="1">IF(P$12=0,0,P18/P$12)</f>
        <v>#NAME?</v>
      </c>
      <c r="S18" s="14"/>
      <c r="T18" s="20" t="e">
        <f ca="1">T12-T15</f>
        <v>#NAME?</v>
      </c>
      <c r="U18" s="14"/>
      <c r="V18" s="22" t="e">
        <f ca="1">IF(T$12=0,0,T18/T$12)</f>
        <v>#NAME?</v>
      </c>
      <c r="W18" s="16"/>
      <c r="X18" s="20" t="e">
        <f ca="1">+P18-T18</f>
        <v>#NAME?</v>
      </c>
      <c r="Y18" s="16"/>
      <c r="Z18" s="22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9</v>
      </c>
      <c r="C20" s="10"/>
      <c r="D20" s="21" t="e">
        <f ca="1">SUM(_xll.OneStop.ReportPlayer.OSRFunctions.OSRRef(D22))</f>
        <v>#NAME?</v>
      </c>
      <c r="E20" s="21"/>
      <c r="F20" s="30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0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0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0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0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0" t="e">
        <f t="shared" ref="Z20:Z22" ca="1" si="19">IF(T20=0,0,X20/T20)</f>
        <v>#NAME?</v>
      </c>
    </row>
    <row r="21" spans="1:26" s="27" customFormat="1" outlineLevel="1" collapsed="1" x14ac:dyDescent="0.25">
      <c r="A21" s="25"/>
      <c r="B21" s="12" t="e">
        <f ca="1">CONCATENATE("     ",_xll.OneStop.ReportPlayer.OSRFunctions.OSRGet("d_Account","AccountCategory"))</f>
        <v>#NAME?</v>
      </c>
      <c r="C21" s="12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2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6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62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8" t="s">
        <v>0</v>
      </c>
      <c r="C24" s="10"/>
      <c r="D24" s="4" t="e">
        <f ca="1">SUM(_xll.OneStop.ReportPlayer.OSRFunctions.OSRRef(D25))</f>
        <v>#NAME?</v>
      </c>
      <c r="E24" s="4"/>
      <c r="F24" s="13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3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3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3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3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3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3</v>
      </c>
      <c r="C27" s="29"/>
      <c r="D27" s="20" t="e">
        <f ca="1">+D18-D20+D24</f>
        <v>#NAME?</v>
      </c>
      <c r="E27" s="14"/>
      <c r="F27" s="22" t="e">
        <f ca="1">IF(D$12=0,0,D27/D$12)</f>
        <v>#NAME?</v>
      </c>
      <c r="G27" s="14"/>
      <c r="H27" s="20" t="e">
        <f ca="1">+H18-H20+H24</f>
        <v>#NAME?</v>
      </c>
      <c r="I27" s="14"/>
      <c r="J27" s="22" t="e">
        <f ca="1">IF(H$12=0,0,H27/H$12)</f>
        <v>#NAME?</v>
      </c>
      <c r="K27" s="16"/>
      <c r="L27" s="20" t="e">
        <f ca="1">+D27-H27</f>
        <v>#NAME?</v>
      </c>
      <c r="M27" s="16"/>
      <c r="N27" s="22" t="e">
        <f ca="1">IF(H27=0,0,L27/H27)</f>
        <v>#NAME?</v>
      </c>
      <c r="O27" s="28"/>
      <c r="P27" s="20" t="e">
        <f ca="1">+P18-P20+P24</f>
        <v>#NAME?</v>
      </c>
      <c r="Q27" s="14"/>
      <c r="R27" s="22" t="e">
        <f ca="1">IF(P$12=0,0,P27/P$12)</f>
        <v>#NAME?</v>
      </c>
      <c r="S27" s="14"/>
      <c r="T27" s="20" t="e">
        <f ca="1">+T18-T20+T24</f>
        <v>#NAME?</v>
      </c>
      <c r="U27" s="14"/>
      <c r="V27" s="22" t="e">
        <f ca="1">IF(T$12=0,0,T27/T$12)</f>
        <v>#NAME?</v>
      </c>
      <c r="W27" s="16"/>
      <c r="X27" s="20" t="e">
        <f ca="1">+P27-T27</f>
        <v>#NAME?</v>
      </c>
      <c r="Y27" s="16"/>
      <c r="Z27" s="22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3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3" t="e">
        <f ca="1">IF(H$12=0,0,H29/H$12)</f>
        <v>#NAME?</v>
      </c>
      <c r="K29" s="4"/>
      <c r="L29" s="4" t="e">
        <f ca="1">+D29-H29</f>
        <v>#NAME?</v>
      </c>
      <c r="M29" s="4"/>
      <c r="N29" s="13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3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3" t="e">
        <f ca="1">IF(T$12=0,0,T29/T$12)</f>
        <v>#NAME?</v>
      </c>
      <c r="W29" s="4"/>
      <c r="X29" s="4" t="e">
        <f ca="1">+P29-T29</f>
        <v>#NAME?</v>
      </c>
      <c r="Y29" s="4"/>
      <c r="Z29" s="13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4</v>
      </c>
      <c r="C31" s="29"/>
      <c r="D31" s="35" t="e">
        <f ca="1">+D27-D29</f>
        <v>#NAME?</v>
      </c>
      <c r="E31" s="14"/>
      <c r="F31" s="32" t="e">
        <f ca="1">IF(D$12=0,0,D31/D$12)</f>
        <v>#NAME?</v>
      </c>
      <c r="G31" s="14"/>
      <c r="H31" s="35" t="e">
        <f ca="1">+H27-H29</f>
        <v>#NAME?</v>
      </c>
      <c r="I31" s="14"/>
      <c r="J31" s="32" t="e">
        <f ca="1">IF(H$12=0,0,H31/H$12)</f>
        <v>#NAME?</v>
      </c>
      <c r="K31" s="16"/>
      <c r="L31" s="35" t="e">
        <f ca="1">D31-H31</f>
        <v>#NAME?</v>
      </c>
      <c r="M31" s="16"/>
      <c r="N31" s="32" t="e">
        <f ca="1">IF(H31=0,0,L31/H31)</f>
        <v>#NAME?</v>
      </c>
      <c r="O31" s="28"/>
      <c r="P31" s="35" t="e">
        <f ca="1">+P27-P29</f>
        <v>#NAME?</v>
      </c>
      <c r="Q31" s="14"/>
      <c r="R31" s="32" t="e">
        <f ca="1">IF(P$12=0,0,P31/P$12)</f>
        <v>#NAME?</v>
      </c>
      <c r="S31" s="14"/>
      <c r="T31" s="35" t="e">
        <f ca="1">+T27-T29</f>
        <v>#NAME?</v>
      </c>
      <c r="U31" s="14"/>
      <c r="V31" s="32" t="e">
        <f ca="1">IF(T$12=0,0,T31/T$12)</f>
        <v>#NAME?</v>
      </c>
      <c r="W31" s="16"/>
      <c r="X31" s="35" t="e">
        <f ca="1">P31-T31</f>
        <v>#NAME?</v>
      </c>
      <c r="Y31" s="16"/>
      <c r="Z31" s="32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3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3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3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3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3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3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3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3" t="e">
        <f t="shared" ca="1" si="29"/>
        <v>#NAME?</v>
      </c>
      <c r="K34" s="4"/>
      <c r="L34" s="4" t="e">
        <f t="shared" ca="1" si="30"/>
        <v>#NAME?</v>
      </c>
      <c r="M34" s="4"/>
      <c r="N34" s="13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3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3" t="e">
        <f t="shared" ca="1" si="33"/>
        <v>#NAME?</v>
      </c>
      <c r="W34" s="4"/>
      <c r="X34" s="4" t="e">
        <f t="shared" ca="1" si="34"/>
        <v>#NAME?</v>
      </c>
      <c r="Y34" s="4"/>
      <c r="Z34" s="13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5</v>
      </c>
      <c r="C36" s="29"/>
      <c r="D36" s="34" t="e">
        <f ca="1">SUM(D31:D35)</f>
        <v>#NAME?</v>
      </c>
      <c r="E36" s="14"/>
      <c r="F36" s="31" t="e">
        <f ca="1">IF(D$12=0,0,D36/D$12)</f>
        <v>#NAME?</v>
      </c>
      <c r="G36" s="14"/>
      <c r="H36" s="34" t="e">
        <f ca="1">SUM(H31:H35)</f>
        <v>#NAME?</v>
      </c>
      <c r="I36" s="14"/>
      <c r="J36" s="31" t="e">
        <f ca="1">IF(H$12=0,0,H36/H$12)</f>
        <v>#NAME?</v>
      </c>
      <c r="K36" s="16"/>
      <c r="L36" s="34" t="e">
        <f ca="1">+D36-H36</f>
        <v>#NAME?</v>
      </c>
      <c r="M36" s="16"/>
      <c r="N36" s="31" t="e">
        <f ca="1">IF(H36=0,0,L36/H36)</f>
        <v>#NAME?</v>
      </c>
      <c r="O36" s="28"/>
      <c r="P36" s="34" t="e">
        <f ca="1">SUM(P31:P35)</f>
        <v>#NAME?</v>
      </c>
      <c r="Q36" s="14"/>
      <c r="R36" s="31" t="e">
        <f ca="1">IF(P$12=0,0,P36/P$12)</f>
        <v>#NAME?</v>
      </c>
      <c r="S36" s="14"/>
      <c r="T36" s="34" t="e">
        <f ca="1">SUM(T31:T35)</f>
        <v>#NAME?</v>
      </c>
      <c r="U36" s="14"/>
      <c r="V36" s="31" t="e">
        <f ca="1">IF(T$12=0,0,T36/T$12)</f>
        <v>#NAME?</v>
      </c>
      <c r="W36" s="16"/>
      <c r="X36" s="34" t="e">
        <f ca="1">+P36-T36</f>
        <v>#NAME?</v>
      </c>
      <c r="Y36" s="16"/>
      <c r="Z36" s="31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59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56" t="e">
        <f ca="1">_xll.OneStop.ReportPlayer.OSRFunctions.OSRGet("User","UserId")</f>
        <v>#NAME?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54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63" t="s">
        <v>13</v>
      </c>
    </row>
    <row r="3" spans="1:26" x14ac:dyDescent="0.25">
      <c r="D3" s="63" t="s">
        <v>296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61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63" t="e">
        <f ca="1">CONCATENATE("Period ",RIGHT(_xll.OneStop.ReportPlayer.OSRFunctions.OSRGet("Period","PeriodId"),2),", ",_xll.OneStop.ReportPlayer.OSRFunctions.OSRGet("Period","Year"))</f>
        <v>#NAME?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61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5" t="e">
        <f ca="1">_xll.OneStop.ReportPlayer.OSRFunctions.OSRGet("Period","PeriodEnd")</f>
        <v>#NAME?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61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51"/>
      <c r="C6" s="51"/>
      <c r="D6" s="23" t="s">
        <v>303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57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5" t="s">
        <v>294</v>
      </c>
      <c r="E9" s="15"/>
      <c r="F9" s="38"/>
      <c r="G9" s="15"/>
      <c r="H9" s="15"/>
      <c r="I9" s="15"/>
      <c r="J9" s="46"/>
      <c r="K9" s="15"/>
      <c r="L9" s="15"/>
      <c r="M9" s="15"/>
      <c r="N9" s="38"/>
      <c r="P9" s="15" t="s">
        <v>295</v>
      </c>
      <c r="Q9" s="15"/>
      <c r="R9" s="38"/>
      <c r="S9" s="15"/>
      <c r="T9" s="15"/>
      <c r="U9" s="15"/>
      <c r="V9" s="46"/>
      <c r="W9" s="15"/>
      <c r="X9" s="15"/>
      <c r="Y9" s="15"/>
      <c r="Z9" s="38"/>
    </row>
    <row r="10" spans="1:26" x14ac:dyDescent="0.25">
      <c r="A10" s="10"/>
      <c r="B10" s="55"/>
      <c r="C10" s="10"/>
      <c r="D10" s="43" t="s">
        <v>10</v>
      </c>
      <c r="E10" s="33"/>
      <c r="F10" s="40" t="s">
        <v>15</v>
      </c>
      <c r="G10" s="33"/>
      <c r="H10" s="47" t="s">
        <v>11</v>
      </c>
      <c r="I10" s="33"/>
      <c r="J10" s="45" t="s">
        <v>16</v>
      </c>
      <c r="K10" s="10"/>
      <c r="L10" s="43" t="s">
        <v>12</v>
      </c>
      <c r="M10" s="10"/>
      <c r="N10" s="40" t="s">
        <v>17</v>
      </c>
      <c r="O10" s="10"/>
      <c r="P10" s="53" t="s">
        <v>10</v>
      </c>
      <c r="Q10" s="33"/>
      <c r="R10" s="40" t="s">
        <v>15</v>
      </c>
      <c r="S10" s="33"/>
      <c r="T10" s="47" t="s">
        <v>11</v>
      </c>
      <c r="U10" s="33"/>
      <c r="V10" s="45" t="s">
        <v>16</v>
      </c>
      <c r="W10" s="10"/>
      <c r="X10" s="43" t="s">
        <v>12</v>
      </c>
      <c r="Y10" s="10"/>
      <c r="Z10" s="40" t="s">
        <v>17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 t="e">
        <f ca="1">SUM(_xll.OneStop.ReportPlayer.OSRFunctions.OSRRef(D13))</f>
        <v>#NAME?</v>
      </c>
      <c r="E12" s="4"/>
      <c r="F12" s="13"/>
      <c r="G12" s="4"/>
      <c r="H12" s="4" t="e">
        <f ca="1">SUM(_xll.OneStop.ReportPlayer.OSRFunctions.OSRRef(H13))</f>
        <v>#NAME?</v>
      </c>
      <c r="I12" s="4"/>
      <c r="J12" s="13"/>
      <c r="K12" s="4"/>
      <c r="L12" s="4" t="e">
        <f t="shared" ref="L12:L13" ca="1" si="0">+D12-H12</f>
        <v>#NAME?</v>
      </c>
      <c r="M12" s="4"/>
      <c r="N12" s="13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3"/>
      <c r="S12" s="4"/>
      <c r="T12" s="4" t="e">
        <f ca="1">SUM(_xll.OneStop.ReportPlayer.OSRFunctions.OSRRef(T13))</f>
        <v>#NAME?</v>
      </c>
      <c r="U12" s="4"/>
      <c r="V12" s="13"/>
      <c r="W12" s="4"/>
      <c r="X12" s="4" t="e">
        <f t="shared" ref="X12:X13" ca="1" si="2">+P12-T12</f>
        <v>#NAME?</v>
      </c>
      <c r="Y12" s="4"/>
      <c r="Z12" s="13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8</v>
      </c>
      <c r="C15" s="10"/>
      <c r="D15" s="4" t="e">
        <f ca="1">SUM(_xll.OneStop.ReportPlayer.OSRFunctions.OSRRef(D16))</f>
        <v>#NAME?</v>
      </c>
      <c r="E15" s="4"/>
      <c r="F15" s="13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3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3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3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3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3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6</v>
      </c>
      <c r="C18" s="29"/>
      <c r="D18" s="20" t="e">
        <f ca="1">D12-D15</f>
        <v>#NAME?</v>
      </c>
      <c r="E18" s="14"/>
      <c r="F18" s="22" t="e">
        <f ca="1">IF(D$12=0,0,D18/D$12)</f>
        <v>#NAME?</v>
      </c>
      <c r="G18" s="14"/>
      <c r="H18" s="20" t="e">
        <f ca="1">H12-H15</f>
        <v>#NAME?</v>
      </c>
      <c r="I18" s="14"/>
      <c r="J18" s="22" t="e">
        <f ca="1">IF(H$12=0,0,H18/H$12)</f>
        <v>#NAME?</v>
      </c>
      <c r="K18" s="16"/>
      <c r="L18" s="20" t="e">
        <f ca="1">+D18-H18</f>
        <v>#NAME?</v>
      </c>
      <c r="M18" s="16"/>
      <c r="N18" s="22" t="e">
        <f ca="1">IF(H18=0,0,L18/H18)</f>
        <v>#NAME?</v>
      </c>
      <c r="O18" s="28"/>
      <c r="P18" s="20" t="e">
        <f ca="1">P12-P15</f>
        <v>#NAME?</v>
      </c>
      <c r="Q18" s="14"/>
      <c r="R18" s="22" t="e">
        <f ca="1">IF(P$12=0,0,P18/P$12)</f>
        <v>#NAME?</v>
      </c>
      <c r="S18" s="14"/>
      <c r="T18" s="20" t="e">
        <f ca="1">T12-T15</f>
        <v>#NAME?</v>
      </c>
      <c r="U18" s="14"/>
      <c r="V18" s="22" t="e">
        <f ca="1">IF(T$12=0,0,T18/T$12)</f>
        <v>#NAME?</v>
      </c>
      <c r="W18" s="16"/>
      <c r="X18" s="20" t="e">
        <f ca="1">+P18-T18</f>
        <v>#NAME?</v>
      </c>
      <c r="Y18" s="16"/>
      <c r="Z18" s="22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9</v>
      </c>
      <c r="C20" s="10"/>
      <c r="D20" s="21" t="e">
        <f ca="1">SUM(_xll.OneStop.ReportPlayer.OSRFunctions.OSRRef(D22))</f>
        <v>#NAME?</v>
      </c>
      <c r="E20" s="21"/>
      <c r="F20" s="30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0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0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0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0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0" t="e">
        <f t="shared" ref="Z20:Z22" ca="1" si="19">IF(T20=0,0,X20/T20)</f>
        <v>#NAME?</v>
      </c>
    </row>
    <row r="21" spans="1:26" s="27" customFormat="1" outlineLevel="1" collapsed="1" x14ac:dyDescent="0.25">
      <c r="A21" s="25"/>
      <c r="B21" s="12" t="e">
        <f ca="1">CONCATENATE("     ",_xll.OneStop.ReportPlayer.OSRFunctions.OSRGet("d_Account","AccountCategory"))</f>
        <v>#NAME?</v>
      </c>
      <c r="C21" s="12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2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6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62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8" t="s">
        <v>0</v>
      </c>
      <c r="C24" s="10"/>
      <c r="D24" s="4" t="e">
        <f ca="1">SUM(_xll.OneStop.ReportPlayer.OSRFunctions.OSRRef(D25))</f>
        <v>#NAME?</v>
      </c>
      <c r="E24" s="4"/>
      <c r="F24" s="13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3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3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3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3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3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3</v>
      </c>
      <c r="C27" s="29"/>
      <c r="D27" s="20" t="e">
        <f ca="1">+D18-D20+D24</f>
        <v>#NAME?</v>
      </c>
      <c r="E27" s="14"/>
      <c r="F27" s="22" t="e">
        <f ca="1">IF(D$12=0,0,D27/D$12)</f>
        <v>#NAME?</v>
      </c>
      <c r="G27" s="14"/>
      <c r="H27" s="20" t="e">
        <f ca="1">+H18-H20+H24</f>
        <v>#NAME?</v>
      </c>
      <c r="I27" s="14"/>
      <c r="J27" s="22" t="e">
        <f ca="1">IF(H$12=0,0,H27/H$12)</f>
        <v>#NAME?</v>
      </c>
      <c r="K27" s="16"/>
      <c r="L27" s="20" t="e">
        <f ca="1">+D27-H27</f>
        <v>#NAME?</v>
      </c>
      <c r="M27" s="16"/>
      <c r="N27" s="22" t="e">
        <f ca="1">IF(H27=0,0,L27/H27)</f>
        <v>#NAME?</v>
      </c>
      <c r="O27" s="28"/>
      <c r="P27" s="20" t="e">
        <f ca="1">+P18-P20+P24</f>
        <v>#NAME?</v>
      </c>
      <c r="Q27" s="14"/>
      <c r="R27" s="22" t="e">
        <f ca="1">IF(P$12=0,0,P27/P$12)</f>
        <v>#NAME?</v>
      </c>
      <c r="S27" s="14"/>
      <c r="T27" s="20" t="e">
        <f ca="1">+T18-T20+T24</f>
        <v>#NAME?</v>
      </c>
      <c r="U27" s="14"/>
      <c r="V27" s="22" t="e">
        <f ca="1">IF(T$12=0,0,T27/T$12)</f>
        <v>#NAME?</v>
      </c>
      <c r="W27" s="16"/>
      <c r="X27" s="20" t="e">
        <f ca="1">+P27-T27</f>
        <v>#NAME?</v>
      </c>
      <c r="Y27" s="16"/>
      <c r="Z27" s="22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3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3" t="e">
        <f ca="1">IF(H$12=0,0,H29/H$12)</f>
        <v>#NAME?</v>
      </c>
      <c r="K29" s="4"/>
      <c r="L29" s="4" t="e">
        <f ca="1">+D29-H29</f>
        <v>#NAME?</v>
      </c>
      <c r="M29" s="4"/>
      <c r="N29" s="13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3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3" t="e">
        <f ca="1">IF(T$12=0,0,T29/T$12)</f>
        <v>#NAME?</v>
      </c>
      <c r="W29" s="4"/>
      <c r="X29" s="4" t="e">
        <f ca="1">+P29-T29</f>
        <v>#NAME?</v>
      </c>
      <c r="Y29" s="4"/>
      <c r="Z29" s="13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4</v>
      </c>
      <c r="C31" s="29"/>
      <c r="D31" s="35" t="e">
        <f ca="1">+D27-D29</f>
        <v>#NAME?</v>
      </c>
      <c r="E31" s="14"/>
      <c r="F31" s="32" t="e">
        <f ca="1">IF(D$12=0,0,D31/D$12)</f>
        <v>#NAME?</v>
      </c>
      <c r="G31" s="14"/>
      <c r="H31" s="35" t="e">
        <f ca="1">+H27-H29</f>
        <v>#NAME?</v>
      </c>
      <c r="I31" s="14"/>
      <c r="J31" s="32" t="e">
        <f ca="1">IF(H$12=0,0,H31/H$12)</f>
        <v>#NAME?</v>
      </c>
      <c r="K31" s="16"/>
      <c r="L31" s="35" t="e">
        <f ca="1">D31-H31</f>
        <v>#NAME?</v>
      </c>
      <c r="M31" s="16"/>
      <c r="N31" s="32" t="e">
        <f ca="1">IF(H31=0,0,L31/H31)</f>
        <v>#NAME?</v>
      </c>
      <c r="O31" s="28"/>
      <c r="P31" s="35" t="e">
        <f ca="1">+P27-P29</f>
        <v>#NAME?</v>
      </c>
      <c r="Q31" s="14"/>
      <c r="R31" s="32" t="e">
        <f ca="1">IF(P$12=0,0,P31/P$12)</f>
        <v>#NAME?</v>
      </c>
      <c r="S31" s="14"/>
      <c r="T31" s="35" t="e">
        <f ca="1">+T27-T29</f>
        <v>#NAME?</v>
      </c>
      <c r="U31" s="14"/>
      <c r="V31" s="32" t="e">
        <f ca="1">IF(T$12=0,0,T31/T$12)</f>
        <v>#NAME?</v>
      </c>
      <c r="W31" s="16"/>
      <c r="X31" s="35" t="e">
        <f ca="1">P31-T31</f>
        <v>#NAME?</v>
      </c>
      <c r="Y31" s="16"/>
      <c r="Z31" s="32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3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3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3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3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3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3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3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3" t="e">
        <f t="shared" ca="1" si="29"/>
        <v>#NAME?</v>
      </c>
      <c r="K34" s="4"/>
      <c r="L34" s="4" t="e">
        <f t="shared" ca="1" si="30"/>
        <v>#NAME?</v>
      </c>
      <c r="M34" s="4"/>
      <c r="N34" s="13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3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3" t="e">
        <f t="shared" ca="1" si="33"/>
        <v>#NAME?</v>
      </c>
      <c r="W34" s="4"/>
      <c r="X34" s="4" t="e">
        <f t="shared" ca="1" si="34"/>
        <v>#NAME?</v>
      </c>
      <c r="Y34" s="4"/>
      <c r="Z34" s="13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5</v>
      </c>
      <c r="C36" s="29"/>
      <c r="D36" s="34" t="e">
        <f ca="1">SUM(D31:D35)</f>
        <v>#NAME?</v>
      </c>
      <c r="E36" s="14"/>
      <c r="F36" s="31" t="e">
        <f ca="1">IF(D$12=0,0,D36/D$12)</f>
        <v>#NAME?</v>
      </c>
      <c r="G36" s="14"/>
      <c r="H36" s="34" t="e">
        <f ca="1">SUM(H31:H35)</f>
        <v>#NAME?</v>
      </c>
      <c r="I36" s="14"/>
      <c r="J36" s="31" t="e">
        <f ca="1">IF(H$12=0,0,H36/H$12)</f>
        <v>#NAME?</v>
      </c>
      <c r="K36" s="16"/>
      <c r="L36" s="34" t="e">
        <f ca="1">+D36-H36</f>
        <v>#NAME?</v>
      </c>
      <c r="M36" s="16"/>
      <c r="N36" s="31" t="e">
        <f ca="1">IF(H36=0,0,L36/H36)</f>
        <v>#NAME?</v>
      </c>
      <c r="O36" s="28"/>
      <c r="P36" s="34" t="e">
        <f ca="1">SUM(P31:P35)</f>
        <v>#NAME?</v>
      </c>
      <c r="Q36" s="14"/>
      <c r="R36" s="31" t="e">
        <f ca="1">IF(P$12=0,0,P36/P$12)</f>
        <v>#NAME?</v>
      </c>
      <c r="S36" s="14"/>
      <c r="T36" s="34" t="e">
        <f ca="1">SUM(T31:T35)</f>
        <v>#NAME?</v>
      </c>
      <c r="U36" s="14"/>
      <c r="V36" s="31" t="e">
        <f ca="1">IF(T$12=0,0,T36/T$12)</f>
        <v>#NAME?</v>
      </c>
      <c r="W36" s="16"/>
      <c r="X36" s="34" t="e">
        <f ca="1">+P36-T36</f>
        <v>#NAME?</v>
      </c>
      <c r="Y36" s="16"/>
      <c r="Z36" s="31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59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56" t="e">
        <f ca="1">_xll.OneStop.ReportPlayer.OSRFunctions.OSRGet("User","UserId")</f>
        <v>#NAME?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54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63" t="s">
        <v>13</v>
      </c>
    </row>
    <row r="3" spans="1:26" x14ac:dyDescent="0.25">
      <c r="D3" s="63" t="s">
        <v>296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61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63" t="e">
        <f ca="1">CONCATENATE("Period ",RIGHT(_xll.OneStop.ReportPlayer.OSRFunctions.OSRGet("Period","PeriodId"),2),", ",_xll.OneStop.ReportPlayer.OSRFunctions.OSRGet("Period","Year"))</f>
        <v>#NAME?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61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5" t="e">
        <f ca="1">_xll.OneStop.ReportPlayer.OSRFunctions.OSRGet("Period","PeriodEnd")</f>
        <v>#NAME?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61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51"/>
      <c r="C6" s="51"/>
      <c r="D6" s="23" t="s">
        <v>304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57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5" t="s">
        <v>294</v>
      </c>
      <c r="E9" s="15"/>
      <c r="F9" s="38"/>
      <c r="G9" s="15"/>
      <c r="H9" s="15"/>
      <c r="I9" s="15"/>
      <c r="J9" s="46"/>
      <c r="K9" s="15"/>
      <c r="L9" s="15"/>
      <c r="M9" s="15"/>
      <c r="N9" s="38"/>
      <c r="P9" s="15" t="s">
        <v>295</v>
      </c>
      <c r="Q9" s="15"/>
      <c r="R9" s="38"/>
      <c r="S9" s="15"/>
      <c r="T9" s="15"/>
      <c r="U9" s="15"/>
      <c r="V9" s="46"/>
      <c r="W9" s="15"/>
      <c r="X9" s="15"/>
      <c r="Y9" s="15"/>
      <c r="Z9" s="38"/>
    </row>
    <row r="10" spans="1:26" x14ac:dyDescent="0.25">
      <c r="A10" s="10"/>
      <c r="B10" s="55"/>
      <c r="C10" s="10"/>
      <c r="D10" s="43" t="s">
        <v>10</v>
      </c>
      <c r="E10" s="33"/>
      <c r="F10" s="40" t="s">
        <v>15</v>
      </c>
      <c r="G10" s="33"/>
      <c r="H10" s="47" t="s">
        <v>11</v>
      </c>
      <c r="I10" s="33"/>
      <c r="J10" s="45" t="s">
        <v>16</v>
      </c>
      <c r="K10" s="10"/>
      <c r="L10" s="43" t="s">
        <v>12</v>
      </c>
      <c r="M10" s="10"/>
      <c r="N10" s="40" t="s">
        <v>17</v>
      </c>
      <c r="O10" s="10"/>
      <c r="P10" s="53" t="s">
        <v>10</v>
      </c>
      <c r="Q10" s="33"/>
      <c r="R10" s="40" t="s">
        <v>15</v>
      </c>
      <c r="S10" s="33"/>
      <c r="T10" s="47" t="s">
        <v>11</v>
      </c>
      <c r="U10" s="33"/>
      <c r="V10" s="45" t="s">
        <v>16</v>
      </c>
      <c r="W10" s="10"/>
      <c r="X10" s="43" t="s">
        <v>12</v>
      </c>
      <c r="Y10" s="10"/>
      <c r="Z10" s="40" t="s">
        <v>17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 t="e">
        <f ca="1">SUM(_xll.OneStop.ReportPlayer.OSRFunctions.OSRRef(D13))</f>
        <v>#NAME?</v>
      </c>
      <c r="E12" s="4"/>
      <c r="F12" s="13"/>
      <c r="G12" s="4"/>
      <c r="H12" s="4" t="e">
        <f ca="1">SUM(_xll.OneStop.ReportPlayer.OSRFunctions.OSRRef(H13))</f>
        <v>#NAME?</v>
      </c>
      <c r="I12" s="4"/>
      <c r="J12" s="13"/>
      <c r="K12" s="4"/>
      <c r="L12" s="4" t="e">
        <f t="shared" ref="L12:L13" ca="1" si="0">+D12-H12</f>
        <v>#NAME?</v>
      </c>
      <c r="M12" s="4"/>
      <c r="N12" s="13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3"/>
      <c r="S12" s="4"/>
      <c r="T12" s="4" t="e">
        <f ca="1">SUM(_xll.OneStop.ReportPlayer.OSRFunctions.OSRRef(T13))</f>
        <v>#NAME?</v>
      </c>
      <c r="U12" s="4"/>
      <c r="V12" s="13"/>
      <c r="W12" s="4"/>
      <c r="X12" s="4" t="e">
        <f t="shared" ref="X12:X13" ca="1" si="2">+P12-T12</f>
        <v>#NAME?</v>
      </c>
      <c r="Y12" s="4"/>
      <c r="Z12" s="13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8</v>
      </c>
      <c r="C15" s="10"/>
      <c r="D15" s="4" t="e">
        <f ca="1">SUM(_xll.OneStop.ReportPlayer.OSRFunctions.OSRRef(D16))</f>
        <v>#NAME?</v>
      </c>
      <c r="E15" s="4"/>
      <c r="F15" s="13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3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3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3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3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3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6</v>
      </c>
      <c r="C18" s="29"/>
      <c r="D18" s="20" t="e">
        <f ca="1">D12-D15</f>
        <v>#NAME?</v>
      </c>
      <c r="E18" s="14"/>
      <c r="F18" s="22" t="e">
        <f ca="1">IF(D$12=0,0,D18/D$12)</f>
        <v>#NAME?</v>
      </c>
      <c r="G18" s="14"/>
      <c r="H18" s="20" t="e">
        <f ca="1">H12-H15</f>
        <v>#NAME?</v>
      </c>
      <c r="I18" s="14"/>
      <c r="J18" s="22" t="e">
        <f ca="1">IF(H$12=0,0,H18/H$12)</f>
        <v>#NAME?</v>
      </c>
      <c r="K18" s="16"/>
      <c r="L18" s="20" t="e">
        <f ca="1">+D18-H18</f>
        <v>#NAME?</v>
      </c>
      <c r="M18" s="16"/>
      <c r="N18" s="22" t="e">
        <f ca="1">IF(H18=0,0,L18/H18)</f>
        <v>#NAME?</v>
      </c>
      <c r="O18" s="28"/>
      <c r="P18" s="20" t="e">
        <f ca="1">P12-P15</f>
        <v>#NAME?</v>
      </c>
      <c r="Q18" s="14"/>
      <c r="R18" s="22" t="e">
        <f ca="1">IF(P$12=0,0,P18/P$12)</f>
        <v>#NAME?</v>
      </c>
      <c r="S18" s="14"/>
      <c r="T18" s="20" t="e">
        <f ca="1">T12-T15</f>
        <v>#NAME?</v>
      </c>
      <c r="U18" s="14"/>
      <c r="V18" s="22" t="e">
        <f ca="1">IF(T$12=0,0,T18/T$12)</f>
        <v>#NAME?</v>
      </c>
      <c r="W18" s="16"/>
      <c r="X18" s="20" t="e">
        <f ca="1">+P18-T18</f>
        <v>#NAME?</v>
      </c>
      <c r="Y18" s="16"/>
      <c r="Z18" s="22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9</v>
      </c>
      <c r="C20" s="10"/>
      <c r="D20" s="21" t="e">
        <f ca="1">SUM(_xll.OneStop.ReportPlayer.OSRFunctions.OSRRef(D22))</f>
        <v>#NAME?</v>
      </c>
      <c r="E20" s="21"/>
      <c r="F20" s="30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0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0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0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0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0" t="e">
        <f t="shared" ref="Z20:Z22" ca="1" si="19">IF(T20=0,0,X20/T20)</f>
        <v>#NAME?</v>
      </c>
    </row>
    <row r="21" spans="1:26" s="27" customFormat="1" outlineLevel="1" collapsed="1" x14ac:dyDescent="0.25">
      <c r="A21" s="25"/>
      <c r="B21" s="12" t="e">
        <f ca="1">CONCATENATE("     ",_xll.OneStop.ReportPlayer.OSRFunctions.OSRGet("d_Account","AccountCategory"))</f>
        <v>#NAME?</v>
      </c>
      <c r="C21" s="12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2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6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62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8" t="s">
        <v>0</v>
      </c>
      <c r="C24" s="10"/>
      <c r="D24" s="4" t="e">
        <f ca="1">SUM(_xll.OneStop.ReportPlayer.OSRFunctions.OSRRef(D25))</f>
        <v>#NAME?</v>
      </c>
      <c r="E24" s="4"/>
      <c r="F24" s="13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3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3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3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3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3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3</v>
      </c>
      <c r="C27" s="29"/>
      <c r="D27" s="20" t="e">
        <f ca="1">+D18-D20+D24</f>
        <v>#NAME?</v>
      </c>
      <c r="E27" s="14"/>
      <c r="F27" s="22" t="e">
        <f ca="1">IF(D$12=0,0,D27/D$12)</f>
        <v>#NAME?</v>
      </c>
      <c r="G27" s="14"/>
      <c r="H27" s="20" t="e">
        <f ca="1">+H18-H20+H24</f>
        <v>#NAME?</v>
      </c>
      <c r="I27" s="14"/>
      <c r="J27" s="22" t="e">
        <f ca="1">IF(H$12=0,0,H27/H$12)</f>
        <v>#NAME?</v>
      </c>
      <c r="K27" s="16"/>
      <c r="L27" s="20" t="e">
        <f ca="1">+D27-H27</f>
        <v>#NAME?</v>
      </c>
      <c r="M27" s="16"/>
      <c r="N27" s="22" t="e">
        <f ca="1">IF(H27=0,0,L27/H27)</f>
        <v>#NAME?</v>
      </c>
      <c r="O27" s="28"/>
      <c r="P27" s="20" t="e">
        <f ca="1">+P18-P20+P24</f>
        <v>#NAME?</v>
      </c>
      <c r="Q27" s="14"/>
      <c r="R27" s="22" t="e">
        <f ca="1">IF(P$12=0,0,P27/P$12)</f>
        <v>#NAME?</v>
      </c>
      <c r="S27" s="14"/>
      <c r="T27" s="20" t="e">
        <f ca="1">+T18-T20+T24</f>
        <v>#NAME?</v>
      </c>
      <c r="U27" s="14"/>
      <c r="V27" s="22" t="e">
        <f ca="1">IF(T$12=0,0,T27/T$12)</f>
        <v>#NAME?</v>
      </c>
      <c r="W27" s="16"/>
      <c r="X27" s="20" t="e">
        <f ca="1">+P27-T27</f>
        <v>#NAME?</v>
      </c>
      <c r="Y27" s="16"/>
      <c r="Z27" s="22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3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3" t="e">
        <f ca="1">IF(H$12=0,0,H29/H$12)</f>
        <v>#NAME?</v>
      </c>
      <c r="K29" s="4"/>
      <c r="L29" s="4" t="e">
        <f ca="1">+D29-H29</f>
        <v>#NAME?</v>
      </c>
      <c r="M29" s="4"/>
      <c r="N29" s="13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3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3" t="e">
        <f ca="1">IF(T$12=0,0,T29/T$12)</f>
        <v>#NAME?</v>
      </c>
      <c r="W29" s="4"/>
      <c r="X29" s="4" t="e">
        <f ca="1">+P29-T29</f>
        <v>#NAME?</v>
      </c>
      <c r="Y29" s="4"/>
      <c r="Z29" s="13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4</v>
      </c>
      <c r="C31" s="29"/>
      <c r="D31" s="35" t="e">
        <f ca="1">+D27-D29</f>
        <v>#NAME?</v>
      </c>
      <c r="E31" s="14"/>
      <c r="F31" s="32" t="e">
        <f ca="1">IF(D$12=0,0,D31/D$12)</f>
        <v>#NAME?</v>
      </c>
      <c r="G31" s="14"/>
      <c r="H31" s="35" t="e">
        <f ca="1">+H27-H29</f>
        <v>#NAME?</v>
      </c>
      <c r="I31" s="14"/>
      <c r="J31" s="32" t="e">
        <f ca="1">IF(H$12=0,0,H31/H$12)</f>
        <v>#NAME?</v>
      </c>
      <c r="K31" s="16"/>
      <c r="L31" s="35" t="e">
        <f ca="1">D31-H31</f>
        <v>#NAME?</v>
      </c>
      <c r="M31" s="16"/>
      <c r="N31" s="32" t="e">
        <f ca="1">IF(H31=0,0,L31/H31)</f>
        <v>#NAME?</v>
      </c>
      <c r="O31" s="28"/>
      <c r="P31" s="35" t="e">
        <f ca="1">+P27-P29</f>
        <v>#NAME?</v>
      </c>
      <c r="Q31" s="14"/>
      <c r="R31" s="32" t="e">
        <f ca="1">IF(P$12=0,0,P31/P$12)</f>
        <v>#NAME?</v>
      </c>
      <c r="S31" s="14"/>
      <c r="T31" s="35" t="e">
        <f ca="1">+T27-T29</f>
        <v>#NAME?</v>
      </c>
      <c r="U31" s="14"/>
      <c r="V31" s="32" t="e">
        <f ca="1">IF(T$12=0,0,T31/T$12)</f>
        <v>#NAME?</v>
      </c>
      <c r="W31" s="16"/>
      <c r="X31" s="35" t="e">
        <f ca="1">P31-T31</f>
        <v>#NAME?</v>
      </c>
      <c r="Y31" s="16"/>
      <c r="Z31" s="32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3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3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3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3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3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3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3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3" t="e">
        <f t="shared" ca="1" si="29"/>
        <v>#NAME?</v>
      </c>
      <c r="K34" s="4"/>
      <c r="L34" s="4" t="e">
        <f t="shared" ca="1" si="30"/>
        <v>#NAME?</v>
      </c>
      <c r="M34" s="4"/>
      <c r="N34" s="13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3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3" t="e">
        <f t="shared" ca="1" si="33"/>
        <v>#NAME?</v>
      </c>
      <c r="W34" s="4"/>
      <c r="X34" s="4" t="e">
        <f t="shared" ca="1" si="34"/>
        <v>#NAME?</v>
      </c>
      <c r="Y34" s="4"/>
      <c r="Z34" s="13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5</v>
      </c>
      <c r="C36" s="29"/>
      <c r="D36" s="34" t="e">
        <f ca="1">SUM(D31:D35)</f>
        <v>#NAME?</v>
      </c>
      <c r="E36" s="14"/>
      <c r="F36" s="31" t="e">
        <f ca="1">IF(D$12=0,0,D36/D$12)</f>
        <v>#NAME?</v>
      </c>
      <c r="G36" s="14"/>
      <c r="H36" s="34" t="e">
        <f ca="1">SUM(H31:H35)</f>
        <v>#NAME?</v>
      </c>
      <c r="I36" s="14"/>
      <c r="J36" s="31" t="e">
        <f ca="1">IF(H$12=0,0,H36/H$12)</f>
        <v>#NAME?</v>
      </c>
      <c r="K36" s="16"/>
      <c r="L36" s="34" t="e">
        <f ca="1">+D36-H36</f>
        <v>#NAME?</v>
      </c>
      <c r="M36" s="16"/>
      <c r="N36" s="31" t="e">
        <f ca="1">IF(H36=0,0,L36/H36)</f>
        <v>#NAME?</v>
      </c>
      <c r="O36" s="28"/>
      <c r="P36" s="34" t="e">
        <f ca="1">SUM(P31:P35)</f>
        <v>#NAME?</v>
      </c>
      <c r="Q36" s="14"/>
      <c r="R36" s="31" t="e">
        <f ca="1">IF(P$12=0,0,P36/P$12)</f>
        <v>#NAME?</v>
      </c>
      <c r="S36" s="14"/>
      <c r="T36" s="34" t="e">
        <f ca="1">SUM(T31:T35)</f>
        <v>#NAME?</v>
      </c>
      <c r="U36" s="14"/>
      <c r="V36" s="31" t="e">
        <f ca="1">IF(T$12=0,0,T36/T$12)</f>
        <v>#NAME?</v>
      </c>
      <c r="W36" s="16"/>
      <c r="X36" s="34" t="e">
        <f ca="1">+P36-T36</f>
        <v>#NAME?</v>
      </c>
      <c r="Y36" s="16"/>
      <c r="Z36" s="31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59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56" t="e">
        <f ca="1">_xll.OneStop.ReportPlayer.OSRFunctions.OSRGet("User","UserId")</f>
        <v>#NAME?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54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63" t="s">
        <v>13</v>
      </c>
    </row>
    <row r="3" spans="1:26" x14ac:dyDescent="0.25">
      <c r="D3" s="63" t="s">
        <v>296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61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63" t="e">
        <f ca="1">CONCATENATE("Period ",RIGHT(_xll.OneStop.ReportPlayer.OSRFunctions.OSRGet("Period","PeriodId"),2),", ",_xll.OneStop.ReportPlayer.OSRFunctions.OSRGet("Period","Year"))</f>
        <v>#NAME?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61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5" t="e">
        <f ca="1">_xll.OneStop.ReportPlayer.OSRFunctions.OSRGet("Period","PeriodEnd")</f>
        <v>#NAME?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61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51"/>
      <c r="C6" s="51"/>
      <c r="D6" s="23" t="s">
        <v>304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57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5" t="s">
        <v>294</v>
      </c>
      <c r="E9" s="15"/>
      <c r="F9" s="38"/>
      <c r="G9" s="15"/>
      <c r="H9" s="15"/>
      <c r="I9" s="15"/>
      <c r="J9" s="46"/>
      <c r="K9" s="15"/>
      <c r="L9" s="15"/>
      <c r="M9" s="15"/>
      <c r="N9" s="38"/>
      <c r="P9" s="15" t="s">
        <v>295</v>
      </c>
      <c r="Q9" s="15"/>
      <c r="R9" s="38"/>
      <c r="S9" s="15"/>
      <c r="T9" s="15"/>
      <c r="U9" s="15"/>
      <c r="V9" s="46"/>
      <c r="W9" s="15"/>
      <c r="X9" s="15"/>
      <c r="Y9" s="15"/>
      <c r="Z9" s="38"/>
    </row>
    <row r="10" spans="1:26" x14ac:dyDescent="0.25">
      <c r="A10" s="10"/>
      <c r="B10" s="55"/>
      <c r="C10" s="10"/>
      <c r="D10" s="43" t="s">
        <v>10</v>
      </c>
      <c r="E10" s="33"/>
      <c r="F10" s="40" t="s">
        <v>15</v>
      </c>
      <c r="G10" s="33"/>
      <c r="H10" s="47" t="s">
        <v>11</v>
      </c>
      <c r="I10" s="33"/>
      <c r="J10" s="45" t="s">
        <v>16</v>
      </c>
      <c r="K10" s="10"/>
      <c r="L10" s="43" t="s">
        <v>12</v>
      </c>
      <c r="M10" s="10"/>
      <c r="N10" s="40" t="s">
        <v>17</v>
      </c>
      <c r="O10" s="10"/>
      <c r="P10" s="53" t="s">
        <v>10</v>
      </c>
      <c r="Q10" s="33"/>
      <c r="R10" s="40" t="s">
        <v>15</v>
      </c>
      <c r="S10" s="33"/>
      <c r="T10" s="47" t="s">
        <v>11</v>
      </c>
      <c r="U10" s="33"/>
      <c r="V10" s="45" t="s">
        <v>16</v>
      </c>
      <c r="W10" s="10"/>
      <c r="X10" s="43" t="s">
        <v>12</v>
      </c>
      <c r="Y10" s="10"/>
      <c r="Z10" s="40" t="s">
        <v>17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 t="e">
        <f ca="1">SUM(_xll.OneStop.ReportPlayer.OSRFunctions.OSRRef(D13))</f>
        <v>#NAME?</v>
      </c>
      <c r="E12" s="4"/>
      <c r="F12" s="13"/>
      <c r="G12" s="4"/>
      <c r="H12" s="4" t="e">
        <f ca="1">SUM(_xll.OneStop.ReportPlayer.OSRFunctions.OSRRef(H13))</f>
        <v>#NAME?</v>
      </c>
      <c r="I12" s="4"/>
      <c r="J12" s="13"/>
      <c r="K12" s="4"/>
      <c r="L12" s="4" t="e">
        <f t="shared" ref="L12:L13" ca="1" si="0">+D12-H12</f>
        <v>#NAME?</v>
      </c>
      <c r="M12" s="4"/>
      <c r="N12" s="13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3"/>
      <c r="S12" s="4"/>
      <c r="T12" s="4" t="e">
        <f ca="1">SUM(_xll.OneStop.ReportPlayer.OSRFunctions.OSRRef(T13))</f>
        <v>#NAME?</v>
      </c>
      <c r="U12" s="4"/>
      <c r="V12" s="13"/>
      <c r="W12" s="4"/>
      <c r="X12" s="4" t="e">
        <f t="shared" ref="X12:X13" ca="1" si="2">+P12-T12</f>
        <v>#NAME?</v>
      </c>
      <c r="Y12" s="4"/>
      <c r="Z12" s="13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8</v>
      </c>
      <c r="C15" s="10"/>
      <c r="D15" s="4" t="e">
        <f ca="1">SUM(_xll.OneStop.ReportPlayer.OSRFunctions.OSRRef(D16))</f>
        <v>#NAME?</v>
      </c>
      <c r="E15" s="4"/>
      <c r="F15" s="13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3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3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3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3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3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6</v>
      </c>
      <c r="C18" s="29"/>
      <c r="D18" s="20" t="e">
        <f ca="1">D12-D15</f>
        <v>#NAME?</v>
      </c>
      <c r="E18" s="14"/>
      <c r="F18" s="22" t="e">
        <f ca="1">IF(D$12=0,0,D18/D$12)</f>
        <v>#NAME?</v>
      </c>
      <c r="G18" s="14"/>
      <c r="H18" s="20" t="e">
        <f ca="1">H12-H15</f>
        <v>#NAME?</v>
      </c>
      <c r="I18" s="14"/>
      <c r="J18" s="22" t="e">
        <f ca="1">IF(H$12=0,0,H18/H$12)</f>
        <v>#NAME?</v>
      </c>
      <c r="K18" s="16"/>
      <c r="L18" s="20" t="e">
        <f ca="1">+D18-H18</f>
        <v>#NAME?</v>
      </c>
      <c r="M18" s="16"/>
      <c r="N18" s="22" t="e">
        <f ca="1">IF(H18=0,0,L18/H18)</f>
        <v>#NAME?</v>
      </c>
      <c r="O18" s="28"/>
      <c r="P18" s="20" t="e">
        <f ca="1">P12-P15</f>
        <v>#NAME?</v>
      </c>
      <c r="Q18" s="14"/>
      <c r="R18" s="22" t="e">
        <f ca="1">IF(P$12=0,0,P18/P$12)</f>
        <v>#NAME?</v>
      </c>
      <c r="S18" s="14"/>
      <c r="T18" s="20" t="e">
        <f ca="1">T12-T15</f>
        <v>#NAME?</v>
      </c>
      <c r="U18" s="14"/>
      <c r="V18" s="22" t="e">
        <f ca="1">IF(T$12=0,0,T18/T$12)</f>
        <v>#NAME?</v>
      </c>
      <c r="W18" s="16"/>
      <c r="X18" s="20" t="e">
        <f ca="1">+P18-T18</f>
        <v>#NAME?</v>
      </c>
      <c r="Y18" s="16"/>
      <c r="Z18" s="22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9</v>
      </c>
      <c r="C20" s="10"/>
      <c r="D20" s="21" t="e">
        <f ca="1">SUM(_xll.OneStop.ReportPlayer.OSRFunctions.OSRRef(D22))</f>
        <v>#NAME?</v>
      </c>
      <c r="E20" s="21"/>
      <c r="F20" s="30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0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0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0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0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0" t="e">
        <f t="shared" ref="Z20:Z22" ca="1" si="19">IF(T20=0,0,X20/T20)</f>
        <v>#NAME?</v>
      </c>
    </row>
    <row r="21" spans="1:26" s="27" customFormat="1" outlineLevel="1" collapsed="1" x14ac:dyDescent="0.25">
      <c r="A21" s="25"/>
      <c r="B21" s="12" t="e">
        <f ca="1">CONCATENATE("     ",_xll.OneStop.ReportPlayer.OSRFunctions.OSRGet("d_Account","AccountCategory"))</f>
        <v>#NAME?</v>
      </c>
      <c r="C21" s="12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2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6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62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8" t="s">
        <v>0</v>
      </c>
      <c r="C24" s="10"/>
      <c r="D24" s="4" t="e">
        <f ca="1">SUM(_xll.OneStop.ReportPlayer.OSRFunctions.OSRRef(D25))</f>
        <v>#NAME?</v>
      </c>
      <c r="E24" s="4"/>
      <c r="F24" s="13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3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3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3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3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3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3</v>
      </c>
      <c r="C27" s="29"/>
      <c r="D27" s="20" t="e">
        <f ca="1">+D18-D20+D24</f>
        <v>#NAME?</v>
      </c>
      <c r="E27" s="14"/>
      <c r="F27" s="22" t="e">
        <f ca="1">IF(D$12=0,0,D27/D$12)</f>
        <v>#NAME?</v>
      </c>
      <c r="G27" s="14"/>
      <c r="H27" s="20" t="e">
        <f ca="1">+H18-H20+H24</f>
        <v>#NAME?</v>
      </c>
      <c r="I27" s="14"/>
      <c r="J27" s="22" t="e">
        <f ca="1">IF(H$12=0,0,H27/H$12)</f>
        <v>#NAME?</v>
      </c>
      <c r="K27" s="16"/>
      <c r="L27" s="20" t="e">
        <f ca="1">+D27-H27</f>
        <v>#NAME?</v>
      </c>
      <c r="M27" s="16"/>
      <c r="N27" s="22" t="e">
        <f ca="1">IF(H27=0,0,L27/H27)</f>
        <v>#NAME?</v>
      </c>
      <c r="O27" s="28"/>
      <c r="P27" s="20" t="e">
        <f ca="1">+P18-P20+P24</f>
        <v>#NAME?</v>
      </c>
      <c r="Q27" s="14"/>
      <c r="R27" s="22" t="e">
        <f ca="1">IF(P$12=0,0,P27/P$12)</f>
        <v>#NAME?</v>
      </c>
      <c r="S27" s="14"/>
      <c r="T27" s="20" t="e">
        <f ca="1">+T18-T20+T24</f>
        <v>#NAME?</v>
      </c>
      <c r="U27" s="14"/>
      <c r="V27" s="22" t="e">
        <f ca="1">IF(T$12=0,0,T27/T$12)</f>
        <v>#NAME?</v>
      </c>
      <c r="W27" s="16"/>
      <c r="X27" s="20" t="e">
        <f ca="1">+P27-T27</f>
        <v>#NAME?</v>
      </c>
      <c r="Y27" s="16"/>
      <c r="Z27" s="22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3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3" t="e">
        <f ca="1">IF(H$12=0,0,H29/H$12)</f>
        <v>#NAME?</v>
      </c>
      <c r="K29" s="4"/>
      <c r="L29" s="4" t="e">
        <f ca="1">+D29-H29</f>
        <v>#NAME?</v>
      </c>
      <c r="M29" s="4"/>
      <c r="N29" s="13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3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3" t="e">
        <f ca="1">IF(T$12=0,0,T29/T$12)</f>
        <v>#NAME?</v>
      </c>
      <c r="W29" s="4"/>
      <c r="X29" s="4" t="e">
        <f ca="1">+P29-T29</f>
        <v>#NAME?</v>
      </c>
      <c r="Y29" s="4"/>
      <c r="Z29" s="13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4</v>
      </c>
      <c r="C31" s="29"/>
      <c r="D31" s="35" t="e">
        <f ca="1">+D27-D29</f>
        <v>#NAME?</v>
      </c>
      <c r="E31" s="14"/>
      <c r="F31" s="32" t="e">
        <f ca="1">IF(D$12=0,0,D31/D$12)</f>
        <v>#NAME?</v>
      </c>
      <c r="G31" s="14"/>
      <c r="H31" s="35" t="e">
        <f ca="1">+H27-H29</f>
        <v>#NAME?</v>
      </c>
      <c r="I31" s="14"/>
      <c r="J31" s="32" t="e">
        <f ca="1">IF(H$12=0,0,H31/H$12)</f>
        <v>#NAME?</v>
      </c>
      <c r="K31" s="16"/>
      <c r="L31" s="35" t="e">
        <f ca="1">D31-H31</f>
        <v>#NAME?</v>
      </c>
      <c r="M31" s="16"/>
      <c r="N31" s="32" t="e">
        <f ca="1">IF(H31=0,0,L31/H31)</f>
        <v>#NAME?</v>
      </c>
      <c r="O31" s="28"/>
      <c r="P31" s="35" t="e">
        <f ca="1">+P27-P29</f>
        <v>#NAME?</v>
      </c>
      <c r="Q31" s="14"/>
      <c r="R31" s="32" t="e">
        <f ca="1">IF(P$12=0,0,P31/P$12)</f>
        <v>#NAME?</v>
      </c>
      <c r="S31" s="14"/>
      <c r="T31" s="35" t="e">
        <f ca="1">+T27-T29</f>
        <v>#NAME?</v>
      </c>
      <c r="U31" s="14"/>
      <c r="V31" s="32" t="e">
        <f ca="1">IF(T$12=0,0,T31/T$12)</f>
        <v>#NAME?</v>
      </c>
      <c r="W31" s="16"/>
      <c r="X31" s="35" t="e">
        <f ca="1">P31-T31</f>
        <v>#NAME?</v>
      </c>
      <c r="Y31" s="16"/>
      <c r="Z31" s="32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3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3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3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3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3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3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3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3" t="e">
        <f t="shared" ca="1" si="29"/>
        <v>#NAME?</v>
      </c>
      <c r="K34" s="4"/>
      <c r="L34" s="4" t="e">
        <f t="shared" ca="1" si="30"/>
        <v>#NAME?</v>
      </c>
      <c r="M34" s="4"/>
      <c r="N34" s="13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3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3" t="e">
        <f t="shared" ca="1" si="33"/>
        <v>#NAME?</v>
      </c>
      <c r="W34" s="4"/>
      <c r="X34" s="4" t="e">
        <f t="shared" ca="1" si="34"/>
        <v>#NAME?</v>
      </c>
      <c r="Y34" s="4"/>
      <c r="Z34" s="13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5</v>
      </c>
      <c r="C36" s="29"/>
      <c r="D36" s="34" t="e">
        <f ca="1">SUM(D31:D35)</f>
        <v>#NAME?</v>
      </c>
      <c r="E36" s="14"/>
      <c r="F36" s="31" t="e">
        <f ca="1">IF(D$12=0,0,D36/D$12)</f>
        <v>#NAME?</v>
      </c>
      <c r="G36" s="14"/>
      <c r="H36" s="34" t="e">
        <f ca="1">SUM(H31:H35)</f>
        <v>#NAME?</v>
      </c>
      <c r="I36" s="14"/>
      <c r="J36" s="31" t="e">
        <f ca="1">IF(H$12=0,0,H36/H$12)</f>
        <v>#NAME?</v>
      </c>
      <c r="K36" s="16"/>
      <c r="L36" s="34" t="e">
        <f ca="1">+D36-H36</f>
        <v>#NAME?</v>
      </c>
      <c r="M36" s="16"/>
      <c r="N36" s="31" t="e">
        <f ca="1">IF(H36=0,0,L36/H36)</f>
        <v>#NAME?</v>
      </c>
      <c r="O36" s="28"/>
      <c r="P36" s="34" t="e">
        <f ca="1">SUM(P31:P35)</f>
        <v>#NAME?</v>
      </c>
      <c r="Q36" s="14"/>
      <c r="R36" s="31" t="e">
        <f ca="1">IF(P$12=0,0,P36/P$12)</f>
        <v>#NAME?</v>
      </c>
      <c r="S36" s="14"/>
      <c r="T36" s="34" t="e">
        <f ca="1">SUM(T31:T35)</f>
        <v>#NAME?</v>
      </c>
      <c r="U36" s="14"/>
      <c r="V36" s="31" t="e">
        <f ca="1">IF(T$12=0,0,T36/T$12)</f>
        <v>#NAME?</v>
      </c>
      <c r="W36" s="16"/>
      <c r="X36" s="34" t="e">
        <f ca="1">+P36-T36</f>
        <v>#NAME?</v>
      </c>
      <c r="Y36" s="16"/>
      <c r="Z36" s="31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59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56" t="e">
        <f ca="1">_xll.OneStop.ReportPlayer.OSRFunctions.OSRGet("User","UserId")</f>
        <v>#NAME?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54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63" t="s">
        <v>13</v>
      </c>
    </row>
    <row r="3" spans="1:26" x14ac:dyDescent="0.25">
      <c r="D3" s="63" t="s">
        <v>296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61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63" t="e">
        <f ca="1">CONCATENATE("Period ",RIGHT(_xll.OneStop.ReportPlayer.OSRFunctions.OSRGet("Period","PeriodId"),2),", ",_xll.OneStop.ReportPlayer.OSRFunctions.OSRGet("Period","Year"))</f>
        <v>#NAME?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61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5" t="e">
        <f ca="1">_xll.OneStop.ReportPlayer.OSRFunctions.OSRGet("Period","PeriodEnd")</f>
        <v>#NAME?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61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51"/>
      <c r="C6" s="51"/>
      <c r="D6" s="23" t="s">
        <v>305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57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5" t="s">
        <v>294</v>
      </c>
      <c r="E9" s="15"/>
      <c r="F9" s="38"/>
      <c r="G9" s="15"/>
      <c r="H9" s="15"/>
      <c r="I9" s="15"/>
      <c r="J9" s="46"/>
      <c r="K9" s="15"/>
      <c r="L9" s="15"/>
      <c r="M9" s="15"/>
      <c r="N9" s="38"/>
      <c r="P9" s="15" t="s">
        <v>295</v>
      </c>
      <c r="Q9" s="15"/>
      <c r="R9" s="38"/>
      <c r="S9" s="15"/>
      <c r="T9" s="15"/>
      <c r="U9" s="15"/>
      <c r="V9" s="46"/>
      <c r="W9" s="15"/>
      <c r="X9" s="15"/>
      <c r="Y9" s="15"/>
      <c r="Z9" s="38"/>
    </row>
    <row r="10" spans="1:26" x14ac:dyDescent="0.25">
      <c r="A10" s="10"/>
      <c r="B10" s="55"/>
      <c r="C10" s="10"/>
      <c r="D10" s="43" t="s">
        <v>10</v>
      </c>
      <c r="E10" s="33"/>
      <c r="F10" s="40" t="s">
        <v>15</v>
      </c>
      <c r="G10" s="33"/>
      <c r="H10" s="47" t="s">
        <v>11</v>
      </c>
      <c r="I10" s="33"/>
      <c r="J10" s="45" t="s">
        <v>16</v>
      </c>
      <c r="K10" s="10"/>
      <c r="L10" s="43" t="s">
        <v>12</v>
      </c>
      <c r="M10" s="10"/>
      <c r="N10" s="40" t="s">
        <v>17</v>
      </c>
      <c r="O10" s="10"/>
      <c r="P10" s="53" t="s">
        <v>10</v>
      </c>
      <c r="Q10" s="33"/>
      <c r="R10" s="40" t="s">
        <v>15</v>
      </c>
      <c r="S10" s="33"/>
      <c r="T10" s="47" t="s">
        <v>11</v>
      </c>
      <c r="U10" s="33"/>
      <c r="V10" s="45" t="s">
        <v>16</v>
      </c>
      <c r="W10" s="10"/>
      <c r="X10" s="43" t="s">
        <v>12</v>
      </c>
      <c r="Y10" s="10"/>
      <c r="Z10" s="40" t="s">
        <v>17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 t="e">
        <f ca="1">SUM(_xll.OneStop.ReportPlayer.OSRFunctions.OSRRef(D13))</f>
        <v>#NAME?</v>
      </c>
      <c r="E12" s="4"/>
      <c r="F12" s="13"/>
      <c r="G12" s="4"/>
      <c r="H12" s="4" t="e">
        <f ca="1">SUM(_xll.OneStop.ReportPlayer.OSRFunctions.OSRRef(H13))</f>
        <v>#NAME?</v>
      </c>
      <c r="I12" s="4"/>
      <c r="J12" s="13"/>
      <c r="K12" s="4"/>
      <c r="L12" s="4" t="e">
        <f t="shared" ref="L12:L13" ca="1" si="0">+D12-H12</f>
        <v>#NAME?</v>
      </c>
      <c r="M12" s="4"/>
      <c r="N12" s="13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3"/>
      <c r="S12" s="4"/>
      <c r="T12" s="4" t="e">
        <f ca="1">SUM(_xll.OneStop.ReportPlayer.OSRFunctions.OSRRef(T13))</f>
        <v>#NAME?</v>
      </c>
      <c r="U12" s="4"/>
      <c r="V12" s="13"/>
      <c r="W12" s="4"/>
      <c r="X12" s="4" t="e">
        <f t="shared" ref="X12:X13" ca="1" si="2">+P12-T12</f>
        <v>#NAME?</v>
      </c>
      <c r="Y12" s="4"/>
      <c r="Z12" s="13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8</v>
      </c>
      <c r="C15" s="10"/>
      <c r="D15" s="4" t="e">
        <f ca="1">SUM(_xll.OneStop.ReportPlayer.OSRFunctions.OSRRef(D16))</f>
        <v>#NAME?</v>
      </c>
      <c r="E15" s="4"/>
      <c r="F15" s="13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3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3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3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3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3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6</v>
      </c>
      <c r="C18" s="29"/>
      <c r="D18" s="20" t="e">
        <f ca="1">D12-D15</f>
        <v>#NAME?</v>
      </c>
      <c r="E18" s="14"/>
      <c r="F18" s="22" t="e">
        <f ca="1">IF(D$12=0,0,D18/D$12)</f>
        <v>#NAME?</v>
      </c>
      <c r="G18" s="14"/>
      <c r="H18" s="20" t="e">
        <f ca="1">H12-H15</f>
        <v>#NAME?</v>
      </c>
      <c r="I18" s="14"/>
      <c r="J18" s="22" t="e">
        <f ca="1">IF(H$12=0,0,H18/H$12)</f>
        <v>#NAME?</v>
      </c>
      <c r="K18" s="16"/>
      <c r="L18" s="20" t="e">
        <f ca="1">+D18-H18</f>
        <v>#NAME?</v>
      </c>
      <c r="M18" s="16"/>
      <c r="N18" s="22" t="e">
        <f ca="1">IF(H18=0,0,L18/H18)</f>
        <v>#NAME?</v>
      </c>
      <c r="O18" s="28"/>
      <c r="P18" s="20" t="e">
        <f ca="1">P12-P15</f>
        <v>#NAME?</v>
      </c>
      <c r="Q18" s="14"/>
      <c r="R18" s="22" t="e">
        <f ca="1">IF(P$12=0,0,P18/P$12)</f>
        <v>#NAME?</v>
      </c>
      <c r="S18" s="14"/>
      <c r="T18" s="20" t="e">
        <f ca="1">T12-T15</f>
        <v>#NAME?</v>
      </c>
      <c r="U18" s="14"/>
      <c r="V18" s="22" t="e">
        <f ca="1">IF(T$12=0,0,T18/T$12)</f>
        <v>#NAME?</v>
      </c>
      <c r="W18" s="16"/>
      <c r="X18" s="20" t="e">
        <f ca="1">+P18-T18</f>
        <v>#NAME?</v>
      </c>
      <c r="Y18" s="16"/>
      <c r="Z18" s="22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9</v>
      </c>
      <c r="C20" s="10"/>
      <c r="D20" s="21" t="e">
        <f ca="1">SUM(_xll.OneStop.ReportPlayer.OSRFunctions.OSRRef(D22))</f>
        <v>#NAME?</v>
      </c>
      <c r="E20" s="21"/>
      <c r="F20" s="30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0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0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0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0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0" t="e">
        <f t="shared" ref="Z20:Z22" ca="1" si="19">IF(T20=0,0,X20/T20)</f>
        <v>#NAME?</v>
      </c>
    </row>
    <row r="21" spans="1:26" s="27" customFormat="1" outlineLevel="1" collapsed="1" x14ac:dyDescent="0.25">
      <c r="A21" s="25"/>
      <c r="B21" s="12" t="e">
        <f ca="1">CONCATENATE("     ",_xll.OneStop.ReportPlayer.OSRFunctions.OSRGet("d_Account","AccountCategory"))</f>
        <v>#NAME?</v>
      </c>
      <c r="C21" s="12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2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6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62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8" t="s">
        <v>0</v>
      </c>
      <c r="C24" s="10"/>
      <c r="D24" s="4" t="e">
        <f ca="1">SUM(_xll.OneStop.ReportPlayer.OSRFunctions.OSRRef(D25))</f>
        <v>#NAME?</v>
      </c>
      <c r="E24" s="4"/>
      <c r="F24" s="13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3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3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3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3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3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3</v>
      </c>
      <c r="C27" s="29"/>
      <c r="D27" s="20" t="e">
        <f ca="1">+D18-D20+D24</f>
        <v>#NAME?</v>
      </c>
      <c r="E27" s="14"/>
      <c r="F27" s="22" t="e">
        <f ca="1">IF(D$12=0,0,D27/D$12)</f>
        <v>#NAME?</v>
      </c>
      <c r="G27" s="14"/>
      <c r="H27" s="20" t="e">
        <f ca="1">+H18-H20+H24</f>
        <v>#NAME?</v>
      </c>
      <c r="I27" s="14"/>
      <c r="J27" s="22" t="e">
        <f ca="1">IF(H$12=0,0,H27/H$12)</f>
        <v>#NAME?</v>
      </c>
      <c r="K27" s="16"/>
      <c r="L27" s="20" t="e">
        <f ca="1">+D27-H27</f>
        <v>#NAME?</v>
      </c>
      <c r="M27" s="16"/>
      <c r="N27" s="22" t="e">
        <f ca="1">IF(H27=0,0,L27/H27)</f>
        <v>#NAME?</v>
      </c>
      <c r="O27" s="28"/>
      <c r="P27" s="20" t="e">
        <f ca="1">+P18-P20+P24</f>
        <v>#NAME?</v>
      </c>
      <c r="Q27" s="14"/>
      <c r="R27" s="22" t="e">
        <f ca="1">IF(P$12=0,0,P27/P$12)</f>
        <v>#NAME?</v>
      </c>
      <c r="S27" s="14"/>
      <c r="T27" s="20" t="e">
        <f ca="1">+T18-T20+T24</f>
        <v>#NAME?</v>
      </c>
      <c r="U27" s="14"/>
      <c r="V27" s="22" t="e">
        <f ca="1">IF(T$12=0,0,T27/T$12)</f>
        <v>#NAME?</v>
      </c>
      <c r="W27" s="16"/>
      <c r="X27" s="20" t="e">
        <f ca="1">+P27-T27</f>
        <v>#NAME?</v>
      </c>
      <c r="Y27" s="16"/>
      <c r="Z27" s="22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3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3" t="e">
        <f ca="1">IF(H$12=0,0,H29/H$12)</f>
        <v>#NAME?</v>
      </c>
      <c r="K29" s="4"/>
      <c r="L29" s="4" t="e">
        <f ca="1">+D29-H29</f>
        <v>#NAME?</v>
      </c>
      <c r="M29" s="4"/>
      <c r="N29" s="13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3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3" t="e">
        <f ca="1">IF(T$12=0,0,T29/T$12)</f>
        <v>#NAME?</v>
      </c>
      <c r="W29" s="4"/>
      <c r="X29" s="4" t="e">
        <f ca="1">+P29-T29</f>
        <v>#NAME?</v>
      </c>
      <c r="Y29" s="4"/>
      <c r="Z29" s="13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4</v>
      </c>
      <c r="C31" s="29"/>
      <c r="D31" s="35" t="e">
        <f ca="1">+D27-D29</f>
        <v>#NAME?</v>
      </c>
      <c r="E31" s="14"/>
      <c r="F31" s="32" t="e">
        <f ca="1">IF(D$12=0,0,D31/D$12)</f>
        <v>#NAME?</v>
      </c>
      <c r="G31" s="14"/>
      <c r="H31" s="35" t="e">
        <f ca="1">+H27-H29</f>
        <v>#NAME?</v>
      </c>
      <c r="I31" s="14"/>
      <c r="J31" s="32" t="e">
        <f ca="1">IF(H$12=0,0,H31/H$12)</f>
        <v>#NAME?</v>
      </c>
      <c r="K31" s="16"/>
      <c r="L31" s="35" t="e">
        <f ca="1">D31-H31</f>
        <v>#NAME?</v>
      </c>
      <c r="M31" s="16"/>
      <c r="N31" s="32" t="e">
        <f ca="1">IF(H31=0,0,L31/H31)</f>
        <v>#NAME?</v>
      </c>
      <c r="O31" s="28"/>
      <c r="P31" s="35" t="e">
        <f ca="1">+P27-P29</f>
        <v>#NAME?</v>
      </c>
      <c r="Q31" s="14"/>
      <c r="R31" s="32" t="e">
        <f ca="1">IF(P$12=0,0,P31/P$12)</f>
        <v>#NAME?</v>
      </c>
      <c r="S31" s="14"/>
      <c r="T31" s="35" t="e">
        <f ca="1">+T27-T29</f>
        <v>#NAME?</v>
      </c>
      <c r="U31" s="14"/>
      <c r="V31" s="32" t="e">
        <f ca="1">IF(T$12=0,0,T31/T$12)</f>
        <v>#NAME?</v>
      </c>
      <c r="W31" s="16"/>
      <c r="X31" s="35" t="e">
        <f ca="1">P31-T31</f>
        <v>#NAME?</v>
      </c>
      <c r="Y31" s="16"/>
      <c r="Z31" s="32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3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3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3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3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3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3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3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3" t="e">
        <f t="shared" ca="1" si="29"/>
        <v>#NAME?</v>
      </c>
      <c r="K34" s="4"/>
      <c r="L34" s="4" t="e">
        <f t="shared" ca="1" si="30"/>
        <v>#NAME?</v>
      </c>
      <c r="M34" s="4"/>
      <c r="N34" s="13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3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3" t="e">
        <f t="shared" ca="1" si="33"/>
        <v>#NAME?</v>
      </c>
      <c r="W34" s="4"/>
      <c r="X34" s="4" t="e">
        <f t="shared" ca="1" si="34"/>
        <v>#NAME?</v>
      </c>
      <c r="Y34" s="4"/>
      <c r="Z34" s="13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5</v>
      </c>
      <c r="C36" s="29"/>
      <c r="D36" s="34" t="e">
        <f ca="1">SUM(D31:D35)</f>
        <v>#NAME?</v>
      </c>
      <c r="E36" s="14"/>
      <c r="F36" s="31" t="e">
        <f ca="1">IF(D$12=0,0,D36/D$12)</f>
        <v>#NAME?</v>
      </c>
      <c r="G36" s="14"/>
      <c r="H36" s="34" t="e">
        <f ca="1">SUM(H31:H35)</f>
        <v>#NAME?</v>
      </c>
      <c r="I36" s="14"/>
      <c r="J36" s="31" t="e">
        <f ca="1">IF(H$12=0,0,H36/H$12)</f>
        <v>#NAME?</v>
      </c>
      <c r="K36" s="16"/>
      <c r="L36" s="34" t="e">
        <f ca="1">+D36-H36</f>
        <v>#NAME?</v>
      </c>
      <c r="M36" s="16"/>
      <c r="N36" s="31" t="e">
        <f ca="1">IF(H36=0,0,L36/H36)</f>
        <v>#NAME?</v>
      </c>
      <c r="O36" s="28"/>
      <c r="P36" s="34" t="e">
        <f ca="1">SUM(P31:P35)</f>
        <v>#NAME?</v>
      </c>
      <c r="Q36" s="14"/>
      <c r="R36" s="31" t="e">
        <f ca="1">IF(P$12=0,0,P36/P$12)</f>
        <v>#NAME?</v>
      </c>
      <c r="S36" s="14"/>
      <c r="T36" s="34" t="e">
        <f ca="1">SUM(T31:T35)</f>
        <v>#NAME?</v>
      </c>
      <c r="U36" s="14"/>
      <c r="V36" s="31" t="e">
        <f ca="1">IF(T$12=0,0,T36/T$12)</f>
        <v>#NAME?</v>
      </c>
      <c r="W36" s="16"/>
      <c r="X36" s="34" t="e">
        <f ca="1">+P36-T36</f>
        <v>#NAME?</v>
      </c>
      <c r="Y36" s="16"/>
      <c r="Z36" s="31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59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56" t="e">
        <f ca="1">_xll.OneStop.ReportPlayer.OSRFunctions.OSRGet("User","UserId")</f>
        <v>#NAME?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54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63" t="s">
        <v>13</v>
      </c>
    </row>
    <row r="3" spans="1:26" x14ac:dyDescent="0.25">
      <c r="D3" s="63" t="s">
        <v>296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61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63" t="e">
        <f ca="1">CONCATENATE("Period ",RIGHT(_xll.OneStop.ReportPlayer.OSRFunctions.OSRGet("Period","PeriodId"),2),", ",_xll.OneStop.ReportPlayer.OSRFunctions.OSRGet("Period","Year"))</f>
        <v>#NAME?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61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5" t="e">
        <f ca="1">_xll.OneStop.ReportPlayer.OSRFunctions.OSRGet("Period","PeriodEnd")</f>
        <v>#NAME?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61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51"/>
      <c r="C6" s="51"/>
      <c r="D6" s="23" t="s">
        <v>305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57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5" t="s">
        <v>294</v>
      </c>
      <c r="E9" s="15"/>
      <c r="F9" s="38"/>
      <c r="G9" s="15"/>
      <c r="H9" s="15"/>
      <c r="I9" s="15"/>
      <c r="J9" s="46"/>
      <c r="K9" s="15"/>
      <c r="L9" s="15"/>
      <c r="M9" s="15"/>
      <c r="N9" s="38"/>
      <c r="P9" s="15" t="s">
        <v>295</v>
      </c>
      <c r="Q9" s="15"/>
      <c r="R9" s="38"/>
      <c r="S9" s="15"/>
      <c r="T9" s="15"/>
      <c r="U9" s="15"/>
      <c r="V9" s="46"/>
      <c r="W9" s="15"/>
      <c r="X9" s="15"/>
      <c r="Y9" s="15"/>
      <c r="Z9" s="38"/>
    </row>
    <row r="10" spans="1:26" x14ac:dyDescent="0.25">
      <c r="A10" s="10"/>
      <c r="B10" s="55"/>
      <c r="C10" s="10"/>
      <c r="D10" s="43" t="s">
        <v>10</v>
      </c>
      <c r="E10" s="33"/>
      <c r="F10" s="40" t="s">
        <v>15</v>
      </c>
      <c r="G10" s="33"/>
      <c r="H10" s="47" t="s">
        <v>11</v>
      </c>
      <c r="I10" s="33"/>
      <c r="J10" s="45" t="s">
        <v>16</v>
      </c>
      <c r="K10" s="10"/>
      <c r="L10" s="43" t="s">
        <v>12</v>
      </c>
      <c r="M10" s="10"/>
      <c r="N10" s="40" t="s">
        <v>17</v>
      </c>
      <c r="O10" s="10"/>
      <c r="P10" s="53" t="s">
        <v>10</v>
      </c>
      <c r="Q10" s="33"/>
      <c r="R10" s="40" t="s">
        <v>15</v>
      </c>
      <c r="S10" s="33"/>
      <c r="T10" s="47" t="s">
        <v>11</v>
      </c>
      <c r="U10" s="33"/>
      <c r="V10" s="45" t="s">
        <v>16</v>
      </c>
      <c r="W10" s="10"/>
      <c r="X10" s="43" t="s">
        <v>12</v>
      </c>
      <c r="Y10" s="10"/>
      <c r="Z10" s="40" t="s">
        <v>17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 t="e">
        <f ca="1">SUM(_xll.OneStop.ReportPlayer.OSRFunctions.OSRRef(D13))</f>
        <v>#NAME?</v>
      </c>
      <c r="E12" s="4"/>
      <c r="F12" s="13"/>
      <c r="G12" s="4"/>
      <c r="H12" s="4" t="e">
        <f ca="1">SUM(_xll.OneStop.ReportPlayer.OSRFunctions.OSRRef(H13))</f>
        <v>#NAME?</v>
      </c>
      <c r="I12" s="4"/>
      <c r="J12" s="13"/>
      <c r="K12" s="4"/>
      <c r="L12" s="4" t="e">
        <f t="shared" ref="L12:L13" ca="1" si="0">+D12-H12</f>
        <v>#NAME?</v>
      </c>
      <c r="M12" s="4"/>
      <c r="N12" s="13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3"/>
      <c r="S12" s="4"/>
      <c r="T12" s="4" t="e">
        <f ca="1">SUM(_xll.OneStop.ReportPlayer.OSRFunctions.OSRRef(T13))</f>
        <v>#NAME?</v>
      </c>
      <c r="U12" s="4"/>
      <c r="V12" s="13"/>
      <c r="W12" s="4"/>
      <c r="X12" s="4" t="e">
        <f t="shared" ref="X12:X13" ca="1" si="2">+P12-T12</f>
        <v>#NAME?</v>
      </c>
      <c r="Y12" s="4"/>
      <c r="Z12" s="13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8</v>
      </c>
      <c r="C15" s="10"/>
      <c r="D15" s="4" t="e">
        <f ca="1">SUM(_xll.OneStop.ReportPlayer.OSRFunctions.OSRRef(D16))</f>
        <v>#NAME?</v>
      </c>
      <c r="E15" s="4"/>
      <c r="F15" s="13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3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3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3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3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3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6</v>
      </c>
      <c r="C18" s="29"/>
      <c r="D18" s="20" t="e">
        <f ca="1">D12-D15</f>
        <v>#NAME?</v>
      </c>
      <c r="E18" s="14"/>
      <c r="F18" s="22" t="e">
        <f ca="1">IF(D$12=0,0,D18/D$12)</f>
        <v>#NAME?</v>
      </c>
      <c r="G18" s="14"/>
      <c r="H18" s="20" t="e">
        <f ca="1">H12-H15</f>
        <v>#NAME?</v>
      </c>
      <c r="I18" s="14"/>
      <c r="J18" s="22" t="e">
        <f ca="1">IF(H$12=0,0,H18/H$12)</f>
        <v>#NAME?</v>
      </c>
      <c r="K18" s="16"/>
      <c r="L18" s="20" t="e">
        <f ca="1">+D18-H18</f>
        <v>#NAME?</v>
      </c>
      <c r="M18" s="16"/>
      <c r="N18" s="22" t="e">
        <f ca="1">IF(H18=0,0,L18/H18)</f>
        <v>#NAME?</v>
      </c>
      <c r="O18" s="28"/>
      <c r="P18" s="20" t="e">
        <f ca="1">P12-P15</f>
        <v>#NAME?</v>
      </c>
      <c r="Q18" s="14"/>
      <c r="R18" s="22" t="e">
        <f ca="1">IF(P$12=0,0,P18/P$12)</f>
        <v>#NAME?</v>
      </c>
      <c r="S18" s="14"/>
      <c r="T18" s="20" t="e">
        <f ca="1">T12-T15</f>
        <v>#NAME?</v>
      </c>
      <c r="U18" s="14"/>
      <c r="V18" s="22" t="e">
        <f ca="1">IF(T$12=0,0,T18/T$12)</f>
        <v>#NAME?</v>
      </c>
      <c r="W18" s="16"/>
      <c r="X18" s="20" t="e">
        <f ca="1">+P18-T18</f>
        <v>#NAME?</v>
      </c>
      <c r="Y18" s="16"/>
      <c r="Z18" s="22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9</v>
      </c>
      <c r="C20" s="10"/>
      <c r="D20" s="21" t="e">
        <f ca="1">SUM(_xll.OneStop.ReportPlayer.OSRFunctions.OSRRef(D22))</f>
        <v>#NAME?</v>
      </c>
      <c r="E20" s="21"/>
      <c r="F20" s="30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0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0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0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0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0" t="e">
        <f t="shared" ref="Z20:Z22" ca="1" si="19">IF(T20=0,0,X20/T20)</f>
        <v>#NAME?</v>
      </c>
    </row>
    <row r="21" spans="1:26" s="27" customFormat="1" outlineLevel="1" collapsed="1" x14ac:dyDescent="0.25">
      <c r="A21" s="25"/>
      <c r="B21" s="12" t="e">
        <f ca="1">CONCATENATE("     ",_xll.OneStop.ReportPlayer.OSRFunctions.OSRGet("d_Account","AccountCategory"))</f>
        <v>#NAME?</v>
      </c>
      <c r="C21" s="12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2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6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62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8" t="s">
        <v>0</v>
      </c>
      <c r="C24" s="10"/>
      <c r="D24" s="4" t="e">
        <f ca="1">SUM(_xll.OneStop.ReportPlayer.OSRFunctions.OSRRef(D25))</f>
        <v>#NAME?</v>
      </c>
      <c r="E24" s="4"/>
      <c r="F24" s="13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3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3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3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3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3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3</v>
      </c>
      <c r="C27" s="29"/>
      <c r="D27" s="20" t="e">
        <f ca="1">+D18-D20+D24</f>
        <v>#NAME?</v>
      </c>
      <c r="E27" s="14"/>
      <c r="F27" s="22" t="e">
        <f ca="1">IF(D$12=0,0,D27/D$12)</f>
        <v>#NAME?</v>
      </c>
      <c r="G27" s="14"/>
      <c r="H27" s="20" t="e">
        <f ca="1">+H18-H20+H24</f>
        <v>#NAME?</v>
      </c>
      <c r="I27" s="14"/>
      <c r="J27" s="22" t="e">
        <f ca="1">IF(H$12=0,0,H27/H$12)</f>
        <v>#NAME?</v>
      </c>
      <c r="K27" s="16"/>
      <c r="L27" s="20" t="e">
        <f ca="1">+D27-H27</f>
        <v>#NAME?</v>
      </c>
      <c r="M27" s="16"/>
      <c r="N27" s="22" t="e">
        <f ca="1">IF(H27=0,0,L27/H27)</f>
        <v>#NAME?</v>
      </c>
      <c r="O27" s="28"/>
      <c r="P27" s="20" t="e">
        <f ca="1">+P18-P20+P24</f>
        <v>#NAME?</v>
      </c>
      <c r="Q27" s="14"/>
      <c r="R27" s="22" t="e">
        <f ca="1">IF(P$12=0,0,P27/P$12)</f>
        <v>#NAME?</v>
      </c>
      <c r="S27" s="14"/>
      <c r="T27" s="20" t="e">
        <f ca="1">+T18-T20+T24</f>
        <v>#NAME?</v>
      </c>
      <c r="U27" s="14"/>
      <c r="V27" s="22" t="e">
        <f ca="1">IF(T$12=0,0,T27/T$12)</f>
        <v>#NAME?</v>
      </c>
      <c r="W27" s="16"/>
      <c r="X27" s="20" t="e">
        <f ca="1">+P27-T27</f>
        <v>#NAME?</v>
      </c>
      <c r="Y27" s="16"/>
      <c r="Z27" s="22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3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3" t="e">
        <f ca="1">IF(H$12=0,0,H29/H$12)</f>
        <v>#NAME?</v>
      </c>
      <c r="K29" s="4"/>
      <c r="L29" s="4" t="e">
        <f ca="1">+D29-H29</f>
        <v>#NAME?</v>
      </c>
      <c r="M29" s="4"/>
      <c r="N29" s="13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3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3" t="e">
        <f ca="1">IF(T$12=0,0,T29/T$12)</f>
        <v>#NAME?</v>
      </c>
      <c r="W29" s="4"/>
      <c r="X29" s="4" t="e">
        <f ca="1">+P29-T29</f>
        <v>#NAME?</v>
      </c>
      <c r="Y29" s="4"/>
      <c r="Z29" s="13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4</v>
      </c>
      <c r="C31" s="29"/>
      <c r="D31" s="35" t="e">
        <f ca="1">+D27-D29</f>
        <v>#NAME?</v>
      </c>
      <c r="E31" s="14"/>
      <c r="F31" s="32" t="e">
        <f ca="1">IF(D$12=0,0,D31/D$12)</f>
        <v>#NAME?</v>
      </c>
      <c r="G31" s="14"/>
      <c r="H31" s="35" t="e">
        <f ca="1">+H27-H29</f>
        <v>#NAME?</v>
      </c>
      <c r="I31" s="14"/>
      <c r="J31" s="32" t="e">
        <f ca="1">IF(H$12=0,0,H31/H$12)</f>
        <v>#NAME?</v>
      </c>
      <c r="K31" s="16"/>
      <c r="L31" s="35" t="e">
        <f ca="1">D31-H31</f>
        <v>#NAME?</v>
      </c>
      <c r="M31" s="16"/>
      <c r="N31" s="32" t="e">
        <f ca="1">IF(H31=0,0,L31/H31)</f>
        <v>#NAME?</v>
      </c>
      <c r="O31" s="28"/>
      <c r="P31" s="35" t="e">
        <f ca="1">+P27-P29</f>
        <v>#NAME?</v>
      </c>
      <c r="Q31" s="14"/>
      <c r="R31" s="32" t="e">
        <f ca="1">IF(P$12=0,0,P31/P$12)</f>
        <v>#NAME?</v>
      </c>
      <c r="S31" s="14"/>
      <c r="T31" s="35" t="e">
        <f ca="1">+T27-T29</f>
        <v>#NAME?</v>
      </c>
      <c r="U31" s="14"/>
      <c r="V31" s="32" t="e">
        <f ca="1">IF(T$12=0,0,T31/T$12)</f>
        <v>#NAME?</v>
      </c>
      <c r="W31" s="16"/>
      <c r="X31" s="35" t="e">
        <f ca="1">P31-T31</f>
        <v>#NAME?</v>
      </c>
      <c r="Y31" s="16"/>
      <c r="Z31" s="32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3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3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3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3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3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3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3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3" t="e">
        <f t="shared" ca="1" si="29"/>
        <v>#NAME?</v>
      </c>
      <c r="K34" s="4"/>
      <c r="L34" s="4" t="e">
        <f t="shared" ca="1" si="30"/>
        <v>#NAME?</v>
      </c>
      <c r="M34" s="4"/>
      <c r="N34" s="13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3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3" t="e">
        <f t="shared" ca="1" si="33"/>
        <v>#NAME?</v>
      </c>
      <c r="W34" s="4"/>
      <c r="X34" s="4" t="e">
        <f t="shared" ca="1" si="34"/>
        <v>#NAME?</v>
      </c>
      <c r="Y34" s="4"/>
      <c r="Z34" s="13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5</v>
      </c>
      <c r="C36" s="29"/>
      <c r="D36" s="34" t="e">
        <f ca="1">SUM(D31:D35)</f>
        <v>#NAME?</v>
      </c>
      <c r="E36" s="14"/>
      <c r="F36" s="31" t="e">
        <f ca="1">IF(D$12=0,0,D36/D$12)</f>
        <v>#NAME?</v>
      </c>
      <c r="G36" s="14"/>
      <c r="H36" s="34" t="e">
        <f ca="1">SUM(H31:H35)</f>
        <v>#NAME?</v>
      </c>
      <c r="I36" s="14"/>
      <c r="J36" s="31" t="e">
        <f ca="1">IF(H$12=0,0,H36/H$12)</f>
        <v>#NAME?</v>
      </c>
      <c r="K36" s="16"/>
      <c r="L36" s="34" t="e">
        <f ca="1">+D36-H36</f>
        <v>#NAME?</v>
      </c>
      <c r="M36" s="16"/>
      <c r="N36" s="31" t="e">
        <f ca="1">IF(H36=0,0,L36/H36)</f>
        <v>#NAME?</v>
      </c>
      <c r="O36" s="28"/>
      <c r="P36" s="34" t="e">
        <f ca="1">SUM(P31:P35)</f>
        <v>#NAME?</v>
      </c>
      <c r="Q36" s="14"/>
      <c r="R36" s="31" t="e">
        <f ca="1">IF(P$12=0,0,P36/P$12)</f>
        <v>#NAME?</v>
      </c>
      <c r="S36" s="14"/>
      <c r="T36" s="34" t="e">
        <f ca="1">SUM(T31:T35)</f>
        <v>#NAME?</v>
      </c>
      <c r="U36" s="14"/>
      <c r="V36" s="31" t="e">
        <f ca="1">IF(T$12=0,0,T36/T$12)</f>
        <v>#NAME?</v>
      </c>
      <c r="W36" s="16"/>
      <c r="X36" s="34" t="e">
        <f ca="1">+P36-T36</f>
        <v>#NAME?</v>
      </c>
      <c r="Y36" s="16"/>
      <c r="Z36" s="31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59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56" t="e">
        <f ca="1">_xll.OneStop.ReportPlayer.OSRFunctions.OSRGet("User","UserId")</f>
        <v>#NAME?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54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63" t="s">
        <v>13</v>
      </c>
    </row>
    <row r="3" spans="1:26" x14ac:dyDescent="0.25">
      <c r="D3" s="63" t="s">
        <v>296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61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63" t="e">
        <f ca="1">CONCATENATE("Period ",RIGHT(_xll.OneStop.ReportPlayer.OSRFunctions.OSRGet("Period","PeriodId"),2),", ",_xll.OneStop.ReportPlayer.OSRFunctions.OSRGet("Period","Year"))</f>
        <v>#NAME?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61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5" t="e">
        <f ca="1">_xll.OneStop.ReportPlayer.OSRFunctions.OSRGet("Period","PeriodEnd")</f>
        <v>#NAME?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61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51"/>
      <c r="C6" s="51"/>
      <c r="D6" s="23" t="s">
        <v>310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57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5" t="s">
        <v>294</v>
      </c>
      <c r="E9" s="15"/>
      <c r="F9" s="38"/>
      <c r="G9" s="15"/>
      <c r="H9" s="15"/>
      <c r="I9" s="15"/>
      <c r="J9" s="46"/>
      <c r="K9" s="15"/>
      <c r="L9" s="15"/>
      <c r="M9" s="15"/>
      <c r="N9" s="38"/>
      <c r="P9" s="15" t="s">
        <v>295</v>
      </c>
      <c r="Q9" s="15"/>
      <c r="R9" s="38"/>
      <c r="S9" s="15"/>
      <c r="T9" s="15"/>
      <c r="U9" s="15"/>
      <c r="V9" s="46"/>
      <c r="W9" s="15"/>
      <c r="X9" s="15"/>
      <c r="Y9" s="15"/>
      <c r="Z9" s="38"/>
    </row>
    <row r="10" spans="1:26" x14ac:dyDescent="0.25">
      <c r="A10" s="10"/>
      <c r="B10" s="55"/>
      <c r="C10" s="10"/>
      <c r="D10" s="43" t="s">
        <v>10</v>
      </c>
      <c r="E10" s="33"/>
      <c r="F10" s="40" t="s">
        <v>15</v>
      </c>
      <c r="G10" s="33"/>
      <c r="H10" s="47" t="s">
        <v>11</v>
      </c>
      <c r="I10" s="33"/>
      <c r="J10" s="45" t="s">
        <v>16</v>
      </c>
      <c r="K10" s="10"/>
      <c r="L10" s="43" t="s">
        <v>12</v>
      </c>
      <c r="M10" s="10"/>
      <c r="N10" s="40" t="s">
        <v>17</v>
      </c>
      <c r="O10" s="10"/>
      <c r="P10" s="53" t="s">
        <v>10</v>
      </c>
      <c r="Q10" s="33"/>
      <c r="R10" s="40" t="s">
        <v>15</v>
      </c>
      <c r="S10" s="33"/>
      <c r="T10" s="47" t="s">
        <v>11</v>
      </c>
      <c r="U10" s="33"/>
      <c r="V10" s="45" t="s">
        <v>16</v>
      </c>
      <c r="W10" s="10"/>
      <c r="X10" s="43" t="s">
        <v>12</v>
      </c>
      <c r="Y10" s="10"/>
      <c r="Z10" s="40" t="s">
        <v>17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 t="e">
        <f ca="1">SUM(_xll.OneStop.ReportPlayer.OSRFunctions.OSRRef(D13))</f>
        <v>#NAME?</v>
      </c>
      <c r="E12" s="4"/>
      <c r="F12" s="13"/>
      <c r="G12" s="4"/>
      <c r="H12" s="4" t="e">
        <f ca="1">SUM(_xll.OneStop.ReportPlayer.OSRFunctions.OSRRef(H13))</f>
        <v>#NAME?</v>
      </c>
      <c r="I12" s="4"/>
      <c r="J12" s="13"/>
      <c r="K12" s="4"/>
      <c r="L12" s="4" t="e">
        <f t="shared" ref="L12:L13" ca="1" si="0">+D12-H12</f>
        <v>#NAME?</v>
      </c>
      <c r="M12" s="4"/>
      <c r="N12" s="13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3"/>
      <c r="S12" s="4"/>
      <c r="T12" s="4" t="e">
        <f ca="1">SUM(_xll.OneStop.ReportPlayer.OSRFunctions.OSRRef(T13))</f>
        <v>#NAME?</v>
      </c>
      <c r="U12" s="4"/>
      <c r="V12" s="13"/>
      <c r="W12" s="4"/>
      <c r="X12" s="4" t="e">
        <f t="shared" ref="X12:X13" ca="1" si="2">+P12-T12</f>
        <v>#NAME?</v>
      </c>
      <c r="Y12" s="4"/>
      <c r="Z12" s="13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8</v>
      </c>
      <c r="C15" s="10"/>
      <c r="D15" s="4" t="e">
        <f ca="1">SUM(_xll.OneStop.ReportPlayer.OSRFunctions.OSRRef(D16))</f>
        <v>#NAME?</v>
      </c>
      <c r="E15" s="4"/>
      <c r="F15" s="13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3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3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3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3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3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6</v>
      </c>
      <c r="C18" s="29"/>
      <c r="D18" s="20" t="e">
        <f ca="1">D12-D15</f>
        <v>#NAME?</v>
      </c>
      <c r="E18" s="14"/>
      <c r="F18" s="22" t="e">
        <f ca="1">IF(D$12=0,0,D18/D$12)</f>
        <v>#NAME?</v>
      </c>
      <c r="G18" s="14"/>
      <c r="H18" s="20" t="e">
        <f ca="1">H12-H15</f>
        <v>#NAME?</v>
      </c>
      <c r="I18" s="14"/>
      <c r="J18" s="22" t="e">
        <f ca="1">IF(H$12=0,0,H18/H$12)</f>
        <v>#NAME?</v>
      </c>
      <c r="K18" s="16"/>
      <c r="L18" s="20" t="e">
        <f ca="1">+D18-H18</f>
        <v>#NAME?</v>
      </c>
      <c r="M18" s="16"/>
      <c r="N18" s="22" t="e">
        <f ca="1">IF(H18=0,0,L18/H18)</f>
        <v>#NAME?</v>
      </c>
      <c r="O18" s="28"/>
      <c r="P18" s="20" t="e">
        <f ca="1">P12-P15</f>
        <v>#NAME?</v>
      </c>
      <c r="Q18" s="14"/>
      <c r="R18" s="22" t="e">
        <f ca="1">IF(P$12=0,0,P18/P$12)</f>
        <v>#NAME?</v>
      </c>
      <c r="S18" s="14"/>
      <c r="T18" s="20" t="e">
        <f ca="1">T12-T15</f>
        <v>#NAME?</v>
      </c>
      <c r="U18" s="14"/>
      <c r="V18" s="22" t="e">
        <f ca="1">IF(T$12=0,0,T18/T$12)</f>
        <v>#NAME?</v>
      </c>
      <c r="W18" s="16"/>
      <c r="X18" s="20" t="e">
        <f ca="1">+P18-T18</f>
        <v>#NAME?</v>
      </c>
      <c r="Y18" s="16"/>
      <c r="Z18" s="22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9</v>
      </c>
      <c r="C20" s="10"/>
      <c r="D20" s="21" t="e">
        <f ca="1">SUM(_xll.OneStop.ReportPlayer.OSRFunctions.OSRRef(D22))</f>
        <v>#NAME?</v>
      </c>
      <c r="E20" s="21"/>
      <c r="F20" s="30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0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0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0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0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0" t="e">
        <f t="shared" ref="Z20:Z22" ca="1" si="19">IF(T20=0,0,X20/T20)</f>
        <v>#NAME?</v>
      </c>
    </row>
    <row r="21" spans="1:26" s="27" customFormat="1" outlineLevel="1" collapsed="1" x14ac:dyDescent="0.25">
      <c r="A21" s="25"/>
      <c r="B21" s="12" t="e">
        <f ca="1">CONCATENATE("     ",_xll.OneStop.ReportPlayer.OSRFunctions.OSRGet("d_Account","AccountCategory"))</f>
        <v>#NAME?</v>
      </c>
      <c r="C21" s="12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2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6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62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8" t="s">
        <v>0</v>
      </c>
      <c r="C24" s="10"/>
      <c r="D24" s="4" t="e">
        <f ca="1">SUM(_xll.OneStop.ReportPlayer.OSRFunctions.OSRRef(D25))</f>
        <v>#NAME?</v>
      </c>
      <c r="E24" s="4"/>
      <c r="F24" s="13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3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3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3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3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3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3</v>
      </c>
      <c r="C27" s="29"/>
      <c r="D27" s="20" t="e">
        <f ca="1">+D18-D20+D24</f>
        <v>#NAME?</v>
      </c>
      <c r="E27" s="14"/>
      <c r="F27" s="22" t="e">
        <f ca="1">IF(D$12=0,0,D27/D$12)</f>
        <v>#NAME?</v>
      </c>
      <c r="G27" s="14"/>
      <c r="H27" s="20" t="e">
        <f ca="1">+H18-H20+H24</f>
        <v>#NAME?</v>
      </c>
      <c r="I27" s="14"/>
      <c r="J27" s="22" t="e">
        <f ca="1">IF(H$12=0,0,H27/H$12)</f>
        <v>#NAME?</v>
      </c>
      <c r="K27" s="16"/>
      <c r="L27" s="20" t="e">
        <f ca="1">+D27-H27</f>
        <v>#NAME?</v>
      </c>
      <c r="M27" s="16"/>
      <c r="N27" s="22" t="e">
        <f ca="1">IF(H27=0,0,L27/H27)</f>
        <v>#NAME?</v>
      </c>
      <c r="O27" s="28"/>
      <c r="P27" s="20" t="e">
        <f ca="1">+P18-P20+P24</f>
        <v>#NAME?</v>
      </c>
      <c r="Q27" s="14"/>
      <c r="R27" s="22" t="e">
        <f ca="1">IF(P$12=0,0,P27/P$12)</f>
        <v>#NAME?</v>
      </c>
      <c r="S27" s="14"/>
      <c r="T27" s="20" t="e">
        <f ca="1">+T18-T20+T24</f>
        <v>#NAME?</v>
      </c>
      <c r="U27" s="14"/>
      <c r="V27" s="22" t="e">
        <f ca="1">IF(T$12=0,0,T27/T$12)</f>
        <v>#NAME?</v>
      </c>
      <c r="W27" s="16"/>
      <c r="X27" s="20" t="e">
        <f ca="1">+P27-T27</f>
        <v>#NAME?</v>
      </c>
      <c r="Y27" s="16"/>
      <c r="Z27" s="22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3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3" t="e">
        <f ca="1">IF(H$12=0,0,H29/H$12)</f>
        <v>#NAME?</v>
      </c>
      <c r="K29" s="4"/>
      <c r="L29" s="4" t="e">
        <f ca="1">+D29-H29</f>
        <v>#NAME?</v>
      </c>
      <c r="M29" s="4"/>
      <c r="N29" s="13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3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3" t="e">
        <f ca="1">IF(T$12=0,0,T29/T$12)</f>
        <v>#NAME?</v>
      </c>
      <c r="W29" s="4"/>
      <c r="X29" s="4" t="e">
        <f ca="1">+P29-T29</f>
        <v>#NAME?</v>
      </c>
      <c r="Y29" s="4"/>
      <c r="Z29" s="13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4</v>
      </c>
      <c r="C31" s="29"/>
      <c r="D31" s="35" t="e">
        <f ca="1">+D27-D29</f>
        <v>#NAME?</v>
      </c>
      <c r="E31" s="14"/>
      <c r="F31" s="32" t="e">
        <f ca="1">IF(D$12=0,0,D31/D$12)</f>
        <v>#NAME?</v>
      </c>
      <c r="G31" s="14"/>
      <c r="H31" s="35" t="e">
        <f ca="1">+H27-H29</f>
        <v>#NAME?</v>
      </c>
      <c r="I31" s="14"/>
      <c r="J31" s="32" t="e">
        <f ca="1">IF(H$12=0,0,H31/H$12)</f>
        <v>#NAME?</v>
      </c>
      <c r="K31" s="16"/>
      <c r="L31" s="35" t="e">
        <f ca="1">D31-H31</f>
        <v>#NAME?</v>
      </c>
      <c r="M31" s="16"/>
      <c r="N31" s="32" t="e">
        <f ca="1">IF(H31=0,0,L31/H31)</f>
        <v>#NAME?</v>
      </c>
      <c r="O31" s="28"/>
      <c r="P31" s="35" t="e">
        <f ca="1">+P27-P29</f>
        <v>#NAME?</v>
      </c>
      <c r="Q31" s="14"/>
      <c r="R31" s="32" t="e">
        <f ca="1">IF(P$12=0,0,P31/P$12)</f>
        <v>#NAME?</v>
      </c>
      <c r="S31" s="14"/>
      <c r="T31" s="35" t="e">
        <f ca="1">+T27-T29</f>
        <v>#NAME?</v>
      </c>
      <c r="U31" s="14"/>
      <c r="V31" s="32" t="e">
        <f ca="1">IF(T$12=0,0,T31/T$12)</f>
        <v>#NAME?</v>
      </c>
      <c r="W31" s="16"/>
      <c r="X31" s="35" t="e">
        <f ca="1">P31-T31</f>
        <v>#NAME?</v>
      </c>
      <c r="Y31" s="16"/>
      <c r="Z31" s="32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3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3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3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3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3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3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3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3" t="e">
        <f t="shared" ca="1" si="29"/>
        <v>#NAME?</v>
      </c>
      <c r="K34" s="4"/>
      <c r="L34" s="4" t="e">
        <f t="shared" ca="1" si="30"/>
        <v>#NAME?</v>
      </c>
      <c r="M34" s="4"/>
      <c r="N34" s="13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3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3" t="e">
        <f t="shared" ca="1" si="33"/>
        <v>#NAME?</v>
      </c>
      <c r="W34" s="4"/>
      <c r="X34" s="4" t="e">
        <f t="shared" ca="1" si="34"/>
        <v>#NAME?</v>
      </c>
      <c r="Y34" s="4"/>
      <c r="Z34" s="13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5</v>
      </c>
      <c r="C36" s="29"/>
      <c r="D36" s="34" t="e">
        <f ca="1">SUM(D31:D35)</f>
        <v>#NAME?</v>
      </c>
      <c r="E36" s="14"/>
      <c r="F36" s="31" t="e">
        <f ca="1">IF(D$12=0,0,D36/D$12)</f>
        <v>#NAME?</v>
      </c>
      <c r="G36" s="14"/>
      <c r="H36" s="34" t="e">
        <f ca="1">SUM(H31:H35)</f>
        <v>#NAME?</v>
      </c>
      <c r="I36" s="14"/>
      <c r="J36" s="31" t="e">
        <f ca="1">IF(H$12=0,0,H36/H$12)</f>
        <v>#NAME?</v>
      </c>
      <c r="K36" s="16"/>
      <c r="L36" s="34" t="e">
        <f ca="1">+D36-H36</f>
        <v>#NAME?</v>
      </c>
      <c r="M36" s="16"/>
      <c r="N36" s="31" t="e">
        <f ca="1">IF(H36=0,0,L36/H36)</f>
        <v>#NAME?</v>
      </c>
      <c r="O36" s="28"/>
      <c r="P36" s="34" t="e">
        <f ca="1">SUM(P31:P35)</f>
        <v>#NAME?</v>
      </c>
      <c r="Q36" s="14"/>
      <c r="R36" s="31" t="e">
        <f ca="1">IF(P$12=0,0,P36/P$12)</f>
        <v>#NAME?</v>
      </c>
      <c r="S36" s="14"/>
      <c r="T36" s="34" t="e">
        <f ca="1">SUM(T31:T35)</f>
        <v>#NAME?</v>
      </c>
      <c r="U36" s="14"/>
      <c r="V36" s="31" t="e">
        <f ca="1">IF(T$12=0,0,T36/T$12)</f>
        <v>#NAME?</v>
      </c>
      <c r="W36" s="16"/>
      <c r="X36" s="34" t="e">
        <f ca="1">+P36-T36</f>
        <v>#NAME?</v>
      </c>
      <c r="Y36" s="16"/>
      <c r="Z36" s="31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59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56" t="e">
        <f ca="1">_xll.OneStop.ReportPlayer.OSRFunctions.OSRGet("User","UserId")</f>
        <v>#NAME?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54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63" t="s">
        <v>13</v>
      </c>
    </row>
    <row r="3" spans="1:26" x14ac:dyDescent="0.25">
      <c r="D3" s="63" t="s">
        <v>296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61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63" t="e">
        <f ca="1">CONCATENATE("Period ",RIGHT(_xll.OneStop.ReportPlayer.OSRFunctions.OSRGet("Period","PeriodId"),2),", ",_xll.OneStop.ReportPlayer.OSRFunctions.OSRGet("Period","Year"))</f>
        <v>#NAME?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61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5" t="e">
        <f ca="1">_xll.OneStop.ReportPlayer.OSRFunctions.OSRGet("Period","PeriodEnd")</f>
        <v>#NAME?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61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51"/>
      <c r="C6" s="51"/>
      <c r="D6" s="23" t="s">
        <v>310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57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5" t="s">
        <v>294</v>
      </c>
      <c r="E9" s="15"/>
      <c r="F9" s="38"/>
      <c r="G9" s="15"/>
      <c r="H9" s="15"/>
      <c r="I9" s="15"/>
      <c r="J9" s="46"/>
      <c r="K9" s="15"/>
      <c r="L9" s="15"/>
      <c r="M9" s="15"/>
      <c r="N9" s="38"/>
      <c r="P9" s="15" t="s">
        <v>295</v>
      </c>
      <c r="Q9" s="15"/>
      <c r="R9" s="38"/>
      <c r="S9" s="15"/>
      <c r="T9" s="15"/>
      <c r="U9" s="15"/>
      <c r="V9" s="46"/>
      <c r="W9" s="15"/>
      <c r="X9" s="15"/>
      <c r="Y9" s="15"/>
      <c r="Z9" s="38"/>
    </row>
    <row r="10" spans="1:26" x14ac:dyDescent="0.25">
      <c r="A10" s="10"/>
      <c r="B10" s="55"/>
      <c r="C10" s="10"/>
      <c r="D10" s="43" t="s">
        <v>10</v>
      </c>
      <c r="E10" s="33"/>
      <c r="F10" s="40" t="s">
        <v>15</v>
      </c>
      <c r="G10" s="33"/>
      <c r="H10" s="47" t="s">
        <v>11</v>
      </c>
      <c r="I10" s="33"/>
      <c r="J10" s="45" t="s">
        <v>16</v>
      </c>
      <c r="K10" s="10"/>
      <c r="L10" s="43" t="s">
        <v>12</v>
      </c>
      <c r="M10" s="10"/>
      <c r="N10" s="40" t="s">
        <v>17</v>
      </c>
      <c r="O10" s="10"/>
      <c r="P10" s="53" t="s">
        <v>10</v>
      </c>
      <c r="Q10" s="33"/>
      <c r="R10" s="40" t="s">
        <v>15</v>
      </c>
      <c r="S10" s="33"/>
      <c r="T10" s="47" t="s">
        <v>11</v>
      </c>
      <c r="U10" s="33"/>
      <c r="V10" s="45" t="s">
        <v>16</v>
      </c>
      <c r="W10" s="10"/>
      <c r="X10" s="43" t="s">
        <v>12</v>
      </c>
      <c r="Y10" s="10"/>
      <c r="Z10" s="40" t="s">
        <v>17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 t="e">
        <f ca="1">SUM(_xll.OneStop.ReportPlayer.OSRFunctions.OSRRef(D13))</f>
        <v>#NAME?</v>
      </c>
      <c r="E12" s="4"/>
      <c r="F12" s="13"/>
      <c r="G12" s="4"/>
      <c r="H12" s="4" t="e">
        <f ca="1">SUM(_xll.OneStop.ReportPlayer.OSRFunctions.OSRRef(H13))</f>
        <v>#NAME?</v>
      </c>
      <c r="I12" s="4"/>
      <c r="J12" s="13"/>
      <c r="K12" s="4"/>
      <c r="L12" s="4" t="e">
        <f t="shared" ref="L12:L13" ca="1" si="0">+D12-H12</f>
        <v>#NAME?</v>
      </c>
      <c r="M12" s="4"/>
      <c r="N12" s="13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3"/>
      <c r="S12" s="4"/>
      <c r="T12" s="4" t="e">
        <f ca="1">SUM(_xll.OneStop.ReportPlayer.OSRFunctions.OSRRef(T13))</f>
        <v>#NAME?</v>
      </c>
      <c r="U12" s="4"/>
      <c r="V12" s="13"/>
      <c r="W12" s="4"/>
      <c r="X12" s="4" t="e">
        <f t="shared" ref="X12:X13" ca="1" si="2">+P12-T12</f>
        <v>#NAME?</v>
      </c>
      <c r="Y12" s="4"/>
      <c r="Z12" s="13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8</v>
      </c>
      <c r="C15" s="10"/>
      <c r="D15" s="4" t="e">
        <f ca="1">SUM(_xll.OneStop.ReportPlayer.OSRFunctions.OSRRef(D16))</f>
        <v>#NAME?</v>
      </c>
      <c r="E15" s="4"/>
      <c r="F15" s="13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3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3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3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3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3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6</v>
      </c>
      <c r="C18" s="29"/>
      <c r="D18" s="20" t="e">
        <f ca="1">D12-D15</f>
        <v>#NAME?</v>
      </c>
      <c r="E18" s="14"/>
      <c r="F18" s="22" t="e">
        <f ca="1">IF(D$12=0,0,D18/D$12)</f>
        <v>#NAME?</v>
      </c>
      <c r="G18" s="14"/>
      <c r="H18" s="20" t="e">
        <f ca="1">H12-H15</f>
        <v>#NAME?</v>
      </c>
      <c r="I18" s="14"/>
      <c r="J18" s="22" t="e">
        <f ca="1">IF(H$12=0,0,H18/H$12)</f>
        <v>#NAME?</v>
      </c>
      <c r="K18" s="16"/>
      <c r="L18" s="20" t="e">
        <f ca="1">+D18-H18</f>
        <v>#NAME?</v>
      </c>
      <c r="M18" s="16"/>
      <c r="N18" s="22" t="e">
        <f ca="1">IF(H18=0,0,L18/H18)</f>
        <v>#NAME?</v>
      </c>
      <c r="O18" s="28"/>
      <c r="P18" s="20" t="e">
        <f ca="1">P12-P15</f>
        <v>#NAME?</v>
      </c>
      <c r="Q18" s="14"/>
      <c r="R18" s="22" t="e">
        <f ca="1">IF(P$12=0,0,P18/P$12)</f>
        <v>#NAME?</v>
      </c>
      <c r="S18" s="14"/>
      <c r="T18" s="20" t="e">
        <f ca="1">T12-T15</f>
        <v>#NAME?</v>
      </c>
      <c r="U18" s="14"/>
      <c r="V18" s="22" t="e">
        <f ca="1">IF(T$12=0,0,T18/T$12)</f>
        <v>#NAME?</v>
      </c>
      <c r="W18" s="16"/>
      <c r="X18" s="20" t="e">
        <f ca="1">+P18-T18</f>
        <v>#NAME?</v>
      </c>
      <c r="Y18" s="16"/>
      <c r="Z18" s="22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9</v>
      </c>
      <c r="C20" s="10"/>
      <c r="D20" s="21" t="e">
        <f ca="1">SUM(_xll.OneStop.ReportPlayer.OSRFunctions.OSRRef(D22))</f>
        <v>#NAME?</v>
      </c>
      <c r="E20" s="21"/>
      <c r="F20" s="30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0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0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0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0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0" t="e">
        <f t="shared" ref="Z20:Z22" ca="1" si="19">IF(T20=0,0,X20/T20)</f>
        <v>#NAME?</v>
      </c>
    </row>
    <row r="21" spans="1:26" s="27" customFormat="1" outlineLevel="1" collapsed="1" x14ac:dyDescent="0.25">
      <c r="A21" s="25"/>
      <c r="B21" s="12" t="e">
        <f ca="1">CONCATENATE("     ",_xll.OneStop.ReportPlayer.OSRFunctions.OSRGet("d_Account","AccountCategory"))</f>
        <v>#NAME?</v>
      </c>
      <c r="C21" s="12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2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6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62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8" t="s">
        <v>0</v>
      </c>
      <c r="C24" s="10"/>
      <c r="D24" s="4" t="e">
        <f ca="1">SUM(_xll.OneStop.ReportPlayer.OSRFunctions.OSRRef(D25))</f>
        <v>#NAME?</v>
      </c>
      <c r="E24" s="4"/>
      <c r="F24" s="13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3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3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3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3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3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3</v>
      </c>
      <c r="C27" s="29"/>
      <c r="D27" s="20" t="e">
        <f ca="1">+D18-D20+D24</f>
        <v>#NAME?</v>
      </c>
      <c r="E27" s="14"/>
      <c r="F27" s="22" t="e">
        <f ca="1">IF(D$12=0,0,D27/D$12)</f>
        <v>#NAME?</v>
      </c>
      <c r="G27" s="14"/>
      <c r="H27" s="20" t="e">
        <f ca="1">+H18-H20+H24</f>
        <v>#NAME?</v>
      </c>
      <c r="I27" s="14"/>
      <c r="J27" s="22" t="e">
        <f ca="1">IF(H$12=0,0,H27/H$12)</f>
        <v>#NAME?</v>
      </c>
      <c r="K27" s="16"/>
      <c r="L27" s="20" t="e">
        <f ca="1">+D27-H27</f>
        <v>#NAME?</v>
      </c>
      <c r="M27" s="16"/>
      <c r="N27" s="22" t="e">
        <f ca="1">IF(H27=0,0,L27/H27)</f>
        <v>#NAME?</v>
      </c>
      <c r="O27" s="28"/>
      <c r="P27" s="20" t="e">
        <f ca="1">+P18-P20+P24</f>
        <v>#NAME?</v>
      </c>
      <c r="Q27" s="14"/>
      <c r="R27" s="22" t="e">
        <f ca="1">IF(P$12=0,0,P27/P$12)</f>
        <v>#NAME?</v>
      </c>
      <c r="S27" s="14"/>
      <c r="T27" s="20" t="e">
        <f ca="1">+T18-T20+T24</f>
        <v>#NAME?</v>
      </c>
      <c r="U27" s="14"/>
      <c r="V27" s="22" t="e">
        <f ca="1">IF(T$12=0,0,T27/T$12)</f>
        <v>#NAME?</v>
      </c>
      <c r="W27" s="16"/>
      <c r="X27" s="20" t="e">
        <f ca="1">+P27-T27</f>
        <v>#NAME?</v>
      </c>
      <c r="Y27" s="16"/>
      <c r="Z27" s="22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3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3" t="e">
        <f ca="1">IF(H$12=0,0,H29/H$12)</f>
        <v>#NAME?</v>
      </c>
      <c r="K29" s="4"/>
      <c r="L29" s="4" t="e">
        <f ca="1">+D29-H29</f>
        <v>#NAME?</v>
      </c>
      <c r="M29" s="4"/>
      <c r="N29" s="13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3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3" t="e">
        <f ca="1">IF(T$12=0,0,T29/T$12)</f>
        <v>#NAME?</v>
      </c>
      <c r="W29" s="4"/>
      <c r="X29" s="4" t="e">
        <f ca="1">+P29-T29</f>
        <v>#NAME?</v>
      </c>
      <c r="Y29" s="4"/>
      <c r="Z29" s="13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4</v>
      </c>
      <c r="C31" s="29"/>
      <c r="D31" s="35" t="e">
        <f ca="1">+D27-D29</f>
        <v>#NAME?</v>
      </c>
      <c r="E31" s="14"/>
      <c r="F31" s="32" t="e">
        <f ca="1">IF(D$12=0,0,D31/D$12)</f>
        <v>#NAME?</v>
      </c>
      <c r="G31" s="14"/>
      <c r="H31" s="35" t="e">
        <f ca="1">+H27-H29</f>
        <v>#NAME?</v>
      </c>
      <c r="I31" s="14"/>
      <c r="J31" s="32" t="e">
        <f ca="1">IF(H$12=0,0,H31/H$12)</f>
        <v>#NAME?</v>
      </c>
      <c r="K31" s="16"/>
      <c r="L31" s="35" t="e">
        <f ca="1">D31-H31</f>
        <v>#NAME?</v>
      </c>
      <c r="M31" s="16"/>
      <c r="N31" s="32" t="e">
        <f ca="1">IF(H31=0,0,L31/H31)</f>
        <v>#NAME?</v>
      </c>
      <c r="O31" s="28"/>
      <c r="P31" s="35" t="e">
        <f ca="1">+P27-P29</f>
        <v>#NAME?</v>
      </c>
      <c r="Q31" s="14"/>
      <c r="R31" s="32" t="e">
        <f ca="1">IF(P$12=0,0,P31/P$12)</f>
        <v>#NAME?</v>
      </c>
      <c r="S31" s="14"/>
      <c r="T31" s="35" t="e">
        <f ca="1">+T27-T29</f>
        <v>#NAME?</v>
      </c>
      <c r="U31" s="14"/>
      <c r="V31" s="32" t="e">
        <f ca="1">IF(T$12=0,0,T31/T$12)</f>
        <v>#NAME?</v>
      </c>
      <c r="W31" s="16"/>
      <c r="X31" s="35" t="e">
        <f ca="1">P31-T31</f>
        <v>#NAME?</v>
      </c>
      <c r="Y31" s="16"/>
      <c r="Z31" s="32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3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3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3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3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3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3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3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3" t="e">
        <f t="shared" ca="1" si="29"/>
        <v>#NAME?</v>
      </c>
      <c r="K34" s="4"/>
      <c r="L34" s="4" t="e">
        <f t="shared" ca="1" si="30"/>
        <v>#NAME?</v>
      </c>
      <c r="M34" s="4"/>
      <c r="N34" s="13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3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3" t="e">
        <f t="shared" ca="1" si="33"/>
        <v>#NAME?</v>
      </c>
      <c r="W34" s="4"/>
      <c r="X34" s="4" t="e">
        <f t="shared" ca="1" si="34"/>
        <v>#NAME?</v>
      </c>
      <c r="Y34" s="4"/>
      <c r="Z34" s="13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5</v>
      </c>
      <c r="C36" s="29"/>
      <c r="D36" s="34" t="e">
        <f ca="1">SUM(D31:D35)</f>
        <v>#NAME?</v>
      </c>
      <c r="E36" s="14"/>
      <c r="F36" s="31" t="e">
        <f ca="1">IF(D$12=0,0,D36/D$12)</f>
        <v>#NAME?</v>
      </c>
      <c r="G36" s="14"/>
      <c r="H36" s="34" t="e">
        <f ca="1">SUM(H31:H35)</f>
        <v>#NAME?</v>
      </c>
      <c r="I36" s="14"/>
      <c r="J36" s="31" t="e">
        <f ca="1">IF(H$12=0,0,H36/H$12)</f>
        <v>#NAME?</v>
      </c>
      <c r="K36" s="16"/>
      <c r="L36" s="34" t="e">
        <f ca="1">+D36-H36</f>
        <v>#NAME?</v>
      </c>
      <c r="M36" s="16"/>
      <c r="N36" s="31" t="e">
        <f ca="1">IF(H36=0,0,L36/H36)</f>
        <v>#NAME?</v>
      </c>
      <c r="O36" s="28"/>
      <c r="P36" s="34" t="e">
        <f ca="1">SUM(P31:P35)</f>
        <v>#NAME?</v>
      </c>
      <c r="Q36" s="14"/>
      <c r="R36" s="31" t="e">
        <f ca="1">IF(P$12=0,0,P36/P$12)</f>
        <v>#NAME?</v>
      </c>
      <c r="S36" s="14"/>
      <c r="T36" s="34" t="e">
        <f ca="1">SUM(T31:T35)</f>
        <v>#NAME?</v>
      </c>
      <c r="U36" s="14"/>
      <c r="V36" s="31" t="e">
        <f ca="1">IF(T$12=0,0,T36/T$12)</f>
        <v>#NAME?</v>
      </c>
      <c r="W36" s="16"/>
      <c r="X36" s="34" t="e">
        <f ca="1">+P36-T36</f>
        <v>#NAME?</v>
      </c>
      <c r="Y36" s="16"/>
      <c r="Z36" s="31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59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56" t="e">
        <f ca="1">_xll.OneStop.ReportPlayer.OSRFunctions.OSRGet("User","UserId")</f>
        <v>#NAME?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54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63" t="s">
        <v>13</v>
      </c>
    </row>
    <row r="3" spans="1:26" x14ac:dyDescent="0.25">
      <c r="D3" s="63" t="s">
        <v>296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61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63" t="e">
        <f ca="1">CONCATENATE("Period ",RIGHT(_xll.OneStop.ReportPlayer.OSRFunctions.OSRGet("Period","PeriodId"),2),", ",_xll.OneStop.ReportPlayer.OSRFunctions.OSRGet("Period","Year"))</f>
        <v>#NAME?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61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5" t="e">
        <f ca="1">_xll.OneStop.ReportPlayer.OSRFunctions.OSRGet("Period","PeriodEnd")</f>
        <v>#NAME?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61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51"/>
      <c r="C6" s="51"/>
      <c r="D6" s="23" t="s">
        <v>313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57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5" t="s">
        <v>294</v>
      </c>
      <c r="E9" s="15"/>
      <c r="F9" s="38"/>
      <c r="G9" s="15"/>
      <c r="H9" s="15"/>
      <c r="I9" s="15"/>
      <c r="J9" s="46"/>
      <c r="K9" s="15"/>
      <c r="L9" s="15"/>
      <c r="M9" s="15"/>
      <c r="N9" s="38"/>
      <c r="P9" s="15" t="s">
        <v>295</v>
      </c>
      <c r="Q9" s="15"/>
      <c r="R9" s="38"/>
      <c r="S9" s="15"/>
      <c r="T9" s="15"/>
      <c r="U9" s="15"/>
      <c r="V9" s="46"/>
      <c r="W9" s="15"/>
      <c r="X9" s="15"/>
      <c r="Y9" s="15"/>
      <c r="Z9" s="38"/>
    </row>
    <row r="10" spans="1:26" x14ac:dyDescent="0.25">
      <c r="A10" s="10"/>
      <c r="B10" s="55"/>
      <c r="C10" s="10"/>
      <c r="D10" s="43" t="s">
        <v>10</v>
      </c>
      <c r="E10" s="33"/>
      <c r="F10" s="40" t="s">
        <v>15</v>
      </c>
      <c r="G10" s="33"/>
      <c r="H10" s="47" t="s">
        <v>11</v>
      </c>
      <c r="I10" s="33"/>
      <c r="J10" s="45" t="s">
        <v>16</v>
      </c>
      <c r="K10" s="10"/>
      <c r="L10" s="43" t="s">
        <v>12</v>
      </c>
      <c r="M10" s="10"/>
      <c r="N10" s="40" t="s">
        <v>17</v>
      </c>
      <c r="O10" s="10"/>
      <c r="P10" s="53" t="s">
        <v>10</v>
      </c>
      <c r="Q10" s="33"/>
      <c r="R10" s="40" t="s">
        <v>15</v>
      </c>
      <c r="S10" s="33"/>
      <c r="T10" s="47" t="s">
        <v>11</v>
      </c>
      <c r="U10" s="33"/>
      <c r="V10" s="45" t="s">
        <v>16</v>
      </c>
      <c r="W10" s="10"/>
      <c r="X10" s="43" t="s">
        <v>12</v>
      </c>
      <c r="Y10" s="10"/>
      <c r="Z10" s="40" t="s">
        <v>17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 t="e">
        <f ca="1">SUM(_xll.OneStop.ReportPlayer.OSRFunctions.OSRRef(D13))</f>
        <v>#NAME?</v>
      </c>
      <c r="E12" s="4"/>
      <c r="F12" s="13"/>
      <c r="G12" s="4"/>
      <c r="H12" s="4" t="e">
        <f ca="1">SUM(_xll.OneStop.ReportPlayer.OSRFunctions.OSRRef(H13))</f>
        <v>#NAME?</v>
      </c>
      <c r="I12" s="4"/>
      <c r="J12" s="13"/>
      <c r="K12" s="4"/>
      <c r="L12" s="4" t="e">
        <f t="shared" ref="L12:L13" ca="1" si="0">+D12-H12</f>
        <v>#NAME?</v>
      </c>
      <c r="M12" s="4"/>
      <c r="N12" s="13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3"/>
      <c r="S12" s="4"/>
      <c r="T12" s="4" t="e">
        <f ca="1">SUM(_xll.OneStop.ReportPlayer.OSRFunctions.OSRRef(T13))</f>
        <v>#NAME?</v>
      </c>
      <c r="U12" s="4"/>
      <c r="V12" s="13"/>
      <c r="W12" s="4"/>
      <c r="X12" s="4" t="e">
        <f t="shared" ref="X12:X13" ca="1" si="2">+P12-T12</f>
        <v>#NAME?</v>
      </c>
      <c r="Y12" s="4"/>
      <c r="Z12" s="13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8</v>
      </c>
      <c r="C15" s="10"/>
      <c r="D15" s="4" t="e">
        <f ca="1">SUM(_xll.OneStop.ReportPlayer.OSRFunctions.OSRRef(D16))</f>
        <v>#NAME?</v>
      </c>
      <c r="E15" s="4"/>
      <c r="F15" s="13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3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3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3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3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3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6</v>
      </c>
      <c r="C18" s="29"/>
      <c r="D18" s="20" t="e">
        <f ca="1">D12-D15</f>
        <v>#NAME?</v>
      </c>
      <c r="E18" s="14"/>
      <c r="F18" s="22" t="e">
        <f ca="1">IF(D$12=0,0,D18/D$12)</f>
        <v>#NAME?</v>
      </c>
      <c r="G18" s="14"/>
      <c r="H18" s="20" t="e">
        <f ca="1">H12-H15</f>
        <v>#NAME?</v>
      </c>
      <c r="I18" s="14"/>
      <c r="J18" s="22" t="e">
        <f ca="1">IF(H$12=0,0,H18/H$12)</f>
        <v>#NAME?</v>
      </c>
      <c r="K18" s="16"/>
      <c r="L18" s="20" t="e">
        <f ca="1">+D18-H18</f>
        <v>#NAME?</v>
      </c>
      <c r="M18" s="16"/>
      <c r="N18" s="22" t="e">
        <f ca="1">IF(H18=0,0,L18/H18)</f>
        <v>#NAME?</v>
      </c>
      <c r="O18" s="28"/>
      <c r="P18" s="20" t="e">
        <f ca="1">P12-P15</f>
        <v>#NAME?</v>
      </c>
      <c r="Q18" s="14"/>
      <c r="R18" s="22" t="e">
        <f ca="1">IF(P$12=0,0,P18/P$12)</f>
        <v>#NAME?</v>
      </c>
      <c r="S18" s="14"/>
      <c r="T18" s="20" t="e">
        <f ca="1">T12-T15</f>
        <v>#NAME?</v>
      </c>
      <c r="U18" s="14"/>
      <c r="V18" s="22" t="e">
        <f ca="1">IF(T$12=0,0,T18/T$12)</f>
        <v>#NAME?</v>
      </c>
      <c r="W18" s="16"/>
      <c r="X18" s="20" t="e">
        <f ca="1">+P18-T18</f>
        <v>#NAME?</v>
      </c>
      <c r="Y18" s="16"/>
      <c r="Z18" s="22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9</v>
      </c>
      <c r="C20" s="10"/>
      <c r="D20" s="21" t="e">
        <f ca="1">SUM(_xll.OneStop.ReportPlayer.OSRFunctions.OSRRef(D22))</f>
        <v>#NAME?</v>
      </c>
      <c r="E20" s="21"/>
      <c r="F20" s="30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0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0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0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0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0" t="e">
        <f t="shared" ref="Z20:Z22" ca="1" si="19">IF(T20=0,0,X20/T20)</f>
        <v>#NAME?</v>
      </c>
    </row>
    <row r="21" spans="1:26" s="27" customFormat="1" outlineLevel="1" collapsed="1" x14ac:dyDescent="0.25">
      <c r="A21" s="25"/>
      <c r="B21" s="12" t="e">
        <f ca="1">CONCATENATE("     ",_xll.OneStop.ReportPlayer.OSRFunctions.OSRGet("d_Account","AccountCategory"))</f>
        <v>#NAME?</v>
      </c>
      <c r="C21" s="12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2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6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62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8" t="s">
        <v>0</v>
      </c>
      <c r="C24" s="10"/>
      <c r="D24" s="4" t="e">
        <f ca="1">SUM(_xll.OneStop.ReportPlayer.OSRFunctions.OSRRef(D25))</f>
        <v>#NAME?</v>
      </c>
      <c r="E24" s="4"/>
      <c r="F24" s="13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3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3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3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3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3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3</v>
      </c>
      <c r="C27" s="29"/>
      <c r="D27" s="20" t="e">
        <f ca="1">+D18-D20+D24</f>
        <v>#NAME?</v>
      </c>
      <c r="E27" s="14"/>
      <c r="F27" s="22" t="e">
        <f ca="1">IF(D$12=0,0,D27/D$12)</f>
        <v>#NAME?</v>
      </c>
      <c r="G27" s="14"/>
      <c r="H27" s="20" t="e">
        <f ca="1">+H18-H20+H24</f>
        <v>#NAME?</v>
      </c>
      <c r="I27" s="14"/>
      <c r="J27" s="22" t="e">
        <f ca="1">IF(H$12=0,0,H27/H$12)</f>
        <v>#NAME?</v>
      </c>
      <c r="K27" s="16"/>
      <c r="L27" s="20" t="e">
        <f ca="1">+D27-H27</f>
        <v>#NAME?</v>
      </c>
      <c r="M27" s="16"/>
      <c r="N27" s="22" t="e">
        <f ca="1">IF(H27=0,0,L27/H27)</f>
        <v>#NAME?</v>
      </c>
      <c r="O27" s="28"/>
      <c r="P27" s="20" t="e">
        <f ca="1">+P18-P20+P24</f>
        <v>#NAME?</v>
      </c>
      <c r="Q27" s="14"/>
      <c r="R27" s="22" t="e">
        <f ca="1">IF(P$12=0,0,P27/P$12)</f>
        <v>#NAME?</v>
      </c>
      <c r="S27" s="14"/>
      <c r="T27" s="20" t="e">
        <f ca="1">+T18-T20+T24</f>
        <v>#NAME?</v>
      </c>
      <c r="U27" s="14"/>
      <c r="V27" s="22" t="e">
        <f ca="1">IF(T$12=0,0,T27/T$12)</f>
        <v>#NAME?</v>
      </c>
      <c r="W27" s="16"/>
      <c r="X27" s="20" t="e">
        <f ca="1">+P27-T27</f>
        <v>#NAME?</v>
      </c>
      <c r="Y27" s="16"/>
      <c r="Z27" s="22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3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3" t="e">
        <f ca="1">IF(H$12=0,0,H29/H$12)</f>
        <v>#NAME?</v>
      </c>
      <c r="K29" s="4"/>
      <c r="L29" s="4" t="e">
        <f ca="1">+D29-H29</f>
        <v>#NAME?</v>
      </c>
      <c r="M29" s="4"/>
      <c r="N29" s="13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3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3" t="e">
        <f ca="1">IF(T$12=0,0,T29/T$12)</f>
        <v>#NAME?</v>
      </c>
      <c r="W29" s="4"/>
      <c r="X29" s="4" t="e">
        <f ca="1">+P29-T29</f>
        <v>#NAME?</v>
      </c>
      <c r="Y29" s="4"/>
      <c r="Z29" s="13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4</v>
      </c>
      <c r="C31" s="29"/>
      <c r="D31" s="35" t="e">
        <f ca="1">+D27-D29</f>
        <v>#NAME?</v>
      </c>
      <c r="E31" s="14"/>
      <c r="F31" s="32" t="e">
        <f ca="1">IF(D$12=0,0,D31/D$12)</f>
        <v>#NAME?</v>
      </c>
      <c r="G31" s="14"/>
      <c r="H31" s="35" t="e">
        <f ca="1">+H27-H29</f>
        <v>#NAME?</v>
      </c>
      <c r="I31" s="14"/>
      <c r="J31" s="32" t="e">
        <f ca="1">IF(H$12=0,0,H31/H$12)</f>
        <v>#NAME?</v>
      </c>
      <c r="K31" s="16"/>
      <c r="L31" s="35" t="e">
        <f ca="1">D31-H31</f>
        <v>#NAME?</v>
      </c>
      <c r="M31" s="16"/>
      <c r="N31" s="32" t="e">
        <f ca="1">IF(H31=0,0,L31/H31)</f>
        <v>#NAME?</v>
      </c>
      <c r="O31" s="28"/>
      <c r="P31" s="35" t="e">
        <f ca="1">+P27-P29</f>
        <v>#NAME?</v>
      </c>
      <c r="Q31" s="14"/>
      <c r="R31" s="32" t="e">
        <f ca="1">IF(P$12=0,0,P31/P$12)</f>
        <v>#NAME?</v>
      </c>
      <c r="S31" s="14"/>
      <c r="T31" s="35" t="e">
        <f ca="1">+T27-T29</f>
        <v>#NAME?</v>
      </c>
      <c r="U31" s="14"/>
      <c r="V31" s="32" t="e">
        <f ca="1">IF(T$12=0,0,T31/T$12)</f>
        <v>#NAME?</v>
      </c>
      <c r="W31" s="16"/>
      <c r="X31" s="35" t="e">
        <f ca="1">P31-T31</f>
        <v>#NAME?</v>
      </c>
      <c r="Y31" s="16"/>
      <c r="Z31" s="32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3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3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3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3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3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3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3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3" t="e">
        <f t="shared" ca="1" si="29"/>
        <v>#NAME?</v>
      </c>
      <c r="K34" s="4"/>
      <c r="L34" s="4" t="e">
        <f t="shared" ca="1" si="30"/>
        <v>#NAME?</v>
      </c>
      <c r="M34" s="4"/>
      <c r="N34" s="13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3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3" t="e">
        <f t="shared" ca="1" si="33"/>
        <v>#NAME?</v>
      </c>
      <c r="W34" s="4"/>
      <c r="X34" s="4" t="e">
        <f t="shared" ca="1" si="34"/>
        <v>#NAME?</v>
      </c>
      <c r="Y34" s="4"/>
      <c r="Z34" s="13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5</v>
      </c>
      <c r="C36" s="29"/>
      <c r="D36" s="34" t="e">
        <f ca="1">SUM(D31:D35)</f>
        <v>#NAME?</v>
      </c>
      <c r="E36" s="14"/>
      <c r="F36" s="31" t="e">
        <f ca="1">IF(D$12=0,0,D36/D$12)</f>
        <v>#NAME?</v>
      </c>
      <c r="G36" s="14"/>
      <c r="H36" s="34" t="e">
        <f ca="1">SUM(H31:H35)</f>
        <v>#NAME?</v>
      </c>
      <c r="I36" s="14"/>
      <c r="J36" s="31" t="e">
        <f ca="1">IF(H$12=0,0,H36/H$12)</f>
        <v>#NAME?</v>
      </c>
      <c r="K36" s="16"/>
      <c r="L36" s="34" t="e">
        <f ca="1">+D36-H36</f>
        <v>#NAME?</v>
      </c>
      <c r="M36" s="16"/>
      <c r="N36" s="31" t="e">
        <f ca="1">IF(H36=0,0,L36/H36)</f>
        <v>#NAME?</v>
      </c>
      <c r="O36" s="28"/>
      <c r="P36" s="34" t="e">
        <f ca="1">SUM(P31:P35)</f>
        <v>#NAME?</v>
      </c>
      <c r="Q36" s="14"/>
      <c r="R36" s="31" t="e">
        <f ca="1">IF(P$12=0,0,P36/P$12)</f>
        <v>#NAME?</v>
      </c>
      <c r="S36" s="14"/>
      <c r="T36" s="34" t="e">
        <f ca="1">SUM(T31:T35)</f>
        <v>#NAME?</v>
      </c>
      <c r="U36" s="14"/>
      <c r="V36" s="31" t="e">
        <f ca="1">IF(T$12=0,0,T36/T$12)</f>
        <v>#NAME?</v>
      </c>
      <c r="W36" s="16"/>
      <c r="X36" s="34" t="e">
        <f ca="1">+P36-T36</f>
        <v>#NAME?</v>
      </c>
      <c r="Y36" s="16"/>
      <c r="Z36" s="31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59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56" t="e">
        <f ca="1">_xll.OneStop.ReportPlayer.OSRFunctions.OSRGet("User","UserId")</f>
        <v>#NAME?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54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63" t="s">
        <v>13</v>
      </c>
    </row>
    <row r="3" spans="1:26" x14ac:dyDescent="0.25">
      <c r="D3" s="63" t="s">
        <v>296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61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63" t="e">
        <f ca="1">CONCATENATE("Period ",RIGHT(_xll.OneStop.ReportPlayer.OSRFunctions.OSRGet("Period","PeriodId"),2),", ",_xll.OneStop.ReportPlayer.OSRFunctions.OSRGet("Period","Year"))</f>
        <v>#NAME?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61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5" t="e">
        <f ca="1">_xll.OneStop.ReportPlayer.OSRFunctions.OSRGet("Period","PeriodEnd")</f>
        <v>#NAME?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61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51"/>
      <c r="C6" s="51"/>
      <c r="D6" s="23" t="s">
        <v>313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57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5" t="s">
        <v>294</v>
      </c>
      <c r="E9" s="15"/>
      <c r="F9" s="38"/>
      <c r="G9" s="15"/>
      <c r="H9" s="15"/>
      <c r="I9" s="15"/>
      <c r="J9" s="46"/>
      <c r="K9" s="15"/>
      <c r="L9" s="15"/>
      <c r="M9" s="15"/>
      <c r="N9" s="38"/>
      <c r="P9" s="15" t="s">
        <v>295</v>
      </c>
      <c r="Q9" s="15"/>
      <c r="R9" s="38"/>
      <c r="S9" s="15"/>
      <c r="T9" s="15"/>
      <c r="U9" s="15"/>
      <c r="V9" s="46"/>
      <c r="W9" s="15"/>
      <c r="X9" s="15"/>
      <c r="Y9" s="15"/>
      <c r="Z9" s="38"/>
    </row>
    <row r="10" spans="1:26" x14ac:dyDescent="0.25">
      <c r="A10" s="10"/>
      <c r="B10" s="55"/>
      <c r="C10" s="10"/>
      <c r="D10" s="43" t="s">
        <v>10</v>
      </c>
      <c r="E10" s="33"/>
      <c r="F10" s="40" t="s">
        <v>15</v>
      </c>
      <c r="G10" s="33"/>
      <c r="H10" s="47" t="s">
        <v>11</v>
      </c>
      <c r="I10" s="33"/>
      <c r="J10" s="45" t="s">
        <v>16</v>
      </c>
      <c r="K10" s="10"/>
      <c r="L10" s="43" t="s">
        <v>12</v>
      </c>
      <c r="M10" s="10"/>
      <c r="N10" s="40" t="s">
        <v>17</v>
      </c>
      <c r="O10" s="10"/>
      <c r="P10" s="53" t="s">
        <v>10</v>
      </c>
      <c r="Q10" s="33"/>
      <c r="R10" s="40" t="s">
        <v>15</v>
      </c>
      <c r="S10" s="33"/>
      <c r="T10" s="47" t="s">
        <v>11</v>
      </c>
      <c r="U10" s="33"/>
      <c r="V10" s="45" t="s">
        <v>16</v>
      </c>
      <c r="W10" s="10"/>
      <c r="X10" s="43" t="s">
        <v>12</v>
      </c>
      <c r="Y10" s="10"/>
      <c r="Z10" s="40" t="s">
        <v>17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 t="e">
        <f ca="1">SUM(_xll.OneStop.ReportPlayer.OSRFunctions.OSRRef(D13))</f>
        <v>#NAME?</v>
      </c>
      <c r="E12" s="4"/>
      <c r="F12" s="13"/>
      <c r="G12" s="4"/>
      <c r="H12" s="4" t="e">
        <f ca="1">SUM(_xll.OneStop.ReportPlayer.OSRFunctions.OSRRef(H13))</f>
        <v>#NAME?</v>
      </c>
      <c r="I12" s="4"/>
      <c r="J12" s="13"/>
      <c r="K12" s="4"/>
      <c r="L12" s="4" t="e">
        <f t="shared" ref="L12:L13" ca="1" si="0">+D12-H12</f>
        <v>#NAME?</v>
      </c>
      <c r="M12" s="4"/>
      <c r="N12" s="13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3"/>
      <c r="S12" s="4"/>
      <c r="T12" s="4" t="e">
        <f ca="1">SUM(_xll.OneStop.ReportPlayer.OSRFunctions.OSRRef(T13))</f>
        <v>#NAME?</v>
      </c>
      <c r="U12" s="4"/>
      <c r="V12" s="13"/>
      <c r="W12" s="4"/>
      <c r="X12" s="4" t="e">
        <f t="shared" ref="X12:X13" ca="1" si="2">+P12-T12</f>
        <v>#NAME?</v>
      </c>
      <c r="Y12" s="4"/>
      <c r="Z12" s="13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8</v>
      </c>
      <c r="C15" s="10"/>
      <c r="D15" s="4" t="e">
        <f ca="1">SUM(_xll.OneStop.ReportPlayer.OSRFunctions.OSRRef(D16))</f>
        <v>#NAME?</v>
      </c>
      <c r="E15" s="4"/>
      <c r="F15" s="13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3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3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3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3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3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6</v>
      </c>
      <c r="C18" s="29"/>
      <c r="D18" s="20" t="e">
        <f ca="1">D12-D15</f>
        <v>#NAME?</v>
      </c>
      <c r="E18" s="14"/>
      <c r="F18" s="22" t="e">
        <f ca="1">IF(D$12=0,0,D18/D$12)</f>
        <v>#NAME?</v>
      </c>
      <c r="G18" s="14"/>
      <c r="H18" s="20" t="e">
        <f ca="1">H12-H15</f>
        <v>#NAME?</v>
      </c>
      <c r="I18" s="14"/>
      <c r="J18" s="22" t="e">
        <f ca="1">IF(H$12=0,0,H18/H$12)</f>
        <v>#NAME?</v>
      </c>
      <c r="K18" s="16"/>
      <c r="L18" s="20" t="e">
        <f ca="1">+D18-H18</f>
        <v>#NAME?</v>
      </c>
      <c r="M18" s="16"/>
      <c r="N18" s="22" t="e">
        <f ca="1">IF(H18=0,0,L18/H18)</f>
        <v>#NAME?</v>
      </c>
      <c r="O18" s="28"/>
      <c r="P18" s="20" t="e">
        <f ca="1">P12-P15</f>
        <v>#NAME?</v>
      </c>
      <c r="Q18" s="14"/>
      <c r="R18" s="22" t="e">
        <f ca="1">IF(P$12=0,0,P18/P$12)</f>
        <v>#NAME?</v>
      </c>
      <c r="S18" s="14"/>
      <c r="T18" s="20" t="e">
        <f ca="1">T12-T15</f>
        <v>#NAME?</v>
      </c>
      <c r="U18" s="14"/>
      <c r="V18" s="22" t="e">
        <f ca="1">IF(T$12=0,0,T18/T$12)</f>
        <v>#NAME?</v>
      </c>
      <c r="W18" s="16"/>
      <c r="X18" s="20" t="e">
        <f ca="1">+P18-T18</f>
        <v>#NAME?</v>
      </c>
      <c r="Y18" s="16"/>
      <c r="Z18" s="22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9</v>
      </c>
      <c r="C20" s="10"/>
      <c r="D20" s="21" t="e">
        <f ca="1">SUM(_xll.OneStop.ReportPlayer.OSRFunctions.OSRRef(D22))</f>
        <v>#NAME?</v>
      </c>
      <c r="E20" s="21"/>
      <c r="F20" s="30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0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0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0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0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0" t="e">
        <f t="shared" ref="Z20:Z22" ca="1" si="19">IF(T20=0,0,X20/T20)</f>
        <v>#NAME?</v>
      </c>
    </row>
    <row r="21" spans="1:26" s="27" customFormat="1" outlineLevel="1" collapsed="1" x14ac:dyDescent="0.25">
      <c r="A21" s="25"/>
      <c r="B21" s="12" t="e">
        <f ca="1">CONCATENATE("     ",_xll.OneStop.ReportPlayer.OSRFunctions.OSRGet("d_Account","AccountCategory"))</f>
        <v>#NAME?</v>
      </c>
      <c r="C21" s="12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2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6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62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8" t="s">
        <v>0</v>
      </c>
      <c r="C24" s="10"/>
      <c r="D24" s="4" t="e">
        <f ca="1">SUM(_xll.OneStop.ReportPlayer.OSRFunctions.OSRRef(D25))</f>
        <v>#NAME?</v>
      </c>
      <c r="E24" s="4"/>
      <c r="F24" s="13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3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3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3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3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3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3</v>
      </c>
      <c r="C27" s="29"/>
      <c r="D27" s="20" t="e">
        <f ca="1">+D18-D20+D24</f>
        <v>#NAME?</v>
      </c>
      <c r="E27" s="14"/>
      <c r="F27" s="22" t="e">
        <f ca="1">IF(D$12=0,0,D27/D$12)</f>
        <v>#NAME?</v>
      </c>
      <c r="G27" s="14"/>
      <c r="H27" s="20" t="e">
        <f ca="1">+H18-H20+H24</f>
        <v>#NAME?</v>
      </c>
      <c r="I27" s="14"/>
      <c r="J27" s="22" t="e">
        <f ca="1">IF(H$12=0,0,H27/H$12)</f>
        <v>#NAME?</v>
      </c>
      <c r="K27" s="16"/>
      <c r="L27" s="20" t="e">
        <f ca="1">+D27-H27</f>
        <v>#NAME?</v>
      </c>
      <c r="M27" s="16"/>
      <c r="N27" s="22" t="e">
        <f ca="1">IF(H27=0,0,L27/H27)</f>
        <v>#NAME?</v>
      </c>
      <c r="O27" s="28"/>
      <c r="P27" s="20" t="e">
        <f ca="1">+P18-P20+P24</f>
        <v>#NAME?</v>
      </c>
      <c r="Q27" s="14"/>
      <c r="R27" s="22" t="e">
        <f ca="1">IF(P$12=0,0,P27/P$12)</f>
        <v>#NAME?</v>
      </c>
      <c r="S27" s="14"/>
      <c r="T27" s="20" t="e">
        <f ca="1">+T18-T20+T24</f>
        <v>#NAME?</v>
      </c>
      <c r="U27" s="14"/>
      <c r="V27" s="22" t="e">
        <f ca="1">IF(T$12=0,0,T27/T$12)</f>
        <v>#NAME?</v>
      </c>
      <c r="W27" s="16"/>
      <c r="X27" s="20" t="e">
        <f ca="1">+P27-T27</f>
        <v>#NAME?</v>
      </c>
      <c r="Y27" s="16"/>
      <c r="Z27" s="22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3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3" t="e">
        <f ca="1">IF(H$12=0,0,H29/H$12)</f>
        <v>#NAME?</v>
      </c>
      <c r="K29" s="4"/>
      <c r="L29" s="4" t="e">
        <f ca="1">+D29-H29</f>
        <v>#NAME?</v>
      </c>
      <c r="M29" s="4"/>
      <c r="N29" s="13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3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3" t="e">
        <f ca="1">IF(T$12=0,0,T29/T$12)</f>
        <v>#NAME?</v>
      </c>
      <c r="W29" s="4"/>
      <c r="X29" s="4" t="e">
        <f ca="1">+P29-T29</f>
        <v>#NAME?</v>
      </c>
      <c r="Y29" s="4"/>
      <c r="Z29" s="13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4</v>
      </c>
      <c r="C31" s="29"/>
      <c r="D31" s="35" t="e">
        <f ca="1">+D27-D29</f>
        <v>#NAME?</v>
      </c>
      <c r="E31" s="14"/>
      <c r="F31" s="32" t="e">
        <f ca="1">IF(D$12=0,0,D31/D$12)</f>
        <v>#NAME?</v>
      </c>
      <c r="G31" s="14"/>
      <c r="H31" s="35" t="e">
        <f ca="1">+H27-H29</f>
        <v>#NAME?</v>
      </c>
      <c r="I31" s="14"/>
      <c r="J31" s="32" t="e">
        <f ca="1">IF(H$12=0,0,H31/H$12)</f>
        <v>#NAME?</v>
      </c>
      <c r="K31" s="16"/>
      <c r="L31" s="35" t="e">
        <f ca="1">D31-H31</f>
        <v>#NAME?</v>
      </c>
      <c r="M31" s="16"/>
      <c r="N31" s="32" t="e">
        <f ca="1">IF(H31=0,0,L31/H31)</f>
        <v>#NAME?</v>
      </c>
      <c r="O31" s="28"/>
      <c r="P31" s="35" t="e">
        <f ca="1">+P27-P29</f>
        <v>#NAME?</v>
      </c>
      <c r="Q31" s="14"/>
      <c r="R31" s="32" t="e">
        <f ca="1">IF(P$12=0,0,P31/P$12)</f>
        <v>#NAME?</v>
      </c>
      <c r="S31" s="14"/>
      <c r="T31" s="35" t="e">
        <f ca="1">+T27-T29</f>
        <v>#NAME?</v>
      </c>
      <c r="U31" s="14"/>
      <c r="V31" s="32" t="e">
        <f ca="1">IF(T$12=0,0,T31/T$12)</f>
        <v>#NAME?</v>
      </c>
      <c r="W31" s="16"/>
      <c r="X31" s="35" t="e">
        <f ca="1">P31-T31</f>
        <v>#NAME?</v>
      </c>
      <c r="Y31" s="16"/>
      <c r="Z31" s="32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3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3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3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3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3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3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3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3" t="e">
        <f t="shared" ca="1" si="29"/>
        <v>#NAME?</v>
      </c>
      <c r="K34" s="4"/>
      <c r="L34" s="4" t="e">
        <f t="shared" ca="1" si="30"/>
        <v>#NAME?</v>
      </c>
      <c r="M34" s="4"/>
      <c r="N34" s="13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3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3" t="e">
        <f t="shared" ca="1" si="33"/>
        <v>#NAME?</v>
      </c>
      <c r="W34" s="4"/>
      <c r="X34" s="4" t="e">
        <f t="shared" ca="1" si="34"/>
        <v>#NAME?</v>
      </c>
      <c r="Y34" s="4"/>
      <c r="Z34" s="13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5</v>
      </c>
      <c r="C36" s="29"/>
      <c r="D36" s="34" t="e">
        <f ca="1">SUM(D31:D35)</f>
        <v>#NAME?</v>
      </c>
      <c r="E36" s="14"/>
      <c r="F36" s="31" t="e">
        <f ca="1">IF(D$12=0,0,D36/D$12)</f>
        <v>#NAME?</v>
      </c>
      <c r="G36" s="14"/>
      <c r="H36" s="34" t="e">
        <f ca="1">SUM(H31:H35)</f>
        <v>#NAME?</v>
      </c>
      <c r="I36" s="14"/>
      <c r="J36" s="31" t="e">
        <f ca="1">IF(H$12=0,0,H36/H$12)</f>
        <v>#NAME?</v>
      </c>
      <c r="K36" s="16"/>
      <c r="L36" s="34" t="e">
        <f ca="1">+D36-H36</f>
        <v>#NAME?</v>
      </c>
      <c r="M36" s="16"/>
      <c r="N36" s="31" t="e">
        <f ca="1">IF(H36=0,0,L36/H36)</f>
        <v>#NAME?</v>
      </c>
      <c r="O36" s="28"/>
      <c r="P36" s="34" t="e">
        <f ca="1">SUM(P31:P35)</f>
        <v>#NAME?</v>
      </c>
      <c r="Q36" s="14"/>
      <c r="R36" s="31" t="e">
        <f ca="1">IF(P$12=0,0,P36/P$12)</f>
        <v>#NAME?</v>
      </c>
      <c r="S36" s="14"/>
      <c r="T36" s="34" t="e">
        <f ca="1">SUM(T31:T35)</f>
        <v>#NAME?</v>
      </c>
      <c r="U36" s="14"/>
      <c r="V36" s="31" t="e">
        <f ca="1">IF(T$12=0,0,T36/T$12)</f>
        <v>#NAME?</v>
      </c>
      <c r="W36" s="16"/>
      <c r="X36" s="34" t="e">
        <f ca="1">+P36-T36</f>
        <v>#NAME?</v>
      </c>
      <c r="Y36" s="16"/>
      <c r="Z36" s="31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59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56" t="e">
        <f ca="1">_xll.OneStop.ReportPlayer.OSRFunctions.OSRGet("User","UserId")</f>
        <v>#NAME?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54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outlinePr summaryBelow="0" summaryRight="0"/>
  </sheetPr>
  <dimension ref="A2:Z344"/>
  <sheetViews>
    <sheetView tabSelected="1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B265" sqref="B265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63" t="s">
        <v>13</v>
      </c>
    </row>
    <row r="3" spans="1:26" x14ac:dyDescent="0.25">
      <c r="D3" s="63" t="s">
        <v>296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61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63" t="str">
        <f>CONCATENATE("Period ",RIGHT(202011,2),", ",2020)</f>
        <v>Period 11, 2020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61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4">
        <v>43981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61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51"/>
      <c r="C6" s="51"/>
      <c r="D6" s="23" t="s">
        <v>297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57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5" t="s">
        <v>294</v>
      </c>
      <c r="E9" s="15"/>
      <c r="F9" s="38"/>
      <c r="G9" s="15"/>
      <c r="H9" s="15"/>
      <c r="I9" s="15"/>
      <c r="J9" s="46"/>
      <c r="K9" s="15"/>
      <c r="L9" s="15"/>
      <c r="M9" s="15"/>
      <c r="N9" s="38"/>
      <c r="P9" s="15" t="s">
        <v>295</v>
      </c>
      <c r="Q9" s="15"/>
      <c r="R9" s="38"/>
      <c r="S9" s="15"/>
      <c r="T9" s="15"/>
      <c r="U9" s="15"/>
      <c r="V9" s="46"/>
      <c r="W9" s="15"/>
      <c r="X9" s="15"/>
      <c r="Y9" s="15"/>
      <c r="Z9" s="38"/>
    </row>
    <row r="10" spans="1:26" x14ac:dyDescent="0.25">
      <c r="A10" s="10"/>
      <c r="B10" s="55"/>
      <c r="C10" s="10"/>
      <c r="D10" s="43" t="s">
        <v>10</v>
      </c>
      <c r="E10" s="33"/>
      <c r="F10" s="40" t="s">
        <v>15</v>
      </c>
      <c r="G10" s="33"/>
      <c r="H10" s="47" t="s">
        <v>11</v>
      </c>
      <c r="I10" s="33"/>
      <c r="J10" s="45" t="s">
        <v>16</v>
      </c>
      <c r="K10" s="10"/>
      <c r="L10" s="43" t="s">
        <v>12</v>
      </c>
      <c r="M10" s="10"/>
      <c r="N10" s="40" t="s">
        <v>17</v>
      </c>
      <c r="O10" s="10"/>
      <c r="P10" s="53" t="s">
        <v>10</v>
      </c>
      <c r="Q10" s="33"/>
      <c r="R10" s="40" t="s">
        <v>15</v>
      </c>
      <c r="S10" s="33"/>
      <c r="T10" s="47" t="s">
        <v>11</v>
      </c>
      <c r="U10" s="33"/>
      <c r="V10" s="45" t="s">
        <v>16</v>
      </c>
      <c r="W10" s="10"/>
      <c r="X10" s="43" t="s">
        <v>12</v>
      </c>
      <c r="Y10" s="10"/>
      <c r="Z10" s="40" t="s">
        <v>17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506192.45999999996</v>
      </c>
      <c r="E12" s="4"/>
      <c r="F12" s="13"/>
      <c r="G12" s="4"/>
      <c r="H12" s="4">
        <f>SUM(OSRRefH13x_0)</f>
        <v>2866321.64855</v>
      </c>
      <c r="I12" s="4"/>
      <c r="J12" s="13"/>
      <c r="K12" s="4"/>
      <c r="L12" s="4">
        <f t="shared" ref="L12:L140" si="0">+D12-H12</f>
        <v>-2360129.1885500001</v>
      </c>
      <c r="M12" s="4"/>
      <c r="N12" s="13">
        <f t="shared" ref="N12:N140" si="1">IF(H12=0,0,L12/H12)</f>
        <v>-0.82339998016061111</v>
      </c>
      <c r="O12" s="10"/>
      <c r="P12" s="4">
        <f>SUM(OSRRefP13x_0)</f>
        <v>28049844.640000001</v>
      </c>
      <c r="Q12" s="4"/>
      <c r="R12" s="13"/>
      <c r="S12" s="4"/>
      <c r="T12" s="4">
        <f>SUM(OSRRefT13x_0)</f>
        <v>36115383.548699997</v>
      </c>
      <c r="U12" s="4"/>
      <c r="V12" s="13"/>
      <c r="W12" s="4"/>
      <c r="X12" s="4">
        <f t="shared" ref="X12:X140" si="2">+P12-T12</f>
        <v>-8065538.9086999968</v>
      </c>
      <c r="Y12" s="4"/>
      <c r="Z12" s="13">
        <f t="shared" ref="Z12:Z140" si="3">IF(T12=0,0,X12/T12)</f>
        <v>-0.22332696253451037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>0</f>
        <v>0</v>
      </c>
      <c r="E13" s="2"/>
      <c r="F13" s="19"/>
      <c r="G13" s="2"/>
      <c r="H13" s="2">
        <v>1313463.64855</v>
      </c>
      <c r="I13" s="2"/>
      <c r="J13" s="19"/>
      <c r="K13" s="2"/>
      <c r="L13" s="2">
        <f t="shared" si="0"/>
        <v>-1313463.64855</v>
      </c>
      <c r="M13" s="2"/>
      <c r="N13" s="19">
        <f t="shared" si="1"/>
        <v>-1</v>
      </c>
      <c r="O13" s="11"/>
      <c r="P13" s="2">
        <f>0</f>
        <v>0</v>
      </c>
      <c r="Q13" s="2"/>
      <c r="R13" s="19"/>
      <c r="S13" s="2"/>
      <c r="T13" s="2">
        <v>11877599.548699999</v>
      </c>
      <c r="U13" s="2"/>
      <c r="V13" s="19"/>
      <c r="W13" s="2"/>
      <c r="X13" s="2">
        <f t="shared" si="2"/>
        <v>-11877599.548699999</v>
      </c>
      <c r="Y13" s="2"/>
      <c r="Z13" s="19">
        <f t="shared" si="3"/>
        <v>-1</v>
      </c>
    </row>
    <row r="14" spans="1:26" s="24" customFormat="1" hidden="1" outlineLevel="1" x14ac:dyDescent="0.25">
      <c r="A14" s="44"/>
      <c r="B14" s="11" t="str">
        <f>CONCATENATE("          ", "4001", " - ", "TAXABLE SALES-NEW TEXT")</f>
        <v xml:space="preserve">          4001 - TAXABLE SALES-NEW TEXT</v>
      </c>
      <c r="C14" s="11"/>
      <c r="D14" s="2">
        <f>--37281.91</f>
        <v>37281.910000000003</v>
      </c>
      <c r="E14" s="2"/>
      <c r="F14" s="19"/>
      <c r="G14" s="2"/>
      <c r="H14" s="2"/>
      <c r="I14" s="2"/>
      <c r="J14" s="19"/>
      <c r="K14" s="2"/>
      <c r="L14" s="2">
        <f t="shared" si="0"/>
        <v>37281.910000000003</v>
      </c>
      <c r="M14" s="2"/>
      <c r="N14" s="19">
        <f t="shared" si="1"/>
        <v>0</v>
      </c>
      <c r="O14" s="11"/>
      <c r="P14" s="2">
        <f>--2435259.64</f>
        <v>2435259.64</v>
      </c>
      <c r="Q14" s="2"/>
      <c r="R14" s="19"/>
      <c r="S14" s="2"/>
      <c r="T14" s="2"/>
      <c r="U14" s="2"/>
      <c r="V14" s="19"/>
      <c r="W14" s="2"/>
      <c r="X14" s="2">
        <f t="shared" si="2"/>
        <v>2435259.64</v>
      </c>
      <c r="Y14" s="2"/>
      <c r="Z14" s="19">
        <f t="shared" si="3"/>
        <v>0</v>
      </c>
    </row>
    <row r="15" spans="1:26" s="24" customFormat="1" hidden="1" outlineLevel="1" x14ac:dyDescent="0.25">
      <c r="A15" s="44"/>
      <c r="B15" s="11" t="str">
        <f>CONCATENATE("          ", "4002", " - ", "TAXABLE SALES-USED TEXT")</f>
        <v xml:space="preserve">          4002 - TAXABLE SALES-USED TEXT</v>
      </c>
      <c r="C15" s="11"/>
      <c r="D15" s="2">
        <f>--11509.55</f>
        <v>11509.55</v>
      </c>
      <c r="E15" s="2"/>
      <c r="F15" s="19"/>
      <c r="G15" s="2"/>
      <c r="H15" s="2"/>
      <c r="I15" s="2"/>
      <c r="J15" s="19"/>
      <c r="K15" s="2"/>
      <c r="L15" s="2">
        <f t="shared" si="0"/>
        <v>11509.55</v>
      </c>
      <c r="M15" s="2"/>
      <c r="N15" s="19">
        <f t="shared" si="1"/>
        <v>0</v>
      </c>
      <c r="O15" s="11"/>
      <c r="P15" s="2">
        <f>--1256426.74</f>
        <v>1256426.74</v>
      </c>
      <c r="Q15" s="2"/>
      <c r="R15" s="19"/>
      <c r="S15" s="2"/>
      <c r="T15" s="2"/>
      <c r="U15" s="2"/>
      <c r="V15" s="19"/>
      <c r="W15" s="2"/>
      <c r="X15" s="2">
        <f t="shared" si="2"/>
        <v>1256426.74</v>
      </c>
      <c r="Y15" s="2"/>
      <c r="Z15" s="19">
        <f t="shared" si="3"/>
        <v>0</v>
      </c>
    </row>
    <row r="16" spans="1:26" s="24" customFormat="1" hidden="1" outlineLevel="1" x14ac:dyDescent="0.25">
      <c r="A16" s="44"/>
      <c r="B16" s="11" t="str">
        <f>CONCATENATE("          ", "4003", " - ", "TAXABLE SALES-RENTAL TEXT")</f>
        <v xml:space="preserve">          4003 - TAXABLE SALES-RENTAL TEXT</v>
      </c>
      <c r="C16" s="11"/>
      <c r="D16" s="2">
        <f>--69.99</f>
        <v>69.989999999999995</v>
      </c>
      <c r="E16" s="2"/>
      <c r="F16" s="19"/>
      <c r="G16" s="2"/>
      <c r="H16" s="2"/>
      <c r="I16" s="2"/>
      <c r="J16" s="19"/>
      <c r="K16" s="2"/>
      <c r="L16" s="2">
        <f t="shared" si="0"/>
        <v>69.989999999999995</v>
      </c>
      <c r="M16" s="2"/>
      <c r="N16" s="19">
        <f t="shared" si="1"/>
        <v>0</v>
      </c>
      <c r="O16" s="11"/>
      <c r="P16" s="2">
        <f>--33764.88</f>
        <v>33764.879999999997</v>
      </c>
      <c r="Q16" s="2"/>
      <c r="R16" s="19"/>
      <c r="S16" s="2"/>
      <c r="T16" s="2"/>
      <c r="U16" s="2"/>
      <c r="V16" s="19"/>
      <c r="W16" s="2"/>
      <c r="X16" s="2">
        <f t="shared" si="2"/>
        <v>33764.879999999997</v>
      </c>
      <c r="Y16" s="2"/>
      <c r="Z16" s="19">
        <f t="shared" si="3"/>
        <v>0</v>
      </c>
    </row>
    <row r="17" spans="1:26" s="24" customFormat="1" hidden="1" outlineLevel="1" x14ac:dyDescent="0.25">
      <c r="A17" s="44"/>
      <c r="B17" s="11" t="str">
        <f>CONCATENATE("          ", "4004", " - ", "TAXABLE SALES-DIGITAL TEXT")</f>
        <v xml:space="preserve">          4004 - TAXABLE SALES-DIGITAL TEXT</v>
      </c>
      <c r="C17" s="11"/>
      <c r="D17" s="2">
        <f t="shared" ref="D17:D19" si="4">0</f>
        <v>0</v>
      </c>
      <c r="E17" s="2"/>
      <c r="F17" s="19"/>
      <c r="G17" s="2"/>
      <c r="H17" s="2"/>
      <c r="I17" s="2"/>
      <c r="J17" s="19"/>
      <c r="K17" s="2"/>
      <c r="L17" s="2">
        <f t="shared" si="0"/>
        <v>0</v>
      </c>
      <c r="M17" s="2"/>
      <c r="N17" s="19">
        <f t="shared" si="1"/>
        <v>0</v>
      </c>
      <c r="O17" s="11"/>
      <c r="P17" s="2">
        <f>--42195.3</f>
        <v>42195.3</v>
      </c>
      <c r="Q17" s="2"/>
      <c r="R17" s="19"/>
      <c r="S17" s="2"/>
      <c r="T17" s="2"/>
      <c r="U17" s="2"/>
      <c r="V17" s="19"/>
      <c r="W17" s="2"/>
      <c r="X17" s="2">
        <f t="shared" si="2"/>
        <v>42195.3</v>
      </c>
      <c r="Y17" s="2"/>
      <c r="Z17" s="19">
        <f t="shared" si="3"/>
        <v>0</v>
      </c>
    </row>
    <row r="18" spans="1:26" s="24" customFormat="1" hidden="1" outlineLevel="1" x14ac:dyDescent="0.25">
      <c r="A18" s="44"/>
      <c r="B18" s="11" t="str">
        <f>CONCATENATE("          ", "4011", " - ", "TAXABLE SALES-NO VALUE TEXT")</f>
        <v xml:space="preserve">          4011 - TAXABLE SALES-NO VALUE TEXT</v>
      </c>
      <c r="C18" s="11"/>
      <c r="D18" s="2">
        <f t="shared" si="4"/>
        <v>0</v>
      </c>
      <c r="E18" s="2"/>
      <c r="F18" s="19"/>
      <c r="G18" s="2"/>
      <c r="H18" s="2"/>
      <c r="I18" s="2"/>
      <c r="J18" s="19"/>
      <c r="K18" s="2"/>
      <c r="L18" s="2">
        <f t="shared" si="0"/>
        <v>0</v>
      </c>
      <c r="M18" s="2"/>
      <c r="N18" s="19">
        <f t="shared" si="1"/>
        <v>0</v>
      </c>
      <c r="O18" s="11"/>
      <c r="P18" s="2">
        <f>--1052.48</f>
        <v>1052.48</v>
      </c>
      <c r="Q18" s="2"/>
      <c r="R18" s="19"/>
      <c r="S18" s="2"/>
      <c r="T18" s="2"/>
      <c r="U18" s="2"/>
      <c r="V18" s="19"/>
      <c r="W18" s="2"/>
      <c r="X18" s="2">
        <f t="shared" si="2"/>
        <v>1052.48</v>
      </c>
      <c r="Y18" s="2"/>
      <c r="Z18" s="19">
        <f t="shared" si="3"/>
        <v>0</v>
      </c>
    </row>
    <row r="19" spans="1:26" s="24" customFormat="1" hidden="1" outlineLevel="1" x14ac:dyDescent="0.25">
      <c r="A19" s="44"/>
      <c r="B19" s="11" t="str">
        <f>CONCATENATE("          ", "4013", " - ", "TAXABLE SALES-TRADE BOOKS")</f>
        <v xml:space="preserve">          4013 - TAXABLE SALES-TRADE BOOKS</v>
      </c>
      <c r="C19" s="11"/>
      <c r="D19" s="2">
        <f t="shared" si="4"/>
        <v>0</v>
      </c>
      <c r="E19" s="2"/>
      <c r="F19" s="19"/>
      <c r="G19" s="2"/>
      <c r="H19" s="2"/>
      <c r="I19" s="2"/>
      <c r="J19" s="19"/>
      <c r="K19" s="2"/>
      <c r="L19" s="2">
        <f t="shared" si="0"/>
        <v>0</v>
      </c>
      <c r="M19" s="2"/>
      <c r="N19" s="19">
        <f t="shared" si="1"/>
        <v>0</v>
      </c>
      <c r="O19" s="11"/>
      <c r="P19" s="2">
        <f>--2713.36</f>
        <v>2713.36</v>
      </c>
      <c r="Q19" s="2"/>
      <c r="R19" s="19"/>
      <c r="S19" s="2"/>
      <c r="T19" s="2"/>
      <c r="U19" s="2"/>
      <c r="V19" s="19"/>
      <c r="W19" s="2"/>
      <c r="X19" s="2">
        <f t="shared" si="2"/>
        <v>2713.36</v>
      </c>
      <c r="Y19" s="2"/>
      <c r="Z19" s="19">
        <f t="shared" si="3"/>
        <v>0</v>
      </c>
    </row>
    <row r="20" spans="1:26" s="24" customFormat="1" hidden="1" outlineLevel="1" x14ac:dyDescent="0.25">
      <c r="A20" s="44"/>
      <c r="B20" s="11" t="str">
        <f>CONCATENATE("          ", "4014", " - ", "TAXABLE SALES-REMAINDERS")</f>
        <v xml:space="preserve">          4014 - TAXABLE SALES-REMAINDERS</v>
      </c>
      <c r="C20" s="11"/>
      <c r="D20" s="2">
        <f>--0.8</f>
        <v>0.8</v>
      </c>
      <c r="E20" s="2"/>
      <c r="F20" s="19"/>
      <c r="G20" s="2"/>
      <c r="H20" s="2"/>
      <c r="I20" s="2"/>
      <c r="J20" s="19"/>
      <c r="K20" s="2"/>
      <c r="L20" s="2">
        <f t="shared" si="0"/>
        <v>0.8</v>
      </c>
      <c r="M20" s="2"/>
      <c r="N20" s="19">
        <f t="shared" si="1"/>
        <v>0</v>
      </c>
      <c r="O20" s="11"/>
      <c r="P20" s="2">
        <f>--1219.98</f>
        <v>1219.98</v>
      </c>
      <c r="Q20" s="2"/>
      <c r="R20" s="19"/>
      <c r="S20" s="2"/>
      <c r="T20" s="2"/>
      <c r="U20" s="2"/>
      <c r="V20" s="19"/>
      <c r="W20" s="2"/>
      <c r="X20" s="2">
        <f t="shared" si="2"/>
        <v>1219.98</v>
      </c>
      <c r="Y20" s="2"/>
      <c r="Z20" s="19">
        <f t="shared" si="3"/>
        <v>0</v>
      </c>
    </row>
    <row r="21" spans="1:26" s="24" customFormat="1" hidden="1" outlineLevel="1" x14ac:dyDescent="0.25">
      <c r="A21" s="44"/>
      <c r="B21" s="11" t="str">
        <f>CONCATENATE("          ", "4017", " - ", "TAXABLE SALES-DORM/HOUSEWARES")</f>
        <v xml:space="preserve">          4017 - TAXABLE SALES-DORM/HOUSEWARES</v>
      </c>
      <c r="C21" s="11"/>
      <c r="D21" s="2">
        <f>0</f>
        <v>0</v>
      </c>
      <c r="E21" s="2"/>
      <c r="F21" s="19"/>
      <c r="G21" s="2"/>
      <c r="H21" s="2"/>
      <c r="I21" s="2"/>
      <c r="J21" s="19"/>
      <c r="K21" s="2"/>
      <c r="L21" s="2">
        <f t="shared" si="0"/>
        <v>0</v>
      </c>
      <c r="M21" s="2"/>
      <c r="N21" s="19">
        <f t="shared" si="1"/>
        <v>0</v>
      </c>
      <c r="O21" s="11"/>
      <c r="P21" s="2">
        <f>--347.52</f>
        <v>347.52</v>
      </c>
      <c r="Q21" s="2"/>
      <c r="R21" s="19"/>
      <c r="S21" s="2"/>
      <c r="T21" s="2"/>
      <c r="U21" s="2"/>
      <c r="V21" s="19"/>
      <c r="W21" s="2"/>
      <c r="X21" s="2">
        <f t="shared" si="2"/>
        <v>347.52</v>
      </c>
      <c r="Y21" s="2"/>
      <c r="Z21" s="19">
        <f t="shared" si="3"/>
        <v>0</v>
      </c>
    </row>
    <row r="22" spans="1:26" s="24" customFormat="1" hidden="1" outlineLevel="1" x14ac:dyDescent="0.25">
      <c r="A22" s="44"/>
      <c r="B22" s="11" t="str">
        <f>CONCATENATE("          ", "4018", " - ", "TAXABLE SALES-STUDY GUIDES")</f>
        <v xml:space="preserve">          4018 - TAXABLE SALES-STUDY GUIDES</v>
      </c>
      <c r="C22" s="11"/>
      <c r="D22" s="2">
        <f>--24.99</f>
        <v>24.99</v>
      </c>
      <c r="E22" s="2"/>
      <c r="F22" s="19"/>
      <c r="G22" s="2"/>
      <c r="H22" s="2"/>
      <c r="I22" s="2"/>
      <c r="J22" s="19"/>
      <c r="K22" s="2"/>
      <c r="L22" s="2">
        <f t="shared" si="0"/>
        <v>24.99</v>
      </c>
      <c r="M22" s="2"/>
      <c r="N22" s="19">
        <f t="shared" si="1"/>
        <v>0</v>
      </c>
      <c r="O22" s="11"/>
      <c r="P22" s="2">
        <f>--4179.3</f>
        <v>4179.3</v>
      </c>
      <c r="Q22" s="2"/>
      <c r="R22" s="19"/>
      <c r="S22" s="2"/>
      <c r="T22" s="2"/>
      <c r="U22" s="2"/>
      <c r="V22" s="19"/>
      <c r="W22" s="2"/>
      <c r="X22" s="2">
        <f t="shared" si="2"/>
        <v>4179.3</v>
      </c>
      <c r="Y22" s="2"/>
      <c r="Z22" s="19">
        <f t="shared" si="3"/>
        <v>0</v>
      </c>
    </row>
    <row r="23" spans="1:26" s="24" customFormat="1" hidden="1" outlineLevel="1" x14ac:dyDescent="0.25">
      <c r="A23" s="44"/>
      <c r="B23" s="11" t="str">
        <f>CONCATENATE("          ", "4019", " - ", "TAXABLE SALES-BOOK RELATED")</f>
        <v xml:space="preserve">          4019 - TAXABLE SALES-BOOK RELATED</v>
      </c>
      <c r="C23" s="11"/>
      <c r="D23" s="2">
        <f>0</f>
        <v>0</v>
      </c>
      <c r="E23" s="2"/>
      <c r="F23" s="19"/>
      <c r="G23" s="2"/>
      <c r="H23" s="2"/>
      <c r="I23" s="2"/>
      <c r="J23" s="19"/>
      <c r="K23" s="2"/>
      <c r="L23" s="2">
        <f t="shared" si="0"/>
        <v>0</v>
      </c>
      <c r="M23" s="2"/>
      <c r="N23" s="19">
        <f t="shared" si="1"/>
        <v>0</v>
      </c>
      <c r="O23" s="11"/>
      <c r="P23" s="2">
        <f>--42.85</f>
        <v>42.85</v>
      </c>
      <c r="Q23" s="2"/>
      <c r="R23" s="19"/>
      <c r="S23" s="2"/>
      <c r="T23" s="2"/>
      <c r="U23" s="2"/>
      <c r="V23" s="19"/>
      <c r="W23" s="2"/>
      <c r="X23" s="2">
        <f t="shared" si="2"/>
        <v>42.85</v>
      </c>
      <c r="Y23" s="2"/>
      <c r="Z23" s="19">
        <f t="shared" si="3"/>
        <v>0</v>
      </c>
    </row>
    <row r="24" spans="1:26" s="24" customFormat="1" hidden="1" outlineLevel="1" x14ac:dyDescent="0.25">
      <c r="A24" s="44"/>
      <c r="B24" s="11" t="str">
        <f>CONCATENATE("          ", "4025", " - ", "TAXABLE SALES-TEST FORMS")</f>
        <v xml:space="preserve">          4025 - TAXABLE SALES-TEST FORMS</v>
      </c>
      <c r="C24" s="11"/>
      <c r="D24" s="2">
        <f>--17.25</f>
        <v>17.25</v>
      </c>
      <c r="E24" s="2"/>
      <c r="F24" s="19"/>
      <c r="G24" s="2"/>
      <c r="H24" s="2"/>
      <c r="I24" s="2"/>
      <c r="J24" s="19"/>
      <c r="K24" s="2"/>
      <c r="L24" s="2">
        <f t="shared" si="0"/>
        <v>17.25</v>
      </c>
      <c r="M24" s="2"/>
      <c r="N24" s="19">
        <f t="shared" si="1"/>
        <v>0</v>
      </c>
      <c r="O24" s="11"/>
      <c r="P24" s="2">
        <f>--54720.11</f>
        <v>54720.11</v>
      </c>
      <c r="Q24" s="2"/>
      <c r="R24" s="19"/>
      <c r="S24" s="2"/>
      <c r="T24" s="2"/>
      <c r="U24" s="2"/>
      <c r="V24" s="19"/>
      <c r="W24" s="2"/>
      <c r="X24" s="2">
        <f t="shared" si="2"/>
        <v>54720.11</v>
      </c>
      <c r="Y24" s="2"/>
      <c r="Z24" s="19">
        <f t="shared" si="3"/>
        <v>0</v>
      </c>
    </row>
    <row r="25" spans="1:26" s="24" customFormat="1" hidden="1" outlineLevel="1" x14ac:dyDescent="0.25">
      <c r="A25" s="44"/>
      <c r="B25" s="11" t="str">
        <f>CONCATENATE("          ", "4026", " - ", "TAXABLE SALES-WRITING INSTRUME")</f>
        <v xml:space="preserve">          4026 - TAXABLE SALES-WRITING INSTRUME</v>
      </c>
      <c r="C25" s="11"/>
      <c r="D25" s="2">
        <f>--859.78</f>
        <v>859.78</v>
      </c>
      <c r="E25" s="2"/>
      <c r="F25" s="19"/>
      <c r="G25" s="2"/>
      <c r="H25" s="2"/>
      <c r="I25" s="2"/>
      <c r="J25" s="19"/>
      <c r="K25" s="2"/>
      <c r="L25" s="2">
        <f t="shared" si="0"/>
        <v>859.78</v>
      </c>
      <c r="M25" s="2"/>
      <c r="N25" s="19">
        <f t="shared" si="1"/>
        <v>0</v>
      </c>
      <c r="O25" s="11"/>
      <c r="P25" s="2">
        <f>--80809.49</f>
        <v>80809.490000000005</v>
      </c>
      <c r="Q25" s="2"/>
      <c r="R25" s="19"/>
      <c r="S25" s="2"/>
      <c r="T25" s="2"/>
      <c r="U25" s="2"/>
      <c r="V25" s="19"/>
      <c r="W25" s="2"/>
      <c r="X25" s="2">
        <f t="shared" si="2"/>
        <v>80809.490000000005</v>
      </c>
      <c r="Y25" s="2"/>
      <c r="Z25" s="19">
        <f t="shared" si="3"/>
        <v>0</v>
      </c>
    </row>
    <row r="26" spans="1:26" s="24" customFormat="1" hidden="1" outlineLevel="1" x14ac:dyDescent="0.25">
      <c r="A26" s="44"/>
      <c r="B26" s="11" t="str">
        <f>CONCATENATE("          ", "4027", " - ", "TAXABLE SALES-SCHOOL SUPPLIES")</f>
        <v xml:space="preserve">          4027 - TAXABLE SALES-SCHOOL SUPPLIES</v>
      </c>
      <c r="C26" s="11"/>
      <c r="D26" s="2">
        <f>--5530.51</f>
        <v>5530.51</v>
      </c>
      <c r="E26" s="2"/>
      <c r="F26" s="19"/>
      <c r="G26" s="2"/>
      <c r="H26" s="2"/>
      <c r="I26" s="2"/>
      <c r="J26" s="19"/>
      <c r="K26" s="2"/>
      <c r="L26" s="2">
        <f t="shared" si="0"/>
        <v>5530.51</v>
      </c>
      <c r="M26" s="2"/>
      <c r="N26" s="19">
        <f t="shared" si="1"/>
        <v>0</v>
      </c>
      <c r="O26" s="11"/>
      <c r="P26" s="2">
        <f>--276777.07</f>
        <v>276777.07</v>
      </c>
      <c r="Q26" s="2"/>
      <c r="R26" s="19"/>
      <c r="S26" s="2"/>
      <c r="T26" s="2"/>
      <c r="U26" s="2"/>
      <c r="V26" s="19"/>
      <c r="W26" s="2"/>
      <c r="X26" s="2">
        <f t="shared" si="2"/>
        <v>276777.07</v>
      </c>
      <c r="Y26" s="2"/>
      <c r="Z26" s="19">
        <f t="shared" si="3"/>
        <v>0</v>
      </c>
    </row>
    <row r="27" spans="1:26" s="24" customFormat="1" hidden="1" outlineLevel="1" x14ac:dyDescent="0.25">
      <c r="A27" s="44"/>
      <c r="B27" s="11" t="str">
        <f>CONCATENATE("          ", "4028", " - ", "TAXABLE SALES-ART/TECH")</f>
        <v xml:space="preserve">          4028 - TAXABLE SALES-ART/TECH</v>
      </c>
      <c r="C27" s="11"/>
      <c r="D27" s="2">
        <f>--425.18</f>
        <v>425.18</v>
      </c>
      <c r="E27" s="2"/>
      <c r="F27" s="19"/>
      <c r="G27" s="2"/>
      <c r="H27" s="2"/>
      <c r="I27" s="2"/>
      <c r="J27" s="19"/>
      <c r="K27" s="2"/>
      <c r="L27" s="2">
        <f t="shared" si="0"/>
        <v>425.18</v>
      </c>
      <c r="M27" s="2"/>
      <c r="N27" s="19">
        <f t="shared" si="1"/>
        <v>0</v>
      </c>
      <c r="O27" s="11"/>
      <c r="P27" s="2">
        <f>--293191.05</f>
        <v>293191.05</v>
      </c>
      <c r="Q27" s="2"/>
      <c r="R27" s="19"/>
      <c r="S27" s="2"/>
      <c r="T27" s="2"/>
      <c r="U27" s="2"/>
      <c r="V27" s="19"/>
      <c r="W27" s="2"/>
      <c r="X27" s="2">
        <f t="shared" si="2"/>
        <v>293191.05</v>
      </c>
      <c r="Y27" s="2"/>
      <c r="Z27" s="19">
        <f t="shared" si="3"/>
        <v>0</v>
      </c>
    </row>
    <row r="28" spans="1:26" s="24" customFormat="1" hidden="1" outlineLevel="1" x14ac:dyDescent="0.25">
      <c r="A28" s="44"/>
      <c r="B28" s="11" t="str">
        <f>CONCATENATE("          ", "4031", " - ", "TAXABLE SALES-FOOD")</f>
        <v xml:space="preserve">          4031 - TAXABLE SALES-FOOD</v>
      </c>
      <c r="C28" s="11"/>
      <c r="D28" s="2">
        <f t="shared" ref="D28:D33" si="5">0</f>
        <v>0</v>
      </c>
      <c r="E28" s="2"/>
      <c r="F28" s="19"/>
      <c r="G28" s="2"/>
      <c r="H28" s="2"/>
      <c r="I28" s="2"/>
      <c r="J28" s="19"/>
      <c r="K28" s="2"/>
      <c r="L28" s="2">
        <f t="shared" si="0"/>
        <v>0</v>
      </c>
      <c r="M28" s="2"/>
      <c r="N28" s="19">
        <f t="shared" si="1"/>
        <v>0</v>
      </c>
      <c r="O28" s="11"/>
      <c r="P28" s="2">
        <f>--486.34</f>
        <v>486.34</v>
      </c>
      <c r="Q28" s="2"/>
      <c r="R28" s="19"/>
      <c r="S28" s="2"/>
      <c r="T28" s="2"/>
      <c r="U28" s="2"/>
      <c r="V28" s="19"/>
      <c r="W28" s="2"/>
      <c r="X28" s="2">
        <f t="shared" si="2"/>
        <v>486.34</v>
      </c>
      <c r="Y28" s="2"/>
      <c r="Z28" s="19">
        <f t="shared" si="3"/>
        <v>0</v>
      </c>
    </row>
    <row r="29" spans="1:26" s="24" customFormat="1" hidden="1" outlineLevel="1" x14ac:dyDescent="0.25">
      <c r="A29" s="44"/>
      <c r="B29" s="11" t="str">
        <f>CONCATENATE("          ", "4032", " - ", "TAXABLE SALES-JUICE")</f>
        <v xml:space="preserve">          4032 - TAXABLE SALES-JUICE</v>
      </c>
      <c r="C29" s="11"/>
      <c r="D29" s="2">
        <f t="shared" si="5"/>
        <v>0</v>
      </c>
      <c r="E29" s="2"/>
      <c r="F29" s="19"/>
      <c r="G29" s="2"/>
      <c r="H29" s="2"/>
      <c r="I29" s="2"/>
      <c r="J29" s="19"/>
      <c r="K29" s="2"/>
      <c r="L29" s="2">
        <f t="shared" si="0"/>
        <v>0</v>
      </c>
      <c r="M29" s="2"/>
      <c r="N29" s="19">
        <f t="shared" si="1"/>
        <v>0</v>
      </c>
      <c r="O29" s="11"/>
      <c r="P29" s="2">
        <f>--277654.52</f>
        <v>277654.52</v>
      </c>
      <c r="Q29" s="2"/>
      <c r="R29" s="19"/>
      <c r="S29" s="2"/>
      <c r="T29" s="2"/>
      <c r="U29" s="2"/>
      <c r="V29" s="19"/>
      <c r="W29" s="2"/>
      <c r="X29" s="2">
        <f t="shared" si="2"/>
        <v>277654.52</v>
      </c>
      <c r="Y29" s="2"/>
      <c r="Z29" s="19">
        <f t="shared" si="3"/>
        <v>0</v>
      </c>
    </row>
    <row r="30" spans="1:26" s="24" customFormat="1" hidden="1" outlineLevel="1" x14ac:dyDescent="0.25">
      <c r="A30" s="44"/>
      <c r="B30" s="11" t="str">
        <f>CONCATENATE("          ", "4033", " - ", "TAXABLE SALES-CANDY")</f>
        <v xml:space="preserve">          4033 - TAXABLE SALES-CANDY</v>
      </c>
      <c r="C30" s="11"/>
      <c r="D30" s="2">
        <f t="shared" si="5"/>
        <v>0</v>
      </c>
      <c r="E30" s="2"/>
      <c r="F30" s="19"/>
      <c r="G30" s="2"/>
      <c r="H30" s="2"/>
      <c r="I30" s="2"/>
      <c r="J30" s="19"/>
      <c r="K30" s="2"/>
      <c r="L30" s="2">
        <f t="shared" si="0"/>
        <v>0</v>
      </c>
      <c r="M30" s="2"/>
      <c r="N30" s="19">
        <f t="shared" si="1"/>
        <v>0</v>
      </c>
      <c r="O30" s="11"/>
      <c r="P30" s="2">
        <f>--205.53</f>
        <v>205.53</v>
      </c>
      <c r="Q30" s="2"/>
      <c r="R30" s="19"/>
      <c r="S30" s="2"/>
      <c r="T30" s="2"/>
      <c r="U30" s="2"/>
      <c r="V30" s="19"/>
      <c r="W30" s="2"/>
      <c r="X30" s="2">
        <f t="shared" si="2"/>
        <v>205.53</v>
      </c>
      <c r="Y30" s="2"/>
      <c r="Z30" s="19">
        <f t="shared" si="3"/>
        <v>0</v>
      </c>
    </row>
    <row r="31" spans="1:26" s="24" customFormat="1" hidden="1" outlineLevel="1" x14ac:dyDescent="0.25">
      <c r="A31" s="44"/>
      <c r="B31" s="11" t="str">
        <f>CONCATENATE("          ", "4034", " - ", "TAXABLE SALES-SODA")</f>
        <v xml:space="preserve">          4034 - TAXABLE SALES-SODA</v>
      </c>
      <c r="C31" s="11"/>
      <c r="D31" s="2">
        <f t="shared" si="5"/>
        <v>0</v>
      </c>
      <c r="E31" s="2"/>
      <c r="F31" s="19"/>
      <c r="G31" s="2"/>
      <c r="H31" s="2"/>
      <c r="I31" s="2"/>
      <c r="J31" s="19"/>
      <c r="K31" s="2"/>
      <c r="L31" s="2">
        <f t="shared" si="0"/>
        <v>0</v>
      </c>
      <c r="M31" s="2"/>
      <c r="N31" s="19">
        <f t="shared" si="1"/>
        <v>0</v>
      </c>
      <c r="O31" s="11"/>
      <c r="P31" s="2">
        <f>--10925.46</f>
        <v>10925.46</v>
      </c>
      <c r="Q31" s="2"/>
      <c r="R31" s="19"/>
      <c r="S31" s="2"/>
      <c r="T31" s="2"/>
      <c r="U31" s="2"/>
      <c r="V31" s="19"/>
      <c r="W31" s="2"/>
      <c r="X31" s="2">
        <f t="shared" si="2"/>
        <v>10925.46</v>
      </c>
      <c r="Y31" s="2"/>
      <c r="Z31" s="19">
        <f t="shared" si="3"/>
        <v>0</v>
      </c>
    </row>
    <row r="32" spans="1:26" s="24" customFormat="1" hidden="1" outlineLevel="1" x14ac:dyDescent="0.25">
      <c r="A32" s="44"/>
      <c r="B32" s="11" t="str">
        <f>CONCATENATE("          ", "4035", " - ", "TAXABLE SALES-HEALTH &amp; BEAUTY")</f>
        <v xml:space="preserve">          4035 - TAXABLE SALES-HEALTH &amp; BEAUTY</v>
      </c>
      <c r="C32" s="11"/>
      <c r="D32" s="2">
        <f t="shared" si="5"/>
        <v>0</v>
      </c>
      <c r="E32" s="2"/>
      <c r="F32" s="19"/>
      <c r="G32" s="2"/>
      <c r="H32" s="2"/>
      <c r="I32" s="2"/>
      <c r="J32" s="19"/>
      <c r="K32" s="2"/>
      <c r="L32" s="2">
        <f t="shared" si="0"/>
        <v>0</v>
      </c>
      <c r="M32" s="2"/>
      <c r="N32" s="19">
        <f t="shared" si="1"/>
        <v>0</v>
      </c>
      <c r="O32" s="11"/>
      <c r="P32" s="2">
        <f>--1981.84</f>
        <v>1981.84</v>
      </c>
      <c r="Q32" s="2"/>
      <c r="R32" s="19"/>
      <c r="S32" s="2"/>
      <c r="T32" s="2"/>
      <c r="U32" s="2"/>
      <c r="V32" s="19"/>
      <c r="W32" s="2"/>
      <c r="X32" s="2">
        <f t="shared" si="2"/>
        <v>1981.84</v>
      </c>
      <c r="Y32" s="2"/>
      <c r="Z32" s="19">
        <f t="shared" si="3"/>
        <v>0</v>
      </c>
    </row>
    <row r="33" spans="1:26" s="24" customFormat="1" hidden="1" outlineLevel="1" x14ac:dyDescent="0.25">
      <c r="A33" s="44"/>
      <c r="B33" s="11" t="str">
        <f>CONCATENATE("          ", "4037", " - ", "TAXABLE SALES-WATER")</f>
        <v xml:space="preserve">          4037 - TAXABLE SALES-WATER</v>
      </c>
      <c r="C33" s="11"/>
      <c r="D33" s="2">
        <f t="shared" si="5"/>
        <v>0</v>
      </c>
      <c r="E33" s="2"/>
      <c r="F33" s="19"/>
      <c r="G33" s="2"/>
      <c r="H33" s="2"/>
      <c r="I33" s="2"/>
      <c r="J33" s="19"/>
      <c r="K33" s="2"/>
      <c r="L33" s="2">
        <f t="shared" si="0"/>
        <v>0</v>
      </c>
      <c r="M33" s="2"/>
      <c r="N33" s="19">
        <f t="shared" si="1"/>
        <v>0</v>
      </c>
      <c r="O33" s="11"/>
      <c r="P33" s="2">
        <f>--513.51</f>
        <v>513.51</v>
      </c>
      <c r="Q33" s="2"/>
      <c r="R33" s="19"/>
      <c r="S33" s="2"/>
      <c r="T33" s="2"/>
      <c r="U33" s="2"/>
      <c r="V33" s="19"/>
      <c r="W33" s="2"/>
      <c r="X33" s="2">
        <f t="shared" si="2"/>
        <v>513.51</v>
      </c>
      <c r="Y33" s="2"/>
      <c r="Z33" s="19">
        <f t="shared" si="3"/>
        <v>0</v>
      </c>
    </row>
    <row r="34" spans="1:26" s="24" customFormat="1" hidden="1" outlineLevel="1" x14ac:dyDescent="0.25">
      <c r="A34" s="44"/>
      <c r="B34" s="11" t="str">
        <f>CONCATENATE("          ", "4040", " - ", "TAXABLE SALES-LOGO CLOTHING")</f>
        <v xml:space="preserve">          4040 - TAXABLE SALES-LOGO CLOTHING</v>
      </c>
      <c r="C34" s="11"/>
      <c r="D34" s="2">
        <f>--50806.72</f>
        <v>50806.720000000001</v>
      </c>
      <c r="E34" s="2"/>
      <c r="F34" s="19"/>
      <c r="G34" s="2"/>
      <c r="H34" s="2"/>
      <c r="I34" s="2"/>
      <c r="J34" s="19"/>
      <c r="K34" s="2"/>
      <c r="L34" s="2">
        <f t="shared" si="0"/>
        <v>50806.720000000001</v>
      </c>
      <c r="M34" s="2"/>
      <c r="N34" s="19">
        <f t="shared" si="1"/>
        <v>0</v>
      </c>
      <c r="O34" s="11"/>
      <c r="P34" s="2">
        <f>--1894910.12</f>
        <v>1894910.12</v>
      </c>
      <c r="Q34" s="2"/>
      <c r="R34" s="19"/>
      <c r="S34" s="2"/>
      <c r="T34" s="2"/>
      <c r="U34" s="2"/>
      <c r="V34" s="19"/>
      <c r="W34" s="2"/>
      <c r="X34" s="2">
        <f t="shared" si="2"/>
        <v>1894910.12</v>
      </c>
      <c r="Y34" s="2"/>
      <c r="Z34" s="19">
        <f t="shared" si="3"/>
        <v>0</v>
      </c>
    </row>
    <row r="35" spans="1:26" s="24" customFormat="1" hidden="1" outlineLevel="1" x14ac:dyDescent="0.25">
      <c r="A35" s="44"/>
      <c r="B35" s="11" t="str">
        <f>CONCATENATE("          ", "4041", " - ", "TAXABLE SALES-LOGO GIFTS")</f>
        <v xml:space="preserve">          4041 - TAXABLE SALES-LOGO GIFTS</v>
      </c>
      <c r="C35" s="11"/>
      <c r="D35" s="2">
        <f>--45499.27</f>
        <v>45499.27</v>
      </c>
      <c r="E35" s="2"/>
      <c r="F35" s="19"/>
      <c r="G35" s="2"/>
      <c r="H35" s="2"/>
      <c r="I35" s="2"/>
      <c r="J35" s="19"/>
      <c r="K35" s="2"/>
      <c r="L35" s="2">
        <f t="shared" si="0"/>
        <v>45499.27</v>
      </c>
      <c r="M35" s="2"/>
      <c r="N35" s="19">
        <f t="shared" si="1"/>
        <v>0</v>
      </c>
      <c r="O35" s="11"/>
      <c r="P35" s="2">
        <f>--526632.56</f>
        <v>526632.56000000006</v>
      </c>
      <c r="Q35" s="2"/>
      <c r="R35" s="19"/>
      <c r="S35" s="2"/>
      <c r="T35" s="2"/>
      <c r="U35" s="2"/>
      <c r="V35" s="19"/>
      <c r="W35" s="2"/>
      <c r="X35" s="2">
        <f t="shared" si="2"/>
        <v>526632.56000000006</v>
      </c>
      <c r="Y35" s="2"/>
      <c r="Z35" s="19">
        <f t="shared" si="3"/>
        <v>0</v>
      </c>
    </row>
    <row r="36" spans="1:26" s="24" customFormat="1" hidden="1" outlineLevel="1" x14ac:dyDescent="0.25">
      <c r="A36" s="44"/>
      <c r="B36" s="11" t="str">
        <f>CONCATENATE("          ", "4042", " - ", "TAXABLE SALES-EVERYDAY GIFTS")</f>
        <v xml:space="preserve">          4042 - TAXABLE SALES-EVERYDAY GIFTS</v>
      </c>
      <c r="C36" s="11"/>
      <c r="D36" s="2">
        <f>--3419.02</f>
        <v>3419.02</v>
      </c>
      <c r="E36" s="2"/>
      <c r="F36" s="19"/>
      <c r="G36" s="2"/>
      <c r="H36" s="2"/>
      <c r="I36" s="2"/>
      <c r="J36" s="19"/>
      <c r="K36" s="2"/>
      <c r="L36" s="2">
        <f t="shared" si="0"/>
        <v>3419.02</v>
      </c>
      <c r="M36" s="2"/>
      <c r="N36" s="19">
        <f t="shared" si="1"/>
        <v>0</v>
      </c>
      <c r="O36" s="11"/>
      <c r="P36" s="2">
        <f>--282721.2</f>
        <v>282721.2</v>
      </c>
      <c r="Q36" s="2"/>
      <c r="R36" s="19"/>
      <c r="S36" s="2"/>
      <c r="T36" s="2"/>
      <c r="U36" s="2"/>
      <c r="V36" s="19"/>
      <c r="W36" s="2"/>
      <c r="X36" s="2">
        <f t="shared" si="2"/>
        <v>282721.2</v>
      </c>
      <c r="Y36" s="2"/>
      <c r="Z36" s="19">
        <f t="shared" si="3"/>
        <v>0</v>
      </c>
    </row>
    <row r="37" spans="1:26" s="24" customFormat="1" hidden="1" outlineLevel="1" x14ac:dyDescent="0.25">
      <c r="A37" s="44"/>
      <c r="B37" s="11" t="str">
        <f>CONCATENATE("          ", "4043", " - ", "TAXABLE SALES-CARDS")</f>
        <v xml:space="preserve">          4043 - TAXABLE SALES-CARDS</v>
      </c>
      <c r="C37" s="11"/>
      <c r="D37" s="2">
        <f>--49.95</f>
        <v>49.95</v>
      </c>
      <c r="E37" s="2"/>
      <c r="F37" s="19"/>
      <c r="G37" s="2"/>
      <c r="H37" s="2"/>
      <c r="I37" s="2"/>
      <c r="J37" s="19"/>
      <c r="K37" s="2"/>
      <c r="L37" s="2">
        <f t="shared" si="0"/>
        <v>49.95</v>
      </c>
      <c r="M37" s="2"/>
      <c r="N37" s="19">
        <f t="shared" si="1"/>
        <v>0</v>
      </c>
      <c r="O37" s="11"/>
      <c r="P37" s="2">
        <f>--77269.18</f>
        <v>77269.179999999993</v>
      </c>
      <c r="Q37" s="2"/>
      <c r="R37" s="19"/>
      <c r="S37" s="2"/>
      <c r="T37" s="2"/>
      <c r="U37" s="2"/>
      <c r="V37" s="19"/>
      <c r="W37" s="2"/>
      <c r="X37" s="2">
        <f t="shared" si="2"/>
        <v>77269.179999999993</v>
      </c>
      <c r="Y37" s="2"/>
      <c r="Z37" s="19">
        <f t="shared" si="3"/>
        <v>0</v>
      </c>
    </row>
    <row r="38" spans="1:26" s="24" customFormat="1" hidden="1" outlineLevel="1" x14ac:dyDescent="0.25">
      <c r="A38" s="44"/>
      <c r="B38" s="11" t="str">
        <f>CONCATENATE("          ", "4044", " - ", "TAXABLE SALES-ACCESSORIES")</f>
        <v xml:space="preserve">          4044 - TAXABLE SALES-ACCESSORIES</v>
      </c>
      <c r="C38" s="11"/>
      <c r="D38" s="2">
        <f>--3915.24</f>
        <v>3915.24</v>
      </c>
      <c r="E38" s="2"/>
      <c r="F38" s="19"/>
      <c r="G38" s="2"/>
      <c r="H38" s="2"/>
      <c r="I38" s="2"/>
      <c r="J38" s="19"/>
      <c r="K38" s="2"/>
      <c r="L38" s="2">
        <f t="shared" si="0"/>
        <v>3915.24</v>
      </c>
      <c r="M38" s="2"/>
      <c r="N38" s="19">
        <f t="shared" si="1"/>
        <v>0</v>
      </c>
      <c r="O38" s="11"/>
      <c r="P38" s="2">
        <f>--71255.76</f>
        <v>71255.759999999995</v>
      </c>
      <c r="Q38" s="2"/>
      <c r="R38" s="19"/>
      <c r="S38" s="2"/>
      <c r="T38" s="2"/>
      <c r="U38" s="2"/>
      <c r="V38" s="19"/>
      <c r="W38" s="2"/>
      <c r="X38" s="2">
        <f t="shared" si="2"/>
        <v>71255.759999999995</v>
      </c>
      <c r="Y38" s="2"/>
      <c r="Z38" s="19">
        <f t="shared" si="3"/>
        <v>0</v>
      </c>
    </row>
    <row r="39" spans="1:26" s="24" customFormat="1" hidden="1" outlineLevel="1" x14ac:dyDescent="0.25">
      <c r="A39" s="44"/>
      <c r="B39" s="11" t="str">
        <f>CONCATENATE("          ", "4045", " - ", "TAXABLE SALES-SPECIAL ORDERS")</f>
        <v xml:space="preserve">          4045 - TAXABLE SALES-SPECIAL ORDERS</v>
      </c>
      <c r="C39" s="11"/>
      <c r="D39" s="2">
        <f>--13525.59</f>
        <v>13525.59</v>
      </c>
      <c r="E39" s="2"/>
      <c r="F39" s="19"/>
      <c r="G39" s="2"/>
      <c r="H39" s="2"/>
      <c r="I39" s="2"/>
      <c r="J39" s="19"/>
      <c r="K39" s="2"/>
      <c r="L39" s="2">
        <f t="shared" si="0"/>
        <v>13525.59</v>
      </c>
      <c r="M39" s="2"/>
      <c r="N39" s="19">
        <f t="shared" si="1"/>
        <v>0</v>
      </c>
      <c r="O39" s="11"/>
      <c r="P39" s="2">
        <f>--96839.56</f>
        <v>96839.56</v>
      </c>
      <c r="Q39" s="2"/>
      <c r="R39" s="19"/>
      <c r="S39" s="2"/>
      <c r="T39" s="2"/>
      <c r="U39" s="2"/>
      <c r="V39" s="19"/>
      <c r="W39" s="2"/>
      <c r="X39" s="2">
        <f t="shared" si="2"/>
        <v>96839.56</v>
      </c>
      <c r="Y39" s="2"/>
      <c r="Z39" s="19">
        <f t="shared" si="3"/>
        <v>0</v>
      </c>
    </row>
    <row r="40" spans="1:26" s="24" customFormat="1" hidden="1" outlineLevel="1" x14ac:dyDescent="0.25">
      <c r="A40" s="44"/>
      <c r="B40" s="11" t="str">
        <f>CONCATENATE("          ", "4047", " - ", "TAXABLE SALES-MISC")</f>
        <v xml:space="preserve">          4047 - TAXABLE SALES-MISC</v>
      </c>
      <c r="C40" s="11"/>
      <c r="D40" s="2">
        <f t="shared" ref="D40:D42" si="6">0</f>
        <v>0</v>
      </c>
      <c r="E40" s="2"/>
      <c r="F40" s="19"/>
      <c r="G40" s="2"/>
      <c r="H40" s="2"/>
      <c r="I40" s="2"/>
      <c r="J40" s="19"/>
      <c r="K40" s="2"/>
      <c r="L40" s="2">
        <f t="shared" si="0"/>
        <v>0</v>
      </c>
      <c r="M40" s="2"/>
      <c r="N40" s="19">
        <f t="shared" si="1"/>
        <v>0</v>
      </c>
      <c r="O40" s="11"/>
      <c r="P40" s="2">
        <f>--2676.14</f>
        <v>2676.14</v>
      </c>
      <c r="Q40" s="2"/>
      <c r="R40" s="19"/>
      <c r="S40" s="2"/>
      <c r="T40" s="2"/>
      <c r="U40" s="2"/>
      <c r="V40" s="19"/>
      <c r="W40" s="2"/>
      <c r="X40" s="2">
        <f t="shared" si="2"/>
        <v>2676.14</v>
      </c>
      <c r="Y40" s="2"/>
      <c r="Z40" s="19">
        <f t="shared" si="3"/>
        <v>0</v>
      </c>
    </row>
    <row r="41" spans="1:26" s="24" customFormat="1" hidden="1" outlineLevel="1" x14ac:dyDescent="0.25">
      <c r="A41" s="44"/>
      <c r="B41" s="11" t="str">
        <f>CONCATENATE("          ", "4051", " - ", "TAXABLE SALES-FOOD")</f>
        <v xml:space="preserve">          4051 - TAXABLE SALES-FOOD</v>
      </c>
      <c r="C41" s="11"/>
      <c r="D41" s="2">
        <f t="shared" si="6"/>
        <v>0</v>
      </c>
      <c r="E41" s="2"/>
      <c r="F41" s="19"/>
      <c r="G41" s="2"/>
      <c r="H41" s="2"/>
      <c r="I41" s="2"/>
      <c r="J41" s="19"/>
      <c r="K41" s="2"/>
      <c r="L41" s="2">
        <f t="shared" si="0"/>
        <v>0</v>
      </c>
      <c r="M41" s="2"/>
      <c r="N41" s="19">
        <f t="shared" si="1"/>
        <v>0</v>
      </c>
      <c r="O41" s="11"/>
      <c r="P41" s="2">
        <f>--604143.21</f>
        <v>604143.21</v>
      </c>
      <c r="Q41" s="2"/>
      <c r="R41" s="19"/>
      <c r="S41" s="2"/>
      <c r="T41" s="2"/>
      <c r="U41" s="2"/>
      <c r="V41" s="19"/>
      <c r="W41" s="2"/>
      <c r="X41" s="2">
        <f t="shared" si="2"/>
        <v>604143.21</v>
      </c>
      <c r="Y41" s="2"/>
      <c r="Z41" s="19">
        <f t="shared" si="3"/>
        <v>0</v>
      </c>
    </row>
    <row r="42" spans="1:26" s="24" customFormat="1" hidden="1" outlineLevel="1" x14ac:dyDescent="0.25">
      <c r="A42" s="44"/>
      <c r="B42" s="11" t="str">
        <f>CONCATENATE("          ", "4052", " - ", "TAXABLE SALES-FOOD")</f>
        <v xml:space="preserve">          4052 - TAXABLE SALES-FOOD</v>
      </c>
      <c r="C42" s="11"/>
      <c r="D42" s="2">
        <f t="shared" si="6"/>
        <v>0</v>
      </c>
      <c r="E42" s="2"/>
      <c r="F42" s="19"/>
      <c r="G42" s="2"/>
      <c r="H42" s="2"/>
      <c r="I42" s="2"/>
      <c r="J42" s="19"/>
      <c r="K42" s="2"/>
      <c r="L42" s="2">
        <f t="shared" si="0"/>
        <v>0</v>
      </c>
      <c r="M42" s="2"/>
      <c r="N42" s="19">
        <f t="shared" si="1"/>
        <v>0</v>
      </c>
      <c r="O42" s="11"/>
      <c r="P42" s="2">
        <f>--836487.29</f>
        <v>836487.29</v>
      </c>
      <c r="Q42" s="2"/>
      <c r="R42" s="19"/>
      <c r="S42" s="2"/>
      <c r="T42" s="2"/>
      <c r="U42" s="2"/>
      <c r="V42" s="19"/>
      <c r="W42" s="2"/>
      <c r="X42" s="2">
        <f t="shared" si="2"/>
        <v>836487.29</v>
      </c>
      <c r="Y42" s="2"/>
      <c r="Z42" s="19">
        <f t="shared" si="3"/>
        <v>0</v>
      </c>
    </row>
    <row r="43" spans="1:26" s="24" customFormat="1" hidden="1" outlineLevel="1" x14ac:dyDescent="0.25">
      <c r="A43" s="44"/>
      <c r="B43" s="11" t="str">
        <f>CONCATENATE("          ", "4053", " - ", "TAXABLE SALES-FOOD")</f>
        <v xml:space="preserve">          4053 - TAXABLE SALES-FOOD</v>
      </c>
      <c r="C43" s="11"/>
      <c r="D43" s="2">
        <f>--59.42</f>
        <v>59.42</v>
      </c>
      <c r="E43" s="2"/>
      <c r="F43" s="19"/>
      <c r="G43" s="2"/>
      <c r="H43" s="2"/>
      <c r="I43" s="2"/>
      <c r="J43" s="19"/>
      <c r="K43" s="2"/>
      <c r="L43" s="2">
        <f t="shared" si="0"/>
        <v>59.42</v>
      </c>
      <c r="M43" s="2"/>
      <c r="N43" s="19">
        <f t="shared" si="1"/>
        <v>0</v>
      </c>
      <c r="O43" s="11"/>
      <c r="P43" s="2">
        <f>--279986.09</f>
        <v>279986.09000000003</v>
      </c>
      <c r="Q43" s="2"/>
      <c r="R43" s="19"/>
      <c r="S43" s="2"/>
      <c r="T43" s="2"/>
      <c r="U43" s="2"/>
      <c r="V43" s="19"/>
      <c r="W43" s="2"/>
      <c r="X43" s="2">
        <f t="shared" si="2"/>
        <v>279986.09000000003</v>
      </c>
      <c r="Y43" s="2"/>
      <c r="Z43" s="19">
        <f t="shared" si="3"/>
        <v>0</v>
      </c>
    </row>
    <row r="44" spans="1:26" s="24" customFormat="1" hidden="1" outlineLevel="1" x14ac:dyDescent="0.25">
      <c r="A44" s="44"/>
      <c r="B44" s="11" t="str">
        <f>CONCATENATE("          ", "4055", " - ", "TAXABLE SALES-FOOD")</f>
        <v xml:space="preserve">          4055 - TAXABLE SALES-FOOD</v>
      </c>
      <c r="C44" s="11"/>
      <c r="D44" s="2">
        <f t="shared" ref="D44:D45" si="7">0</f>
        <v>0</v>
      </c>
      <c r="E44" s="2"/>
      <c r="F44" s="19"/>
      <c r="G44" s="2"/>
      <c r="H44" s="2"/>
      <c r="I44" s="2"/>
      <c r="J44" s="19"/>
      <c r="K44" s="2"/>
      <c r="L44" s="2">
        <f t="shared" si="0"/>
        <v>0</v>
      </c>
      <c r="M44" s="2"/>
      <c r="N44" s="19">
        <f t="shared" si="1"/>
        <v>0</v>
      </c>
      <c r="O44" s="11"/>
      <c r="P44" s="2">
        <f>--382379.53</f>
        <v>382379.53</v>
      </c>
      <c r="Q44" s="2"/>
      <c r="R44" s="19"/>
      <c r="S44" s="2"/>
      <c r="T44" s="2"/>
      <c r="U44" s="2"/>
      <c r="V44" s="19"/>
      <c r="W44" s="2"/>
      <c r="X44" s="2">
        <f t="shared" si="2"/>
        <v>382379.53</v>
      </c>
      <c r="Y44" s="2"/>
      <c r="Z44" s="19">
        <f t="shared" si="3"/>
        <v>0</v>
      </c>
    </row>
    <row r="45" spans="1:26" s="24" customFormat="1" hidden="1" outlineLevel="1" x14ac:dyDescent="0.25">
      <c r="A45" s="44"/>
      <c r="B45" s="11" t="str">
        <f>CONCATENATE("          ", "4058", " - ", "TAXABLE SALES-FOOD")</f>
        <v xml:space="preserve">          4058 - TAXABLE SALES-FOOD</v>
      </c>
      <c r="C45" s="11"/>
      <c r="D45" s="2">
        <f t="shared" si="7"/>
        <v>0</v>
      </c>
      <c r="E45" s="2"/>
      <c r="F45" s="19"/>
      <c r="G45" s="2"/>
      <c r="H45" s="2"/>
      <c r="I45" s="2"/>
      <c r="J45" s="19"/>
      <c r="K45" s="2"/>
      <c r="L45" s="2">
        <f t="shared" si="0"/>
        <v>0</v>
      </c>
      <c r="M45" s="2"/>
      <c r="N45" s="19">
        <f t="shared" si="1"/>
        <v>0</v>
      </c>
      <c r="O45" s="11"/>
      <c r="P45" s="2">
        <f>--117077.57</f>
        <v>117077.57</v>
      </c>
      <c r="Q45" s="2"/>
      <c r="R45" s="19"/>
      <c r="S45" s="2"/>
      <c r="T45" s="2"/>
      <c r="U45" s="2"/>
      <c r="V45" s="19"/>
      <c r="W45" s="2"/>
      <c r="X45" s="2">
        <f t="shared" si="2"/>
        <v>117077.57</v>
      </c>
      <c r="Y45" s="2"/>
      <c r="Z45" s="19">
        <f t="shared" si="3"/>
        <v>0</v>
      </c>
    </row>
    <row r="46" spans="1:26" s="24" customFormat="1" hidden="1" outlineLevel="1" x14ac:dyDescent="0.25">
      <c r="A46" s="44"/>
      <c r="B46" s="11" t="str">
        <f>CONCATENATE("          ", "4081", " - ", "TAXABLE SALES-ELECTRONICS")</f>
        <v xml:space="preserve">          4081 - TAXABLE SALES-ELECTRONICS</v>
      </c>
      <c r="C46" s="11"/>
      <c r="D46" s="2">
        <f>--1256.94</f>
        <v>1256.94</v>
      </c>
      <c r="E46" s="2"/>
      <c r="F46" s="19"/>
      <c r="G46" s="2"/>
      <c r="H46" s="2"/>
      <c r="I46" s="2"/>
      <c r="J46" s="19"/>
      <c r="K46" s="2"/>
      <c r="L46" s="2">
        <f t="shared" si="0"/>
        <v>1256.94</v>
      </c>
      <c r="M46" s="2"/>
      <c r="N46" s="19">
        <f t="shared" si="1"/>
        <v>0</v>
      </c>
      <c r="O46" s="11"/>
      <c r="P46" s="2">
        <f>--316334.96</f>
        <v>316334.96000000002</v>
      </c>
      <c r="Q46" s="2"/>
      <c r="R46" s="19"/>
      <c r="S46" s="2"/>
      <c r="T46" s="2"/>
      <c r="U46" s="2"/>
      <c r="V46" s="19"/>
      <c r="W46" s="2"/>
      <c r="X46" s="2">
        <f t="shared" si="2"/>
        <v>316334.96000000002</v>
      </c>
      <c r="Y46" s="2"/>
      <c r="Z46" s="19">
        <f t="shared" si="3"/>
        <v>0</v>
      </c>
    </row>
    <row r="47" spans="1:26" s="24" customFormat="1" hidden="1" outlineLevel="1" x14ac:dyDescent="0.25">
      <c r="A47" s="44"/>
      <c r="B47" s="11" t="str">
        <f>CONCATENATE("          ", "4082", " - ", "TAXABLE SALES-COMPUTER HARDWAR")</f>
        <v xml:space="preserve">          4082 - TAXABLE SALES-COMPUTER HARDWAR</v>
      </c>
      <c r="C47" s="11"/>
      <c r="D47" s="2">
        <f>--55929.1</f>
        <v>55929.1</v>
      </c>
      <c r="E47" s="2"/>
      <c r="F47" s="19"/>
      <c r="G47" s="2"/>
      <c r="H47" s="2"/>
      <c r="I47" s="2"/>
      <c r="J47" s="19"/>
      <c r="K47" s="2"/>
      <c r="L47" s="2">
        <f t="shared" si="0"/>
        <v>55929.1</v>
      </c>
      <c r="M47" s="2"/>
      <c r="N47" s="19">
        <f t="shared" si="1"/>
        <v>0</v>
      </c>
      <c r="O47" s="11"/>
      <c r="P47" s="2">
        <f>--1982602.72</f>
        <v>1982602.72</v>
      </c>
      <c r="Q47" s="2"/>
      <c r="R47" s="19"/>
      <c r="S47" s="2"/>
      <c r="T47" s="2"/>
      <c r="U47" s="2"/>
      <c r="V47" s="19"/>
      <c r="W47" s="2"/>
      <c r="X47" s="2">
        <f t="shared" si="2"/>
        <v>1982602.72</v>
      </c>
      <c r="Y47" s="2"/>
      <c r="Z47" s="19">
        <f t="shared" si="3"/>
        <v>0</v>
      </c>
    </row>
    <row r="48" spans="1:26" s="24" customFormat="1" hidden="1" outlineLevel="1" x14ac:dyDescent="0.25">
      <c r="A48" s="44"/>
      <c r="B48" s="11" t="str">
        <f>CONCATENATE("          ", "4083", " - ", "TAXABLE SALES-COMPUTER EQUIPME")</f>
        <v xml:space="preserve">          4083 - TAXABLE SALES-COMPUTER EQUIPME</v>
      </c>
      <c r="C48" s="11"/>
      <c r="D48" s="2">
        <f>--2640</f>
        <v>2640</v>
      </c>
      <c r="E48" s="2"/>
      <c r="F48" s="19"/>
      <c r="G48" s="2"/>
      <c r="H48" s="2"/>
      <c r="I48" s="2"/>
      <c r="J48" s="19"/>
      <c r="K48" s="2"/>
      <c r="L48" s="2">
        <f t="shared" si="0"/>
        <v>2640</v>
      </c>
      <c r="M48" s="2"/>
      <c r="N48" s="19">
        <f t="shared" si="1"/>
        <v>0</v>
      </c>
      <c r="O48" s="11"/>
      <c r="P48" s="2">
        <f>--106418.4</f>
        <v>106418.4</v>
      </c>
      <c r="Q48" s="2"/>
      <c r="R48" s="19"/>
      <c r="S48" s="2"/>
      <c r="T48" s="2"/>
      <c r="U48" s="2"/>
      <c r="V48" s="19"/>
      <c r="W48" s="2"/>
      <c r="X48" s="2">
        <f t="shared" si="2"/>
        <v>106418.4</v>
      </c>
      <c r="Y48" s="2"/>
      <c r="Z48" s="19">
        <f t="shared" si="3"/>
        <v>0</v>
      </c>
    </row>
    <row r="49" spans="1:26" s="24" customFormat="1" hidden="1" outlineLevel="1" x14ac:dyDescent="0.25">
      <c r="A49" s="44"/>
      <c r="B49" s="11" t="str">
        <f>CONCATENATE("          ", "4084", " - ", "TAXABLE SALES-SOFTWARE LICENSE")</f>
        <v xml:space="preserve">          4084 - TAXABLE SALES-SOFTWARE LICENSE</v>
      </c>
      <c r="C49" s="11"/>
      <c r="D49" s="2">
        <f>0</f>
        <v>0</v>
      </c>
      <c r="E49" s="2"/>
      <c r="F49" s="19"/>
      <c r="G49" s="2"/>
      <c r="H49" s="2"/>
      <c r="I49" s="2"/>
      <c r="J49" s="19"/>
      <c r="K49" s="2"/>
      <c r="L49" s="2">
        <f t="shared" si="0"/>
        <v>0</v>
      </c>
      <c r="M49" s="2"/>
      <c r="N49" s="19">
        <f t="shared" si="1"/>
        <v>0</v>
      </c>
      <c r="O49" s="11"/>
      <c r="P49" s="2">
        <f>--129</f>
        <v>129</v>
      </c>
      <c r="Q49" s="2"/>
      <c r="R49" s="19"/>
      <c r="S49" s="2"/>
      <c r="T49" s="2"/>
      <c r="U49" s="2"/>
      <c r="V49" s="19"/>
      <c r="W49" s="2"/>
      <c r="X49" s="2">
        <f t="shared" si="2"/>
        <v>129</v>
      </c>
      <c r="Y49" s="2"/>
      <c r="Z49" s="19">
        <f t="shared" si="3"/>
        <v>0</v>
      </c>
    </row>
    <row r="50" spans="1:26" s="24" customFormat="1" hidden="1" outlineLevel="1" x14ac:dyDescent="0.25">
      <c r="A50" s="44"/>
      <c r="B50" s="11" t="str">
        <f>CONCATENATE("          ", "4085", " - ", "TAXABLE SALES-SOFTWARE")</f>
        <v xml:space="preserve">          4085 - TAXABLE SALES-SOFTWARE</v>
      </c>
      <c r="C50" s="11"/>
      <c r="D50" s="2">
        <f>--20</f>
        <v>20</v>
      </c>
      <c r="E50" s="2"/>
      <c r="F50" s="19"/>
      <c r="G50" s="2"/>
      <c r="H50" s="2"/>
      <c r="I50" s="2"/>
      <c r="J50" s="19"/>
      <c r="K50" s="2"/>
      <c r="L50" s="2">
        <f t="shared" si="0"/>
        <v>20</v>
      </c>
      <c r="M50" s="2"/>
      <c r="N50" s="19">
        <f t="shared" si="1"/>
        <v>0</v>
      </c>
      <c r="O50" s="11"/>
      <c r="P50" s="2">
        <f>--4587.93</f>
        <v>4587.93</v>
      </c>
      <c r="Q50" s="2"/>
      <c r="R50" s="19"/>
      <c r="S50" s="2"/>
      <c r="T50" s="2"/>
      <c r="U50" s="2"/>
      <c r="V50" s="19"/>
      <c r="W50" s="2"/>
      <c r="X50" s="2">
        <f t="shared" si="2"/>
        <v>4587.93</v>
      </c>
      <c r="Y50" s="2"/>
      <c r="Z50" s="19">
        <f t="shared" si="3"/>
        <v>0</v>
      </c>
    </row>
    <row r="51" spans="1:26" s="24" customFormat="1" hidden="1" outlineLevel="1" x14ac:dyDescent="0.25">
      <c r="A51" s="44"/>
      <c r="B51" s="11" t="str">
        <f>CONCATENATE("          ", "4086", " - ", "TAXABLE SALES-COMPUTER SUPPLIE")</f>
        <v xml:space="preserve">          4086 - TAXABLE SALES-COMPUTER SUPPLIE</v>
      </c>
      <c r="C51" s="11"/>
      <c r="D51" s="2">
        <f>--357.44</f>
        <v>357.44</v>
      </c>
      <c r="E51" s="2"/>
      <c r="F51" s="19"/>
      <c r="G51" s="2"/>
      <c r="H51" s="2"/>
      <c r="I51" s="2"/>
      <c r="J51" s="19"/>
      <c r="K51" s="2"/>
      <c r="L51" s="2">
        <f t="shared" si="0"/>
        <v>357.44</v>
      </c>
      <c r="M51" s="2"/>
      <c r="N51" s="19">
        <f t="shared" si="1"/>
        <v>0</v>
      </c>
      <c r="O51" s="11"/>
      <c r="P51" s="2">
        <f>--49529.46</f>
        <v>49529.46</v>
      </c>
      <c r="Q51" s="2"/>
      <c r="R51" s="19"/>
      <c r="S51" s="2"/>
      <c r="T51" s="2"/>
      <c r="U51" s="2"/>
      <c r="V51" s="19"/>
      <c r="W51" s="2"/>
      <c r="X51" s="2">
        <f t="shared" si="2"/>
        <v>49529.46</v>
      </c>
      <c r="Y51" s="2"/>
      <c r="Z51" s="19">
        <f t="shared" si="3"/>
        <v>0</v>
      </c>
    </row>
    <row r="52" spans="1:26" s="24" customFormat="1" hidden="1" outlineLevel="1" x14ac:dyDescent="0.25">
      <c r="A52" s="44"/>
      <c r="B52" s="11" t="str">
        <f>CONCATENATE("          ", "4088", " - ", "TAXABLE SALES-MUSIC")</f>
        <v xml:space="preserve">          4088 - TAXABLE SALES-MUSIC</v>
      </c>
      <c r="C52" s="11"/>
      <c r="D52" s="2">
        <f>--1120.94</f>
        <v>1120.94</v>
      </c>
      <c r="E52" s="2"/>
      <c r="F52" s="19"/>
      <c r="G52" s="2"/>
      <c r="H52" s="2"/>
      <c r="I52" s="2"/>
      <c r="J52" s="19"/>
      <c r="K52" s="2"/>
      <c r="L52" s="2">
        <f t="shared" si="0"/>
        <v>1120.94</v>
      </c>
      <c r="M52" s="2"/>
      <c r="N52" s="19">
        <f t="shared" si="1"/>
        <v>0</v>
      </c>
      <c r="O52" s="11"/>
      <c r="P52" s="2">
        <f>--2795.75</f>
        <v>2795.75</v>
      </c>
      <c r="Q52" s="2"/>
      <c r="R52" s="19"/>
      <c r="S52" s="2"/>
      <c r="T52" s="2"/>
      <c r="U52" s="2"/>
      <c r="V52" s="19"/>
      <c r="W52" s="2"/>
      <c r="X52" s="2">
        <f t="shared" si="2"/>
        <v>2795.75</v>
      </c>
      <c r="Y52" s="2"/>
      <c r="Z52" s="19">
        <f t="shared" si="3"/>
        <v>0</v>
      </c>
    </row>
    <row r="53" spans="1:26" s="24" customFormat="1" hidden="1" outlineLevel="1" x14ac:dyDescent="0.25">
      <c r="A53" s="44"/>
      <c r="B53" s="11" t="str">
        <f>CONCATENATE("          ", "4092", " - ", "TAXABLE SALES-GRAD MERCH")</f>
        <v xml:space="preserve">          4092 - TAXABLE SALES-GRAD MERCH</v>
      </c>
      <c r="C53" s="11"/>
      <c r="D53" s="2">
        <f>--13527.29</f>
        <v>13527.29</v>
      </c>
      <c r="E53" s="2"/>
      <c r="F53" s="19"/>
      <c r="G53" s="2"/>
      <c r="H53" s="2"/>
      <c r="I53" s="2"/>
      <c r="J53" s="19"/>
      <c r="K53" s="2"/>
      <c r="L53" s="2">
        <f t="shared" si="0"/>
        <v>13527.29</v>
      </c>
      <c r="M53" s="2"/>
      <c r="N53" s="19">
        <f t="shared" si="1"/>
        <v>0</v>
      </c>
      <c r="O53" s="11"/>
      <c r="P53" s="2">
        <f>--35353.71</f>
        <v>35353.71</v>
      </c>
      <c r="Q53" s="2"/>
      <c r="R53" s="19"/>
      <c r="S53" s="2"/>
      <c r="T53" s="2"/>
      <c r="U53" s="2"/>
      <c r="V53" s="19"/>
      <c r="W53" s="2"/>
      <c r="X53" s="2">
        <f t="shared" si="2"/>
        <v>35353.71</v>
      </c>
      <c r="Y53" s="2"/>
      <c r="Z53" s="19">
        <f t="shared" si="3"/>
        <v>0</v>
      </c>
    </row>
    <row r="54" spans="1:26" s="24" customFormat="1" hidden="1" outlineLevel="1" x14ac:dyDescent="0.25">
      <c r="A54" s="44"/>
      <c r="B54" s="11" t="str">
        <f>CONCATENATE("          ", "4095", " - ", "TAXABLE SALES-CUSTOMER SERVICE")</f>
        <v xml:space="preserve">          4095 - TAXABLE SALES-CUSTOMER SERVICE</v>
      </c>
      <c r="C54" s="11"/>
      <c r="D54" s="2">
        <f>0</f>
        <v>0</v>
      </c>
      <c r="E54" s="2"/>
      <c r="F54" s="19"/>
      <c r="G54" s="2"/>
      <c r="H54" s="2"/>
      <c r="I54" s="2"/>
      <c r="J54" s="19"/>
      <c r="K54" s="2"/>
      <c r="L54" s="2">
        <f t="shared" si="0"/>
        <v>0</v>
      </c>
      <c r="M54" s="2"/>
      <c r="N54" s="19">
        <f t="shared" si="1"/>
        <v>0</v>
      </c>
      <c r="O54" s="11"/>
      <c r="P54" s="2">
        <f>--309.26</f>
        <v>309.26</v>
      </c>
      <c r="Q54" s="2"/>
      <c r="R54" s="19"/>
      <c r="S54" s="2"/>
      <c r="T54" s="2"/>
      <c r="U54" s="2"/>
      <c r="V54" s="19"/>
      <c r="W54" s="2"/>
      <c r="X54" s="2">
        <f t="shared" si="2"/>
        <v>309.26</v>
      </c>
      <c r="Y54" s="2"/>
      <c r="Z54" s="19">
        <f t="shared" si="3"/>
        <v>0</v>
      </c>
    </row>
    <row r="55" spans="1:26" s="24" customFormat="1" hidden="1" outlineLevel="1" x14ac:dyDescent="0.25">
      <c r="A55" s="44"/>
      <c r="B55" s="11" t="str">
        <f>CONCATENATE("          ", "4100", " - ", "NON-TAXABLE SALES")</f>
        <v xml:space="preserve">          4100 - NON-TAXABLE SALES</v>
      </c>
      <c r="C55" s="11"/>
      <c r="D55" s="2">
        <f>--29622.55</f>
        <v>29622.55</v>
      </c>
      <c r="E55" s="2"/>
      <c r="F55" s="19"/>
      <c r="G55" s="2"/>
      <c r="H55" s="2">
        <v>1552858</v>
      </c>
      <c r="I55" s="2"/>
      <c r="J55" s="19"/>
      <c r="K55" s="2"/>
      <c r="L55" s="2">
        <f t="shared" si="0"/>
        <v>-1523235.45</v>
      </c>
      <c r="M55" s="2"/>
      <c r="N55" s="19">
        <f t="shared" si="1"/>
        <v>-0.98092385137597893</v>
      </c>
      <c r="O55" s="11"/>
      <c r="P55" s="2">
        <f>--1036747.02</f>
        <v>1036747.02</v>
      </c>
      <c r="Q55" s="2"/>
      <c r="R55" s="19"/>
      <c r="S55" s="2"/>
      <c r="T55" s="2">
        <v>24237784</v>
      </c>
      <c r="U55" s="2"/>
      <c r="V55" s="19"/>
      <c r="W55" s="2"/>
      <c r="X55" s="2">
        <f t="shared" si="2"/>
        <v>-23201036.98</v>
      </c>
      <c r="Y55" s="2"/>
      <c r="Z55" s="19">
        <f t="shared" si="3"/>
        <v>-0.95722599805328745</v>
      </c>
    </row>
    <row r="56" spans="1:26" s="24" customFormat="1" hidden="1" outlineLevel="1" x14ac:dyDescent="0.25">
      <c r="A56" s="44"/>
      <c r="B56" s="11" t="str">
        <f>CONCATENATE("          ", "4101", " - ", "NON-TAXABLE SALES-NEW TEXT")</f>
        <v xml:space="preserve">          4101 - NON-TAXABLE SALES-NEW TEXT</v>
      </c>
      <c r="C56" s="11"/>
      <c r="D56" s="2">
        <f>--7118.9</f>
        <v>7118.9</v>
      </c>
      <c r="E56" s="2"/>
      <c r="F56" s="19"/>
      <c r="G56" s="2"/>
      <c r="H56" s="2"/>
      <c r="I56" s="2"/>
      <c r="J56" s="19"/>
      <c r="K56" s="2"/>
      <c r="L56" s="2">
        <f t="shared" si="0"/>
        <v>7118.9</v>
      </c>
      <c r="M56" s="2"/>
      <c r="N56" s="19">
        <f t="shared" si="1"/>
        <v>0</v>
      </c>
      <c r="O56" s="11"/>
      <c r="P56" s="2">
        <f>--151282.34</f>
        <v>151282.34</v>
      </c>
      <c r="Q56" s="2"/>
      <c r="R56" s="19"/>
      <c r="S56" s="2"/>
      <c r="T56" s="2"/>
      <c r="U56" s="2"/>
      <c r="V56" s="19"/>
      <c r="W56" s="2"/>
      <c r="X56" s="2">
        <f t="shared" si="2"/>
        <v>151282.34</v>
      </c>
      <c r="Y56" s="2"/>
      <c r="Z56" s="19">
        <f t="shared" si="3"/>
        <v>0</v>
      </c>
    </row>
    <row r="57" spans="1:26" s="24" customFormat="1" hidden="1" outlineLevel="1" x14ac:dyDescent="0.25">
      <c r="A57" s="44"/>
      <c r="B57" s="11" t="str">
        <f>CONCATENATE("          ", "4102", " - ", "NON-TAXABLE SALES-USED TEXT")</f>
        <v xml:space="preserve">          4102 - NON-TAXABLE SALES-USED TEXT</v>
      </c>
      <c r="C57" s="11"/>
      <c r="D57" s="2">
        <f>--565.56</f>
        <v>565.55999999999995</v>
      </c>
      <c r="E57" s="2"/>
      <c r="F57" s="19"/>
      <c r="G57" s="2"/>
      <c r="H57" s="2"/>
      <c r="I57" s="2"/>
      <c r="J57" s="19"/>
      <c r="K57" s="2"/>
      <c r="L57" s="2">
        <f t="shared" si="0"/>
        <v>565.55999999999995</v>
      </c>
      <c r="M57" s="2"/>
      <c r="N57" s="19">
        <f t="shared" si="1"/>
        <v>0</v>
      </c>
      <c r="O57" s="11"/>
      <c r="P57" s="2">
        <f>--70225.46</f>
        <v>70225.460000000006</v>
      </c>
      <c r="Q57" s="2"/>
      <c r="R57" s="19"/>
      <c r="S57" s="2"/>
      <c r="T57" s="2"/>
      <c r="U57" s="2"/>
      <c r="V57" s="19"/>
      <c r="W57" s="2"/>
      <c r="X57" s="2">
        <f t="shared" si="2"/>
        <v>70225.460000000006</v>
      </c>
      <c r="Y57" s="2"/>
      <c r="Z57" s="19">
        <f t="shared" si="3"/>
        <v>0</v>
      </c>
    </row>
    <row r="58" spans="1:26" s="24" customFormat="1" hidden="1" outlineLevel="1" x14ac:dyDescent="0.25">
      <c r="A58" s="44"/>
      <c r="B58" s="11" t="str">
        <f>CONCATENATE("          ", "4103", " - ", "NON-TAXABLE SALES-RENTAL TEXT")</f>
        <v xml:space="preserve">          4103 - NON-TAXABLE SALES-RENTAL TEXT</v>
      </c>
      <c r="C58" s="11"/>
      <c r="D58" s="2">
        <f>0</f>
        <v>0</v>
      </c>
      <c r="E58" s="2"/>
      <c r="F58" s="19"/>
      <c r="G58" s="2"/>
      <c r="H58" s="2"/>
      <c r="I58" s="2"/>
      <c r="J58" s="19"/>
      <c r="K58" s="2"/>
      <c r="L58" s="2">
        <f t="shared" si="0"/>
        <v>0</v>
      </c>
      <c r="M58" s="2"/>
      <c r="N58" s="19">
        <f t="shared" si="1"/>
        <v>0</v>
      </c>
      <c r="O58" s="11"/>
      <c r="P58" s="2">
        <f>--664.97</f>
        <v>664.97</v>
      </c>
      <c r="Q58" s="2"/>
      <c r="R58" s="19"/>
      <c r="S58" s="2"/>
      <c r="T58" s="2"/>
      <c r="U58" s="2"/>
      <c r="V58" s="19"/>
      <c r="W58" s="2"/>
      <c r="X58" s="2">
        <f t="shared" si="2"/>
        <v>664.97</v>
      </c>
      <c r="Y58" s="2"/>
      <c r="Z58" s="19">
        <f t="shared" si="3"/>
        <v>0</v>
      </c>
    </row>
    <row r="59" spans="1:26" s="24" customFormat="1" hidden="1" outlineLevel="1" x14ac:dyDescent="0.25">
      <c r="A59" s="44"/>
      <c r="B59" s="11" t="str">
        <f>CONCATENATE("          ", "4104", " - ", "NON-TAXABLE SALES-DIGITAL TEXT")</f>
        <v xml:space="preserve">          4104 - NON-TAXABLE SALES-DIGITAL TEXT</v>
      </c>
      <c r="C59" s="11"/>
      <c r="D59" s="2">
        <f>--4949.29</f>
        <v>4949.29</v>
      </c>
      <c r="E59" s="2"/>
      <c r="F59" s="19"/>
      <c r="G59" s="2"/>
      <c r="H59" s="2"/>
      <c r="I59" s="2"/>
      <c r="J59" s="19"/>
      <c r="K59" s="2"/>
      <c r="L59" s="2">
        <f t="shared" si="0"/>
        <v>4949.29</v>
      </c>
      <c r="M59" s="2"/>
      <c r="N59" s="19">
        <f t="shared" si="1"/>
        <v>0</v>
      </c>
      <c r="O59" s="11"/>
      <c r="P59" s="2">
        <f>--531803.38</f>
        <v>531803.38</v>
      </c>
      <c r="Q59" s="2"/>
      <c r="R59" s="19"/>
      <c r="S59" s="2"/>
      <c r="T59" s="2"/>
      <c r="U59" s="2"/>
      <c r="V59" s="19"/>
      <c r="W59" s="2"/>
      <c r="X59" s="2">
        <f t="shared" si="2"/>
        <v>531803.38</v>
      </c>
      <c r="Y59" s="2"/>
      <c r="Z59" s="19">
        <f t="shared" si="3"/>
        <v>0</v>
      </c>
    </row>
    <row r="60" spans="1:26" s="24" customFormat="1" hidden="1" outlineLevel="1" x14ac:dyDescent="0.25">
      <c r="A60" s="44"/>
      <c r="B60" s="11" t="str">
        <f>CONCATENATE("          ", "4111", " - ", "NON-TAXABLE SALES-NO VALUE TEX")</f>
        <v xml:space="preserve">          4111 - NON-TAXABLE SALES-NO VALUE TEX</v>
      </c>
      <c r="C60" s="11"/>
      <c r="D60" s="2">
        <f>--340.46</f>
        <v>340.46</v>
      </c>
      <c r="E60" s="2"/>
      <c r="F60" s="19"/>
      <c r="G60" s="2"/>
      <c r="H60" s="2"/>
      <c r="I60" s="2"/>
      <c r="J60" s="19"/>
      <c r="K60" s="2"/>
      <c r="L60" s="2">
        <f t="shared" si="0"/>
        <v>340.46</v>
      </c>
      <c r="M60" s="2"/>
      <c r="N60" s="19">
        <f t="shared" si="1"/>
        <v>0</v>
      </c>
      <c r="O60" s="11"/>
      <c r="P60" s="2">
        <f>--15663.46</f>
        <v>15663.46</v>
      </c>
      <c r="Q60" s="2"/>
      <c r="R60" s="19"/>
      <c r="S60" s="2"/>
      <c r="T60" s="2"/>
      <c r="U60" s="2"/>
      <c r="V60" s="19"/>
      <c r="W60" s="2"/>
      <c r="X60" s="2">
        <f t="shared" si="2"/>
        <v>15663.46</v>
      </c>
      <c r="Y60" s="2"/>
      <c r="Z60" s="19">
        <f t="shared" si="3"/>
        <v>0</v>
      </c>
    </row>
    <row r="61" spans="1:26" s="24" customFormat="1" hidden="1" outlineLevel="1" x14ac:dyDescent="0.25">
      <c r="A61" s="44"/>
      <c r="B61" s="11" t="str">
        <f>CONCATENATE("          ", "4113", " - ", "NON-TAXABLE SALES-TRADE BOOKS")</f>
        <v xml:space="preserve">          4113 - NON-TAXABLE SALES-TRADE BOOKS</v>
      </c>
      <c r="C61" s="11"/>
      <c r="D61" s="2">
        <f>--24.24</f>
        <v>24.24</v>
      </c>
      <c r="E61" s="2"/>
      <c r="F61" s="19"/>
      <c r="G61" s="2"/>
      <c r="H61" s="2"/>
      <c r="I61" s="2"/>
      <c r="J61" s="19"/>
      <c r="K61" s="2"/>
      <c r="L61" s="2">
        <f t="shared" si="0"/>
        <v>24.24</v>
      </c>
      <c r="M61" s="2"/>
      <c r="N61" s="19">
        <f t="shared" si="1"/>
        <v>0</v>
      </c>
      <c r="O61" s="11"/>
      <c r="P61" s="2">
        <f>--8266.16</f>
        <v>8266.16</v>
      </c>
      <c r="Q61" s="2"/>
      <c r="R61" s="19"/>
      <c r="S61" s="2"/>
      <c r="T61" s="2"/>
      <c r="U61" s="2"/>
      <c r="V61" s="19"/>
      <c r="W61" s="2"/>
      <c r="X61" s="2">
        <f t="shared" si="2"/>
        <v>8266.16</v>
      </c>
      <c r="Y61" s="2"/>
      <c r="Z61" s="19">
        <f t="shared" si="3"/>
        <v>0</v>
      </c>
    </row>
    <row r="62" spans="1:26" s="24" customFormat="1" hidden="1" outlineLevel="1" x14ac:dyDescent="0.25">
      <c r="A62" s="44"/>
      <c r="B62" s="11" t="str">
        <f>CONCATENATE("          ", "4114", " - ", "NON-TAXABLE SALES-REMAINDERS")</f>
        <v xml:space="preserve">          4114 - NON-TAXABLE SALES-REMAINDERS</v>
      </c>
      <c r="C62" s="11"/>
      <c r="D62" s="2">
        <f>--3.19</f>
        <v>3.19</v>
      </c>
      <c r="E62" s="2"/>
      <c r="F62" s="19"/>
      <c r="G62" s="2"/>
      <c r="H62" s="2"/>
      <c r="I62" s="2"/>
      <c r="J62" s="19"/>
      <c r="K62" s="2"/>
      <c r="L62" s="2">
        <f t="shared" si="0"/>
        <v>3.19</v>
      </c>
      <c r="M62" s="2"/>
      <c r="N62" s="19">
        <f t="shared" si="1"/>
        <v>0</v>
      </c>
      <c r="O62" s="11"/>
      <c r="P62" s="2">
        <f>--3.19</f>
        <v>3.19</v>
      </c>
      <c r="Q62" s="2"/>
      <c r="R62" s="19"/>
      <c r="S62" s="2"/>
      <c r="T62" s="2"/>
      <c r="U62" s="2"/>
      <c r="V62" s="19"/>
      <c r="W62" s="2"/>
      <c r="X62" s="2">
        <f t="shared" si="2"/>
        <v>3.19</v>
      </c>
      <c r="Y62" s="2"/>
      <c r="Z62" s="19">
        <f t="shared" si="3"/>
        <v>0</v>
      </c>
    </row>
    <row r="63" spans="1:26" s="24" customFormat="1" hidden="1" outlineLevel="1" x14ac:dyDescent="0.25">
      <c r="A63" s="44"/>
      <c r="B63" s="11" t="str">
        <f>CONCATENATE("          ", "4118", " - ", "NON-TAXABLE SALES-STUDY GUIDES")</f>
        <v xml:space="preserve">          4118 - NON-TAXABLE SALES-STUDY GUIDES</v>
      </c>
      <c r="C63" s="11"/>
      <c r="D63" s="2">
        <f>--40</f>
        <v>40</v>
      </c>
      <c r="E63" s="2"/>
      <c r="F63" s="19"/>
      <c r="G63" s="2"/>
      <c r="H63" s="2"/>
      <c r="I63" s="2"/>
      <c r="J63" s="19"/>
      <c r="K63" s="2"/>
      <c r="L63" s="2">
        <f t="shared" si="0"/>
        <v>40</v>
      </c>
      <c r="M63" s="2"/>
      <c r="N63" s="19">
        <f t="shared" si="1"/>
        <v>0</v>
      </c>
      <c r="O63" s="11"/>
      <c r="P63" s="2">
        <f>--115.94</f>
        <v>115.94</v>
      </c>
      <c r="Q63" s="2"/>
      <c r="R63" s="19"/>
      <c r="S63" s="2"/>
      <c r="T63" s="2"/>
      <c r="U63" s="2"/>
      <c r="V63" s="19"/>
      <c r="W63" s="2"/>
      <c r="X63" s="2">
        <f t="shared" si="2"/>
        <v>115.94</v>
      </c>
      <c r="Y63" s="2"/>
      <c r="Z63" s="19">
        <f t="shared" si="3"/>
        <v>0</v>
      </c>
    </row>
    <row r="64" spans="1:26" s="24" customFormat="1" hidden="1" outlineLevel="1" x14ac:dyDescent="0.25">
      <c r="A64" s="44"/>
      <c r="B64" s="11" t="str">
        <f>CONCATENATE("          ", "4125", " - ", "NON-TAXABLE SALES-TEST FORMS")</f>
        <v xml:space="preserve">          4125 - NON-TAXABLE SALES-TEST FORMS</v>
      </c>
      <c r="C64" s="11"/>
      <c r="D64" s="2">
        <f>0</f>
        <v>0</v>
      </c>
      <c r="E64" s="2"/>
      <c r="F64" s="19"/>
      <c r="G64" s="2"/>
      <c r="H64" s="2"/>
      <c r="I64" s="2"/>
      <c r="J64" s="19"/>
      <c r="K64" s="2"/>
      <c r="L64" s="2">
        <f t="shared" si="0"/>
        <v>0</v>
      </c>
      <c r="M64" s="2"/>
      <c r="N64" s="19">
        <f t="shared" si="1"/>
        <v>0</v>
      </c>
      <c r="O64" s="11"/>
      <c r="P64" s="2">
        <f>--267.61</f>
        <v>267.61</v>
      </c>
      <c r="Q64" s="2"/>
      <c r="R64" s="19"/>
      <c r="S64" s="2"/>
      <c r="T64" s="2"/>
      <c r="U64" s="2"/>
      <c r="V64" s="19"/>
      <c r="W64" s="2"/>
      <c r="X64" s="2">
        <f t="shared" si="2"/>
        <v>267.61</v>
      </c>
      <c r="Y64" s="2"/>
      <c r="Z64" s="19">
        <f t="shared" si="3"/>
        <v>0</v>
      </c>
    </row>
    <row r="65" spans="1:26" s="24" customFormat="1" hidden="1" outlineLevel="1" x14ac:dyDescent="0.25">
      <c r="A65" s="44"/>
      <c r="B65" s="11" t="str">
        <f>CONCATENATE("          ", "4126", " - ", "NON-TAXABLE SALES-WRITING INST")</f>
        <v xml:space="preserve">          4126 - NON-TAXABLE SALES-WRITING INST</v>
      </c>
      <c r="C65" s="11"/>
      <c r="D65" s="2">
        <f>--110.56</f>
        <v>110.56</v>
      </c>
      <c r="E65" s="2"/>
      <c r="F65" s="19"/>
      <c r="G65" s="2"/>
      <c r="H65" s="2"/>
      <c r="I65" s="2"/>
      <c r="J65" s="19"/>
      <c r="K65" s="2"/>
      <c r="L65" s="2">
        <f t="shared" si="0"/>
        <v>110.56</v>
      </c>
      <c r="M65" s="2"/>
      <c r="N65" s="19">
        <f t="shared" si="1"/>
        <v>0</v>
      </c>
      <c r="O65" s="11"/>
      <c r="P65" s="2">
        <f>--3133.42</f>
        <v>3133.42</v>
      </c>
      <c r="Q65" s="2"/>
      <c r="R65" s="19"/>
      <c r="S65" s="2"/>
      <c r="T65" s="2"/>
      <c r="U65" s="2"/>
      <c r="V65" s="19"/>
      <c r="W65" s="2"/>
      <c r="X65" s="2">
        <f t="shared" si="2"/>
        <v>3133.42</v>
      </c>
      <c r="Y65" s="2"/>
      <c r="Z65" s="19">
        <f t="shared" si="3"/>
        <v>0</v>
      </c>
    </row>
    <row r="66" spans="1:26" s="24" customFormat="1" hidden="1" outlineLevel="1" x14ac:dyDescent="0.25">
      <c r="A66" s="44"/>
      <c r="B66" s="11" t="str">
        <f>CONCATENATE("          ", "4127", " - ", "NON-TAXABLE SALES-SCHOOL SUPPL")</f>
        <v xml:space="preserve">          4127 - NON-TAXABLE SALES-SCHOOL SUPPL</v>
      </c>
      <c r="C66" s="11"/>
      <c r="D66" s="2">
        <f>--226.84</f>
        <v>226.84</v>
      </c>
      <c r="E66" s="2"/>
      <c r="F66" s="19"/>
      <c r="G66" s="2"/>
      <c r="H66" s="2"/>
      <c r="I66" s="2"/>
      <c r="J66" s="19"/>
      <c r="K66" s="2"/>
      <c r="L66" s="2">
        <f t="shared" si="0"/>
        <v>226.84</v>
      </c>
      <c r="M66" s="2"/>
      <c r="N66" s="19">
        <f t="shared" si="1"/>
        <v>0</v>
      </c>
      <c r="O66" s="11"/>
      <c r="P66" s="2">
        <f>--6373.71</f>
        <v>6373.71</v>
      </c>
      <c r="Q66" s="2"/>
      <c r="R66" s="19"/>
      <c r="S66" s="2"/>
      <c r="T66" s="2"/>
      <c r="U66" s="2"/>
      <c r="V66" s="19"/>
      <c r="W66" s="2"/>
      <c r="X66" s="2">
        <f t="shared" si="2"/>
        <v>6373.71</v>
      </c>
      <c r="Y66" s="2"/>
      <c r="Z66" s="19">
        <f t="shared" si="3"/>
        <v>0</v>
      </c>
    </row>
    <row r="67" spans="1:26" s="24" customFormat="1" hidden="1" outlineLevel="1" x14ac:dyDescent="0.25">
      <c r="A67" s="44"/>
      <c r="B67" s="11" t="str">
        <f>CONCATENATE("          ", "4128", " - ", "NON-TAXABLE SALES-ART/TECH")</f>
        <v xml:space="preserve">          4128 - NON-TAXABLE SALES-ART/TECH</v>
      </c>
      <c r="C67" s="11"/>
      <c r="D67" s="2">
        <f>0</f>
        <v>0</v>
      </c>
      <c r="E67" s="2"/>
      <c r="F67" s="19"/>
      <c r="G67" s="2"/>
      <c r="H67" s="2"/>
      <c r="I67" s="2"/>
      <c r="J67" s="19"/>
      <c r="K67" s="2"/>
      <c r="L67" s="2">
        <f t="shared" si="0"/>
        <v>0</v>
      </c>
      <c r="M67" s="2"/>
      <c r="N67" s="19">
        <f t="shared" si="1"/>
        <v>0</v>
      </c>
      <c r="O67" s="11"/>
      <c r="P67" s="2">
        <f>--730.62</f>
        <v>730.62</v>
      </c>
      <c r="Q67" s="2"/>
      <c r="R67" s="19"/>
      <c r="S67" s="2"/>
      <c r="T67" s="2"/>
      <c r="U67" s="2"/>
      <c r="V67" s="19"/>
      <c r="W67" s="2"/>
      <c r="X67" s="2">
        <f t="shared" si="2"/>
        <v>730.62</v>
      </c>
      <c r="Y67" s="2"/>
      <c r="Z67" s="19">
        <f t="shared" si="3"/>
        <v>0</v>
      </c>
    </row>
    <row r="68" spans="1:26" s="24" customFormat="1" hidden="1" outlineLevel="1" x14ac:dyDescent="0.25">
      <c r="A68" s="44"/>
      <c r="B68" s="11" t="str">
        <f>CONCATENATE("          ", "4131", " - ", "NON-TAXABLE SALES-FOOD")</f>
        <v xml:space="preserve">          4131 - NON-TAXABLE SALES-FOOD</v>
      </c>
      <c r="C68" s="11"/>
      <c r="D68" s="2">
        <f>--8.64</f>
        <v>8.64</v>
      </c>
      <c r="E68" s="2"/>
      <c r="F68" s="19"/>
      <c r="G68" s="2"/>
      <c r="H68" s="2"/>
      <c r="I68" s="2"/>
      <c r="J68" s="19"/>
      <c r="K68" s="2"/>
      <c r="L68" s="2">
        <f t="shared" si="0"/>
        <v>8.64</v>
      </c>
      <c r="M68" s="2"/>
      <c r="N68" s="19">
        <f t="shared" si="1"/>
        <v>0</v>
      </c>
      <c r="O68" s="11"/>
      <c r="P68" s="2">
        <f>--57896.18</f>
        <v>57896.18</v>
      </c>
      <c r="Q68" s="2"/>
      <c r="R68" s="19"/>
      <c r="S68" s="2"/>
      <c r="T68" s="2"/>
      <c r="U68" s="2"/>
      <c r="V68" s="19"/>
      <c r="W68" s="2"/>
      <c r="X68" s="2">
        <f t="shared" si="2"/>
        <v>57896.18</v>
      </c>
      <c r="Y68" s="2"/>
      <c r="Z68" s="19">
        <f t="shared" si="3"/>
        <v>0</v>
      </c>
    </row>
    <row r="69" spans="1:26" s="24" customFormat="1" hidden="1" outlineLevel="1" x14ac:dyDescent="0.25">
      <c r="A69" s="44"/>
      <c r="B69" s="11" t="str">
        <f>CONCATENATE("          ", "4132", " - ", "NON-TAXABLE SALES-JUICE")</f>
        <v xml:space="preserve">          4132 - NON-TAXABLE SALES-JUICE</v>
      </c>
      <c r="C69" s="11"/>
      <c r="D69" s="2">
        <f>0</f>
        <v>0</v>
      </c>
      <c r="E69" s="2"/>
      <c r="F69" s="19"/>
      <c r="G69" s="2"/>
      <c r="H69" s="2"/>
      <c r="I69" s="2"/>
      <c r="J69" s="19"/>
      <c r="K69" s="2"/>
      <c r="L69" s="2">
        <f t="shared" si="0"/>
        <v>0</v>
      </c>
      <c r="M69" s="2"/>
      <c r="N69" s="19">
        <f t="shared" si="1"/>
        <v>0</v>
      </c>
      <c r="O69" s="11"/>
      <c r="P69" s="2">
        <f>--1109977.78</f>
        <v>1109977.78</v>
      </c>
      <c r="Q69" s="2"/>
      <c r="R69" s="19"/>
      <c r="S69" s="2"/>
      <c r="T69" s="2"/>
      <c r="U69" s="2"/>
      <c r="V69" s="19"/>
      <c r="W69" s="2"/>
      <c r="X69" s="2">
        <f t="shared" si="2"/>
        <v>1109977.78</v>
      </c>
      <c r="Y69" s="2"/>
      <c r="Z69" s="19">
        <f t="shared" si="3"/>
        <v>0</v>
      </c>
    </row>
    <row r="70" spans="1:26" s="24" customFormat="1" hidden="1" outlineLevel="1" x14ac:dyDescent="0.25">
      <c r="A70" s="44"/>
      <c r="B70" s="11" t="str">
        <f>CONCATENATE("          ", "4133", " - ", "NON-TAXABLE SALES-CANDY")</f>
        <v xml:space="preserve">          4133 - NON-TAXABLE SALES-CANDY</v>
      </c>
      <c r="C70" s="11"/>
      <c r="D70" s="2">
        <f>--48.27</f>
        <v>48.27</v>
      </c>
      <c r="E70" s="2"/>
      <c r="F70" s="19"/>
      <c r="G70" s="2"/>
      <c r="H70" s="2"/>
      <c r="I70" s="2"/>
      <c r="J70" s="19"/>
      <c r="K70" s="2"/>
      <c r="L70" s="2">
        <f t="shared" si="0"/>
        <v>48.27</v>
      </c>
      <c r="M70" s="2"/>
      <c r="N70" s="19">
        <f t="shared" si="1"/>
        <v>0</v>
      </c>
      <c r="O70" s="11"/>
      <c r="P70" s="2">
        <f>--18138.32</f>
        <v>18138.32</v>
      </c>
      <c r="Q70" s="2"/>
      <c r="R70" s="19"/>
      <c r="S70" s="2"/>
      <c r="T70" s="2"/>
      <c r="U70" s="2"/>
      <c r="V70" s="19"/>
      <c r="W70" s="2"/>
      <c r="X70" s="2">
        <f t="shared" si="2"/>
        <v>18138.32</v>
      </c>
      <c r="Y70" s="2"/>
      <c r="Z70" s="19">
        <f t="shared" si="3"/>
        <v>0</v>
      </c>
    </row>
    <row r="71" spans="1:26" s="24" customFormat="1" hidden="1" outlineLevel="1" x14ac:dyDescent="0.25">
      <c r="A71" s="44"/>
      <c r="B71" s="11" t="str">
        <f>CONCATENATE("          ", "4134", " - ", "NON-TAXABLE SALES-SODA")</f>
        <v xml:space="preserve">          4134 - NON-TAXABLE SALES-SODA</v>
      </c>
      <c r="C71" s="11"/>
      <c r="D71" s="2">
        <f>--23.64</f>
        <v>23.64</v>
      </c>
      <c r="E71" s="2"/>
      <c r="F71" s="19"/>
      <c r="G71" s="2"/>
      <c r="H71" s="2"/>
      <c r="I71" s="2"/>
      <c r="J71" s="19"/>
      <c r="K71" s="2"/>
      <c r="L71" s="2">
        <f t="shared" si="0"/>
        <v>23.64</v>
      </c>
      <c r="M71" s="2"/>
      <c r="N71" s="19">
        <f t="shared" si="1"/>
        <v>0</v>
      </c>
      <c r="O71" s="11"/>
      <c r="P71" s="2">
        <f>--96.73</f>
        <v>96.73</v>
      </c>
      <c r="Q71" s="2"/>
      <c r="R71" s="19"/>
      <c r="S71" s="2"/>
      <c r="T71" s="2"/>
      <c r="U71" s="2"/>
      <c r="V71" s="19"/>
      <c r="W71" s="2"/>
      <c r="X71" s="2">
        <f t="shared" si="2"/>
        <v>96.73</v>
      </c>
      <c r="Y71" s="2"/>
      <c r="Z71" s="19">
        <f t="shared" si="3"/>
        <v>0</v>
      </c>
    </row>
    <row r="72" spans="1:26" s="24" customFormat="1" hidden="1" outlineLevel="1" x14ac:dyDescent="0.25">
      <c r="A72" s="44"/>
      <c r="B72" s="11" t="str">
        <f>CONCATENATE("          ", "4135", " - ", "NON-TAXABLE SALES")</f>
        <v xml:space="preserve">          4135 - NON-TAXABLE SALES</v>
      </c>
      <c r="C72" s="11"/>
      <c r="D72" s="2">
        <f>0</f>
        <v>0</v>
      </c>
      <c r="E72" s="2"/>
      <c r="F72" s="19"/>
      <c r="G72" s="2"/>
      <c r="H72" s="2"/>
      <c r="I72" s="2"/>
      <c r="J72" s="19"/>
      <c r="K72" s="2"/>
      <c r="L72" s="2">
        <f t="shared" si="0"/>
        <v>0</v>
      </c>
      <c r="M72" s="2"/>
      <c r="N72" s="19">
        <f t="shared" si="1"/>
        <v>0</v>
      </c>
      <c r="O72" s="11"/>
      <c r="P72" s="2">
        <f>--161.4</f>
        <v>161.4</v>
      </c>
      <c r="Q72" s="2"/>
      <c r="R72" s="19"/>
      <c r="S72" s="2"/>
      <c r="T72" s="2"/>
      <c r="U72" s="2"/>
      <c r="V72" s="19"/>
      <c r="W72" s="2"/>
      <c r="X72" s="2">
        <f t="shared" si="2"/>
        <v>161.4</v>
      </c>
      <c r="Y72" s="2"/>
      <c r="Z72" s="19">
        <f t="shared" si="3"/>
        <v>0</v>
      </c>
    </row>
    <row r="73" spans="1:26" s="24" customFormat="1" hidden="1" outlineLevel="1" x14ac:dyDescent="0.25">
      <c r="A73" s="44"/>
      <c r="B73" s="11" t="str">
        <f>CONCATENATE("          ", "4137", " - ", "NON-TAXABLE SALES-WATER")</f>
        <v xml:space="preserve">          4137 - NON-TAXABLE SALES-WATER</v>
      </c>
      <c r="C73" s="11"/>
      <c r="D73" s="2">
        <f>--2.24</f>
        <v>2.2400000000000002</v>
      </c>
      <c r="E73" s="2"/>
      <c r="F73" s="19"/>
      <c r="G73" s="2"/>
      <c r="H73" s="2"/>
      <c r="I73" s="2"/>
      <c r="J73" s="19"/>
      <c r="K73" s="2"/>
      <c r="L73" s="2">
        <f t="shared" si="0"/>
        <v>2.2400000000000002</v>
      </c>
      <c r="M73" s="2"/>
      <c r="N73" s="19">
        <f t="shared" si="1"/>
        <v>0</v>
      </c>
      <c r="O73" s="11"/>
      <c r="P73" s="2">
        <f>--10094.74</f>
        <v>10094.74</v>
      </c>
      <c r="Q73" s="2"/>
      <c r="R73" s="19"/>
      <c r="S73" s="2"/>
      <c r="T73" s="2"/>
      <c r="U73" s="2"/>
      <c r="V73" s="19"/>
      <c r="W73" s="2"/>
      <c r="X73" s="2">
        <f t="shared" si="2"/>
        <v>10094.74</v>
      </c>
      <c r="Y73" s="2"/>
      <c r="Z73" s="19">
        <f t="shared" si="3"/>
        <v>0</v>
      </c>
    </row>
    <row r="74" spans="1:26" s="24" customFormat="1" hidden="1" outlineLevel="1" x14ac:dyDescent="0.25">
      <c r="A74" s="44"/>
      <c r="B74" s="11" t="str">
        <f>CONCATENATE("          ", "4140", " - ", "NON-TAXABLE SALES-LOGO CLOTHIN")</f>
        <v xml:space="preserve">          4140 - NON-TAXABLE SALES-LOGO CLOTHIN</v>
      </c>
      <c r="C74" s="11"/>
      <c r="D74" s="2">
        <f>--56556.05</f>
        <v>56556.05</v>
      </c>
      <c r="E74" s="2"/>
      <c r="F74" s="19"/>
      <c r="G74" s="2"/>
      <c r="H74" s="2"/>
      <c r="I74" s="2"/>
      <c r="J74" s="19"/>
      <c r="K74" s="2"/>
      <c r="L74" s="2">
        <f t="shared" si="0"/>
        <v>56556.05</v>
      </c>
      <c r="M74" s="2"/>
      <c r="N74" s="19">
        <f t="shared" si="1"/>
        <v>0</v>
      </c>
      <c r="O74" s="11"/>
      <c r="P74" s="2">
        <f>--135480.76</f>
        <v>135480.76</v>
      </c>
      <c r="Q74" s="2"/>
      <c r="R74" s="19"/>
      <c r="S74" s="2"/>
      <c r="T74" s="2"/>
      <c r="U74" s="2"/>
      <c r="V74" s="19"/>
      <c r="W74" s="2"/>
      <c r="X74" s="2">
        <f t="shared" si="2"/>
        <v>135480.76</v>
      </c>
      <c r="Y74" s="2"/>
      <c r="Z74" s="19">
        <f t="shared" si="3"/>
        <v>0</v>
      </c>
    </row>
    <row r="75" spans="1:26" s="24" customFormat="1" hidden="1" outlineLevel="1" x14ac:dyDescent="0.25">
      <c r="A75" s="44"/>
      <c r="B75" s="11" t="str">
        <f>CONCATENATE("          ", "4141", " - ", "NON-TAXABLE SALES-LOGO GIFTS")</f>
        <v xml:space="preserve">          4141 - NON-TAXABLE SALES-LOGO GIFTS</v>
      </c>
      <c r="C75" s="11"/>
      <c r="D75" s="2">
        <f>--4184.98</f>
        <v>4184.9799999999996</v>
      </c>
      <c r="E75" s="2"/>
      <c r="F75" s="19"/>
      <c r="G75" s="2"/>
      <c r="H75" s="2"/>
      <c r="I75" s="2"/>
      <c r="J75" s="19"/>
      <c r="K75" s="2"/>
      <c r="L75" s="2">
        <f t="shared" si="0"/>
        <v>4184.9799999999996</v>
      </c>
      <c r="M75" s="2"/>
      <c r="N75" s="19">
        <f t="shared" si="1"/>
        <v>0</v>
      </c>
      <c r="O75" s="11"/>
      <c r="P75" s="2">
        <f>--16960.31</f>
        <v>16960.310000000001</v>
      </c>
      <c r="Q75" s="2"/>
      <c r="R75" s="19"/>
      <c r="S75" s="2"/>
      <c r="T75" s="2"/>
      <c r="U75" s="2"/>
      <c r="V75" s="19"/>
      <c r="W75" s="2"/>
      <c r="X75" s="2">
        <f t="shared" si="2"/>
        <v>16960.310000000001</v>
      </c>
      <c r="Y75" s="2"/>
      <c r="Z75" s="19">
        <f t="shared" si="3"/>
        <v>0</v>
      </c>
    </row>
    <row r="76" spans="1:26" s="24" customFormat="1" hidden="1" outlineLevel="1" x14ac:dyDescent="0.25">
      <c r="A76" s="44"/>
      <c r="B76" s="11" t="str">
        <f>CONCATENATE("          ", "4142", " - ", "NON-TAXABLE SALES-EVERYDAY GIF")</f>
        <v xml:space="preserve">          4142 - NON-TAXABLE SALES-EVERYDAY GIF</v>
      </c>
      <c r="C76" s="11"/>
      <c r="D76" s="2">
        <f>--1204.14</f>
        <v>1204.1400000000001</v>
      </c>
      <c r="E76" s="2"/>
      <c r="F76" s="19"/>
      <c r="G76" s="2"/>
      <c r="H76" s="2"/>
      <c r="I76" s="2"/>
      <c r="J76" s="19"/>
      <c r="K76" s="2"/>
      <c r="L76" s="2">
        <f t="shared" si="0"/>
        <v>1204.1400000000001</v>
      </c>
      <c r="M76" s="2"/>
      <c r="N76" s="19">
        <f t="shared" si="1"/>
        <v>0</v>
      </c>
      <c r="O76" s="11"/>
      <c r="P76" s="2">
        <f>--15332.22</f>
        <v>15332.22</v>
      </c>
      <c r="Q76" s="2"/>
      <c r="R76" s="19"/>
      <c r="S76" s="2"/>
      <c r="T76" s="2"/>
      <c r="U76" s="2"/>
      <c r="V76" s="19"/>
      <c r="W76" s="2"/>
      <c r="X76" s="2">
        <f t="shared" si="2"/>
        <v>15332.22</v>
      </c>
      <c r="Y76" s="2"/>
      <c r="Z76" s="19">
        <f t="shared" si="3"/>
        <v>0</v>
      </c>
    </row>
    <row r="77" spans="1:26" s="24" customFormat="1" hidden="1" outlineLevel="1" x14ac:dyDescent="0.25">
      <c r="A77" s="44"/>
      <c r="B77" s="11" t="str">
        <f>CONCATENATE("          ", "4143", " - ", "NON-TAXABLE SALES-CARDS")</f>
        <v xml:space="preserve">          4143 - NON-TAXABLE SALES-CARDS</v>
      </c>
      <c r="C77" s="11"/>
      <c r="D77" s="2">
        <f>--19.98</f>
        <v>19.98</v>
      </c>
      <c r="E77" s="2"/>
      <c r="F77" s="19"/>
      <c r="G77" s="2"/>
      <c r="H77" s="2"/>
      <c r="I77" s="2"/>
      <c r="J77" s="19"/>
      <c r="K77" s="2"/>
      <c r="L77" s="2">
        <f t="shared" si="0"/>
        <v>19.98</v>
      </c>
      <c r="M77" s="2"/>
      <c r="N77" s="19">
        <f t="shared" si="1"/>
        <v>0</v>
      </c>
      <c r="O77" s="11"/>
      <c r="P77" s="2">
        <f>--19.98</f>
        <v>19.98</v>
      </c>
      <c r="Q77" s="2"/>
      <c r="R77" s="19"/>
      <c r="S77" s="2"/>
      <c r="T77" s="2"/>
      <c r="U77" s="2"/>
      <c r="V77" s="19"/>
      <c r="W77" s="2"/>
      <c r="X77" s="2">
        <f t="shared" si="2"/>
        <v>19.98</v>
      </c>
      <c r="Y77" s="2"/>
      <c r="Z77" s="19">
        <f t="shared" si="3"/>
        <v>0</v>
      </c>
    </row>
    <row r="78" spans="1:26" s="24" customFormat="1" hidden="1" outlineLevel="1" x14ac:dyDescent="0.25">
      <c r="A78" s="44"/>
      <c r="B78" s="11" t="str">
        <f>CONCATENATE("          ", "4144", " - ", "NON-TAXABLE SALES-ACCESSORIES")</f>
        <v xml:space="preserve">          4144 - NON-TAXABLE SALES-ACCESSORIES</v>
      </c>
      <c r="C78" s="11"/>
      <c r="D78" s="2">
        <f>--984.35</f>
        <v>984.35</v>
      </c>
      <c r="E78" s="2"/>
      <c r="F78" s="19"/>
      <c r="G78" s="2"/>
      <c r="H78" s="2"/>
      <c r="I78" s="2"/>
      <c r="J78" s="19"/>
      <c r="K78" s="2"/>
      <c r="L78" s="2">
        <f t="shared" si="0"/>
        <v>984.35</v>
      </c>
      <c r="M78" s="2"/>
      <c r="N78" s="19">
        <f t="shared" si="1"/>
        <v>0</v>
      </c>
      <c r="O78" s="11"/>
      <c r="P78" s="2">
        <f>--3324.02</f>
        <v>3324.02</v>
      </c>
      <c r="Q78" s="2"/>
      <c r="R78" s="19"/>
      <c r="S78" s="2"/>
      <c r="T78" s="2"/>
      <c r="U78" s="2"/>
      <c r="V78" s="19"/>
      <c r="W78" s="2"/>
      <c r="X78" s="2">
        <f t="shared" si="2"/>
        <v>3324.02</v>
      </c>
      <c r="Y78" s="2"/>
      <c r="Z78" s="19">
        <f t="shared" si="3"/>
        <v>0</v>
      </c>
    </row>
    <row r="79" spans="1:26" s="24" customFormat="1" hidden="1" outlineLevel="1" x14ac:dyDescent="0.25">
      <c r="A79" s="44"/>
      <c r="B79" s="11" t="str">
        <f>CONCATENATE("          ", "4145", " - ", "NON-TAXABLE SALES-SPECIAL ORDE")</f>
        <v xml:space="preserve">          4145 - NON-TAXABLE SALES-SPECIAL ORDE</v>
      </c>
      <c r="C79" s="11"/>
      <c r="D79" s="2">
        <f>--7688.68</f>
        <v>7688.68</v>
      </c>
      <c r="E79" s="2"/>
      <c r="F79" s="19"/>
      <c r="G79" s="2"/>
      <c r="H79" s="2"/>
      <c r="I79" s="2"/>
      <c r="J79" s="19"/>
      <c r="K79" s="2"/>
      <c r="L79" s="2">
        <f t="shared" si="0"/>
        <v>7688.68</v>
      </c>
      <c r="M79" s="2"/>
      <c r="N79" s="19">
        <f t="shared" si="1"/>
        <v>0</v>
      </c>
      <c r="O79" s="11"/>
      <c r="P79" s="2">
        <f>--7828.68</f>
        <v>7828.68</v>
      </c>
      <c r="Q79" s="2"/>
      <c r="R79" s="19"/>
      <c r="S79" s="2"/>
      <c r="T79" s="2"/>
      <c r="U79" s="2"/>
      <c r="V79" s="19"/>
      <c r="W79" s="2"/>
      <c r="X79" s="2">
        <f t="shared" si="2"/>
        <v>7828.68</v>
      </c>
      <c r="Y79" s="2"/>
      <c r="Z79" s="19">
        <f t="shared" si="3"/>
        <v>0</v>
      </c>
    </row>
    <row r="80" spans="1:26" s="24" customFormat="1" hidden="1" outlineLevel="1" x14ac:dyDescent="0.25">
      <c r="A80" s="44"/>
      <c r="B80" s="11" t="str">
        <f>CONCATENATE("          ", "4146", " - ", "NON-TAXABLE SALES-COIN OP MACH")</f>
        <v xml:space="preserve">          4146 - NON-TAXABLE SALES-COIN OP MACH</v>
      </c>
      <c r="C80" s="11"/>
      <c r="D80" s="2">
        <f>0</f>
        <v>0</v>
      </c>
      <c r="E80" s="2"/>
      <c r="F80" s="19"/>
      <c r="G80" s="2"/>
      <c r="H80" s="2"/>
      <c r="I80" s="2"/>
      <c r="J80" s="19"/>
      <c r="K80" s="2"/>
      <c r="L80" s="2">
        <f t="shared" si="0"/>
        <v>0</v>
      </c>
      <c r="M80" s="2"/>
      <c r="N80" s="19">
        <f t="shared" si="1"/>
        <v>0</v>
      </c>
      <c r="O80" s="11"/>
      <c r="P80" s="2">
        <f>--205908.65</f>
        <v>205908.65</v>
      </c>
      <c r="Q80" s="2"/>
      <c r="R80" s="19"/>
      <c r="S80" s="2"/>
      <c r="T80" s="2"/>
      <c r="U80" s="2"/>
      <c r="V80" s="19"/>
      <c r="W80" s="2"/>
      <c r="X80" s="2">
        <f t="shared" si="2"/>
        <v>205908.65</v>
      </c>
      <c r="Y80" s="2"/>
      <c r="Z80" s="19">
        <f t="shared" si="3"/>
        <v>0</v>
      </c>
    </row>
    <row r="81" spans="1:26" s="24" customFormat="1" hidden="1" outlineLevel="1" x14ac:dyDescent="0.25">
      <c r="A81" s="44"/>
      <c r="B81" s="11" t="str">
        <f>CONCATENATE("          ", "4147", " - ", "NON-TAXABLE SALES-MISC")</f>
        <v xml:space="preserve">          4147 - NON-TAXABLE SALES-MISC</v>
      </c>
      <c r="C81" s="11"/>
      <c r="D81" s="2">
        <f>--10</f>
        <v>10</v>
      </c>
      <c r="E81" s="2"/>
      <c r="F81" s="19"/>
      <c r="G81" s="2"/>
      <c r="H81" s="2"/>
      <c r="I81" s="2"/>
      <c r="J81" s="19"/>
      <c r="K81" s="2"/>
      <c r="L81" s="2">
        <f t="shared" si="0"/>
        <v>10</v>
      </c>
      <c r="M81" s="2"/>
      <c r="N81" s="19">
        <f t="shared" si="1"/>
        <v>0</v>
      </c>
      <c r="O81" s="11"/>
      <c r="P81" s="2">
        <f>--3446.37</f>
        <v>3446.37</v>
      </c>
      <c r="Q81" s="2"/>
      <c r="R81" s="19"/>
      <c r="S81" s="2"/>
      <c r="T81" s="2"/>
      <c r="U81" s="2"/>
      <c r="V81" s="19"/>
      <c r="W81" s="2"/>
      <c r="X81" s="2">
        <f t="shared" si="2"/>
        <v>3446.37</v>
      </c>
      <c r="Y81" s="2"/>
      <c r="Z81" s="19">
        <f t="shared" si="3"/>
        <v>0</v>
      </c>
    </row>
    <row r="82" spans="1:26" s="24" customFormat="1" hidden="1" outlineLevel="1" x14ac:dyDescent="0.25">
      <c r="A82" s="44"/>
      <c r="B82" s="11" t="str">
        <f>CONCATENATE("          ", "4151", " - ", "NON-TAXABLE SALES-FOOD")</f>
        <v xml:space="preserve">          4151 - NON-TAXABLE SALES-FOOD</v>
      </c>
      <c r="C82" s="11"/>
      <c r="D82" s="2">
        <f>--126289.52</f>
        <v>126289.52</v>
      </c>
      <c r="E82" s="2"/>
      <c r="F82" s="19"/>
      <c r="G82" s="2"/>
      <c r="H82" s="2"/>
      <c r="I82" s="2"/>
      <c r="J82" s="19"/>
      <c r="K82" s="2"/>
      <c r="L82" s="2">
        <f t="shared" si="0"/>
        <v>126289.52</v>
      </c>
      <c r="M82" s="2"/>
      <c r="N82" s="19">
        <f t="shared" si="1"/>
        <v>0</v>
      </c>
      <c r="O82" s="11"/>
      <c r="P82" s="2">
        <f>--11031870.08</f>
        <v>11031870.08</v>
      </c>
      <c r="Q82" s="2"/>
      <c r="R82" s="19"/>
      <c r="S82" s="2"/>
      <c r="T82" s="2"/>
      <c r="U82" s="2"/>
      <c r="V82" s="19"/>
      <c r="W82" s="2"/>
      <c r="X82" s="2">
        <f t="shared" si="2"/>
        <v>11031870.08</v>
      </c>
      <c r="Y82" s="2"/>
      <c r="Z82" s="19">
        <f t="shared" si="3"/>
        <v>0</v>
      </c>
    </row>
    <row r="83" spans="1:26" s="24" customFormat="1" hidden="1" outlineLevel="1" x14ac:dyDescent="0.25">
      <c r="A83" s="44"/>
      <c r="B83" s="11" t="str">
        <f>CONCATENATE("          ", "4152", " - ", "NON-TAXABLE SALES-FOOD")</f>
        <v xml:space="preserve">          4152 - NON-TAXABLE SALES-FOOD</v>
      </c>
      <c r="C83" s="11"/>
      <c r="D83" s="2">
        <f>0</f>
        <v>0</v>
      </c>
      <c r="E83" s="2"/>
      <c r="F83" s="19"/>
      <c r="G83" s="2"/>
      <c r="H83" s="2"/>
      <c r="I83" s="2"/>
      <c r="J83" s="19"/>
      <c r="K83" s="2"/>
      <c r="L83" s="2">
        <f t="shared" si="0"/>
        <v>0</v>
      </c>
      <c r="M83" s="2"/>
      <c r="N83" s="19">
        <f t="shared" si="1"/>
        <v>0</v>
      </c>
      <c r="O83" s="11"/>
      <c r="P83" s="2">
        <f>--51415.27</f>
        <v>51415.27</v>
      </c>
      <c r="Q83" s="2"/>
      <c r="R83" s="19"/>
      <c r="S83" s="2"/>
      <c r="T83" s="2"/>
      <c r="U83" s="2"/>
      <c r="V83" s="19"/>
      <c r="W83" s="2"/>
      <c r="X83" s="2">
        <f t="shared" si="2"/>
        <v>51415.27</v>
      </c>
      <c r="Y83" s="2"/>
      <c r="Z83" s="19">
        <f t="shared" si="3"/>
        <v>0</v>
      </c>
    </row>
    <row r="84" spans="1:26" s="24" customFormat="1" hidden="1" outlineLevel="1" x14ac:dyDescent="0.25">
      <c r="A84" s="44"/>
      <c r="B84" s="11" t="str">
        <f>CONCATENATE("          ", "4153", " - ", "NON-TAXABLE SALES-FOOD")</f>
        <v xml:space="preserve">          4153 - NON-TAXABLE SALES-FOOD</v>
      </c>
      <c r="C84" s="11"/>
      <c r="D84" s="2">
        <f>-4166.46</f>
        <v>-4166.46</v>
      </c>
      <c r="E84" s="2"/>
      <c r="F84" s="19"/>
      <c r="G84" s="2"/>
      <c r="H84" s="2"/>
      <c r="I84" s="2"/>
      <c r="J84" s="19"/>
      <c r="K84" s="2"/>
      <c r="L84" s="2">
        <f t="shared" si="0"/>
        <v>-4166.46</v>
      </c>
      <c r="M84" s="2"/>
      <c r="N84" s="19">
        <f t="shared" si="1"/>
        <v>0</v>
      </c>
      <c r="O84" s="11"/>
      <c r="P84" s="2">
        <f>--312266.22</f>
        <v>312266.21999999997</v>
      </c>
      <c r="Q84" s="2"/>
      <c r="R84" s="19"/>
      <c r="S84" s="2"/>
      <c r="T84" s="2"/>
      <c r="U84" s="2"/>
      <c r="V84" s="19"/>
      <c r="W84" s="2"/>
      <c r="X84" s="2">
        <f t="shared" si="2"/>
        <v>312266.21999999997</v>
      </c>
      <c r="Y84" s="2"/>
      <c r="Z84" s="19">
        <f t="shared" si="3"/>
        <v>0</v>
      </c>
    </row>
    <row r="85" spans="1:26" s="24" customFormat="1" hidden="1" outlineLevel="1" x14ac:dyDescent="0.25">
      <c r="A85" s="44"/>
      <c r="B85" s="11" t="str">
        <f>CONCATENATE("          ", "4155", " - ", "NON-TAXABLE SALES-FOOD")</f>
        <v xml:space="preserve">          4155 - NON-TAXABLE SALES-FOOD</v>
      </c>
      <c r="C85" s="11"/>
      <c r="D85" s="2">
        <f t="shared" ref="D85:D86" si="8">0</f>
        <v>0</v>
      </c>
      <c r="E85" s="2"/>
      <c r="F85" s="19"/>
      <c r="G85" s="2"/>
      <c r="H85" s="2"/>
      <c r="I85" s="2"/>
      <c r="J85" s="19"/>
      <c r="K85" s="2"/>
      <c r="L85" s="2">
        <f t="shared" si="0"/>
        <v>0</v>
      </c>
      <c r="M85" s="2"/>
      <c r="N85" s="19">
        <f t="shared" si="1"/>
        <v>0</v>
      </c>
      <c r="O85" s="11"/>
      <c r="P85" s="2">
        <f>--691123.63</f>
        <v>691123.63</v>
      </c>
      <c r="Q85" s="2"/>
      <c r="R85" s="19"/>
      <c r="S85" s="2"/>
      <c r="T85" s="2"/>
      <c r="U85" s="2"/>
      <c r="V85" s="19"/>
      <c r="W85" s="2"/>
      <c r="X85" s="2">
        <f t="shared" si="2"/>
        <v>691123.63</v>
      </c>
      <c r="Y85" s="2"/>
      <c r="Z85" s="19">
        <f t="shared" si="3"/>
        <v>0</v>
      </c>
    </row>
    <row r="86" spans="1:26" s="24" customFormat="1" hidden="1" outlineLevel="1" x14ac:dyDescent="0.25">
      <c r="A86" s="44"/>
      <c r="B86" s="11" t="str">
        <f>CONCATENATE("          ", "4158", " - ", "NON-TAXABLE SALES-FOOD")</f>
        <v xml:space="preserve">          4158 - NON-TAXABLE SALES-FOOD</v>
      </c>
      <c r="C86" s="11"/>
      <c r="D86" s="2">
        <f t="shared" si="8"/>
        <v>0</v>
      </c>
      <c r="E86" s="2"/>
      <c r="F86" s="19"/>
      <c r="G86" s="2"/>
      <c r="H86" s="2"/>
      <c r="I86" s="2"/>
      <c r="J86" s="19"/>
      <c r="K86" s="2"/>
      <c r="L86" s="2">
        <f t="shared" si="0"/>
        <v>0</v>
      </c>
      <c r="M86" s="2"/>
      <c r="N86" s="19">
        <f t="shared" si="1"/>
        <v>0</v>
      </c>
      <c r="O86" s="11"/>
      <c r="P86" s="2">
        <f>--474853.67</f>
        <v>474853.67</v>
      </c>
      <c r="Q86" s="2"/>
      <c r="R86" s="19"/>
      <c r="S86" s="2"/>
      <c r="T86" s="2"/>
      <c r="U86" s="2"/>
      <c r="V86" s="19"/>
      <c r="W86" s="2"/>
      <c r="X86" s="2">
        <f t="shared" si="2"/>
        <v>474853.67</v>
      </c>
      <c r="Y86" s="2"/>
      <c r="Z86" s="19">
        <f t="shared" si="3"/>
        <v>0</v>
      </c>
    </row>
    <row r="87" spans="1:26" s="24" customFormat="1" hidden="1" outlineLevel="1" x14ac:dyDescent="0.25">
      <c r="A87" s="44"/>
      <c r="B87" s="11" t="str">
        <f>CONCATENATE("          ", "4159", " - ", "NON-TAXABLE SALES-FOOD")</f>
        <v xml:space="preserve">          4159 - NON-TAXABLE SALES-FOOD</v>
      </c>
      <c r="C87" s="11"/>
      <c r="D87" s="2">
        <f>--383.7</f>
        <v>383.7</v>
      </c>
      <c r="E87" s="2"/>
      <c r="F87" s="19"/>
      <c r="G87" s="2"/>
      <c r="H87" s="2"/>
      <c r="I87" s="2"/>
      <c r="J87" s="19"/>
      <c r="K87" s="2"/>
      <c r="L87" s="2">
        <f t="shared" si="0"/>
        <v>383.7</v>
      </c>
      <c r="M87" s="2"/>
      <c r="N87" s="19">
        <f t="shared" si="1"/>
        <v>0</v>
      </c>
      <c r="O87" s="11"/>
      <c r="P87" s="2">
        <f>--383.7</f>
        <v>383.7</v>
      </c>
      <c r="Q87" s="2"/>
      <c r="R87" s="19"/>
      <c r="S87" s="2"/>
      <c r="T87" s="2"/>
      <c r="U87" s="2"/>
      <c r="V87" s="19"/>
      <c r="W87" s="2"/>
      <c r="X87" s="2">
        <f t="shared" si="2"/>
        <v>383.7</v>
      </c>
      <c r="Y87" s="2"/>
      <c r="Z87" s="19">
        <f t="shared" si="3"/>
        <v>0</v>
      </c>
    </row>
    <row r="88" spans="1:26" s="24" customFormat="1" hidden="1" outlineLevel="1" x14ac:dyDescent="0.25">
      <c r="A88" s="44"/>
      <c r="B88" s="11" t="str">
        <f>CONCATENATE("          ", "4181", " - ", "NON-TAXABLE SALES-ELECTRONICS")</f>
        <v xml:space="preserve">          4181 - NON-TAXABLE SALES-ELECTRONICS</v>
      </c>
      <c r="C88" s="11"/>
      <c r="D88" s="2">
        <f>--424.46</f>
        <v>424.46</v>
      </c>
      <c r="E88" s="2"/>
      <c r="F88" s="19"/>
      <c r="G88" s="2"/>
      <c r="H88" s="2"/>
      <c r="I88" s="2"/>
      <c r="J88" s="19"/>
      <c r="K88" s="2"/>
      <c r="L88" s="2">
        <f t="shared" si="0"/>
        <v>424.46</v>
      </c>
      <c r="M88" s="2"/>
      <c r="N88" s="19">
        <f t="shared" si="1"/>
        <v>0</v>
      </c>
      <c r="O88" s="11"/>
      <c r="P88" s="2">
        <f>--2657.79</f>
        <v>2657.79</v>
      </c>
      <c r="Q88" s="2"/>
      <c r="R88" s="19"/>
      <c r="S88" s="2"/>
      <c r="T88" s="2"/>
      <c r="U88" s="2"/>
      <c r="V88" s="19"/>
      <c r="W88" s="2"/>
      <c r="X88" s="2">
        <f t="shared" si="2"/>
        <v>2657.79</v>
      </c>
      <c r="Y88" s="2"/>
      <c r="Z88" s="19">
        <f t="shared" si="3"/>
        <v>0</v>
      </c>
    </row>
    <row r="89" spans="1:26" s="24" customFormat="1" hidden="1" outlineLevel="1" x14ac:dyDescent="0.25">
      <c r="A89" s="44"/>
      <c r="B89" s="11" t="str">
        <f>CONCATENATE("          ", "4182", " - ", "NON-TAXABLE SALES-COMPUTER HAR")</f>
        <v xml:space="preserve">          4182 - NON-TAXABLE SALES-COMPUTER HAR</v>
      </c>
      <c r="C89" s="11"/>
      <c r="D89" s="2">
        <f>--28134.6</f>
        <v>28134.6</v>
      </c>
      <c r="E89" s="2"/>
      <c r="F89" s="19"/>
      <c r="G89" s="2"/>
      <c r="H89" s="2"/>
      <c r="I89" s="2"/>
      <c r="J89" s="19"/>
      <c r="K89" s="2"/>
      <c r="L89" s="2">
        <f t="shared" si="0"/>
        <v>28134.6</v>
      </c>
      <c r="M89" s="2"/>
      <c r="N89" s="19">
        <f t="shared" si="1"/>
        <v>0</v>
      </c>
      <c r="O89" s="11"/>
      <c r="P89" s="2">
        <f>--176201.54</f>
        <v>176201.54</v>
      </c>
      <c r="Q89" s="2"/>
      <c r="R89" s="19"/>
      <c r="S89" s="2"/>
      <c r="T89" s="2"/>
      <c r="U89" s="2"/>
      <c r="V89" s="19"/>
      <c r="W89" s="2"/>
      <c r="X89" s="2">
        <f t="shared" si="2"/>
        <v>176201.54</v>
      </c>
      <c r="Y89" s="2"/>
      <c r="Z89" s="19">
        <f t="shared" si="3"/>
        <v>0</v>
      </c>
    </row>
    <row r="90" spans="1:26" s="24" customFormat="1" hidden="1" outlineLevel="1" x14ac:dyDescent="0.25">
      <c r="A90" s="44"/>
      <c r="B90" s="11" t="str">
        <f>CONCATENATE("          ", "4183", " - ", "NON-TAXABLE SALES-COMPUTER EQU")</f>
        <v xml:space="preserve">          4183 - NON-TAXABLE SALES-COMPUTER EQU</v>
      </c>
      <c r="C90" s="11"/>
      <c r="D90" s="2">
        <f>--1895.54</f>
        <v>1895.54</v>
      </c>
      <c r="E90" s="2"/>
      <c r="F90" s="19"/>
      <c r="G90" s="2"/>
      <c r="H90" s="2"/>
      <c r="I90" s="2"/>
      <c r="J90" s="19"/>
      <c r="K90" s="2"/>
      <c r="L90" s="2">
        <f t="shared" si="0"/>
        <v>1895.54</v>
      </c>
      <c r="M90" s="2"/>
      <c r="N90" s="19">
        <f t="shared" si="1"/>
        <v>0</v>
      </c>
      <c r="O90" s="11"/>
      <c r="P90" s="2">
        <f>--11427.56</f>
        <v>11427.56</v>
      </c>
      <c r="Q90" s="2"/>
      <c r="R90" s="19"/>
      <c r="S90" s="2"/>
      <c r="T90" s="2"/>
      <c r="U90" s="2"/>
      <c r="V90" s="19"/>
      <c r="W90" s="2"/>
      <c r="X90" s="2">
        <f t="shared" si="2"/>
        <v>11427.56</v>
      </c>
      <c r="Y90" s="2"/>
      <c r="Z90" s="19">
        <f t="shared" si="3"/>
        <v>0</v>
      </c>
    </row>
    <row r="91" spans="1:26" s="24" customFormat="1" hidden="1" outlineLevel="1" x14ac:dyDescent="0.25">
      <c r="A91" s="44"/>
      <c r="B91" s="11" t="str">
        <f>CONCATENATE("          ", "4184", " - ", "NON-TAXABLE SALES-SOFTWARE LIC")</f>
        <v xml:space="preserve">          4184 - NON-TAXABLE SALES-SOFTWARE LIC</v>
      </c>
      <c r="C91" s="11"/>
      <c r="D91" s="2">
        <f>0</f>
        <v>0</v>
      </c>
      <c r="E91" s="2"/>
      <c r="F91" s="19"/>
      <c r="G91" s="2"/>
      <c r="H91" s="2"/>
      <c r="I91" s="2"/>
      <c r="J91" s="19"/>
      <c r="K91" s="2"/>
      <c r="L91" s="2">
        <f t="shared" si="0"/>
        <v>0</v>
      </c>
      <c r="M91" s="2"/>
      <c r="N91" s="19">
        <f t="shared" si="1"/>
        <v>0</v>
      </c>
      <c r="O91" s="11"/>
      <c r="P91" s="2">
        <f>--2728</f>
        <v>2728</v>
      </c>
      <c r="Q91" s="2"/>
      <c r="R91" s="19"/>
      <c r="S91" s="2"/>
      <c r="T91" s="2"/>
      <c r="U91" s="2"/>
      <c r="V91" s="19"/>
      <c r="W91" s="2"/>
      <c r="X91" s="2">
        <f t="shared" si="2"/>
        <v>2728</v>
      </c>
      <c r="Y91" s="2"/>
      <c r="Z91" s="19">
        <f t="shared" si="3"/>
        <v>0</v>
      </c>
    </row>
    <row r="92" spans="1:26" s="24" customFormat="1" hidden="1" outlineLevel="1" x14ac:dyDescent="0.25">
      <c r="A92" s="44"/>
      <c r="B92" s="11" t="str">
        <f>CONCATENATE("          ", "4185", " - ", "NON-TAXABLE SALES-SOFTWARE")</f>
        <v xml:space="preserve">          4185 - NON-TAXABLE SALES-SOFTWARE</v>
      </c>
      <c r="C92" s="11"/>
      <c r="D92" s="2">
        <f>--4176.74</f>
        <v>4176.74</v>
      </c>
      <c r="E92" s="2"/>
      <c r="F92" s="19"/>
      <c r="G92" s="2"/>
      <c r="H92" s="2"/>
      <c r="I92" s="2"/>
      <c r="J92" s="19"/>
      <c r="K92" s="2"/>
      <c r="L92" s="2">
        <f t="shared" si="0"/>
        <v>4176.74</v>
      </c>
      <c r="M92" s="2"/>
      <c r="N92" s="19">
        <f t="shared" si="1"/>
        <v>0</v>
      </c>
      <c r="O92" s="11"/>
      <c r="P92" s="2">
        <f>--20524.35</f>
        <v>20524.349999999999</v>
      </c>
      <c r="Q92" s="2"/>
      <c r="R92" s="19"/>
      <c r="S92" s="2"/>
      <c r="T92" s="2"/>
      <c r="U92" s="2"/>
      <c r="V92" s="19"/>
      <c r="W92" s="2"/>
      <c r="X92" s="2">
        <f t="shared" si="2"/>
        <v>20524.349999999999</v>
      </c>
      <c r="Y92" s="2"/>
      <c r="Z92" s="19">
        <f t="shared" si="3"/>
        <v>0</v>
      </c>
    </row>
    <row r="93" spans="1:26" s="24" customFormat="1" hidden="1" outlineLevel="1" x14ac:dyDescent="0.25">
      <c r="A93" s="44"/>
      <c r="B93" s="11" t="str">
        <f>CONCATENATE("          ", "4186", " - ", "NON-TAXABLE SALES-COMPUTER SUP")</f>
        <v xml:space="preserve">          4186 - NON-TAXABLE SALES-COMPUTER SUP</v>
      </c>
      <c r="C93" s="11"/>
      <c r="D93" s="2">
        <f>--85.95</f>
        <v>85.95</v>
      </c>
      <c r="E93" s="2"/>
      <c r="F93" s="19"/>
      <c r="G93" s="2"/>
      <c r="H93" s="2"/>
      <c r="I93" s="2"/>
      <c r="J93" s="19"/>
      <c r="K93" s="2"/>
      <c r="L93" s="2">
        <f t="shared" si="0"/>
        <v>85.95</v>
      </c>
      <c r="M93" s="2"/>
      <c r="N93" s="19">
        <f t="shared" si="1"/>
        <v>0</v>
      </c>
      <c r="O93" s="11"/>
      <c r="P93" s="2">
        <f>--2895.11</f>
        <v>2895.11</v>
      </c>
      <c r="Q93" s="2"/>
      <c r="R93" s="19"/>
      <c r="S93" s="2"/>
      <c r="T93" s="2"/>
      <c r="U93" s="2"/>
      <c r="V93" s="19"/>
      <c r="W93" s="2"/>
      <c r="X93" s="2">
        <f t="shared" si="2"/>
        <v>2895.11</v>
      </c>
      <c r="Y93" s="2"/>
      <c r="Z93" s="19">
        <f t="shared" si="3"/>
        <v>0</v>
      </c>
    </row>
    <row r="94" spans="1:26" s="24" customFormat="1" hidden="1" outlineLevel="1" x14ac:dyDescent="0.25">
      <c r="A94" s="44"/>
      <c r="B94" s="11" t="str">
        <f>CONCATENATE("          ", "4188", " - ", "NON-TAXABLE SALES-MUSIC")</f>
        <v xml:space="preserve">          4188 - NON-TAXABLE SALES-MUSIC</v>
      </c>
      <c r="C94" s="11"/>
      <c r="D94" s="2">
        <f>--123.98</f>
        <v>123.98</v>
      </c>
      <c r="E94" s="2"/>
      <c r="F94" s="19"/>
      <c r="G94" s="2"/>
      <c r="H94" s="2"/>
      <c r="I94" s="2"/>
      <c r="J94" s="19"/>
      <c r="K94" s="2"/>
      <c r="L94" s="2">
        <f t="shared" si="0"/>
        <v>123.98</v>
      </c>
      <c r="M94" s="2"/>
      <c r="N94" s="19">
        <f t="shared" si="1"/>
        <v>0</v>
      </c>
      <c r="O94" s="11"/>
      <c r="P94" s="2">
        <f>--343.94</f>
        <v>343.94</v>
      </c>
      <c r="Q94" s="2"/>
      <c r="R94" s="19"/>
      <c r="S94" s="2"/>
      <c r="T94" s="2"/>
      <c r="U94" s="2"/>
      <c r="V94" s="19"/>
      <c r="W94" s="2"/>
      <c r="X94" s="2">
        <f t="shared" si="2"/>
        <v>343.94</v>
      </c>
      <c r="Y94" s="2"/>
      <c r="Z94" s="19">
        <f t="shared" si="3"/>
        <v>0</v>
      </c>
    </row>
    <row r="95" spans="1:26" s="24" customFormat="1" hidden="1" outlineLevel="1" x14ac:dyDescent="0.25">
      <c r="A95" s="44"/>
      <c r="B95" s="11" t="str">
        <f>CONCATENATE("          ", "4192", " - ", "NON-TAXABLE SALES-GRAD MERCH")</f>
        <v xml:space="preserve">          4192 - NON-TAXABLE SALES-GRAD MERCH</v>
      </c>
      <c r="C95" s="11"/>
      <c r="D95" s="2">
        <f>--119.4</f>
        <v>119.4</v>
      </c>
      <c r="E95" s="2"/>
      <c r="F95" s="19"/>
      <c r="G95" s="2"/>
      <c r="H95" s="2"/>
      <c r="I95" s="2"/>
      <c r="J95" s="19"/>
      <c r="K95" s="2"/>
      <c r="L95" s="2">
        <f t="shared" si="0"/>
        <v>119.4</v>
      </c>
      <c r="M95" s="2"/>
      <c r="N95" s="19">
        <f t="shared" si="1"/>
        <v>0</v>
      </c>
      <c r="O95" s="11"/>
      <c r="P95" s="2">
        <f>--119.4</f>
        <v>119.4</v>
      </c>
      <c r="Q95" s="2"/>
      <c r="R95" s="19"/>
      <c r="S95" s="2"/>
      <c r="T95" s="2"/>
      <c r="U95" s="2"/>
      <c r="V95" s="19"/>
      <c r="W95" s="2"/>
      <c r="X95" s="2">
        <f t="shared" si="2"/>
        <v>119.4</v>
      </c>
      <c r="Y95" s="2"/>
      <c r="Z95" s="19">
        <f t="shared" si="3"/>
        <v>0</v>
      </c>
    </row>
    <row r="96" spans="1:26" s="24" customFormat="1" hidden="1" outlineLevel="1" x14ac:dyDescent="0.25">
      <c r="A96" s="44"/>
      <c r="B96" s="11" t="str">
        <f>CONCATENATE("          ", "4201", " - ", "SALES RETURN TAXABLE-NEW TEXT")</f>
        <v xml:space="preserve">          4201 - SALES RETURN TAXABLE-NEW TEXT</v>
      </c>
      <c r="C96" s="11"/>
      <c r="D96" s="2">
        <f>-228.6</f>
        <v>-228.6</v>
      </c>
      <c r="E96" s="2"/>
      <c r="F96" s="19"/>
      <c r="G96" s="2"/>
      <c r="H96" s="2"/>
      <c r="I96" s="2"/>
      <c r="J96" s="19"/>
      <c r="K96" s="2"/>
      <c r="L96" s="2">
        <f t="shared" si="0"/>
        <v>-228.6</v>
      </c>
      <c r="M96" s="2"/>
      <c r="N96" s="19">
        <f t="shared" si="1"/>
        <v>0</v>
      </c>
      <c r="O96" s="11"/>
      <c r="P96" s="2">
        <f>-121451.61</f>
        <v>-121451.61</v>
      </c>
      <c r="Q96" s="2"/>
      <c r="R96" s="19"/>
      <c r="S96" s="2"/>
      <c r="T96" s="2"/>
      <c r="U96" s="2"/>
      <c r="V96" s="19"/>
      <c r="W96" s="2"/>
      <c r="X96" s="2">
        <f t="shared" si="2"/>
        <v>-121451.61</v>
      </c>
      <c r="Y96" s="2"/>
      <c r="Z96" s="19">
        <f t="shared" si="3"/>
        <v>0</v>
      </c>
    </row>
    <row r="97" spans="1:26" s="24" customFormat="1" hidden="1" outlineLevel="1" x14ac:dyDescent="0.25">
      <c r="A97" s="44"/>
      <c r="B97" s="11" t="str">
        <f>CONCATENATE("          ", "4202", " - ", "SALES RETURN TAXABLE-USED TEXT")</f>
        <v xml:space="preserve">          4202 - SALES RETURN TAXABLE-USED TEXT</v>
      </c>
      <c r="C97" s="11"/>
      <c r="D97" s="2">
        <f>-60.4</f>
        <v>-60.4</v>
      </c>
      <c r="E97" s="2"/>
      <c r="F97" s="19"/>
      <c r="G97" s="2"/>
      <c r="H97" s="2"/>
      <c r="I97" s="2"/>
      <c r="J97" s="19"/>
      <c r="K97" s="2"/>
      <c r="L97" s="2">
        <f t="shared" si="0"/>
        <v>-60.4</v>
      </c>
      <c r="M97" s="2"/>
      <c r="N97" s="19">
        <f t="shared" si="1"/>
        <v>0</v>
      </c>
      <c r="O97" s="11"/>
      <c r="P97" s="2">
        <f>-45613.11</f>
        <v>-45613.11</v>
      </c>
      <c r="Q97" s="2"/>
      <c r="R97" s="19"/>
      <c r="S97" s="2"/>
      <c r="T97" s="2"/>
      <c r="U97" s="2"/>
      <c r="V97" s="19"/>
      <c r="W97" s="2"/>
      <c r="X97" s="2">
        <f t="shared" si="2"/>
        <v>-45613.11</v>
      </c>
      <c r="Y97" s="2"/>
      <c r="Z97" s="19">
        <f t="shared" si="3"/>
        <v>0</v>
      </c>
    </row>
    <row r="98" spans="1:26" s="24" customFormat="1" hidden="1" outlineLevel="1" x14ac:dyDescent="0.25">
      <c r="A98" s="44"/>
      <c r="B98" s="11" t="str">
        <f>CONCATENATE("          ", "4203", " - ", "SALES RETURN TAXABLE-RENTAL TE")</f>
        <v xml:space="preserve">          4203 - SALES RETURN TAXABLE-RENTAL TE</v>
      </c>
      <c r="C98" s="11"/>
      <c r="D98" s="2">
        <f t="shared" ref="D98:D103" si="9">0</f>
        <v>0</v>
      </c>
      <c r="E98" s="2"/>
      <c r="F98" s="19"/>
      <c r="G98" s="2"/>
      <c r="H98" s="2"/>
      <c r="I98" s="2"/>
      <c r="J98" s="19"/>
      <c r="K98" s="2"/>
      <c r="L98" s="2">
        <f t="shared" si="0"/>
        <v>0</v>
      </c>
      <c r="M98" s="2"/>
      <c r="N98" s="19">
        <f t="shared" si="1"/>
        <v>0</v>
      </c>
      <c r="O98" s="11"/>
      <c r="P98" s="2">
        <f>-144.99</f>
        <v>-144.99</v>
      </c>
      <c r="Q98" s="2"/>
      <c r="R98" s="19"/>
      <c r="S98" s="2"/>
      <c r="T98" s="2"/>
      <c r="U98" s="2"/>
      <c r="V98" s="19"/>
      <c r="W98" s="2"/>
      <c r="X98" s="2">
        <f t="shared" si="2"/>
        <v>-144.99</v>
      </c>
      <c r="Y98" s="2"/>
      <c r="Z98" s="19">
        <f t="shared" si="3"/>
        <v>0</v>
      </c>
    </row>
    <row r="99" spans="1:26" s="24" customFormat="1" hidden="1" outlineLevel="1" x14ac:dyDescent="0.25">
      <c r="A99" s="44"/>
      <c r="B99" s="11" t="str">
        <f>CONCATENATE("          ", "4204", " - ", "SALES RETURN TAXABLE-DIGITAL T")</f>
        <v xml:space="preserve">          4204 - SALES RETURN TAXABLE-DIGITAL T</v>
      </c>
      <c r="C99" s="11"/>
      <c r="D99" s="2">
        <f t="shared" si="9"/>
        <v>0</v>
      </c>
      <c r="E99" s="2"/>
      <c r="F99" s="19"/>
      <c r="G99" s="2"/>
      <c r="H99" s="2"/>
      <c r="I99" s="2"/>
      <c r="J99" s="19"/>
      <c r="K99" s="2"/>
      <c r="L99" s="2">
        <f t="shared" si="0"/>
        <v>0</v>
      </c>
      <c r="M99" s="2"/>
      <c r="N99" s="19">
        <f t="shared" si="1"/>
        <v>0</v>
      </c>
      <c r="O99" s="11"/>
      <c r="P99" s="2">
        <f>-17255.33</f>
        <v>-17255.330000000002</v>
      </c>
      <c r="Q99" s="2"/>
      <c r="R99" s="19"/>
      <c r="S99" s="2"/>
      <c r="T99" s="2"/>
      <c r="U99" s="2"/>
      <c r="V99" s="19"/>
      <c r="W99" s="2"/>
      <c r="X99" s="2">
        <f t="shared" si="2"/>
        <v>-17255.330000000002</v>
      </c>
      <c r="Y99" s="2"/>
      <c r="Z99" s="19">
        <f t="shared" si="3"/>
        <v>0</v>
      </c>
    </row>
    <row r="100" spans="1:26" s="24" customFormat="1" hidden="1" outlineLevel="1" x14ac:dyDescent="0.25">
      <c r="A100" s="44"/>
      <c r="B100" s="11" t="str">
        <f>CONCATENATE("          ", "4213", " - ", "NON-TAXABLE SALES-TRADE BOOKS")</f>
        <v xml:space="preserve">          4213 - NON-TAXABLE SALES-TRADE BOOKS</v>
      </c>
      <c r="C100" s="11"/>
      <c r="D100" s="2">
        <f t="shared" si="9"/>
        <v>0</v>
      </c>
      <c r="E100" s="2"/>
      <c r="F100" s="19"/>
      <c r="G100" s="2"/>
      <c r="H100" s="2"/>
      <c r="I100" s="2"/>
      <c r="J100" s="19"/>
      <c r="K100" s="2"/>
      <c r="L100" s="2">
        <f t="shared" si="0"/>
        <v>0</v>
      </c>
      <c r="M100" s="2"/>
      <c r="N100" s="19">
        <f t="shared" si="1"/>
        <v>0</v>
      </c>
      <c r="O100" s="11"/>
      <c r="P100" s="2">
        <f>-2768.67</f>
        <v>-2768.67</v>
      </c>
      <c r="Q100" s="2"/>
      <c r="R100" s="19"/>
      <c r="S100" s="2"/>
      <c r="T100" s="2"/>
      <c r="U100" s="2"/>
      <c r="V100" s="19"/>
      <c r="W100" s="2"/>
      <c r="X100" s="2">
        <f t="shared" si="2"/>
        <v>-2768.67</v>
      </c>
      <c r="Y100" s="2"/>
      <c r="Z100" s="19">
        <f t="shared" si="3"/>
        <v>0</v>
      </c>
    </row>
    <row r="101" spans="1:26" s="24" customFormat="1" hidden="1" outlineLevel="1" x14ac:dyDescent="0.25">
      <c r="A101" s="44"/>
      <c r="B101" s="11" t="str">
        <f>CONCATENATE("          ", "4214", " - ", "SALES RETURN TAXABLE-REMAINDER")</f>
        <v xml:space="preserve">          4214 - SALES RETURN TAXABLE-REMAINDER</v>
      </c>
      <c r="C101" s="11"/>
      <c r="D101" s="2">
        <f t="shared" si="9"/>
        <v>0</v>
      </c>
      <c r="E101" s="2"/>
      <c r="F101" s="19"/>
      <c r="G101" s="2"/>
      <c r="H101" s="2"/>
      <c r="I101" s="2"/>
      <c r="J101" s="19"/>
      <c r="K101" s="2"/>
      <c r="L101" s="2">
        <f t="shared" si="0"/>
        <v>0</v>
      </c>
      <c r="M101" s="2"/>
      <c r="N101" s="19">
        <f t="shared" si="1"/>
        <v>0</v>
      </c>
      <c r="O101" s="11"/>
      <c r="P101" s="2">
        <f>-11.94</f>
        <v>-11.94</v>
      </c>
      <c r="Q101" s="2"/>
      <c r="R101" s="19"/>
      <c r="S101" s="2"/>
      <c r="T101" s="2"/>
      <c r="U101" s="2"/>
      <c r="V101" s="19"/>
      <c r="W101" s="2"/>
      <c r="X101" s="2">
        <f t="shared" si="2"/>
        <v>-11.94</v>
      </c>
      <c r="Y101" s="2"/>
      <c r="Z101" s="19">
        <f t="shared" si="3"/>
        <v>0</v>
      </c>
    </row>
    <row r="102" spans="1:26" s="24" customFormat="1" hidden="1" outlineLevel="1" x14ac:dyDescent="0.25">
      <c r="A102" s="44"/>
      <c r="B102" s="11" t="str">
        <f>CONCATENATE("          ", "4217", " - ", "NON-TAXABLE SALES-DORM/HOUSEWA")</f>
        <v xml:space="preserve">          4217 - NON-TAXABLE SALES-DORM/HOUSEWA</v>
      </c>
      <c r="C102" s="11"/>
      <c r="D102" s="2">
        <f t="shared" si="9"/>
        <v>0</v>
      </c>
      <c r="E102" s="2"/>
      <c r="F102" s="19"/>
      <c r="G102" s="2"/>
      <c r="H102" s="2"/>
      <c r="I102" s="2"/>
      <c r="J102" s="19"/>
      <c r="K102" s="2"/>
      <c r="L102" s="2">
        <f t="shared" si="0"/>
        <v>0</v>
      </c>
      <c r="M102" s="2"/>
      <c r="N102" s="19">
        <f t="shared" si="1"/>
        <v>0</v>
      </c>
      <c r="O102" s="11"/>
      <c r="P102" s="2">
        <f>-2.98</f>
        <v>-2.98</v>
      </c>
      <c r="Q102" s="2"/>
      <c r="R102" s="19"/>
      <c r="S102" s="2"/>
      <c r="T102" s="2"/>
      <c r="U102" s="2"/>
      <c r="V102" s="19"/>
      <c r="W102" s="2"/>
      <c r="X102" s="2">
        <f t="shared" si="2"/>
        <v>-2.98</v>
      </c>
      <c r="Y102" s="2"/>
      <c r="Z102" s="19">
        <f t="shared" si="3"/>
        <v>0</v>
      </c>
    </row>
    <row r="103" spans="1:26" s="24" customFormat="1" hidden="1" outlineLevel="1" x14ac:dyDescent="0.25">
      <c r="A103" s="44"/>
      <c r="B103" s="11" t="str">
        <f>CONCATENATE("          ", "4218", " - ", "SALES RETURN TAXABLE-STUDY GUI")</f>
        <v xml:space="preserve">          4218 - SALES RETURN TAXABLE-STUDY GUI</v>
      </c>
      <c r="C103" s="11"/>
      <c r="D103" s="2">
        <f t="shared" si="9"/>
        <v>0</v>
      </c>
      <c r="E103" s="2"/>
      <c r="F103" s="19"/>
      <c r="G103" s="2"/>
      <c r="H103" s="2"/>
      <c r="I103" s="2"/>
      <c r="J103" s="19"/>
      <c r="K103" s="2"/>
      <c r="L103" s="2">
        <f t="shared" si="0"/>
        <v>0</v>
      </c>
      <c r="M103" s="2"/>
      <c r="N103" s="19">
        <f t="shared" si="1"/>
        <v>0</v>
      </c>
      <c r="O103" s="11"/>
      <c r="P103" s="2">
        <f>-39.25</f>
        <v>-39.25</v>
      </c>
      <c r="Q103" s="2"/>
      <c r="R103" s="19"/>
      <c r="S103" s="2"/>
      <c r="T103" s="2"/>
      <c r="U103" s="2"/>
      <c r="V103" s="19"/>
      <c r="W103" s="2"/>
      <c r="X103" s="2">
        <f t="shared" si="2"/>
        <v>-39.25</v>
      </c>
      <c r="Y103" s="2"/>
      <c r="Z103" s="19">
        <f t="shared" si="3"/>
        <v>0</v>
      </c>
    </row>
    <row r="104" spans="1:26" s="24" customFormat="1" hidden="1" outlineLevel="1" x14ac:dyDescent="0.25">
      <c r="A104" s="44"/>
      <c r="B104" s="11" t="str">
        <f>CONCATENATE("          ", "4225", " - ", "SALES RETURN TAXABLE-TEST FORM")</f>
        <v xml:space="preserve">          4225 - SALES RETURN TAXABLE-TEST FORM</v>
      </c>
      <c r="C104" s="11"/>
      <c r="D104" s="2">
        <f>-29.5</f>
        <v>-29.5</v>
      </c>
      <c r="E104" s="2"/>
      <c r="F104" s="19"/>
      <c r="G104" s="2"/>
      <c r="H104" s="2"/>
      <c r="I104" s="2"/>
      <c r="J104" s="19"/>
      <c r="K104" s="2"/>
      <c r="L104" s="2">
        <f t="shared" si="0"/>
        <v>-29.5</v>
      </c>
      <c r="M104" s="2"/>
      <c r="N104" s="19">
        <f t="shared" si="1"/>
        <v>0</v>
      </c>
      <c r="O104" s="11"/>
      <c r="P104" s="2">
        <f>-205.91</f>
        <v>-205.91</v>
      </c>
      <c r="Q104" s="2"/>
      <c r="R104" s="19"/>
      <c r="S104" s="2"/>
      <c r="T104" s="2"/>
      <c r="U104" s="2"/>
      <c r="V104" s="19"/>
      <c r="W104" s="2"/>
      <c r="X104" s="2">
        <f t="shared" si="2"/>
        <v>-205.91</v>
      </c>
      <c r="Y104" s="2"/>
      <c r="Z104" s="19">
        <f t="shared" si="3"/>
        <v>0</v>
      </c>
    </row>
    <row r="105" spans="1:26" s="24" customFormat="1" hidden="1" outlineLevel="1" x14ac:dyDescent="0.25">
      <c r="A105" s="44"/>
      <c r="B105" s="11" t="str">
        <f>CONCATENATE("          ", "4226", " - ", "SALES RETURN TAXABLE-WRITING I")</f>
        <v xml:space="preserve">          4226 - SALES RETURN TAXABLE-WRITING I</v>
      </c>
      <c r="C105" s="11"/>
      <c r="D105" s="2">
        <f>-159.4</f>
        <v>-159.4</v>
      </c>
      <c r="E105" s="2"/>
      <c r="F105" s="19"/>
      <c r="G105" s="2"/>
      <c r="H105" s="2"/>
      <c r="I105" s="2"/>
      <c r="J105" s="19"/>
      <c r="K105" s="2"/>
      <c r="L105" s="2">
        <f t="shared" si="0"/>
        <v>-159.4</v>
      </c>
      <c r="M105" s="2"/>
      <c r="N105" s="19">
        <f t="shared" si="1"/>
        <v>0</v>
      </c>
      <c r="O105" s="11"/>
      <c r="P105" s="2">
        <f>-924.44</f>
        <v>-924.44</v>
      </c>
      <c r="Q105" s="2"/>
      <c r="R105" s="19"/>
      <c r="S105" s="2"/>
      <c r="T105" s="2"/>
      <c r="U105" s="2"/>
      <c r="V105" s="19"/>
      <c r="W105" s="2"/>
      <c r="X105" s="2">
        <f t="shared" si="2"/>
        <v>-924.44</v>
      </c>
      <c r="Y105" s="2"/>
      <c r="Z105" s="19">
        <f t="shared" si="3"/>
        <v>0</v>
      </c>
    </row>
    <row r="106" spans="1:26" s="24" customFormat="1" hidden="1" outlineLevel="1" x14ac:dyDescent="0.25">
      <c r="A106" s="44"/>
      <c r="B106" s="11" t="str">
        <f>CONCATENATE("          ", "4227", " - ", "SALES RETURN TAXABLE-SCHOOL SU")</f>
        <v xml:space="preserve">          4227 - SALES RETURN TAXABLE-SCHOOL SU</v>
      </c>
      <c r="C106" s="11"/>
      <c r="D106" s="2">
        <f>-53.42</f>
        <v>-53.42</v>
      </c>
      <c r="E106" s="2"/>
      <c r="F106" s="19"/>
      <c r="G106" s="2"/>
      <c r="H106" s="2"/>
      <c r="I106" s="2"/>
      <c r="J106" s="19"/>
      <c r="K106" s="2"/>
      <c r="L106" s="2">
        <f t="shared" si="0"/>
        <v>-53.42</v>
      </c>
      <c r="M106" s="2"/>
      <c r="N106" s="19">
        <f t="shared" si="1"/>
        <v>0</v>
      </c>
      <c r="O106" s="11"/>
      <c r="P106" s="2">
        <f>-8647.03</f>
        <v>-8647.0300000000007</v>
      </c>
      <c r="Q106" s="2"/>
      <c r="R106" s="19"/>
      <c r="S106" s="2"/>
      <c r="T106" s="2"/>
      <c r="U106" s="2"/>
      <c r="V106" s="19"/>
      <c r="W106" s="2"/>
      <c r="X106" s="2">
        <f t="shared" si="2"/>
        <v>-8647.0300000000007</v>
      </c>
      <c r="Y106" s="2"/>
      <c r="Z106" s="19">
        <f t="shared" si="3"/>
        <v>0</v>
      </c>
    </row>
    <row r="107" spans="1:26" s="24" customFormat="1" hidden="1" outlineLevel="1" x14ac:dyDescent="0.25">
      <c r="A107" s="44"/>
      <c r="B107" s="11" t="str">
        <f>CONCATENATE("          ", "4228", " - ", "SALES RETURN TAXABLE-ART/TECH")</f>
        <v xml:space="preserve">          4228 - SALES RETURN TAXABLE-ART/TECH</v>
      </c>
      <c r="C107" s="11"/>
      <c r="D107" s="2">
        <f t="shared" ref="D107:D108" si="10">0</f>
        <v>0</v>
      </c>
      <c r="E107" s="2"/>
      <c r="F107" s="19"/>
      <c r="G107" s="2"/>
      <c r="H107" s="2"/>
      <c r="I107" s="2"/>
      <c r="J107" s="19"/>
      <c r="K107" s="2"/>
      <c r="L107" s="2">
        <f t="shared" si="0"/>
        <v>0</v>
      </c>
      <c r="M107" s="2"/>
      <c r="N107" s="19">
        <f t="shared" si="1"/>
        <v>0</v>
      </c>
      <c r="O107" s="11"/>
      <c r="P107" s="2">
        <f>-4739.1</f>
        <v>-4739.1000000000004</v>
      </c>
      <c r="Q107" s="2"/>
      <c r="R107" s="19"/>
      <c r="S107" s="2"/>
      <c r="T107" s="2"/>
      <c r="U107" s="2"/>
      <c r="V107" s="19"/>
      <c r="W107" s="2"/>
      <c r="X107" s="2">
        <f t="shared" si="2"/>
        <v>-4739.1000000000004</v>
      </c>
      <c r="Y107" s="2"/>
      <c r="Z107" s="19">
        <f t="shared" si="3"/>
        <v>0</v>
      </c>
    </row>
    <row r="108" spans="1:26" s="24" customFormat="1" hidden="1" outlineLevel="1" x14ac:dyDescent="0.25">
      <c r="A108" s="44"/>
      <c r="B108" s="11" t="str">
        <f>CONCATENATE("          ", "4233", " - ", "SALES RETURN TAXABLE-CANDY")</f>
        <v xml:space="preserve">          4233 - SALES RETURN TAXABLE-CANDY</v>
      </c>
      <c r="C108" s="11"/>
      <c r="D108" s="2">
        <f t="shared" si="10"/>
        <v>0</v>
      </c>
      <c r="E108" s="2"/>
      <c r="F108" s="19"/>
      <c r="G108" s="2"/>
      <c r="H108" s="2"/>
      <c r="I108" s="2"/>
      <c r="J108" s="19"/>
      <c r="K108" s="2"/>
      <c r="L108" s="2">
        <f t="shared" si="0"/>
        <v>0</v>
      </c>
      <c r="M108" s="2"/>
      <c r="N108" s="19">
        <f t="shared" si="1"/>
        <v>0</v>
      </c>
      <c r="O108" s="11"/>
      <c r="P108" s="2">
        <f>-8.25</f>
        <v>-8.25</v>
      </c>
      <c r="Q108" s="2"/>
      <c r="R108" s="19"/>
      <c r="S108" s="2"/>
      <c r="T108" s="2"/>
      <c r="U108" s="2"/>
      <c r="V108" s="19"/>
      <c r="W108" s="2"/>
      <c r="X108" s="2">
        <f t="shared" si="2"/>
        <v>-8.25</v>
      </c>
      <c r="Y108" s="2"/>
      <c r="Z108" s="19">
        <f t="shared" si="3"/>
        <v>0</v>
      </c>
    </row>
    <row r="109" spans="1:26" s="24" customFormat="1" hidden="1" outlineLevel="1" x14ac:dyDescent="0.25">
      <c r="A109" s="44"/>
      <c r="B109" s="11" t="str">
        <f>CONCATENATE("          ", "4240", " - ", "SALES RETURN TAXABLE-LOGO CLOT")</f>
        <v xml:space="preserve">          4240 - SALES RETURN TAXABLE-LOGO CLOT</v>
      </c>
      <c r="C109" s="11"/>
      <c r="D109" s="2">
        <f>-3229.58</f>
        <v>-3229.58</v>
      </c>
      <c r="E109" s="2"/>
      <c r="F109" s="19"/>
      <c r="G109" s="2"/>
      <c r="H109" s="2"/>
      <c r="I109" s="2"/>
      <c r="J109" s="19"/>
      <c r="K109" s="2"/>
      <c r="L109" s="2">
        <f t="shared" si="0"/>
        <v>-3229.58</v>
      </c>
      <c r="M109" s="2"/>
      <c r="N109" s="19">
        <f t="shared" si="1"/>
        <v>0</v>
      </c>
      <c r="O109" s="11"/>
      <c r="P109" s="2">
        <f>-77684.77</f>
        <v>-77684.77</v>
      </c>
      <c r="Q109" s="2"/>
      <c r="R109" s="19"/>
      <c r="S109" s="2"/>
      <c r="T109" s="2"/>
      <c r="U109" s="2"/>
      <c r="V109" s="19"/>
      <c r="W109" s="2"/>
      <c r="X109" s="2">
        <f t="shared" si="2"/>
        <v>-77684.77</v>
      </c>
      <c r="Y109" s="2"/>
      <c r="Z109" s="19">
        <f t="shared" si="3"/>
        <v>0</v>
      </c>
    </row>
    <row r="110" spans="1:26" s="24" customFormat="1" hidden="1" outlineLevel="1" x14ac:dyDescent="0.25">
      <c r="A110" s="44"/>
      <c r="B110" s="11" t="str">
        <f>CONCATENATE("          ", "4241", " - ", "SALES RETURN TAXABLE-LOGO GIFT")</f>
        <v xml:space="preserve">          4241 - SALES RETURN TAXABLE-LOGO GIFT</v>
      </c>
      <c r="C110" s="11"/>
      <c r="D110" s="2">
        <f>-1133.39</f>
        <v>-1133.3900000000001</v>
      </c>
      <c r="E110" s="2"/>
      <c r="F110" s="19"/>
      <c r="G110" s="2"/>
      <c r="H110" s="2"/>
      <c r="I110" s="2"/>
      <c r="J110" s="19"/>
      <c r="K110" s="2"/>
      <c r="L110" s="2">
        <f t="shared" si="0"/>
        <v>-1133.3900000000001</v>
      </c>
      <c r="M110" s="2"/>
      <c r="N110" s="19">
        <f t="shared" si="1"/>
        <v>0</v>
      </c>
      <c r="O110" s="11"/>
      <c r="P110" s="2">
        <f>-7465.27</f>
        <v>-7465.27</v>
      </c>
      <c r="Q110" s="2"/>
      <c r="R110" s="19"/>
      <c r="S110" s="2"/>
      <c r="T110" s="2"/>
      <c r="U110" s="2"/>
      <c r="V110" s="19"/>
      <c r="W110" s="2"/>
      <c r="X110" s="2">
        <f t="shared" si="2"/>
        <v>-7465.27</v>
      </c>
      <c r="Y110" s="2"/>
      <c r="Z110" s="19">
        <f t="shared" si="3"/>
        <v>0</v>
      </c>
    </row>
    <row r="111" spans="1:26" s="24" customFormat="1" hidden="1" outlineLevel="1" x14ac:dyDescent="0.25">
      <c r="A111" s="44"/>
      <c r="B111" s="11" t="str">
        <f>CONCATENATE("          ", "4242", " - ", "SALES RETURN TAXABLE-EVERYDAY")</f>
        <v xml:space="preserve">          4242 - SALES RETURN TAXABLE-EVERYDAY</v>
      </c>
      <c r="C111" s="11"/>
      <c r="D111" s="2">
        <f t="shared" ref="D111:D112" si="11">0</f>
        <v>0</v>
      </c>
      <c r="E111" s="2"/>
      <c r="F111" s="19"/>
      <c r="G111" s="2"/>
      <c r="H111" s="2"/>
      <c r="I111" s="2"/>
      <c r="J111" s="19"/>
      <c r="K111" s="2"/>
      <c r="L111" s="2">
        <f t="shared" si="0"/>
        <v>0</v>
      </c>
      <c r="M111" s="2"/>
      <c r="N111" s="19">
        <f t="shared" si="1"/>
        <v>0</v>
      </c>
      <c r="O111" s="11"/>
      <c r="P111" s="2">
        <f>-4181.41</f>
        <v>-4181.41</v>
      </c>
      <c r="Q111" s="2"/>
      <c r="R111" s="19"/>
      <c r="S111" s="2"/>
      <c r="T111" s="2"/>
      <c r="U111" s="2"/>
      <c r="V111" s="19"/>
      <c r="W111" s="2"/>
      <c r="X111" s="2">
        <f t="shared" si="2"/>
        <v>-4181.41</v>
      </c>
      <c r="Y111" s="2"/>
      <c r="Z111" s="19">
        <f t="shared" si="3"/>
        <v>0</v>
      </c>
    </row>
    <row r="112" spans="1:26" s="24" customFormat="1" hidden="1" outlineLevel="1" x14ac:dyDescent="0.25">
      <c r="A112" s="44"/>
      <c r="B112" s="11" t="str">
        <f>CONCATENATE("          ", "4243", " - ", "SALES RETURN TAXABLE-CARDS")</f>
        <v xml:space="preserve">          4243 - SALES RETURN TAXABLE-CARDS</v>
      </c>
      <c r="C112" s="11"/>
      <c r="D112" s="2">
        <f t="shared" si="11"/>
        <v>0</v>
      </c>
      <c r="E112" s="2"/>
      <c r="F112" s="19"/>
      <c r="G112" s="2"/>
      <c r="H112" s="2"/>
      <c r="I112" s="2"/>
      <c r="J112" s="19"/>
      <c r="K112" s="2"/>
      <c r="L112" s="2">
        <f t="shared" si="0"/>
        <v>0</v>
      </c>
      <c r="M112" s="2"/>
      <c r="N112" s="19">
        <f t="shared" si="1"/>
        <v>0</v>
      </c>
      <c r="O112" s="11"/>
      <c r="P112" s="2">
        <f>-3006.31</f>
        <v>-3006.31</v>
      </c>
      <c r="Q112" s="2"/>
      <c r="R112" s="19"/>
      <c r="S112" s="2"/>
      <c r="T112" s="2"/>
      <c r="U112" s="2"/>
      <c r="V112" s="19"/>
      <c r="W112" s="2"/>
      <c r="X112" s="2">
        <f t="shared" si="2"/>
        <v>-3006.31</v>
      </c>
      <c r="Y112" s="2"/>
      <c r="Z112" s="19">
        <f t="shared" si="3"/>
        <v>0</v>
      </c>
    </row>
    <row r="113" spans="1:26" s="24" customFormat="1" hidden="1" outlineLevel="1" x14ac:dyDescent="0.25">
      <c r="A113" s="44"/>
      <c r="B113" s="11" t="str">
        <f>CONCATENATE("          ", "4244", " - ", "SALES RETURN TAXABLE-ACCESSORI")</f>
        <v xml:space="preserve">          4244 - SALES RETURN TAXABLE-ACCESSORI</v>
      </c>
      <c r="C113" s="11"/>
      <c r="D113" s="2">
        <f>-255.71</f>
        <v>-255.71</v>
      </c>
      <c r="E113" s="2"/>
      <c r="F113" s="19"/>
      <c r="G113" s="2"/>
      <c r="H113" s="2"/>
      <c r="I113" s="2"/>
      <c r="J113" s="19"/>
      <c r="K113" s="2"/>
      <c r="L113" s="2">
        <f t="shared" si="0"/>
        <v>-255.71</v>
      </c>
      <c r="M113" s="2"/>
      <c r="N113" s="19">
        <f t="shared" si="1"/>
        <v>0</v>
      </c>
      <c r="O113" s="11"/>
      <c r="P113" s="2">
        <f>-2726.41</f>
        <v>-2726.41</v>
      </c>
      <c r="Q113" s="2"/>
      <c r="R113" s="19"/>
      <c r="S113" s="2"/>
      <c r="T113" s="2"/>
      <c r="U113" s="2"/>
      <c r="V113" s="19"/>
      <c r="W113" s="2"/>
      <c r="X113" s="2">
        <f t="shared" si="2"/>
        <v>-2726.41</v>
      </c>
      <c r="Y113" s="2"/>
      <c r="Z113" s="19">
        <f t="shared" si="3"/>
        <v>0</v>
      </c>
    </row>
    <row r="114" spans="1:26" s="24" customFormat="1" hidden="1" outlineLevel="1" x14ac:dyDescent="0.25">
      <c r="A114" s="44"/>
      <c r="B114" s="11" t="str">
        <f>CONCATENATE("          ", "4245", " - ", "SALES RETURN TAXABLE-SPECIAL O")</f>
        <v xml:space="preserve">          4245 - SALES RETURN TAXABLE-SPECIAL O</v>
      </c>
      <c r="C114" s="11"/>
      <c r="D114" s="2">
        <f>-175</f>
        <v>-175</v>
      </c>
      <c r="E114" s="2"/>
      <c r="F114" s="19"/>
      <c r="G114" s="2"/>
      <c r="H114" s="2"/>
      <c r="I114" s="2"/>
      <c r="J114" s="19"/>
      <c r="K114" s="2"/>
      <c r="L114" s="2">
        <f t="shared" si="0"/>
        <v>-175</v>
      </c>
      <c r="M114" s="2"/>
      <c r="N114" s="19">
        <f t="shared" si="1"/>
        <v>0</v>
      </c>
      <c r="O114" s="11"/>
      <c r="P114" s="2">
        <f>-1910.03</f>
        <v>-1910.03</v>
      </c>
      <c r="Q114" s="2"/>
      <c r="R114" s="19"/>
      <c r="S114" s="2"/>
      <c r="T114" s="2"/>
      <c r="U114" s="2"/>
      <c r="V114" s="19"/>
      <c r="W114" s="2"/>
      <c r="X114" s="2">
        <f t="shared" si="2"/>
        <v>-1910.03</v>
      </c>
      <c r="Y114" s="2"/>
      <c r="Z114" s="19">
        <f t="shared" si="3"/>
        <v>0</v>
      </c>
    </row>
    <row r="115" spans="1:26" s="24" customFormat="1" hidden="1" outlineLevel="1" x14ac:dyDescent="0.25">
      <c r="A115" s="44"/>
      <c r="B115" s="11" t="str">
        <f>CONCATENATE("          ", "4281", " - ", "SALES RETURN TAXABLE-ELECTRONI")</f>
        <v xml:space="preserve">          4281 - SALES RETURN TAXABLE-ELECTRONI</v>
      </c>
      <c r="C115" s="11"/>
      <c r="D115" s="2">
        <f>-159</f>
        <v>-159</v>
      </c>
      <c r="E115" s="2"/>
      <c r="F115" s="19"/>
      <c r="G115" s="2"/>
      <c r="H115" s="2"/>
      <c r="I115" s="2"/>
      <c r="J115" s="19"/>
      <c r="K115" s="2"/>
      <c r="L115" s="2">
        <f t="shared" si="0"/>
        <v>-159</v>
      </c>
      <c r="M115" s="2"/>
      <c r="N115" s="19">
        <f t="shared" si="1"/>
        <v>0</v>
      </c>
      <c r="O115" s="11"/>
      <c r="P115" s="2">
        <f>-7995.67</f>
        <v>-7995.67</v>
      </c>
      <c r="Q115" s="2"/>
      <c r="R115" s="19"/>
      <c r="S115" s="2"/>
      <c r="T115" s="2"/>
      <c r="U115" s="2"/>
      <c r="V115" s="19"/>
      <c r="W115" s="2"/>
      <c r="X115" s="2">
        <f t="shared" si="2"/>
        <v>-7995.67</v>
      </c>
      <c r="Y115" s="2"/>
      <c r="Z115" s="19">
        <f t="shared" si="3"/>
        <v>0</v>
      </c>
    </row>
    <row r="116" spans="1:26" s="24" customFormat="1" hidden="1" outlineLevel="1" x14ac:dyDescent="0.25">
      <c r="A116" s="44"/>
      <c r="B116" s="11" t="str">
        <f>CONCATENATE("          ", "4282", " - ", "SALES RETURN TAXABLE-COMPUTER")</f>
        <v xml:space="preserve">          4282 - SALES RETURN TAXABLE-COMPUTER</v>
      </c>
      <c r="C116" s="11"/>
      <c r="D116" s="2">
        <f>-183</f>
        <v>-183</v>
      </c>
      <c r="E116" s="2"/>
      <c r="F116" s="19"/>
      <c r="G116" s="2"/>
      <c r="H116" s="2"/>
      <c r="I116" s="2"/>
      <c r="J116" s="19"/>
      <c r="K116" s="2"/>
      <c r="L116" s="2">
        <f t="shared" si="0"/>
        <v>-183</v>
      </c>
      <c r="M116" s="2"/>
      <c r="N116" s="19">
        <f t="shared" si="1"/>
        <v>0</v>
      </c>
      <c r="O116" s="11"/>
      <c r="P116" s="2">
        <f>-215628.8</f>
        <v>-215628.79999999999</v>
      </c>
      <c r="Q116" s="2"/>
      <c r="R116" s="19"/>
      <c r="S116" s="2"/>
      <c r="T116" s="2"/>
      <c r="U116" s="2"/>
      <c r="V116" s="19"/>
      <c r="W116" s="2"/>
      <c r="X116" s="2">
        <f t="shared" si="2"/>
        <v>-215628.79999999999</v>
      </c>
      <c r="Y116" s="2"/>
      <c r="Z116" s="19">
        <f t="shared" si="3"/>
        <v>0</v>
      </c>
    </row>
    <row r="117" spans="1:26" s="24" customFormat="1" hidden="1" outlineLevel="1" x14ac:dyDescent="0.25">
      <c r="A117" s="44"/>
      <c r="B117" s="11" t="str">
        <f>CONCATENATE("          ", "4283", " - ", "SALES RETURN TAXABLE-COMPUTER")</f>
        <v xml:space="preserve">          4283 - SALES RETURN TAXABLE-COMPUTER</v>
      </c>
      <c r="C117" s="11"/>
      <c r="D117" s="2">
        <f>-119</f>
        <v>-119</v>
      </c>
      <c r="E117" s="2"/>
      <c r="F117" s="19"/>
      <c r="G117" s="2"/>
      <c r="H117" s="2"/>
      <c r="I117" s="2"/>
      <c r="J117" s="19"/>
      <c r="K117" s="2"/>
      <c r="L117" s="2">
        <f t="shared" si="0"/>
        <v>-119</v>
      </c>
      <c r="M117" s="2"/>
      <c r="N117" s="19">
        <f t="shared" si="1"/>
        <v>0</v>
      </c>
      <c r="O117" s="11"/>
      <c r="P117" s="2">
        <f>-6708.02</f>
        <v>-6708.02</v>
      </c>
      <c r="Q117" s="2"/>
      <c r="R117" s="19"/>
      <c r="S117" s="2"/>
      <c r="T117" s="2"/>
      <c r="U117" s="2"/>
      <c r="V117" s="19"/>
      <c r="W117" s="2"/>
      <c r="X117" s="2">
        <f t="shared" si="2"/>
        <v>-6708.02</v>
      </c>
      <c r="Y117" s="2"/>
      <c r="Z117" s="19">
        <f t="shared" si="3"/>
        <v>0</v>
      </c>
    </row>
    <row r="118" spans="1:26" s="24" customFormat="1" hidden="1" outlineLevel="1" x14ac:dyDescent="0.25">
      <c r="A118" s="44"/>
      <c r="B118" s="11" t="str">
        <f>CONCATENATE("          ", "4284", " - ", "SALES RETURN TAXABLE-SOFTWARE")</f>
        <v xml:space="preserve">          4284 - SALES RETURN TAXABLE-SOFTWARE</v>
      </c>
      <c r="C118" s="11"/>
      <c r="D118" s="2">
        <f t="shared" ref="D118:D120" si="12">0</f>
        <v>0</v>
      </c>
      <c r="E118" s="2"/>
      <c r="F118" s="19"/>
      <c r="G118" s="2"/>
      <c r="H118" s="2"/>
      <c r="I118" s="2"/>
      <c r="J118" s="19"/>
      <c r="K118" s="2"/>
      <c r="L118" s="2">
        <f t="shared" si="0"/>
        <v>0</v>
      </c>
      <c r="M118" s="2"/>
      <c r="N118" s="19">
        <f t="shared" si="1"/>
        <v>0</v>
      </c>
      <c r="O118" s="11"/>
      <c r="P118" s="2">
        <f>-129</f>
        <v>-129</v>
      </c>
      <c r="Q118" s="2"/>
      <c r="R118" s="19"/>
      <c r="S118" s="2"/>
      <c r="T118" s="2"/>
      <c r="U118" s="2"/>
      <c r="V118" s="19"/>
      <c r="W118" s="2"/>
      <c r="X118" s="2">
        <f t="shared" si="2"/>
        <v>-129</v>
      </c>
      <c r="Y118" s="2"/>
      <c r="Z118" s="19">
        <f t="shared" si="3"/>
        <v>0</v>
      </c>
    </row>
    <row r="119" spans="1:26" s="24" customFormat="1" hidden="1" outlineLevel="1" x14ac:dyDescent="0.25">
      <c r="A119" s="44"/>
      <c r="B119" s="11" t="str">
        <f>CONCATENATE("          ", "4285", " - ", "SALES RETURN TAXABLE-SOFTWARE")</f>
        <v xml:space="preserve">          4285 - SALES RETURN TAXABLE-SOFTWARE</v>
      </c>
      <c r="C119" s="11"/>
      <c r="D119" s="2">
        <f t="shared" si="12"/>
        <v>0</v>
      </c>
      <c r="E119" s="2"/>
      <c r="F119" s="19"/>
      <c r="G119" s="2"/>
      <c r="H119" s="2"/>
      <c r="I119" s="2"/>
      <c r="J119" s="19"/>
      <c r="K119" s="2"/>
      <c r="L119" s="2">
        <f t="shared" si="0"/>
        <v>0</v>
      </c>
      <c r="M119" s="2"/>
      <c r="N119" s="19">
        <f t="shared" si="1"/>
        <v>0</v>
      </c>
      <c r="O119" s="11"/>
      <c r="P119" s="2">
        <f>-805.97</f>
        <v>-805.97</v>
      </c>
      <c r="Q119" s="2"/>
      <c r="R119" s="19"/>
      <c r="S119" s="2"/>
      <c r="T119" s="2"/>
      <c r="U119" s="2"/>
      <c r="V119" s="19"/>
      <c r="W119" s="2"/>
      <c r="X119" s="2">
        <f t="shared" si="2"/>
        <v>-805.97</v>
      </c>
      <c r="Y119" s="2"/>
      <c r="Z119" s="19">
        <f t="shared" si="3"/>
        <v>0</v>
      </c>
    </row>
    <row r="120" spans="1:26" s="24" customFormat="1" hidden="1" outlineLevel="1" x14ac:dyDescent="0.25">
      <c r="A120" s="44"/>
      <c r="B120" s="11" t="str">
        <f>CONCATENATE("          ", "4286", " - ", "SALES RETURN TAXABLE-COMPUTER")</f>
        <v xml:space="preserve">          4286 - SALES RETURN TAXABLE-COMPUTER</v>
      </c>
      <c r="C120" s="11"/>
      <c r="D120" s="2">
        <f t="shared" si="12"/>
        <v>0</v>
      </c>
      <c r="E120" s="2"/>
      <c r="F120" s="19"/>
      <c r="G120" s="2"/>
      <c r="H120" s="2"/>
      <c r="I120" s="2"/>
      <c r="J120" s="19"/>
      <c r="K120" s="2"/>
      <c r="L120" s="2">
        <f t="shared" si="0"/>
        <v>0</v>
      </c>
      <c r="M120" s="2"/>
      <c r="N120" s="19">
        <f t="shared" si="1"/>
        <v>0</v>
      </c>
      <c r="O120" s="11"/>
      <c r="P120" s="2">
        <f>-3660.86</f>
        <v>-3660.86</v>
      </c>
      <c r="Q120" s="2"/>
      <c r="R120" s="19"/>
      <c r="S120" s="2"/>
      <c r="T120" s="2"/>
      <c r="U120" s="2"/>
      <c r="V120" s="19"/>
      <c r="W120" s="2"/>
      <c r="X120" s="2">
        <f t="shared" si="2"/>
        <v>-3660.86</v>
      </c>
      <c r="Y120" s="2"/>
      <c r="Z120" s="19">
        <f t="shared" si="3"/>
        <v>0</v>
      </c>
    </row>
    <row r="121" spans="1:26" s="24" customFormat="1" hidden="1" outlineLevel="1" x14ac:dyDescent="0.25">
      <c r="A121" s="44"/>
      <c r="B121" s="11" t="str">
        <f>CONCATENATE("          ", "4288", " - ", "TAXABLE SALES RETURN-MUSIC")</f>
        <v xml:space="preserve">          4288 - TAXABLE SALES RETURN-MUSIC</v>
      </c>
      <c r="C121" s="11"/>
      <c r="D121" s="2">
        <f>-149</f>
        <v>-149</v>
      </c>
      <c r="E121" s="2"/>
      <c r="F121" s="19"/>
      <c r="G121" s="2"/>
      <c r="H121" s="2"/>
      <c r="I121" s="2"/>
      <c r="J121" s="19"/>
      <c r="K121" s="2"/>
      <c r="L121" s="2">
        <f t="shared" si="0"/>
        <v>-149</v>
      </c>
      <c r="M121" s="2"/>
      <c r="N121" s="19">
        <f t="shared" si="1"/>
        <v>0</v>
      </c>
      <c r="O121" s="11"/>
      <c r="P121" s="2">
        <f>-152.99</f>
        <v>-152.99</v>
      </c>
      <c r="Q121" s="2"/>
      <c r="R121" s="19"/>
      <c r="S121" s="2"/>
      <c r="T121" s="2"/>
      <c r="U121" s="2"/>
      <c r="V121" s="19"/>
      <c r="W121" s="2"/>
      <c r="X121" s="2">
        <f t="shared" si="2"/>
        <v>-152.99</v>
      </c>
      <c r="Y121" s="2"/>
      <c r="Z121" s="19">
        <f t="shared" si="3"/>
        <v>0</v>
      </c>
    </row>
    <row r="122" spans="1:26" s="24" customFormat="1" hidden="1" outlineLevel="1" x14ac:dyDescent="0.25">
      <c r="A122" s="44"/>
      <c r="B122" s="11" t="str">
        <f>CONCATENATE("          ", "4292", " - ", "SALES RETURN TAXABLE-GRAD MERC")</f>
        <v xml:space="preserve">          4292 - SALES RETURN TAXABLE-GRAD MERC</v>
      </c>
      <c r="C122" s="11"/>
      <c r="D122" s="2">
        <f>-64.89</f>
        <v>-64.89</v>
      </c>
      <c r="E122" s="2"/>
      <c r="F122" s="19"/>
      <c r="G122" s="2"/>
      <c r="H122" s="2"/>
      <c r="I122" s="2"/>
      <c r="J122" s="19"/>
      <c r="K122" s="2"/>
      <c r="L122" s="2">
        <f t="shared" si="0"/>
        <v>-64.89</v>
      </c>
      <c r="M122" s="2"/>
      <c r="N122" s="19">
        <f t="shared" si="1"/>
        <v>0</v>
      </c>
      <c r="O122" s="11"/>
      <c r="P122" s="2">
        <f>-578.84</f>
        <v>-578.84</v>
      </c>
      <c r="Q122" s="2"/>
      <c r="R122" s="19"/>
      <c r="S122" s="2"/>
      <c r="T122" s="2"/>
      <c r="U122" s="2"/>
      <c r="V122" s="19"/>
      <c r="W122" s="2"/>
      <c r="X122" s="2">
        <f t="shared" si="2"/>
        <v>-578.84</v>
      </c>
      <c r="Y122" s="2"/>
      <c r="Z122" s="19">
        <f t="shared" si="3"/>
        <v>0</v>
      </c>
    </row>
    <row r="123" spans="1:26" s="24" customFormat="1" hidden="1" outlineLevel="1" x14ac:dyDescent="0.25">
      <c r="A123" s="44"/>
      <c r="B123" s="11" t="str">
        <f>CONCATENATE("          ", "4295", " - ", "SALES RETURN TAXABLE-CUSTOMER")</f>
        <v xml:space="preserve">          4295 - SALES RETURN TAXABLE-CUSTOMER</v>
      </c>
      <c r="C123" s="11"/>
      <c r="D123" s="2">
        <f>0</f>
        <v>0</v>
      </c>
      <c r="E123" s="2"/>
      <c r="F123" s="19"/>
      <c r="G123" s="2"/>
      <c r="H123" s="2"/>
      <c r="I123" s="2"/>
      <c r="J123" s="19"/>
      <c r="K123" s="2"/>
      <c r="L123" s="2">
        <f t="shared" si="0"/>
        <v>0</v>
      </c>
      <c r="M123" s="2"/>
      <c r="N123" s="19">
        <f t="shared" si="1"/>
        <v>0</v>
      </c>
      <c r="O123" s="11"/>
      <c r="P123" s="2">
        <f>--0.99</f>
        <v>0.99</v>
      </c>
      <c r="Q123" s="2"/>
      <c r="R123" s="19"/>
      <c r="S123" s="2"/>
      <c r="T123" s="2"/>
      <c r="U123" s="2"/>
      <c r="V123" s="19"/>
      <c r="W123" s="2"/>
      <c r="X123" s="2">
        <f t="shared" si="2"/>
        <v>0.99</v>
      </c>
      <c r="Y123" s="2"/>
      <c r="Z123" s="19">
        <f t="shared" si="3"/>
        <v>0</v>
      </c>
    </row>
    <row r="124" spans="1:26" s="24" customFormat="1" hidden="1" outlineLevel="1" x14ac:dyDescent="0.25">
      <c r="A124" s="44"/>
      <c r="B124" s="11" t="str">
        <f>CONCATENATE("          ", "4301", " - ", "SALES RETURN NON TAXABLE-NEW T")</f>
        <v xml:space="preserve">          4301 - SALES RETURN NON TAXABLE-NEW T</v>
      </c>
      <c r="C124" s="11"/>
      <c r="D124" s="2">
        <f>-5710.44</f>
        <v>-5710.44</v>
      </c>
      <c r="E124" s="2"/>
      <c r="F124" s="19"/>
      <c r="G124" s="2"/>
      <c r="H124" s="2"/>
      <c r="I124" s="2"/>
      <c r="J124" s="19"/>
      <c r="K124" s="2"/>
      <c r="L124" s="2">
        <f t="shared" si="0"/>
        <v>-5710.44</v>
      </c>
      <c r="M124" s="2"/>
      <c r="N124" s="19">
        <f t="shared" si="1"/>
        <v>0</v>
      </c>
      <c r="O124" s="11"/>
      <c r="P124" s="2">
        <f>-21289.87</f>
        <v>-21289.87</v>
      </c>
      <c r="Q124" s="2"/>
      <c r="R124" s="19"/>
      <c r="S124" s="2"/>
      <c r="T124" s="2"/>
      <c r="U124" s="2"/>
      <c r="V124" s="19"/>
      <c r="W124" s="2"/>
      <c r="X124" s="2">
        <f t="shared" si="2"/>
        <v>-21289.87</v>
      </c>
      <c r="Y124" s="2"/>
      <c r="Z124" s="19">
        <f t="shared" si="3"/>
        <v>0</v>
      </c>
    </row>
    <row r="125" spans="1:26" s="24" customFormat="1" hidden="1" outlineLevel="1" x14ac:dyDescent="0.25">
      <c r="A125" s="44"/>
      <c r="B125" s="11" t="str">
        <f>CONCATENATE("          ", "4302", " - ", "SALES RETURN NON TAXABLE-TEXT")</f>
        <v xml:space="preserve">          4302 - SALES RETURN NON TAXABLE-TEXT</v>
      </c>
      <c r="C125" s="11"/>
      <c r="D125" s="2">
        <f>-67.5</f>
        <v>-67.5</v>
      </c>
      <c r="E125" s="2"/>
      <c r="F125" s="19"/>
      <c r="G125" s="2"/>
      <c r="H125" s="2"/>
      <c r="I125" s="2"/>
      <c r="J125" s="19"/>
      <c r="K125" s="2"/>
      <c r="L125" s="2">
        <f t="shared" si="0"/>
        <v>-67.5</v>
      </c>
      <c r="M125" s="2"/>
      <c r="N125" s="19">
        <f t="shared" si="1"/>
        <v>0</v>
      </c>
      <c r="O125" s="11"/>
      <c r="P125" s="2">
        <f>-1379.87</f>
        <v>-1379.87</v>
      </c>
      <c r="Q125" s="2"/>
      <c r="R125" s="19"/>
      <c r="S125" s="2"/>
      <c r="T125" s="2"/>
      <c r="U125" s="2"/>
      <c r="V125" s="19"/>
      <c r="W125" s="2"/>
      <c r="X125" s="2">
        <f t="shared" si="2"/>
        <v>-1379.87</v>
      </c>
      <c r="Y125" s="2"/>
      <c r="Z125" s="19">
        <f t="shared" si="3"/>
        <v>0</v>
      </c>
    </row>
    <row r="126" spans="1:26" s="24" customFormat="1" hidden="1" outlineLevel="1" x14ac:dyDescent="0.25">
      <c r="A126" s="44"/>
      <c r="B126" s="11" t="str">
        <f>CONCATENATE("          ", "4303", " - ", "SALES RETURN NON-TAXABLE-RENTA")</f>
        <v xml:space="preserve">          4303 - SALES RETURN NON-TAXABLE-RENTA</v>
      </c>
      <c r="C126" s="11"/>
      <c r="D126" s="2">
        <f>0</f>
        <v>0</v>
      </c>
      <c r="E126" s="2"/>
      <c r="F126" s="19"/>
      <c r="G126" s="2"/>
      <c r="H126" s="2"/>
      <c r="I126" s="2"/>
      <c r="J126" s="19"/>
      <c r="K126" s="2"/>
      <c r="L126" s="2">
        <f t="shared" si="0"/>
        <v>0</v>
      </c>
      <c r="M126" s="2"/>
      <c r="N126" s="19">
        <f t="shared" si="1"/>
        <v>0</v>
      </c>
      <c r="O126" s="11"/>
      <c r="P126" s="2">
        <f>-184.99</f>
        <v>-184.99</v>
      </c>
      <c r="Q126" s="2"/>
      <c r="R126" s="19"/>
      <c r="S126" s="2"/>
      <c r="T126" s="2"/>
      <c r="U126" s="2"/>
      <c r="V126" s="19"/>
      <c r="W126" s="2"/>
      <c r="X126" s="2">
        <f t="shared" si="2"/>
        <v>-184.99</v>
      </c>
      <c r="Y126" s="2"/>
      <c r="Z126" s="19">
        <f t="shared" si="3"/>
        <v>0</v>
      </c>
    </row>
    <row r="127" spans="1:26" s="24" customFormat="1" hidden="1" outlineLevel="1" x14ac:dyDescent="0.25">
      <c r="A127" s="44"/>
      <c r="B127" s="11" t="str">
        <f>CONCATENATE("          ", "4304", " - ", "SALES RETURN NON TAXABLE-DIGIT")</f>
        <v xml:space="preserve">          4304 - SALES RETURN NON TAXABLE-DIGIT</v>
      </c>
      <c r="C127" s="11"/>
      <c r="D127" s="2">
        <f>-438.2</f>
        <v>-438.2</v>
      </c>
      <c r="E127" s="2"/>
      <c r="F127" s="19"/>
      <c r="G127" s="2"/>
      <c r="H127" s="2"/>
      <c r="I127" s="2"/>
      <c r="J127" s="19"/>
      <c r="K127" s="2"/>
      <c r="L127" s="2">
        <f t="shared" si="0"/>
        <v>-438.2</v>
      </c>
      <c r="M127" s="2"/>
      <c r="N127" s="19">
        <f t="shared" si="1"/>
        <v>0</v>
      </c>
      <c r="O127" s="11"/>
      <c r="P127" s="2">
        <f>-19474.33</f>
        <v>-19474.330000000002</v>
      </c>
      <c r="Q127" s="2"/>
      <c r="R127" s="19"/>
      <c r="S127" s="2"/>
      <c r="T127" s="2"/>
      <c r="U127" s="2"/>
      <c r="V127" s="19"/>
      <c r="W127" s="2"/>
      <c r="X127" s="2">
        <f t="shared" si="2"/>
        <v>-19474.330000000002</v>
      </c>
      <c r="Y127" s="2"/>
      <c r="Z127" s="19">
        <f t="shared" si="3"/>
        <v>0</v>
      </c>
    </row>
    <row r="128" spans="1:26" s="24" customFormat="1" hidden="1" outlineLevel="1" x14ac:dyDescent="0.25">
      <c r="A128" s="44"/>
      <c r="B128" s="11" t="str">
        <f>CONCATENATE("          ", "4311", " - ", "SALES RETURN NON TAXABLE-NO VA")</f>
        <v xml:space="preserve">          4311 - SALES RETURN NON TAXABLE-NO VA</v>
      </c>
      <c r="C128" s="11"/>
      <c r="D128" s="2">
        <f t="shared" ref="D128:D132" si="13">0</f>
        <v>0</v>
      </c>
      <c r="E128" s="2"/>
      <c r="F128" s="19"/>
      <c r="G128" s="2"/>
      <c r="H128" s="2"/>
      <c r="I128" s="2"/>
      <c r="J128" s="19"/>
      <c r="K128" s="2"/>
      <c r="L128" s="2">
        <f t="shared" si="0"/>
        <v>0</v>
      </c>
      <c r="M128" s="2"/>
      <c r="N128" s="19">
        <f t="shared" si="1"/>
        <v>0</v>
      </c>
      <c r="O128" s="11"/>
      <c r="P128" s="2">
        <f>-941.28</f>
        <v>-941.28</v>
      </c>
      <c r="Q128" s="2"/>
      <c r="R128" s="19"/>
      <c r="S128" s="2"/>
      <c r="T128" s="2"/>
      <c r="U128" s="2"/>
      <c r="V128" s="19"/>
      <c r="W128" s="2"/>
      <c r="X128" s="2">
        <f t="shared" si="2"/>
        <v>-941.28</v>
      </c>
      <c r="Y128" s="2"/>
      <c r="Z128" s="19">
        <f t="shared" si="3"/>
        <v>0</v>
      </c>
    </row>
    <row r="129" spans="1:26" s="24" customFormat="1" hidden="1" outlineLevel="1" x14ac:dyDescent="0.25">
      <c r="A129" s="44"/>
      <c r="B129" s="11" t="str">
        <f>CONCATENATE("          ", "4313", " - ", "SALES RETURN NON TAXABLE-TRADE")</f>
        <v xml:space="preserve">          4313 - SALES RETURN NON TAXABLE-TRADE</v>
      </c>
      <c r="C129" s="11"/>
      <c r="D129" s="2">
        <f t="shared" si="13"/>
        <v>0</v>
      </c>
      <c r="E129" s="2"/>
      <c r="F129" s="19"/>
      <c r="G129" s="2"/>
      <c r="H129" s="2"/>
      <c r="I129" s="2"/>
      <c r="J129" s="19"/>
      <c r="K129" s="2"/>
      <c r="L129" s="2">
        <f t="shared" si="0"/>
        <v>0</v>
      </c>
      <c r="M129" s="2"/>
      <c r="N129" s="19">
        <f t="shared" si="1"/>
        <v>0</v>
      </c>
      <c r="O129" s="11"/>
      <c r="P129" s="2">
        <f>-2481.44</f>
        <v>-2481.44</v>
      </c>
      <c r="Q129" s="2"/>
      <c r="R129" s="19"/>
      <c r="S129" s="2"/>
      <c r="T129" s="2"/>
      <c r="U129" s="2"/>
      <c r="V129" s="19"/>
      <c r="W129" s="2"/>
      <c r="X129" s="2">
        <f t="shared" si="2"/>
        <v>-2481.44</v>
      </c>
      <c r="Y129" s="2"/>
      <c r="Z129" s="19">
        <f t="shared" si="3"/>
        <v>0</v>
      </c>
    </row>
    <row r="130" spans="1:26" s="24" customFormat="1" hidden="1" outlineLevel="1" x14ac:dyDescent="0.25">
      <c r="A130" s="44"/>
      <c r="B130" s="11" t="str">
        <f>CONCATENATE("          ", "4327", " - ", "SALES RETURN NON TAXABLE-SCHOO")</f>
        <v xml:space="preserve">          4327 - SALES RETURN NON TAXABLE-SCHOO</v>
      </c>
      <c r="C130" s="11"/>
      <c r="D130" s="2">
        <f t="shared" si="13"/>
        <v>0</v>
      </c>
      <c r="E130" s="2"/>
      <c r="F130" s="19"/>
      <c r="G130" s="2"/>
      <c r="H130" s="2"/>
      <c r="I130" s="2"/>
      <c r="J130" s="19"/>
      <c r="K130" s="2"/>
      <c r="L130" s="2">
        <f t="shared" si="0"/>
        <v>0</v>
      </c>
      <c r="M130" s="2"/>
      <c r="N130" s="19">
        <f t="shared" si="1"/>
        <v>0</v>
      </c>
      <c r="O130" s="11"/>
      <c r="P130" s="2">
        <f>-21.87</f>
        <v>-21.87</v>
      </c>
      <c r="Q130" s="2"/>
      <c r="R130" s="19"/>
      <c r="S130" s="2"/>
      <c r="T130" s="2"/>
      <c r="U130" s="2"/>
      <c r="V130" s="19"/>
      <c r="W130" s="2"/>
      <c r="X130" s="2">
        <f t="shared" si="2"/>
        <v>-21.87</v>
      </c>
      <c r="Y130" s="2"/>
      <c r="Z130" s="19">
        <f t="shared" si="3"/>
        <v>0</v>
      </c>
    </row>
    <row r="131" spans="1:26" s="24" customFormat="1" hidden="1" outlineLevel="1" x14ac:dyDescent="0.25">
      <c r="A131" s="44"/>
      <c r="B131" s="11" t="str">
        <f>CONCATENATE("          ", "4331", " - ", "SALES RETURN NON TAXABLE-FOOD")</f>
        <v xml:space="preserve">          4331 - SALES RETURN NON TAXABLE-FOOD</v>
      </c>
      <c r="C131" s="11"/>
      <c r="D131" s="2">
        <f t="shared" si="13"/>
        <v>0</v>
      </c>
      <c r="E131" s="2"/>
      <c r="F131" s="19"/>
      <c r="G131" s="2"/>
      <c r="H131" s="2"/>
      <c r="I131" s="2"/>
      <c r="J131" s="19"/>
      <c r="K131" s="2"/>
      <c r="L131" s="2">
        <f t="shared" si="0"/>
        <v>0</v>
      </c>
      <c r="M131" s="2"/>
      <c r="N131" s="19">
        <f t="shared" si="1"/>
        <v>0</v>
      </c>
      <c r="O131" s="11"/>
      <c r="P131" s="2">
        <f>-12.57</f>
        <v>-12.57</v>
      </c>
      <c r="Q131" s="2"/>
      <c r="R131" s="19"/>
      <c r="S131" s="2"/>
      <c r="T131" s="2"/>
      <c r="U131" s="2"/>
      <c r="V131" s="19"/>
      <c r="W131" s="2"/>
      <c r="X131" s="2">
        <f t="shared" si="2"/>
        <v>-12.57</v>
      </c>
      <c r="Y131" s="2"/>
      <c r="Z131" s="19">
        <f t="shared" si="3"/>
        <v>0</v>
      </c>
    </row>
    <row r="132" spans="1:26" s="24" customFormat="1" hidden="1" outlineLevel="1" x14ac:dyDescent="0.25">
      <c r="A132" s="44"/>
      <c r="B132" s="11" t="str">
        <f>CONCATENATE("          ", "4332", " - ", "SALES RETURN NON TAXABLE-JUICE")</f>
        <v xml:space="preserve">          4332 - SALES RETURN NON TAXABLE-JUICE</v>
      </c>
      <c r="C132" s="11"/>
      <c r="D132" s="2">
        <f t="shared" si="13"/>
        <v>0</v>
      </c>
      <c r="E132" s="2"/>
      <c r="F132" s="19"/>
      <c r="G132" s="2"/>
      <c r="H132" s="2"/>
      <c r="I132" s="2"/>
      <c r="J132" s="19"/>
      <c r="K132" s="2"/>
      <c r="L132" s="2">
        <f t="shared" si="0"/>
        <v>0</v>
      </c>
      <c r="M132" s="2"/>
      <c r="N132" s="19">
        <f t="shared" si="1"/>
        <v>0</v>
      </c>
      <c r="O132" s="11"/>
      <c r="P132" s="2">
        <f>-2.79</f>
        <v>-2.79</v>
      </c>
      <c r="Q132" s="2"/>
      <c r="R132" s="19"/>
      <c r="S132" s="2"/>
      <c r="T132" s="2"/>
      <c r="U132" s="2"/>
      <c r="V132" s="19"/>
      <c r="W132" s="2"/>
      <c r="X132" s="2">
        <f t="shared" si="2"/>
        <v>-2.79</v>
      </c>
      <c r="Y132" s="2"/>
      <c r="Z132" s="19">
        <f t="shared" si="3"/>
        <v>0</v>
      </c>
    </row>
    <row r="133" spans="1:26" s="24" customFormat="1" hidden="1" outlineLevel="1" x14ac:dyDescent="0.25">
      <c r="A133" s="44"/>
      <c r="B133" s="11" t="str">
        <f>CONCATENATE("          ", "4340", " - ", "SALES RETURN NON TAXABLE-LOGO")</f>
        <v xml:space="preserve">          4340 - SALES RETURN NON TAXABLE-LOGO</v>
      </c>
      <c r="C133" s="11"/>
      <c r="D133" s="2">
        <f>-598.43</f>
        <v>-598.42999999999995</v>
      </c>
      <c r="E133" s="2"/>
      <c r="F133" s="19"/>
      <c r="G133" s="2"/>
      <c r="H133" s="2"/>
      <c r="I133" s="2"/>
      <c r="J133" s="19"/>
      <c r="K133" s="2"/>
      <c r="L133" s="2">
        <f t="shared" si="0"/>
        <v>-598.42999999999995</v>
      </c>
      <c r="M133" s="2"/>
      <c r="N133" s="19">
        <f t="shared" si="1"/>
        <v>0</v>
      </c>
      <c r="O133" s="11"/>
      <c r="P133" s="2">
        <f>-1618.83</f>
        <v>-1618.83</v>
      </c>
      <c r="Q133" s="2"/>
      <c r="R133" s="19"/>
      <c r="S133" s="2"/>
      <c r="T133" s="2"/>
      <c r="U133" s="2"/>
      <c r="V133" s="19"/>
      <c r="W133" s="2"/>
      <c r="X133" s="2">
        <f t="shared" si="2"/>
        <v>-1618.83</v>
      </c>
      <c r="Y133" s="2"/>
      <c r="Z133" s="19">
        <f t="shared" si="3"/>
        <v>0</v>
      </c>
    </row>
    <row r="134" spans="1:26" s="24" customFormat="1" hidden="1" outlineLevel="1" x14ac:dyDescent="0.25">
      <c r="A134" s="44"/>
      <c r="B134" s="11" t="str">
        <f>CONCATENATE("          ", "4341", " - ", "SALES RETURN NON TAXABLE-LOGO")</f>
        <v xml:space="preserve">          4341 - SALES RETURN NON TAXABLE-LOGO</v>
      </c>
      <c r="C134" s="11"/>
      <c r="D134" s="2">
        <f>-39.95</f>
        <v>-39.950000000000003</v>
      </c>
      <c r="E134" s="2"/>
      <c r="F134" s="19"/>
      <c r="G134" s="2"/>
      <c r="H134" s="2"/>
      <c r="I134" s="2"/>
      <c r="J134" s="19"/>
      <c r="K134" s="2"/>
      <c r="L134" s="2">
        <f t="shared" si="0"/>
        <v>-39.950000000000003</v>
      </c>
      <c r="M134" s="2"/>
      <c r="N134" s="19">
        <f t="shared" si="1"/>
        <v>0</v>
      </c>
      <c r="O134" s="11"/>
      <c r="P134" s="2">
        <f>-285.45</f>
        <v>-285.45</v>
      </c>
      <c r="Q134" s="2"/>
      <c r="R134" s="19"/>
      <c r="S134" s="2"/>
      <c r="T134" s="2"/>
      <c r="U134" s="2"/>
      <c r="V134" s="19"/>
      <c r="W134" s="2"/>
      <c r="X134" s="2">
        <f t="shared" si="2"/>
        <v>-285.45</v>
      </c>
      <c r="Y134" s="2"/>
      <c r="Z134" s="19">
        <f t="shared" si="3"/>
        <v>0</v>
      </c>
    </row>
    <row r="135" spans="1:26" s="24" customFormat="1" hidden="1" outlineLevel="1" x14ac:dyDescent="0.25">
      <c r="A135" s="44"/>
      <c r="B135" s="11" t="str">
        <f>CONCATENATE("          ", "4342", " - ", "SALES RETURN NON TAXABLE-EVERY")</f>
        <v xml:space="preserve">          4342 - SALES RETURN NON TAXABLE-EVERY</v>
      </c>
      <c r="C135" s="11"/>
      <c r="D135" s="2">
        <f t="shared" ref="D135:D140" si="14">0</f>
        <v>0</v>
      </c>
      <c r="E135" s="2"/>
      <c r="F135" s="19"/>
      <c r="G135" s="2"/>
      <c r="H135" s="2"/>
      <c r="I135" s="2"/>
      <c r="J135" s="19"/>
      <c r="K135" s="2"/>
      <c r="L135" s="2">
        <f t="shared" si="0"/>
        <v>0</v>
      </c>
      <c r="M135" s="2"/>
      <c r="N135" s="19">
        <f t="shared" si="1"/>
        <v>0</v>
      </c>
      <c r="O135" s="11"/>
      <c r="P135" s="2">
        <f>-149.22</f>
        <v>-149.22</v>
      </c>
      <c r="Q135" s="2"/>
      <c r="R135" s="19"/>
      <c r="S135" s="2"/>
      <c r="T135" s="2"/>
      <c r="U135" s="2"/>
      <c r="V135" s="19"/>
      <c r="W135" s="2"/>
      <c r="X135" s="2">
        <f t="shared" si="2"/>
        <v>-149.22</v>
      </c>
      <c r="Y135" s="2"/>
      <c r="Z135" s="19">
        <f t="shared" si="3"/>
        <v>0</v>
      </c>
    </row>
    <row r="136" spans="1:26" s="24" customFormat="1" hidden="1" outlineLevel="1" x14ac:dyDescent="0.25">
      <c r="A136" s="44"/>
      <c r="B136" s="11" t="str">
        <f>CONCATENATE("          ", "4346", " - ", "SALES RETURN NON TAXABLE-COIN-")</f>
        <v xml:space="preserve">          4346 - SALES RETURN NON TAXABLE-COIN-</v>
      </c>
      <c r="C136" s="11"/>
      <c r="D136" s="2">
        <f t="shared" si="14"/>
        <v>0</v>
      </c>
      <c r="E136" s="2"/>
      <c r="F136" s="19"/>
      <c r="G136" s="2"/>
      <c r="H136" s="2"/>
      <c r="I136" s="2"/>
      <c r="J136" s="19"/>
      <c r="K136" s="2"/>
      <c r="L136" s="2">
        <f t="shared" si="0"/>
        <v>0</v>
      </c>
      <c r="M136" s="2"/>
      <c r="N136" s="19">
        <f t="shared" si="1"/>
        <v>0</v>
      </c>
      <c r="O136" s="11"/>
      <c r="P136" s="2">
        <f>-8.15</f>
        <v>-8.15</v>
      </c>
      <c r="Q136" s="2"/>
      <c r="R136" s="19"/>
      <c r="S136" s="2"/>
      <c r="T136" s="2"/>
      <c r="U136" s="2"/>
      <c r="V136" s="19"/>
      <c r="W136" s="2"/>
      <c r="X136" s="2">
        <f t="shared" si="2"/>
        <v>-8.15</v>
      </c>
      <c r="Y136" s="2"/>
      <c r="Z136" s="19">
        <f t="shared" si="3"/>
        <v>0</v>
      </c>
    </row>
    <row r="137" spans="1:26" s="24" customFormat="1" hidden="1" outlineLevel="1" x14ac:dyDescent="0.25">
      <c r="A137" s="44"/>
      <c r="B137" s="11" t="str">
        <f>CONCATENATE("          ", "4347", " - ", "SALES RETURN NON TAXABLE-MISC")</f>
        <v xml:space="preserve">          4347 - SALES RETURN NON TAXABLE-MISC</v>
      </c>
      <c r="C137" s="11"/>
      <c r="D137" s="2">
        <f t="shared" si="14"/>
        <v>0</v>
      </c>
      <c r="E137" s="2"/>
      <c r="F137" s="19"/>
      <c r="G137" s="2"/>
      <c r="H137" s="2"/>
      <c r="I137" s="2"/>
      <c r="J137" s="19"/>
      <c r="K137" s="2"/>
      <c r="L137" s="2">
        <f t="shared" si="0"/>
        <v>0</v>
      </c>
      <c r="M137" s="2"/>
      <c r="N137" s="19">
        <f t="shared" si="1"/>
        <v>0</v>
      </c>
      <c r="O137" s="11"/>
      <c r="P137" s="2">
        <f>-84</f>
        <v>-84</v>
      </c>
      <c r="Q137" s="2"/>
      <c r="R137" s="19"/>
      <c r="S137" s="2"/>
      <c r="T137" s="2"/>
      <c r="U137" s="2"/>
      <c r="V137" s="19"/>
      <c r="W137" s="2"/>
      <c r="X137" s="2">
        <f t="shared" si="2"/>
        <v>-84</v>
      </c>
      <c r="Y137" s="2"/>
      <c r="Z137" s="19">
        <f t="shared" si="3"/>
        <v>0</v>
      </c>
    </row>
    <row r="138" spans="1:26" s="24" customFormat="1" hidden="1" outlineLevel="1" x14ac:dyDescent="0.25">
      <c r="A138" s="44"/>
      <c r="B138" s="11" t="str">
        <f>CONCATENATE("          ", "4381", " - ", "SALES RETURN NON TAXABLE-ELECT")</f>
        <v xml:space="preserve">          4381 - SALES RETURN NON TAXABLE-ELECT</v>
      </c>
      <c r="C138" s="11"/>
      <c r="D138" s="2">
        <f t="shared" si="14"/>
        <v>0</v>
      </c>
      <c r="E138" s="2"/>
      <c r="F138" s="19"/>
      <c r="G138" s="2"/>
      <c r="H138" s="2"/>
      <c r="I138" s="2"/>
      <c r="J138" s="19"/>
      <c r="K138" s="2"/>
      <c r="L138" s="2">
        <f t="shared" si="0"/>
        <v>0</v>
      </c>
      <c r="M138" s="2"/>
      <c r="N138" s="19">
        <f t="shared" si="1"/>
        <v>0</v>
      </c>
      <c r="O138" s="11"/>
      <c r="P138" s="2">
        <f>-1279.84</f>
        <v>-1279.8399999999999</v>
      </c>
      <c r="Q138" s="2"/>
      <c r="R138" s="19"/>
      <c r="S138" s="2"/>
      <c r="T138" s="2"/>
      <c r="U138" s="2"/>
      <c r="V138" s="19"/>
      <c r="W138" s="2"/>
      <c r="X138" s="2">
        <f t="shared" si="2"/>
        <v>-1279.8399999999999</v>
      </c>
      <c r="Y138" s="2"/>
      <c r="Z138" s="19">
        <f t="shared" si="3"/>
        <v>0</v>
      </c>
    </row>
    <row r="139" spans="1:26" s="24" customFormat="1" hidden="1" outlineLevel="1" x14ac:dyDescent="0.25">
      <c r="A139" s="44"/>
      <c r="B139" s="11" t="str">
        <f>CONCATENATE("          ", "4383", " - ", "SALES RETURN NON TAXABLE-COMPU")</f>
        <v xml:space="preserve">          4383 - SALES RETURN NON TAXABLE-COMPU</v>
      </c>
      <c r="C139" s="11"/>
      <c r="D139" s="2">
        <f t="shared" si="14"/>
        <v>0</v>
      </c>
      <c r="E139" s="2"/>
      <c r="F139" s="19"/>
      <c r="G139" s="2"/>
      <c r="H139" s="2"/>
      <c r="I139" s="2"/>
      <c r="J139" s="19"/>
      <c r="K139" s="2"/>
      <c r="L139" s="2">
        <f t="shared" si="0"/>
        <v>0</v>
      </c>
      <c r="M139" s="2"/>
      <c r="N139" s="19">
        <f t="shared" si="1"/>
        <v>0</v>
      </c>
      <c r="O139" s="11"/>
      <c r="P139" s="2">
        <f>-49.98</f>
        <v>-49.98</v>
      </c>
      <c r="Q139" s="2"/>
      <c r="R139" s="19"/>
      <c r="S139" s="2"/>
      <c r="T139" s="2"/>
      <c r="U139" s="2"/>
      <c r="V139" s="19"/>
      <c r="W139" s="2"/>
      <c r="X139" s="2">
        <f t="shared" si="2"/>
        <v>-49.98</v>
      </c>
      <c r="Y139" s="2"/>
      <c r="Z139" s="19">
        <f t="shared" si="3"/>
        <v>0</v>
      </c>
    </row>
    <row r="140" spans="1:26" s="24" customFormat="1" hidden="1" outlineLevel="1" x14ac:dyDescent="0.25">
      <c r="A140" s="44"/>
      <c r="B140" s="11" t="str">
        <f>CONCATENATE("          ", "4386", " - ", "SALES RETURN NON TAXABLE-COMPU")</f>
        <v xml:space="preserve">          4386 - SALES RETURN NON TAXABLE-COMPU</v>
      </c>
      <c r="C140" s="11"/>
      <c r="D140" s="2">
        <f t="shared" si="14"/>
        <v>0</v>
      </c>
      <c r="E140" s="2"/>
      <c r="F140" s="19"/>
      <c r="G140" s="2"/>
      <c r="H140" s="2"/>
      <c r="I140" s="2"/>
      <c r="J140" s="19"/>
      <c r="K140" s="2"/>
      <c r="L140" s="2">
        <f t="shared" si="0"/>
        <v>0</v>
      </c>
      <c r="M140" s="2"/>
      <c r="N140" s="19">
        <f t="shared" si="1"/>
        <v>0</v>
      </c>
      <c r="O140" s="11"/>
      <c r="P140" s="2">
        <f>-104.96</f>
        <v>-104.96</v>
      </c>
      <c r="Q140" s="2"/>
      <c r="R140" s="19"/>
      <c r="S140" s="2"/>
      <c r="T140" s="2"/>
      <c r="U140" s="2"/>
      <c r="V140" s="19"/>
      <c r="W140" s="2"/>
      <c r="X140" s="2">
        <f t="shared" si="2"/>
        <v>-104.96</v>
      </c>
      <c r="Y140" s="2"/>
      <c r="Z140" s="19">
        <f t="shared" si="3"/>
        <v>0</v>
      </c>
    </row>
    <row r="141" spans="1:26" x14ac:dyDescent="0.25">
      <c r="A141" s="9"/>
      <c r="B141" s="10"/>
      <c r="C141" s="9"/>
      <c r="D141" s="3"/>
      <c r="E141" s="3"/>
      <c r="F141" s="8"/>
      <c r="G141" s="3"/>
      <c r="H141" s="3"/>
      <c r="I141" s="3"/>
      <c r="J141" s="8"/>
      <c r="K141" s="3"/>
      <c r="L141" s="3"/>
      <c r="M141" s="3"/>
      <c r="N141" s="8"/>
      <c r="P141" s="3"/>
      <c r="Q141" s="3"/>
      <c r="R141" s="8"/>
      <c r="S141" s="3"/>
      <c r="T141" s="3"/>
      <c r="U141" s="3"/>
      <c r="V141" s="8"/>
      <c r="W141" s="3"/>
      <c r="X141" s="3"/>
      <c r="Y141" s="3"/>
      <c r="Z141" s="8"/>
    </row>
    <row r="142" spans="1:26" s="23" customFormat="1" collapsed="1" x14ac:dyDescent="0.25">
      <c r="A142" s="10"/>
      <c r="B142" s="28" t="s">
        <v>8</v>
      </c>
      <c r="C142" s="10"/>
      <c r="D142" s="4">
        <f>SUM(OSRRefD16x_0)</f>
        <v>286328.75</v>
      </c>
      <c r="E142" s="4"/>
      <c r="F142" s="13">
        <f t="shared" ref="F142:F203" si="15">IF(D$12=0,0,D142/D$12)</f>
        <v>0.5656519459021575</v>
      </c>
      <c r="G142" s="4"/>
      <c r="H142" s="4">
        <f>SUM(OSRRefH16x_0)</f>
        <v>1172737.3767599999</v>
      </c>
      <c r="I142" s="4"/>
      <c r="J142" s="13">
        <f t="shared" ref="J142:J203" si="16">IF(H$12=0,0,H142/H$12)</f>
        <v>0.40914367630487603</v>
      </c>
      <c r="K142" s="4"/>
      <c r="L142" s="4">
        <f t="shared" ref="L142:L203" si="17">+D142-H142</f>
        <v>-886408.6267599999</v>
      </c>
      <c r="M142" s="4"/>
      <c r="N142" s="13">
        <f t="shared" ref="N142:N203" si="18">IF(H142=0,0,L142/H142)</f>
        <v>-0.75584580514431998</v>
      </c>
      <c r="O142" s="10"/>
      <c r="P142" s="4">
        <f>SUM(OSRRefP16x_0)</f>
        <v>12441243.380000003</v>
      </c>
      <c r="Q142" s="4"/>
      <c r="R142" s="13">
        <f t="shared" ref="R142:R203" si="19">IF(P$12=0,0,P142/P$12)</f>
        <v>0.44354054504310447</v>
      </c>
      <c r="S142" s="4"/>
      <c r="T142" s="4">
        <f>SUM(OSRRefT16x_0)</f>
        <v>15131031.554300001</v>
      </c>
      <c r="U142" s="4"/>
      <c r="V142" s="13">
        <f t="shared" ref="V142:V203" si="20">IF(T$12=0,0,T142/T$12)</f>
        <v>0.41896361238685098</v>
      </c>
      <c r="W142" s="4"/>
      <c r="X142" s="4">
        <f t="shared" ref="X142:X203" si="21">+P142-T142</f>
        <v>-2689788.1742999982</v>
      </c>
      <c r="Y142" s="4"/>
      <c r="Z142" s="13">
        <f t="shared" ref="Z142:Z203" si="22">IF(T142=0,0,X142/T142)</f>
        <v>-0.17776634492151347</v>
      </c>
    </row>
    <row r="143" spans="1:26" s="24" customFormat="1" hidden="1" outlineLevel="1" x14ac:dyDescent="0.25">
      <c r="A143" s="44"/>
      <c r="B143" s="11" t="str">
        <f>CONCATENATE("          ", "5000", " - ", "PURCHASES @ COST")</f>
        <v xml:space="preserve">          5000 - PURCHASES @ COST</v>
      </c>
      <c r="C143" s="11"/>
      <c r="D143" s="2"/>
      <c r="E143" s="2"/>
      <c r="F143" s="19">
        <f t="shared" si="15"/>
        <v>0</v>
      </c>
      <c r="G143" s="2"/>
      <c r="H143" s="2">
        <v>1172737.3767599999</v>
      </c>
      <c r="I143" s="2"/>
      <c r="J143" s="19">
        <f t="shared" si="16"/>
        <v>0.40914367630487603</v>
      </c>
      <c r="K143" s="2"/>
      <c r="L143" s="2">
        <f t="shared" si="17"/>
        <v>-1172737.3767599999</v>
      </c>
      <c r="M143" s="2"/>
      <c r="N143" s="19">
        <f t="shared" si="18"/>
        <v>-1</v>
      </c>
      <c r="O143" s="11"/>
      <c r="P143" s="2"/>
      <c r="Q143" s="2"/>
      <c r="R143" s="19">
        <f t="shared" si="19"/>
        <v>0</v>
      </c>
      <c r="S143" s="2"/>
      <c r="T143" s="2">
        <v>15131031.554300001</v>
      </c>
      <c r="U143" s="2"/>
      <c r="V143" s="19">
        <f t="shared" si="20"/>
        <v>0.41896361238685098</v>
      </c>
      <c r="W143" s="2"/>
      <c r="X143" s="2">
        <f t="shared" si="21"/>
        <v>-15131031.554300001</v>
      </c>
      <c r="Y143" s="2"/>
      <c r="Z143" s="19">
        <f t="shared" si="22"/>
        <v>-1</v>
      </c>
    </row>
    <row r="144" spans="1:26" s="24" customFormat="1" hidden="1" outlineLevel="1" x14ac:dyDescent="0.25">
      <c r="A144" s="44"/>
      <c r="B144" s="11" t="str">
        <f>CONCATENATE("          ", "5001", " - ", "PURCHASES @ COST-NEW TEXT")</f>
        <v xml:space="preserve">          5001 - PURCHASES @ COST-NEW TEXT</v>
      </c>
      <c r="C144" s="11"/>
      <c r="D144" s="2">
        <v>71528.210000000006</v>
      </c>
      <c r="E144" s="2"/>
      <c r="F144" s="19">
        <f t="shared" si="15"/>
        <v>0.14130635213333681</v>
      </c>
      <c r="G144" s="2"/>
      <c r="H144" s="2"/>
      <c r="I144" s="2"/>
      <c r="J144" s="19">
        <f t="shared" si="16"/>
        <v>0</v>
      </c>
      <c r="K144" s="2"/>
      <c r="L144" s="2">
        <f t="shared" si="17"/>
        <v>71528.210000000006</v>
      </c>
      <c r="M144" s="2"/>
      <c r="N144" s="19">
        <f t="shared" si="18"/>
        <v>0</v>
      </c>
      <c r="O144" s="11"/>
      <c r="P144" s="2">
        <v>1641280.46</v>
      </c>
      <c r="Q144" s="2"/>
      <c r="R144" s="19">
        <f t="shared" si="19"/>
        <v>5.8512996455583929E-2</v>
      </c>
      <c r="S144" s="2"/>
      <c r="T144" s="2"/>
      <c r="U144" s="2"/>
      <c r="V144" s="19">
        <f t="shared" si="20"/>
        <v>0</v>
      </c>
      <c r="W144" s="2"/>
      <c r="X144" s="2">
        <f t="shared" si="21"/>
        <v>1641280.46</v>
      </c>
      <c r="Y144" s="2"/>
      <c r="Z144" s="19">
        <f t="shared" si="22"/>
        <v>0</v>
      </c>
    </row>
    <row r="145" spans="1:26" s="24" customFormat="1" hidden="1" outlineLevel="1" x14ac:dyDescent="0.25">
      <c r="A145" s="44"/>
      <c r="B145" s="11" t="str">
        <f>CONCATENATE("          ", "5002", " - ", "PURCHASES @ COST-USED TEXT")</f>
        <v xml:space="preserve">          5002 - PURCHASES @ COST-USED TEXT</v>
      </c>
      <c r="C145" s="11"/>
      <c r="D145" s="2">
        <v>14738.6</v>
      </c>
      <c r="E145" s="2"/>
      <c r="F145" s="19">
        <f t="shared" si="15"/>
        <v>2.9116593321046311E-2</v>
      </c>
      <c r="G145" s="2"/>
      <c r="H145" s="2"/>
      <c r="I145" s="2"/>
      <c r="J145" s="19">
        <f t="shared" si="16"/>
        <v>0</v>
      </c>
      <c r="K145" s="2"/>
      <c r="L145" s="2">
        <f t="shared" si="17"/>
        <v>14738.6</v>
      </c>
      <c r="M145" s="2"/>
      <c r="N145" s="19">
        <f t="shared" si="18"/>
        <v>0</v>
      </c>
      <c r="O145" s="11"/>
      <c r="P145" s="2">
        <v>610321.38</v>
      </c>
      <c r="Q145" s="2"/>
      <c r="R145" s="19">
        <f t="shared" si="19"/>
        <v>2.1758458481073426E-2</v>
      </c>
      <c r="S145" s="2"/>
      <c r="T145" s="2"/>
      <c r="U145" s="2"/>
      <c r="V145" s="19">
        <f t="shared" si="20"/>
        <v>0</v>
      </c>
      <c r="W145" s="2"/>
      <c r="X145" s="2">
        <f t="shared" si="21"/>
        <v>610321.38</v>
      </c>
      <c r="Y145" s="2"/>
      <c r="Z145" s="19">
        <f t="shared" si="22"/>
        <v>0</v>
      </c>
    </row>
    <row r="146" spans="1:26" s="24" customFormat="1" hidden="1" outlineLevel="1" x14ac:dyDescent="0.25">
      <c r="A146" s="44"/>
      <c r="B146" s="11" t="str">
        <f>CONCATENATE("          ", "5003", " - ", "PURCHASES @ COST-RENTAL TEXT")</f>
        <v xml:space="preserve">          5003 - PURCHASES @ COST-RENTAL TEXT</v>
      </c>
      <c r="C146" s="11"/>
      <c r="D146" s="2"/>
      <c r="E146" s="2"/>
      <c r="F146" s="19">
        <f t="shared" si="15"/>
        <v>0</v>
      </c>
      <c r="G146" s="2"/>
      <c r="H146" s="2"/>
      <c r="I146" s="2"/>
      <c r="J146" s="19">
        <f t="shared" si="16"/>
        <v>0</v>
      </c>
      <c r="K146" s="2"/>
      <c r="L146" s="2">
        <f t="shared" si="17"/>
        <v>0</v>
      </c>
      <c r="M146" s="2"/>
      <c r="N146" s="19">
        <f t="shared" si="18"/>
        <v>0</v>
      </c>
      <c r="O146" s="11"/>
      <c r="P146" s="2">
        <v>-78.400000000000006</v>
      </c>
      <c r="Q146" s="2"/>
      <c r="R146" s="19">
        <f t="shared" si="19"/>
        <v>-2.7950243934042696E-6</v>
      </c>
      <c r="S146" s="2"/>
      <c r="T146" s="2"/>
      <c r="U146" s="2"/>
      <c r="V146" s="19">
        <f t="shared" si="20"/>
        <v>0</v>
      </c>
      <c r="W146" s="2"/>
      <c r="X146" s="2">
        <f t="shared" si="21"/>
        <v>-78.400000000000006</v>
      </c>
      <c r="Y146" s="2"/>
      <c r="Z146" s="19">
        <f t="shared" si="22"/>
        <v>0</v>
      </c>
    </row>
    <row r="147" spans="1:26" s="24" customFormat="1" hidden="1" outlineLevel="1" x14ac:dyDescent="0.25">
      <c r="A147" s="44"/>
      <c r="B147" s="11" t="str">
        <f>CONCATENATE("          ", "5004", " - ", "PURCHASES @ COST-DIGITAL TEXT")</f>
        <v xml:space="preserve">          5004 - PURCHASES @ COST-DIGITAL TEXT</v>
      </c>
      <c r="C147" s="11"/>
      <c r="D147" s="2">
        <v>-46518.259999999995</v>
      </c>
      <c r="E147" s="2"/>
      <c r="F147" s="19">
        <f t="shared" si="15"/>
        <v>-9.1898366087870997E-2</v>
      </c>
      <c r="G147" s="2"/>
      <c r="H147" s="2"/>
      <c r="I147" s="2"/>
      <c r="J147" s="19">
        <f t="shared" si="16"/>
        <v>0</v>
      </c>
      <c r="K147" s="2"/>
      <c r="L147" s="2">
        <f t="shared" si="17"/>
        <v>-46518.259999999995</v>
      </c>
      <c r="M147" s="2"/>
      <c r="N147" s="19">
        <f t="shared" si="18"/>
        <v>0</v>
      </c>
      <c r="O147" s="11"/>
      <c r="P147" s="2">
        <v>446269.65</v>
      </c>
      <c r="Q147" s="2"/>
      <c r="R147" s="19">
        <f t="shared" si="19"/>
        <v>1.5909879563596758E-2</v>
      </c>
      <c r="S147" s="2"/>
      <c r="T147" s="2"/>
      <c r="U147" s="2"/>
      <c r="V147" s="19">
        <f t="shared" si="20"/>
        <v>0</v>
      </c>
      <c r="W147" s="2"/>
      <c r="X147" s="2">
        <f t="shared" si="21"/>
        <v>446269.65</v>
      </c>
      <c r="Y147" s="2"/>
      <c r="Z147" s="19">
        <f t="shared" si="22"/>
        <v>0</v>
      </c>
    </row>
    <row r="148" spans="1:26" s="24" customFormat="1" hidden="1" outlineLevel="1" x14ac:dyDescent="0.25">
      <c r="A148" s="44"/>
      <c r="B148" s="11" t="str">
        <f>CONCATENATE("          ", "5011", " - ", "PURCHASES @ COST-NO VALUE TEXT")</f>
        <v xml:space="preserve">          5011 - PURCHASES @ COST-NO VALUE TEXT</v>
      </c>
      <c r="C148" s="11"/>
      <c r="D148" s="2"/>
      <c r="E148" s="2"/>
      <c r="F148" s="19">
        <f t="shared" si="15"/>
        <v>0</v>
      </c>
      <c r="G148" s="2"/>
      <c r="H148" s="2"/>
      <c r="I148" s="2"/>
      <c r="J148" s="19">
        <f t="shared" si="16"/>
        <v>0</v>
      </c>
      <c r="K148" s="2"/>
      <c r="L148" s="2">
        <f t="shared" si="17"/>
        <v>0</v>
      </c>
      <c r="M148" s="2"/>
      <c r="N148" s="19">
        <f t="shared" si="18"/>
        <v>0</v>
      </c>
      <c r="O148" s="11"/>
      <c r="P148" s="2">
        <v>6363</v>
      </c>
      <c r="Q148" s="2"/>
      <c r="R148" s="19">
        <f t="shared" si="19"/>
        <v>2.268461762146858E-4</v>
      </c>
      <c r="S148" s="2"/>
      <c r="T148" s="2"/>
      <c r="U148" s="2"/>
      <c r="V148" s="19">
        <f t="shared" si="20"/>
        <v>0</v>
      </c>
      <c r="W148" s="2"/>
      <c r="X148" s="2">
        <f t="shared" si="21"/>
        <v>6363</v>
      </c>
      <c r="Y148" s="2"/>
      <c r="Z148" s="19">
        <f t="shared" si="22"/>
        <v>0</v>
      </c>
    </row>
    <row r="149" spans="1:26" s="24" customFormat="1" hidden="1" outlineLevel="1" x14ac:dyDescent="0.25">
      <c r="A149" s="44"/>
      <c r="B149" s="11" t="str">
        <f>CONCATENATE("          ", "5013", " - ", "PURCHASES @ COST-TRADE BOOKS")</f>
        <v xml:space="preserve">          5013 - PURCHASES @ COST-TRADE BOOKS</v>
      </c>
      <c r="C149" s="11"/>
      <c r="D149" s="2"/>
      <c r="E149" s="2"/>
      <c r="F149" s="19">
        <f t="shared" si="15"/>
        <v>0</v>
      </c>
      <c r="G149" s="2"/>
      <c r="H149" s="2"/>
      <c r="I149" s="2"/>
      <c r="J149" s="19">
        <f t="shared" si="16"/>
        <v>0</v>
      </c>
      <c r="K149" s="2"/>
      <c r="L149" s="2">
        <f t="shared" si="17"/>
        <v>0</v>
      </c>
      <c r="M149" s="2"/>
      <c r="N149" s="19">
        <f t="shared" si="18"/>
        <v>0</v>
      </c>
      <c r="O149" s="11"/>
      <c r="P149" s="2">
        <v>3197.85</v>
      </c>
      <c r="Q149" s="2"/>
      <c r="R149" s="19">
        <f t="shared" si="19"/>
        <v>1.1400597903632452E-4</v>
      </c>
      <c r="S149" s="2"/>
      <c r="T149" s="2"/>
      <c r="U149" s="2"/>
      <c r="V149" s="19">
        <f t="shared" si="20"/>
        <v>0</v>
      </c>
      <c r="W149" s="2"/>
      <c r="X149" s="2">
        <f t="shared" si="21"/>
        <v>3197.85</v>
      </c>
      <c r="Y149" s="2"/>
      <c r="Z149" s="19">
        <f t="shared" si="22"/>
        <v>0</v>
      </c>
    </row>
    <row r="150" spans="1:26" s="24" customFormat="1" hidden="1" outlineLevel="1" x14ac:dyDescent="0.25">
      <c r="A150" s="44"/>
      <c r="B150" s="11" t="str">
        <f>CONCATENATE("          ", "5014", " - ", "PURCHASES @ COST-REMAINDERS")</f>
        <v xml:space="preserve">          5014 - PURCHASES @ COST-REMAINDERS</v>
      </c>
      <c r="C150" s="11"/>
      <c r="D150" s="2"/>
      <c r="E150" s="2"/>
      <c r="F150" s="19">
        <f t="shared" si="15"/>
        <v>0</v>
      </c>
      <c r="G150" s="2"/>
      <c r="H150" s="2"/>
      <c r="I150" s="2"/>
      <c r="J150" s="19">
        <f t="shared" si="16"/>
        <v>0</v>
      </c>
      <c r="K150" s="2"/>
      <c r="L150" s="2">
        <f t="shared" si="17"/>
        <v>0</v>
      </c>
      <c r="M150" s="2"/>
      <c r="N150" s="19">
        <f t="shared" si="18"/>
        <v>0</v>
      </c>
      <c r="O150" s="11"/>
      <c r="P150" s="2">
        <v>615.07000000000005</v>
      </c>
      <c r="Q150" s="2"/>
      <c r="R150" s="19">
        <f t="shared" si="19"/>
        <v>2.1927750684326074E-5</v>
      </c>
      <c r="S150" s="2"/>
      <c r="T150" s="2"/>
      <c r="U150" s="2"/>
      <c r="V150" s="19">
        <f t="shared" si="20"/>
        <v>0</v>
      </c>
      <c r="W150" s="2"/>
      <c r="X150" s="2">
        <f t="shared" si="21"/>
        <v>615.07000000000005</v>
      </c>
      <c r="Y150" s="2"/>
      <c r="Z150" s="19">
        <f t="shared" si="22"/>
        <v>0</v>
      </c>
    </row>
    <row r="151" spans="1:26" s="24" customFormat="1" hidden="1" outlineLevel="1" x14ac:dyDescent="0.25">
      <c r="A151" s="44"/>
      <c r="B151" s="11" t="str">
        <f>CONCATENATE("          ", "5017", " - ", "PURCHASES @ COST-DORM/HOUSEWAR")</f>
        <v xml:space="preserve">          5017 - PURCHASES @ COST-DORM/HOUSEWAR</v>
      </c>
      <c r="C151" s="11"/>
      <c r="D151" s="2"/>
      <c r="E151" s="2"/>
      <c r="F151" s="19">
        <f t="shared" si="15"/>
        <v>0</v>
      </c>
      <c r="G151" s="2"/>
      <c r="H151" s="2"/>
      <c r="I151" s="2"/>
      <c r="J151" s="19">
        <f t="shared" si="16"/>
        <v>0</v>
      </c>
      <c r="K151" s="2"/>
      <c r="L151" s="2">
        <f t="shared" si="17"/>
        <v>0</v>
      </c>
      <c r="M151" s="2"/>
      <c r="N151" s="19">
        <f t="shared" si="18"/>
        <v>0</v>
      </c>
      <c r="O151" s="11"/>
      <c r="P151" s="2">
        <v>14.46</v>
      </c>
      <c r="Q151" s="2"/>
      <c r="R151" s="19">
        <f t="shared" si="19"/>
        <v>5.1551087664063446E-7</v>
      </c>
      <c r="S151" s="2"/>
      <c r="T151" s="2"/>
      <c r="U151" s="2"/>
      <c r="V151" s="19">
        <f t="shared" si="20"/>
        <v>0</v>
      </c>
      <c r="W151" s="2"/>
      <c r="X151" s="2">
        <f t="shared" si="21"/>
        <v>14.46</v>
      </c>
      <c r="Y151" s="2"/>
      <c r="Z151" s="19">
        <f t="shared" si="22"/>
        <v>0</v>
      </c>
    </row>
    <row r="152" spans="1:26" s="24" customFormat="1" hidden="1" outlineLevel="1" x14ac:dyDescent="0.25">
      <c r="A152" s="44"/>
      <c r="B152" s="11" t="str">
        <f>CONCATENATE("          ", "5018", " - ", "PURCHASES @ COST-STUDY GUIDES")</f>
        <v xml:space="preserve">          5018 - PURCHASES @ COST-STUDY GUIDES</v>
      </c>
      <c r="C152" s="11"/>
      <c r="D152" s="2"/>
      <c r="E152" s="2"/>
      <c r="F152" s="19">
        <f t="shared" si="15"/>
        <v>0</v>
      </c>
      <c r="G152" s="2"/>
      <c r="H152" s="2"/>
      <c r="I152" s="2"/>
      <c r="J152" s="19">
        <f t="shared" si="16"/>
        <v>0</v>
      </c>
      <c r="K152" s="2"/>
      <c r="L152" s="2">
        <f t="shared" si="17"/>
        <v>0</v>
      </c>
      <c r="M152" s="2"/>
      <c r="N152" s="19">
        <f t="shared" si="18"/>
        <v>0</v>
      </c>
      <c r="O152" s="11"/>
      <c r="P152" s="2">
        <v>-205.14</v>
      </c>
      <c r="Q152" s="2"/>
      <c r="R152" s="19">
        <f t="shared" si="19"/>
        <v>-7.3134094905988748E-6</v>
      </c>
      <c r="S152" s="2"/>
      <c r="T152" s="2"/>
      <c r="U152" s="2"/>
      <c r="V152" s="19">
        <f t="shared" si="20"/>
        <v>0</v>
      </c>
      <c r="W152" s="2"/>
      <c r="X152" s="2">
        <f t="shared" si="21"/>
        <v>-205.14</v>
      </c>
      <c r="Y152" s="2"/>
      <c r="Z152" s="19">
        <f t="shared" si="22"/>
        <v>0</v>
      </c>
    </row>
    <row r="153" spans="1:26" s="24" customFormat="1" hidden="1" outlineLevel="1" x14ac:dyDescent="0.25">
      <c r="A153" s="44"/>
      <c r="B153" s="11" t="str">
        <f>CONCATENATE("          ", "5025", " - ", "PURCHASES @ COST-TEST FORMS")</f>
        <v xml:space="preserve">          5025 - PURCHASES @ COST-TEST FORMS</v>
      </c>
      <c r="C153" s="11"/>
      <c r="D153" s="2"/>
      <c r="E153" s="2"/>
      <c r="F153" s="19">
        <f t="shared" si="15"/>
        <v>0</v>
      </c>
      <c r="G153" s="2"/>
      <c r="H153" s="2"/>
      <c r="I153" s="2"/>
      <c r="J153" s="19">
        <f t="shared" si="16"/>
        <v>0</v>
      </c>
      <c r="K153" s="2"/>
      <c r="L153" s="2">
        <f t="shared" si="17"/>
        <v>0</v>
      </c>
      <c r="M153" s="2"/>
      <c r="N153" s="19">
        <f t="shared" si="18"/>
        <v>0</v>
      </c>
      <c r="O153" s="11"/>
      <c r="P153" s="2">
        <v>26400.390000000003</v>
      </c>
      <c r="Q153" s="2"/>
      <c r="R153" s="19">
        <f t="shared" si="19"/>
        <v>9.4119558731359883E-4</v>
      </c>
      <c r="S153" s="2"/>
      <c r="T153" s="2"/>
      <c r="U153" s="2"/>
      <c r="V153" s="19">
        <f t="shared" si="20"/>
        <v>0</v>
      </c>
      <c r="W153" s="2"/>
      <c r="X153" s="2">
        <f t="shared" si="21"/>
        <v>26400.390000000003</v>
      </c>
      <c r="Y153" s="2"/>
      <c r="Z153" s="19">
        <f t="shared" si="22"/>
        <v>0</v>
      </c>
    </row>
    <row r="154" spans="1:26" s="24" customFormat="1" hidden="1" outlineLevel="1" x14ac:dyDescent="0.25">
      <c r="A154" s="44"/>
      <c r="B154" s="11" t="str">
        <f>CONCATENATE("          ", "5026", " - ", "PURCHASES @ COST-WRITING INSTR")</f>
        <v xml:space="preserve">          5026 - PURCHASES @ COST-WRITING INSTR</v>
      </c>
      <c r="C154" s="11"/>
      <c r="D154" s="2">
        <v>-7248</v>
      </c>
      <c r="E154" s="2"/>
      <c r="F154" s="19">
        <f t="shared" si="15"/>
        <v>-1.431866448583608E-2</v>
      </c>
      <c r="G154" s="2"/>
      <c r="H154" s="2"/>
      <c r="I154" s="2"/>
      <c r="J154" s="19">
        <f t="shared" si="16"/>
        <v>0</v>
      </c>
      <c r="K154" s="2"/>
      <c r="L154" s="2">
        <f t="shared" si="17"/>
        <v>-7248</v>
      </c>
      <c r="M154" s="2"/>
      <c r="N154" s="19">
        <f t="shared" si="18"/>
        <v>0</v>
      </c>
      <c r="O154" s="11"/>
      <c r="P154" s="2">
        <v>44186.57</v>
      </c>
      <c r="Q154" s="2"/>
      <c r="R154" s="19">
        <f t="shared" si="19"/>
        <v>1.5752875128936898E-3</v>
      </c>
      <c r="S154" s="2"/>
      <c r="T154" s="2"/>
      <c r="U154" s="2"/>
      <c r="V154" s="19">
        <f t="shared" si="20"/>
        <v>0</v>
      </c>
      <c r="W154" s="2"/>
      <c r="X154" s="2">
        <f t="shared" si="21"/>
        <v>44186.57</v>
      </c>
      <c r="Y154" s="2"/>
      <c r="Z154" s="19">
        <f t="shared" si="22"/>
        <v>0</v>
      </c>
    </row>
    <row r="155" spans="1:26" s="24" customFormat="1" hidden="1" outlineLevel="1" x14ac:dyDescent="0.25">
      <c r="A155" s="44"/>
      <c r="B155" s="11" t="str">
        <f>CONCATENATE("          ", "5027", " - ", "PURCHASES @ COST-SCHOOL SUPPLI")</f>
        <v xml:space="preserve">          5027 - PURCHASES @ COST-SCHOOL SUPPLI</v>
      </c>
      <c r="C155" s="11"/>
      <c r="D155" s="2">
        <v>-2393.63</v>
      </c>
      <c r="E155" s="2"/>
      <c r="F155" s="19">
        <f t="shared" si="15"/>
        <v>-4.7286954847174144E-3</v>
      </c>
      <c r="G155" s="2"/>
      <c r="H155" s="2"/>
      <c r="I155" s="2"/>
      <c r="J155" s="19">
        <f t="shared" si="16"/>
        <v>0</v>
      </c>
      <c r="K155" s="2"/>
      <c r="L155" s="2">
        <f t="shared" si="17"/>
        <v>-2393.63</v>
      </c>
      <c r="M155" s="2"/>
      <c r="N155" s="19">
        <f t="shared" si="18"/>
        <v>0</v>
      </c>
      <c r="O155" s="11"/>
      <c r="P155" s="2">
        <v>141214.54</v>
      </c>
      <c r="Q155" s="2"/>
      <c r="R155" s="19">
        <f t="shared" si="19"/>
        <v>5.0344143367775885E-3</v>
      </c>
      <c r="S155" s="2"/>
      <c r="T155" s="2"/>
      <c r="U155" s="2"/>
      <c r="V155" s="19">
        <f t="shared" si="20"/>
        <v>0</v>
      </c>
      <c r="W155" s="2"/>
      <c r="X155" s="2">
        <f t="shared" si="21"/>
        <v>141214.54</v>
      </c>
      <c r="Y155" s="2"/>
      <c r="Z155" s="19">
        <f t="shared" si="22"/>
        <v>0</v>
      </c>
    </row>
    <row r="156" spans="1:26" s="24" customFormat="1" hidden="1" outlineLevel="1" x14ac:dyDescent="0.25">
      <c r="A156" s="44"/>
      <c r="B156" s="11" t="str">
        <f>CONCATENATE("          ", "5028", " - ", "PURCHASES @ COST-ART/TECH")</f>
        <v xml:space="preserve">          5028 - PURCHASES @ COST-ART/TECH</v>
      </c>
      <c r="C156" s="11"/>
      <c r="D156" s="2">
        <v>-60.3</v>
      </c>
      <c r="E156" s="2"/>
      <c r="F156" s="19">
        <f t="shared" si="15"/>
        <v>-1.1912465073067268E-4</v>
      </c>
      <c r="G156" s="2"/>
      <c r="H156" s="2"/>
      <c r="I156" s="2"/>
      <c r="J156" s="19">
        <f t="shared" si="16"/>
        <v>0</v>
      </c>
      <c r="K156" s="2"/>
      <c r="L156" s="2">
        <f t="shared" si="17"/>
        <v>-60.3</v>
      </c>
      <c r="M156" s="2"/>
      <c r="N156" s="19">
        <f t="shared" si="18"/>
        <v>0</v>
      </c>
      <c r="O156" s="11"/>
      <c r="P156" s="2">
        <v>159627.69</v>
      </c>
      <c r="Q156" s="2"/>
      <c r="R156" s="19">
        <f t="shared" si="19"/>
        <v>5.6908582578160047E-3</v>
      </c>
      <c r="S156" s="2"/>
      <c r="T156" s="2"/>
      <c r="U156" s="2"/>
      <c r="V156" s="19">
        <f t="shared" si="20"/>
        <v>0</v>
      </c>
      <c r="W156" s="2"/>
      <c r="X156" s="2">
        <f t="shared" si="21"/>
        <v>159627.69</v>
      </c>
      <c r="Y156" s="2"/>
      <c r="Z156" s="19">
        <f t="shared" si="22"/>
        <v>0</v>
      </c>
    </row>
    <row r="157" spans="1:26" s="24" customFormat="1" hidden="1" outlineLevel="1" x14ac:dyDescent="0.25">
      <c r="A157" s="44"/>
      <c r="B157" s="11" t="str">
        <f>CONCATENATE("          ", "5031", " - ", "PURCHASES @ COST-FOOD")</f>
        <v xml:space="preserve">          5031 - PURCHASES @ COST-FOOD</v>
      </c>
      <c r="C157" s="11"/>
      <c r="D157" s="2"/>
      <c r="E157" s="2"/>
      <c r="F157" s="19">
        <f t="shared" si="15"/>
        <v>0</v>
      </c>
      <c r="G157" s="2"/>
      <c r="H157" s="2"/>
      <c r="I157" s="2"/>
      <c r="J157" s="19">
        <f t="shared" si="16"/>
        <v>0</v>
      </c>
      <c r="K157" s="2"/>
      <c r="L157" s="2">
        <f t="shared" si="17"/>
        <v>0</v>
      </c>
      <c r="M157" s="2"/>
      <c r="N157" s="19">
        <f t="shared" si="18"/>
        <v>0</v>
      </c>
      <c r="O157" s="11"/>
      <c r="P157" s="2">
        <v>33239.879999999997</v>
      </c>
      <c r="Q157" s="2"/>
      <c r="R157" s="19">
        <f t="shared" si="19"/>
        <v>1.1850290233906978E-3</v>
      </c>
      <c r="S157" s="2"/>
      <c r="T157" s="2"/>
      <c r="U157" s="2"/>
      <c r="V157" s="19">
        <f t="shared" si="20"/>
        <v>0</v>
      </c>
      <c r="W157" s="2"/>
      <c r="X157" s="2">
        <f t="shared" si="21"/>
        <v>33239.879999999997</v>
      </c>
      <c r="Y157" s="2"/>
      <c r="Z157" s="19">
        <f t="shared" si="22"/>
        <v>0</v>
      </c>
    </row>
    <row r="158" spans="1:26" s="24" customFormat="1" hidden="1" outlineLevel="1" x14ac:dyDescent="0.25">
      <c r="A158" s="44"/>
      <c r="B158" s="11" t="str">
        <f>CONCATENATE("          ", "5032", " - ", "PURCHASES @ COST-JUICE")</f>
        <v xml:space="preserve">          5032 - PURCHASES @ COST-JUICE</v>
      </c>
      <c r="C158" s="11"/>
      <c r="D158" s="2"/>
      <c r="E158" s="2"/>
      <c r="F158" s="19">
        <f t="shared" si="15"/>
        <v>0</v>
      </c>
      <c r="G158" s="2"/>
      <c r="H158" s="2"/>
      <c r="I158" s="2"/>
      <c r="J158" s="19">
        <f t="shared" si="16"/>
        <v>0</v>
      </c>
      <c r="K158" s="2"/>
      <c r="L158" s="2">
        <f t="shared" si="17"/>
        <v>0</v>
      </c>
      <c r="M158" s="2"/>
      <c r="N158" s="19">
        <f t="shared" si="18"/>
        <v>0</v>
      </c>
      <c r="O158" s="11"/>
      <c r="P158" s="2">
        <v>7802.45</v>
      </c>
      <c r="Q158" s="2"/>
      <c r="R158" s="19">
        <f t="shared" si="19"/>
        <v>2.7816375099894315E-4</v>
      </c>
      <c r="S158" s="2"/>
      <c r="T158" s="2"/>
      <c r="U158" s="2"/>
      <c r="V158" s="19">
        <f t="shared" si="20"/>
        <v>0</v>
      </c>
      <c r="W158" s="2"/>
      <c r="X158" s="2">
        <f t="shared" si="21"/>
        <v>7802.45</v>
      </c>
      <c r="Y158" s="2"/>
      <c r="Z158" s="19">
        <f t="shared" si="22"/>
        <v>0</v>
      </c>
    </row>
    <row r="159" spans="1:26" s="24" customFormat="1" hidden="1" outlineLevel="1" x14ac:dyDescent="0.25">
      <c r="A159" s="44"/>
      <c r="B159" s="11" t="str">
        <f>CONCATENATE("          ", "5033", " - ", "PURCHASES @ COST-CANDY")</f>
        <v xml:space="preserve">          5033 - PURCHASES @ COST-CANDY</v>
      </c>
      <c r="C159" s="11"/>
      <c r="D159" s="2"/>
      <c r="E159" s="2"/>
      <c r="F159" s="19">
        <f t="shared" si="15"/>
        <v>0</v>
      </c>
      <c r="G159" s="2"/>
      <c r="H159" s="2"/>
      <c r="I159" s="2"/>
      <c r="J159" s="19">
        <f t="shared" si="16"/>
        <v>0</v>
      </c>
      <c r="K159" s="2"/>
      <c r="L159" s="2">
        <f t="shared" si="17"/>
        <v>0</v>
      </c>
      <c r="M159" s="2"/>
      <c r="N159" s="19">
        <f t="shared" si="18"/>
        <v>0</v>
      </c>
      <c r="O159" s="11"/>
      <c r="P159" s="2">
        <v>9998.41</v>
      </c>
      <c r="Q159" s="2"/>
      <c r="R159" s="19">
        <f t="shared" si="19"/>
        <v>3.5645152863848447E-4</v>
      </c>
      <c r="S159" s="2"/>
      <c r="T159" s="2"/>
      <c r="U159" s="2"/>
      <c r="V159" s="19">
        <f t="shared" si="20"/>
        <v>0</v>
      </c>
      <c r="W159" s="2"/>
      <c r="X159" s="2">
        <f t="shared" si="21"/>
        <v>9998.41</v>
      </c>
      <c r="Y159" s="2"/>
      <c r="Z159" s="19">
        <f t="shared" si="22"/>
        <v>0</v>
      </c>
    </row>
    <row r="160" spans="1:26" s="24" customFormat="1" hidden="1" outlineLevel="1" x14ac:dyDescent="0.25">
      <c r="A160" s="44"/>
      <c r="B160" s="11" t="str">
        <f>CONCATENATE("          ", "5034", " - ", "PURCHASES @ COST-SODA")</f>
        <v xml:space="preserve">          5034 - PURCHASES @ COST-SODA</v>
      </c>
      <c r="C160" s="11"/>
      <c r="D160" s="2"/>
      <c r="E160" s="2"/>
      <c r="F160" s="19">
        <f t="shared" si="15"/>
        <v>0</v>
      </c>
      <c r="G160" s="2"/>
      <c r="H160" s="2"/>
      <c r="I160" s="2"/>
      <c r="J160" s="19">
        <f t="shared" si="16"/>
        <v>0</v>
      </c>
      <c r="K160" s="2"/>
      <c r="L160" s="2">
        <f t="shared" si="17"/>
        <v>0</v>
      </c>
      <c r="M160" s="2"/>
      <c r="N160" s="19">
        <f t="shared" si="18"/>
        <v>0</v>
      </c>
      <c r="O160" s="11"/>
      <c r="P160" s="2">
        <v>4033.88</v>
      </c>
      <c r="Q160" s="2"/>
      <c r="R160" s="19">
        <f t="shared" si="19"/>
        <v>1.4381113520491856E-4</v>
      </c>
      <c r="S160" s="2"/>
      <c r="T160" s="2"/>
      <c r="U160" s="2"/>
      <c r="V160" s="19">
        <f t="shared" si="20"/>
        <v>0</v>
      </c>
      <c r="W160" s="2"/>
      <c r="X160" s="2">
        <f t="shared" si="21"/>
        <v>4033.88</v>
      </c>
      <c r="Y160" s="2"/>
      <c r="Z160" s="19">
        <f t="shared" si="22"/>
        <v>0</v>
      </c>
    </row>
    <row r="161" spans="1:26" s="24" customFormat="1" hidden="1" outlineLevel="1" x14ac:dyDescent="0.25">
      <c r="A161" s="44"/>
      <c r="B161" s="11" t="str">
        <f>CONCATENATE("          ", "5035", " - ", "PURCHASES @ COST-HEALTH &amp; BEAU")</f>
        <v xml:space="preserve">          5035 - PURCHASES @ COST-HEALTH &amp; BEAU</v>
      </c>
      <c r="C161" s="11"/>
      <c r="D161" s="2"/>
      <c r="E161" s="2"/>
      <c r="F161" s="19">
        <f t="shared" si="15"/>
        <v>0</v>
      </c>
      <c r="G161" s="2"/>
      <c r="H161" s="2"/>
      <c r="I161" s="2"/>
      <c r="J161" s="19">
        <f t="shared" si="16"/>
        <v>0</v>
      </c>
      <c r="K161" s="2"/>
      <c r="L161" s="2">
        <f t="shared" si="17"/>
        <v>0</v>
      </c>
      <c r="M161" s="2"/>
      <c r="N161" s="19">
        <f t="shared" si="18"/>
        <v>0</v>
      </c>
      <c r="O161" s="11"/>
      <c r="P161" s="2">
        <v>1117.6500000000001</v>
      </c>
      <c r="Q161" s="2"/>
      <c r="R161" s="19">
        <f t="shared" si="19"/>
        <v>3.9845140475615842E-5</v>
      </c>
      <c r="S161" s="2"/>
      <c r="T161" s="2"/>
      <c r="U161" s="2"/>
      <c r="V161" s="19">
        <f t="shared" si="20"/>
        <v>0</v>
      </c>
      <c r="W161" s="2"/>
      <c r="X161" s="2">
        <f t="shared" si="21"/>
        <v>1117.6500000000001</v>
      </c>
      <c r="Y161" s="2"/>
      <c r="Z161" s="19">
        <f t="shared" si="22"/>
        <v>0</v>
      </c>
    </row>
    <row r="162" spans="1:26" s="24" customFormat="1" hidden="1" outlineLevel="1" x14ac:dyDescent="0.25">
      <c r="A162" s="44"/>
      <c r="B162" s="11" t="str">
        <f>CONCATENATE("          ", "5037", " - ", "PURCHASES @ COST-WATER")</f>
        <v xml:space="preserve">          5037 - PURCHASES @ COST-WATER</v>
      </c>
      <c r="C162" s="11"/>
      <c r="D162" s="2"/>
      <c r="E162" s="2"/>
      <c r="F162" s="19">
        <f t="shared" si="15"/>
        <v>0</v>
      </c>
      <c r="G162" s="2"/>
      <c r="H162" s="2"/>
      <c r="I162" s="2"/>
      <c r="J162" s="19">
        <f t="shared" si="16"/>
        <v>0</v>
      </c>
      <c r="K162" s="2"/>
      <c r="L162" s="2">
        <f t="shared" si="17"/>
        <v>0</v>
      </c>
      <c r="M162" s="2"/>
      <c r="N162" s="19">
        <f t="shared" si="18"/>
        <v>0</v>
      </c>
      <c r="O162" s="11"/>
      <c r="P162" s="2">
        <v>5693.57</v>
      </c>
      <c r="Q162" s="2"/>
      <c r="R162" s="19">
        <f t="shared" si="19"/>
        <v>2.0298044688207584E-4</v>
      </c>
      <c r="S162" s="2"/>
      <c r="T162" s="2"/>
      <c r="U162" s="2"/>
      <c r="V162" s="19">
        <f t="shared" si="20"/>
        <v>0</v>
      </c>
      <c r="W162" s="2"/>
      <c r="X162" s="2">
        <f t="shared" si="21"/>
        <v>5693.57</v>
      </c>
      <c r="Y162" s="2"/>
      <c r="Z162" s="19">
        <f t="shared" si="22"/>
        <v>0</v>
      </c>
    </row>
    <row r="163" spans="1:26" s="24" customFormat="1" hidden="1" outlineLevel="1" x14ac:dyDescent="0.25">
      <c r="A163" s="44"/>
      <c r="B163" s="11" t="str">
        <f>CONCATENATE("          ", "5040", " - ", "PURCHASES @ COST-LOGO CLOTHING")</f>
        <v xml:space="preserve">          5040 - PURCHASES @ COST-LOGO CLOTHING</v>
      </c>
      <c r="C163" s="11"/>
      <c r="D163" s="2">
        <v>1557.89</v>
      </c>
      <c r="E163" s="2"/>
      <c r="F163" s="19">
        <f t="shared" si="15"/>
        <v>3.0776633851875238E-3</v>
      </c>
      <c r="G163" s="2"/>
      <c r="H163" s="2"/>
      <c r="I163" s="2"/>
      <c r="J163" s="19">
        <f t="shared" si="16"/>
        <v>0</v>
      </c>
      <c r="K163" s="2"/>
      <c r="L163" s="2">
        <f t="shared" si="17"/>
        <v>1557.89</v>
      </c>
      <c r="M163" s="2"/>
      <c r="N163" s="19">
        <f t="shared" si="18"/>
        <v>0</v>
      </c>
      <c r="O163" s="11"/>
      <c r="P163" s="2">
        <v>976469.33000000007</v>
      </c>
      <c r="Q163" s="2"/>
      <c r="R163" s="19">
        <f t="shared" si="19"/>
        <v>3.4811933632157191E-2</v>
      </c>
      <c r="S163" s="2"/>
      <c r="T163" s="2"/>
      <c r="U163" s="2"/>
      <c r="V163" s="19">
        <f t="shared" si="20"/>
        <v>0</v>
      </c>
      <c r="W163" s="2"/>
      <c r="X163" s="2">
        <f t="shared" si="21"/>
        <v>976469.33000000007</v>
      </c>
      <c r="Y163" s="2"/>
      <c r="Z163" s="19">
        <f t="shared" si="22"/>
        <v>0</v>
      </c>
    </row>
    <row r="164" spans="1:26" s="24" customFormat="1" hidden="1" outlineLevel="1" x14ac:dyDescent="0.25">
      <c r="A164" s="44"/>
      <c r="B164" s="11" t="str">
        <f>CONCATENATE("          ", "5041", " - ", "PURCHASES @ COST-LOGO GIFTS")</f>
        <v xml:space="preserve">          5041 - PURCHASES @ COST-LOGO GIFTS</v>
      </c>
      <c r="C164" s="11"/>
      <c r="D164" s="2">
        <v>4290.8100000000004</v>
      </c>
      <c r="E164" s="2"/>
      <c r="F164" s="19">
        <f t="shared" si="15"/>
        <v>8.4766375224158818E-3</v>
      </c>
      <c r="G164" s="2"/>
      <c r="H164" s="2"/>
      <c r="I164" s="2"/>
      <c r="J164" s="19">
        <f t="shared" si="16"/>
        <v>0</v>
      </c>
      <c r="K164" s="2"/>
      <c r="L164" s="2">
        <f t="shared" si="17"/>
        <v>4290.8100000000004</v>
      </c>
      <c r="M164" s="2"/>
      <c r="N164" s="19">
        <f t="shared" si="18"/>
        <v>0</v>
      </c>
      <c r="O164" s="11"/>
      <c r="P164" s="2">
        <v>149750.84</v>
      </c>
      <c r="Q164" s="2"/>
      <c r="R164" s="19">
        <f t="shared" si="19"/>
        <v>5.3387404430201508E-3</v>
      </c>
      <c r="S164" s="2"/>
      <c r="T164" s="2"/>
      <c r="U164" s="2"/>
      <c r="V164" s="19">
        <f t="shared" si="20"/>
        <v>0</v>
      </c>
      <c r="W164" s="2"/>
      <c r="X164" s="2">
        <f t="shared" si="21"/>
        <v>149750.84</v>
      </c>
      <c r="Y164" s="2"/>
      <c r="Z164" s="19">
        <f t="shared" si="22"/>
        <v>0</v>
      </c>
    </row>
    <row r="165" spans="1:26" s="24" customFormat="1" hidden="1" outlineLevel="1" x14ac:dyDescent="0.25">
      <c r="A165" s="44"/>
      <c r="B165" s="11" t="str">
        <f>CONCATENATE("          ", "5042", " - ", "PURCHASES @ COST-EVERYDAY GIFT")</f>
        <v xml:space="preserve">          5042 - PURCHASES @ COST-EVERYDAY GIFT</v>
      </c>
      <c r="C165" s="11"/>
      <c r="D165" s="2">
        <v>10730.16</v>
      </c>
      <c r="E165" s="2"/>
      <c r="F165" s="19">
        <f t="shared" si="15"/>
        <v>2.1197787102557791E-2</v>
      </c>
      <c r="G165" s="2"/>
      <c r="H165" s="2"/>
      <c r="I165" s="2"/>
      <c r="J165" s="19">
        <f t="shared" si="16"/>
        <v>0</v>
      </c>
      <c r="K165" s="2"/>
      <c r="L165" s="2">
        <f t="shared" si="17"/>
        <v>10730.16</v>
      </c>
      <c r="M165" s="2"/>
      <c r="N165" s="19">
        <f t="shared" si="18"/>
        <v>0</v>
      </c>
      <c r="O165" s="11"/>
      <c r="P165" s="2">
        <v>126615.2</v>
      </c>
      <c r="Q165" s="2"/>
      <c r="R165" s="19">
        <f t="shared" si="19"/>
        <v>4.5139358746908191E-3</v>
      </c>
      <c r="S165" s="2"/>
      <c r="T165" s="2"/>
      <c r="U165" s="2"/>
      <c r="V165" s="19">
        <f t="shared" si="20"/>
        <v>0</v>
      </c>
      <c r="W165" s="2"/>
      <c r="X165" s="2">
        <f t="shared" si="21"/>
        <v>126615.2</v>
      </c>
      <c r="Y165" s="2"/>
      <c r="Z165" s="19">
        <f t="shared" si="22"/>
        <v>0</v>
      </c>
    </row>
    <row r="166" spans="1:26" s="24" customFormat="1" hidden="1" outlineLevel="1" x14ac:dyDescent="0.25">
      <c r="A166" s="44"/>
      <c r="B166" s="11" t="str">
        <f>CONCATENATE("          ", "5043", " - ", "PURCHASES @ COST-CARDS")</f>
        <v xml:space="preserve">          5043 - PURCHASES @ COST-CARDS</v>
      </c>
      <c r="C166" s="11"/>
      <c r="D166" s="2"/>
      <c r="E166" s="2"/>
      <c r="F166" s="19">
        <f t="shared" si="15"/>
        <v>0</v>
      </c>
      <c r="G166" s="2"/>
      <c r="H166" s="2"/>
      <c r="I166" s="2"/>
      <c r="J166" s="19">
        <f t="shared" si="16"/>
        <v>0</v>
      </c>
      <c r="K166" s="2"/>
      <c r="L166" s="2">
        <f t="shared" si="17"/>
        <v>0</v>
      </c>
      <c r="M166" s="2"/>
      <c r="N166" s="19">
        <f t="shared" si="18"/>
        <v>0</v>
      </c>
      <c r="O166" s="11"/>
      <c r="P166" s="2">
        <v>30914.659999999996</v>
      </c>
      <c r="Q166" s="2"/>
      <c r="R166" s="19">
        <f t="shared" si="19"/>
        <v>1.1021330205841738E-3</v>
      </c>
      <c r="S166" s="2"/>
      <c r="T166" s="2"/>
      <c r="U166" s="2"/>
      <c r="V166" s="19">
        <f t="shared" si="20"/>
        <v>0</v>
      </c>
      <c r="W166" s="2"/>
      <c r="X166" s="2">
        <f t="shared" si="21"/>
        <v>30914.659999999996</v>
      </c>
      <c r="Y166" s="2"/>
      <c r="Z166" s="19">
        <f t="shared" si="22"/>
        <v>0</v>
      </c>
    </row>
    <row r="167" spans="1:26" s="24" customFormat="1" hidden="1" outlineLevel="1" x14ac:dyDescent="0.25">
      <c r="A167" s="44"/>
      <c r="B167" s="11" t="str">
        <f>CONCATENATE("          ", "5044", " - ", "PURCHASES @ COST-ACCESSORIES")</f>
        <v xml:space="preserve">          5044 - PURCHASES @ COST-ACCESSORIES</v>
      </c>
      <c r="C167" s="11"/>
      <c r="D167" s="2">
        <v>1395</v>
      </c>
      <c r="E167" s="2"/>
      <c r="F167" s="19">
        <f t="shared" si="15"/>
        <v>2.7558687855603384E-3</v>
      </c>
      <c r="G167" s="2"/>
      <c r="H167" s="2"/>
      <c r="I167" s="2"/>
      <c r="J167" s="19">
        <f t="shared" si="16"/>
        <v>0</v>
      </c>
      <c r="K167" s="2"/>
      <c r="L167" s="2">
        <f t="shared" si="17"/>
        <v>1395</v>
      </c>
      <c r="M167" s="2"/>
      <c r="N167" s="19">
        <f t="shared" si="18"/>
        <v>0</v>
      </c>
      <c r="O167" s="11"/>
      <c r="P167" s="2">
        <v>37869.03</v>
      </c>
      <c r="Q167" s="2"/>
      <c r="R167" s="19">
        <f t="shared" si="19"/>
        <v>1.3500620230173224E-3</v>
      </c>
      <c r="S167" s="2"/>
      <c r="T167" s="2"/>
      <c r="U167" s="2"/>
      <c r="V167" s="19">
        <f t="shared" si="20"/>
        <v>0</v>
      </c>
      <c r="W167" s="2"/>
      <c r="X167" s="2">
        <f t="shared" si="21"/>
        <v>37869.03</v>
      </c>
      <c r="Y167" s="2"/>
      <c r="Z167" s="19">
        <f t="shared" si="22"/>
        <v>0</v>
      </c>
    </row>
    <row r="168" spans="1:26" s="24" customFormat="1" hidden="1" outlineLevel="1" x14ac:dyDescent="0.25">
      <c r="A168" s="44"/>
      <c r="B168" s="11" t="str">
        <f>CONCATENATE("          ", "5045", " - ", "PURCHASES @ COST-SPECIAL ORDER")</f>
        <v xml:space="preserve">          5045 - PURCHASES @ COST-SPECIAL ORDER</v>
      </c>
      <c r="C168" s="11"/>
      <c r="D168" s="2">
        <v>16919.25</v>
      </c>
      <c r="E168" s="2"/>
      <c r="F168" s="19">
        <f t="shared" si="15"/>
        <v>3.3424539749169715E-2</v>
      </c>
      <c r="G168" s="2"/>
      <c r="H168" s="2"/>
      <c r="I168" s="2"/>
      <c r="J168" s="19">
        <f t="shared" si="16"/>
        <v>0</v>
      </c>
      <c r="K168" s="2"/>
      <c r="L168" s="2">
        <f t="shared" si="17"/>
        <v>16919.25</v>
      </c>
      <c r="M168" s="2"/>
      <c r="N168" s="19">
        <f t="shared" si="18"/>
        <v>0</v>
      </c>
      <c r="O168" s="11"/>
      <c r="P168" s="2">
        <v>78842.399999999994</v>
      </c>
      <c r="Q168" s="2"/>
      <c r="R168" s="19">
        <f t="shared" si="19"/>
        <v>2.8107963167670505E-3</v>
      </c>
      <c r="S168" s="2"/>
      <c r="T168" s="2"/>
      <c r="U168" s="2"/>
      <c r="V168" s="19">
        <f t="shared" si="20"/>
        <v>0</v>
      </c>
      <c r="W168" s="2"/>
      <c r="X168" s="2">
        <f t="shared" si="21"/>
        <v>78842.399999999994</v>
      </c>
      <c r="Y168" s="2"/>
      <c r="Z168" s="19">
        <f t="shared" si="22"/>
        <v>0</v>
      </c>
    </row>
    <row r="169" spans="1:26" s="24" customFormat="1" hidden="1" outlineLevel="1" x14ac:dyDescent="0.25">
      <c r="A169" s="44"/>
      <c r="B169" s="11" t="str">
        <f>CONCATENATE("          ", "5053", " - ", "PURCHASES @ COST-FOOD")</f>
        <v xml:space="preserve">          5053 - PURCHASES @ COST-FOOD</v>
      </c>
      <c r="C169" s="11"/>
      <c r="D169" s="2">
        <v>16470.769999999997</v>
      </c>
      <c r="E169" s="2"/>
      <c r="F169" s="19">
        <f t="shared" si="15"/>
        <v>3.2538552628776807E-2</v>
      </c>
      <c r="G169" s="2"/>
      <c r="H169" s="2"/>
      <c r="I169" s="2"/>
      <c r="J169" s="19">
        <f t="shared" si="16"/>
        <v>0</v>
      </c>
      <c r="K169" s="2"/>
      <c r="L169" s="2">
        <f t="shared" si="17"/>
        <v>16470.769999999997</v>
      </c>
      <c r="M169" s="2"/>
      <c r="N169" s="19">
        <f t="shared" si="18"/>
        <v>0</v>
      </c>
      <c r="O169" s="11"/>
      <c r="P169" s="2">
        <v>4932103.71</v>
      </c>
      <c r="Q169" s="2"/>
      <c r="R169" s="19">
        <f t="shared" si="19"/>
        <v>0.17583354821747063</v>
      </c>
      <c r="S169" s="2"/>
      <c r="T169" s="2"/>
      <c r="U169" s="2"/>
      <c r="V169" s="19">
        <f t="shared" si="20"/>
        <v>0</v>
      </c>
      <c r="W169" s="2"/>
      <c r="X169" s="2">
        <f t="shared" si="21"/>
        <v>4932103.71</v>
      </c>
      <c r="Y169" s="2"/>
      <c r="Z169" s="19">
        <f t="shared" si="22"/>
        <v>0</v>
      </c>
    </row>
    <row r="170" spans="1:26" s="24" customFormat="1" hidden="1" outlineLevel="1" x14ac:dyDescent="0.25">
      <c r="A170" s="44"/>
      <c r="B170" s="11" t="str">
        <f>CONCATENATE("          ", "5059", " - ", "PURCHASES @ COST-FOOD")</f>
        <v xml:space="preserve">          5059 - PURCHASES @ COST-FOOD</v>
      </c>
      <c r="C170" s="11"/>
      <c r="D170" s="2">
        <v>25568</v>
      </c>
      <c r="E170" s="2"/>
      <c r="F170" s="19">
        <f t="shared" si="15"/>
        <v>5.0510432336348908E-2</v>
      </c>
      <c r="G170" s="2"/>
      <c r="H170" s="2"/>
      <c r="I170" s="2"/>
      <c r="J170" s="19">
        <f t="shared" si="16"/>
        <v>0</v>
      </c>
      <c r="K170" s="2"/>
      <c r="L170" s="2">
        <f t="shared" si="17"/>
        <v>25568</v>
      </c>
      <c r="M170" s="2"/>
      <c r="N170" s="19">
        <f t="shared" si="18"/>
        <v>0</v>
      </c>
      <c r="O170" s="11"/>
      <c r="P170" s="2">
        <v>140201.53</v>
      </c>
      <c r="Q170" s="2"/>
      <c r="R170" s="19">
        <f t="shared" si="19"/>
        <v>4.998299698247455E-3</v>
      </c>
      <c r="S170" s="2"/>
      <c r="T170" s="2"/>
      <c r="U170" s="2"/>
      <c r="V170" s="19">
        <f t="shared" si="20"/>
        <v>0</v>
      </c>
      <c r="W170" s="2"/>
      <c r="X170" s="2">
        <f t="shared" si="21"/>
        <v>140201.53</v>
      </c>
      <c r="Y170" s="2"/>
      <c r="Z170" s="19">
        <f t="shared" si="22"/>
        <v>0</v>
      </c>
    </row>
    <row r="171" spans="1:26" s="24" customFormat="1" hidden="1" outlineLevel="1" x14ac:dyDescent="0.25">
      <c r="A171" s="44"/>
      <c r="B171" s="11" t="str">
        <f>CONCATENATE("          ", "5081", " - ", "PURCHASES @ COST-ELECTRONICS")</f>
        <v xml:space="preserve">          5081 - PURCHASES @ COST-ELECTRONICS</v>
      </c>
      <c r="C171" s="11"/>
      <c r="D171" s="2">
        <v>1637.44</v>
      </c>
      <c r="E171" s="2"/>
      <c r="F171" s="19">
        <f t="shared" si="15"/>
        <v>3.2348170496257493E-3</v>
      </c>
      <c r="G171" s="2"/>
      <c r="H171" s="2"/>
      <c r="I171" s="2"/>
      <c r="J171" s="19">
        <f t="shared" si="16"/>
        <v>0</v>
      </c>
      <c r="K171" s="2"/>
      <c r="L171" s="2">
        <f t="shared" si="17"/>
        <v>1637.44</v>
      </c>
      <c r="M171" s="2"/>
      <c r="N171" s="19">
        <f t="shared" si="18"/>
        <v>0</v>
      </c>
      <c r="O171" s="11"/>
      <c r="P171" s="2">
        <v>260469.61000000002</v>
      </c>
      <c r="Q171" s="2"/>
      <c r="R171" s="19">
        <f t="shared" si="19"/>
        <v>9.285955531766539E-3</v>
      </c>
      <c r="S171" s="2"/>
      <c r="T171" s="2"/>
      <c r="U171" s="2"/>
      <c r="V171" s="19">
        <f t="shared" si="20"/>
        <v>0</v>
      </c>
      <c r="W171" s="2"/>
      <c r="X171" s="2">
        <f t="shared" si="21"/>
        <v>260469.61000000002</v>
      </c>
      <c r="Y171" s="2"/>
      <c r="Z171" s="19">
        <f t="shared" si="22"/>
        <v>0</v>
      </c>
    </row>
    <row r="172" spans="1:26" s="24" customFormat="1" hidden="1" outlineLevel="1" x14ac:dyDescent="0.25">
      <c r="A172" s="44"/>
      <c r="B172" s="11" t="str">
        <f>CONCATENATE("          ", "5082", " - ", "PURCHASES @ COST-COMPUTER HARD")</f>
        <v xml:space="preserve">          5082 - PURCHASES @ COST-COMPUTER HARD</v>
      </c>
      <c r="C172" s="11"/>
      <c r="D172" s="2">
        <v>140818.03</v>
      </c>
      <c r="E172" s="2"/>
      <c r="F172" s="19">
        <f t="shared" si="15"/>
        <v>0.27819069055275936</v>
      </c>
      <c r="G172" s="2"/>
      <c r="H172" s="2"/>
      <c r="I172" s="2"/>
      <c r="J172" s="19">
        <f t="shared" si="16"/>
        <v>0</v>
      </c>
      <c r="K172" s="2"/>
      <c r="L172" s="2">
        <f t="shared" si="17"/>
        <v>140818.03</v>
      </c>
      <c r="M172" s="2"/>
      <c r="N172" s="19">
        <f t="shared" si="18"/>
        <v>0</v>
      </c>
      <c r="O172" s="11"/>
      <c r="P172" s="2">
        <v>1641649.9</v>
      </c>
      <c r="Q172" s="2"/>
      <c r="R172" s="19">
        <f t="shared" si="19"/>
        <v>5.8526167295021421E-2</v>
      </c>
      <c r="S172" s="2"/>
      <c r="T172" s="2"/>
      <c r="U172" s="2"/>
      <c r="V172" s="19">
        <f t="shared" si="20"/>
        <v>0</v>
      </c>
      <c r="W172" s="2"/>
      <c r="X172" s="2">
        <f t="shared" si="21"/>
        <v>1641649.9</v>
      </c>
      <c r="Y172" s="2"/>
      <c r="Z172" s="19">
        <f t="shared" si="22"/>
        <v>0</v>
      </c>
    </row>
    <row r="173" spans="1:26" s="24" customFormat="1" hidden="1" outlineLevel="1" x14ac:dyDescent="0.25">
      <c r="A173" s="44"/>
      <c r="B173" s="11" t="str">
        <f>CONCATENATE("          ", "5083", " - ", "PURCHASES @ COST-COMPUTER EQUI")</f>
        <v xml:space="preserve">          5083 - PURCHASES @ COST-COMPUTER EQUI</v>
      </c>
      <c r="C173" s="11"/>
      <c r="D173" s="2">
        <v>14533.49</v>
      </c>
      <c r="E173" s="2"/>
      <c r="F173" s="19">
        <f t="shared" si="15"/>
        <v>2.8711391710575858E-2</v>
      </c>
      <c r="G173" s="2"/>
      <c r="H173" s="2"/>
      <c r="I173" s="2"/>
      <c r="J173" s="19">
        <f t="shared" si="16"/>
        <v>0</v>
      </c>
      <c r="K173" s="2"/>
      <c r="L173" s="2">
        <f t="shared" si="17"/>
        <v>14533.49</v>
      </c>
      <c r="M173" s="2"/>
      <c r="N173" s="19">
        <f t="shared" si="18"/>
        <v>0</v>
      </c>
      <c r="O173" s="11"/>
      <c r="P173" s="2">
        <v>94945.82</v>
      </c>
      <c r="Q173" s="2"/>
      <c r="R173" s="19">
        <f t="shared" si="19"/>
        <v>3.3848964662215684E-3</v>
      </c>
      <c r="S173" s="2"/>
      <c r="T173" s="2"/>
      <c r="U173" s="2"/>
      <c r="V173" s="19">
        <f t="shared" si="20"/>
        <v>0</v>
      </c>
      <c r="W173" s="2"/>
      <c r="X173" s="2">
        <f t="shared" si="21"/>
        <v>94945.82</v>
      </c>
      <c r="Y173" s="2"/>
      <c r="Z173" s="19">
        <f t="shared" si="22"/>
        <v>0</v>
      </c>
    </row>
    <row r="174" spans="1:26" s="24" customFormat="1" hidden="1" outlineLevel="1" x14ac:dyDescent="0.25">
      <c r="A174" s="44"/>
      <c r="B174" s="11" t="str">
        <f>CONCATENATE("          ", "5084", " - ", "PURCHASES @ COST-SOFTWARE LICE")</f>
        <v xml:space="preserve">          5084 - PURCHASES @ COST-SOFTWARE LICE</v>
      </c>
      <c r="C174" s="11"/>
      <c r="D174" s="2"/>
      <c r="E174" s="2"/>
      <c r="F174" s="19">
        <f t="shared" si="15"/>
        <v>0</v>
      </c>
      <c r="G174" s="2"/>
      <c r="H174" s="2"/>
      <c r="I174" s="2"/>
      <c r="J174" s="19">
        <f t="shared" si="16"/>
        <v>0</v>
      </c>
      <c r="K174" s="2"/>
      <c r="L174" s="2">
        <f t="shared" si="17"/>
        <v>0</v>
      </c>
      <c r="M174" s="2"/>
      <c r="N174" s="19">
        <f t="shared" si="18"/>
        <v>0</v>
      </c>
      <c r="O174" s="11"/>
      <c r="P174" s="2">
        <v>2728</v>
      </c>
      <c r="Q174" s="2"/>
      <c r="R174" s="19">
        <f t="shared" si="19"/>
        <v>9.7255440627638356E-5</v>
      </c>
      <c r="S174" s="2"/>
      <c r="T174" s="2"/>
      <c r="U174" s="2"/>
      <c r="V174" s="19">
        <f t="shared" si="20"/>
        <v>0</v>
      </c>
      <c r="W174" s="2"/>
      <c r="X174" s="2">
        <f t="shared" si="21"/>
        <v>2728</v>
      </c>
      <c r="Y174" s="2"/>
      <c r="Z174" s="19">
        <f t="shared" si="22"/>
        <v>0</v>
      </c>
    </row>
    <row r="175" spans="1:26" s="24" customFormat="1" hidden="1" outlineLevel="1" x14ac:dyDescent="0.25">
      <c r="A175" s="44"/>
      <c r="B175" s="11" t="str">
        <f>CONCATENATE("          ", "5085", " - ", "PURCHASES @ COST-SOFTWARE")</f>
        <v xml:space="preserve">          5085 - PURCHASES @ COST-SOFTWARE</v>
      </c>
      <c r="C175" s="11"/>
      <c r="D175" s="2">
        <v>3661.64</v>
      </c>
      <c r="E175" s="2"/>
      <c r="F175" s="19">
        <f t="shared" si="15"/>
        <v>7.2336913117986784E-3</v>
      </c>
      <c r="G175" s="2"/>
      <c r="H175" s="2"/>
      <c r="I175" s="2"/>
      <c r="J175" s="19">
        <f t="shared" si="16"/>
        <v>0</v>
      </c>
      <c r="K175" s="2"/>
      <c r="L175" s="2">
        <f t="shared" si="17"/>
        <v>3661.64</v>
      </c>
      <c r="M175" s="2"/>
      <c r="N175" s="19">
        <f t="shared" si="18"/>
        <v>0</v>
      </c>
      <c r="O175" s="11"/>
      <c r="P175" s="2">
        <v>15328.14</v>
      </c>
      <c r="Q175" s="2"/>
      <c r="R175" s="19">
        <f t="shared" si="19"/>
        <v>5.4646078068259845E-4</v>
      </c>
      <c r="S175" s="2"/>
      <c r="T175" s="2"/>
      <c r="U175" s="2"/>
      <c r="V175" s="19">
        <f t="shared" si="20"/>
        <v>0</v>
      </c>
      <c r="W175" s="2"/>
      <c r="X175" s="2">
        <f t="shared" si="21"/>
        <v>15328.14</v>
      </c>
      <c r="Y175" s="2"/>
      <c r="Z175" s="19">
        <f t="shared" si="22"/>
        <v>0</v>
      </c>
    </row>
    <row r="176" spans="1:26" s="24" customFormat="1" hidden="1" outlineLevel="1" x14ac:dyDescent="0.25">
      <c r="A176" s="44"/>
      <c r="B176" s="11" t="str">
        <f>CONCATENATE("          ", "5086", " - ", "PURCHASES @ COST-COMPUTER SUPP")</f>
        <v xml:space="preserve">          5086 - PURCHASES @ COST-COMPUTER SUPP</v>
      </c>
      <c r="C176" s="11"/>
      <c r="D176" s="2">
        <v>-67.5</v>
      </c>
      <c r="E176" s="2"/>
      <c r="F176" s="19">
        <f t="shared" si="15"/>
        <v>-1.3334848962388734E-4</v>
      </c>
      <c r="G176" s="2"/>
      <c r="H176" s="2"/>
      <c r="I176" s="2"/>
      <c r="J176" s="19">
        <f t="shared" si="16"/>
        <v>0</v>
      </c>
      <c r="K176" s="2"/>
      <c r="L176" s="2">
        <f t="shared" si="17"/>
        <v>-67.5</v>
      </c>
      <c r="M176" s="2"/>
      <c r="N176" s="19">
        <f t="shared" si="18"/>
        <v>0</v>
      </c>
      <c r="O176" s="11"/>
      <c r="P176" s="2">
        <v>30309.27</v>
      </c>
      <c r="Q176" s="2"/>
      <c r="R176" s="19">
        <f t="shared" si="19"/>
        <v>1.0805503698504621E-3</v>
      </c>
      <c r="S176" s="2"/>
      <c r="T176" s="2"/>
      <c r="U176" s="2"/>
      <c r="V176" s="19">
        <f t="shared" si="20"/>
        <v>0</v>
      </c>
      <c r="W176" s="2"/>
      <c r="X176" s="2">
        <f t="shared" si="21"/>
        <v>30309.27</v>
      </c>
      <c r="Y176" s="2"/>
      <c r="Z176" s="19">
        <f t="shared" si="22"/>
        <v>0</v>
      </c>
    </row>
    <row r="177" spans="1:26" s="24" customFormat="1" hidden="1" outlineLevel="1" x14ac:dyDescent="0.25">
      <c r="A177" s="44"/>
      <c r="B177" s="11" t="str">
        <f>CONCATENATE("          ", "5088", " - ", "PURCHASES @ COST-MUSIC")</f>
        <v xml:space="preserve">          5088 - PURCHASES @ COST-MUSIC</v>
      </c>
      <c r="C177" s="11"/>
      <c r="D177" s="2"/>
      <c r="E177" s="2"/>
      <c r="F177" s="19">
        <f t="shared" si="15"/>
        <v>0</v>
      </c>
      <c r="G177" s="2"/>
      <c r="H177" s="2"/>
      <c r="I177" s="2"/>
      <c r="J177" s="19">
        <f t="shared" si="16"/>
        <v>0</v>
      </c>
      <c r="K177" s="2"/>
      <c r="L177" s="2">
        <f t="shared" si="17"/>
        <v>0</v>
      </c>
      <c r="M177" s="2"/>
      <c r="N177" s="19">
        <f t="shared" si="18"/>
        <v>0</v>
      </c>
      <c r="O177" s="11"/>
      <c r="P177" s="2">
        <v>95.65</v>
      </c>
      <c r="Q177" s="2"/>
      <c r="R177" s="19">
        <f t="shared" si="19"/>
        <v>3.4100010615958977E-6</v>
      </c>
      <c r="S177" s="2"/>
      <c r="T177" s="2"/>
      <c r="U177" s="2"/>
      <c r="V177" s="19">
        <f t="shared" si="20"/>
        <v>0</v>
      </c>
      <c r="W177" s="2"/>
      <c r="X177" s="2">
        <f t="shared" si="21"/>
        <v>95.65</v>
      </c>
      <c r="Y177" s="2"/>
      <c r="Z177" s="19">
        <f t="shared" si="22"/>
        <v>0</v>
      </c>
    </row>
    <row r="178" spans="1:26" s="24" customFormat="1" hidden="1" outlineLevel="1" x14ac:dyDescent="0.25">
      <c r="A178" s="44"/>
      <c r="B178" s="11" t="str">
        <f>CONCATENATE("          ", "5092", " - ", "PURCHASES @ COST-GRAD MERCH")</f>
        <v xml:space="preserve">          5092 - PURCHASES @ COST-GRAD MERCH</v>
      </c>
      <c r="C178" s="11"/>
      <c r="D178" s="2">
        <v>-3999.6</v>
      </c>
      <c r="E178" s="2"/>
      <c r="F178" s="19">
        <f t="shared" si="15"/>
        <v>-7.901342505180738E-3</v>
      </c>
      <c r="G178" s="2"/>
      <c r="H178" s="2"/>
      <c r="I178" s="2"/>
      <c r="J178" s="19">
        <f t="shared" si="16"/>
        <v>0</v>
      </c>
      <c r="K178" s="2"/>
      <c r="L178" s="2">
        <f t="shared" si="17"/>
        <v>-3999.6</v>
      </c>
      <c r="M178" s="2"/>
      <c r="N178" s="19">
        <f t="shared" si="18"/>
        <v>0</v>
      </c>
      <c r="O178" s="11"/>
      <c r="P178" s="2">
        <v>4485.88</v>
      </c>
      <c r="Q178" s="2"/>
      <c r="R178" s="19">
        <f t="shared" si="19"/>
        <v>1.5992530645260643E-4</v>
      </c>
      <c r="S178" s="2"/>
      <c r="T178" s="2"/>
      <c r="U178" s="2"/>
      <c r="V178" s="19">
        <f t="shared" si="20"/>
        <v>0</v>
      </c>
      <c r="W178" s="2"/>
      <c r="X178" s="2">
        <f t="shared" si="21"/>
        <v>4485.88</v>
      </c>
      <c r="Y178" s="2"/>
      <c r="Z178" s="19">
        <f t="shared" si="22"/>
        <v>0</v>
      </c>
    </row>
    <row r="179" spans="1:26" s="24" customFormat="1" hidden="1" outlineLevel="1" x14ac:dyDescent="0.25">
      <c r="A179" s="44"/>
      <c r="B179" s="11" t="str">
        <f>CONCATENATE("          ", "5095", " - ", "PURCHASES @ COST-CUSTOMER SERV")</f>
        <v xml:space="preserve">          5095 - PURCHASES @ COST-CUSTOMER SERV</v>
      </c>
      <c r="C179" s="11"/>
      <c r="D179" s="2"/>
      <c r="E179" s="2"/>
      <c r="F179" s="19">
        <f t="shared" si="15"/>
        <v>0</v>
      </c>
      <c r="G179" s="2"/>
      <c r="H179" s="2"/>
      <c r="I179" s="2"/>
      <c r="J179" s="19">
        <f t="shared" si="16"/>
        <v>0</v>
      </c>
      <c r="K179" s="2"/>
      <c r="L179" s="2">
        <f t="shared" si="17"/>
        <v>0</v>
      </c>
      <c r="M179" s="2"/>
      <c r="N179" s="19">
        <f t="shared" si="18"/>
        <v>0</v>
      </c>
      <c r="O179" s="11"/>
      <c r="P179" s="2">
        <v>0</v>
      </c>
      <c r="Q179" s="2"/>
      <c r="R179" s="19">
        <f t="shared" si="19"/>
        <v>0</v>
      </c>
      <c r="S179" s="2"/>
      <c r="T179" s="2"/>
      <c r="U179" s="2"/>
      <c r="V179" s="19">
        <f t="shared" si="20"/>
        <v>0</v>
      </c>
      <c r="W179" s="2"/>
      <c r="X179" s="2">
        <f t="shared" si="21"/>
        <v>0</v>
      </c>
      <c r="Y179" s="2"/>
      <c r="Z179" s="19">
        <f t="shared" si="22"/>
        <v>0</v>
      </c>
    </row>
    <row r="180" spans="1:26" s="24" customFormat="1" hidden="1" outlineLevel="1" x14ac:dyDescent="0.25">
      <c r="A180" s="44"/>
      <c r="B180" s="11" t="str">
        <f>CONCATENATE("          ", "5200", " - ", "PURCHASES OFFSET")</f>
        <v xml:space="preserve">          5200 - PURCHASES OFFSET</v>
      </c>
      <c r="C180" s="11"/>
      <c r="D180" s="2">
        <v>-217306</v>
      </c>
      <c r="E180" s="2"/>
      <c r="F180" s="19">
        <f t="shared" si="15"/>
        <v>-0.42929521312901425</v>
      </c>
      <c r="G180" s="2"/>
      <c r="H180" s="2"/>
      <c r="I180" s="2"/>
      <c r="J180" s="19">
        <f t="shared" si="16"/>
        <v>0</v>
      </c>
      <c r="K180" s="2"/>
      <c r="L180" s="2">
        <f t="shared" si="17"/>
        <v>-217306</v>
      </c>
      <c r="M180" s="2"/>
      <c r="N180" s="19">
        <f t="shared" si="18"/>
        <v>0</v>
      </c>
      <c r="O180" s="11"/>
      <c r="P180" s="2">
        <v>-5517897</v>
      </c>
      <c r="Q180" s="2"/>
      <c r="R180" s="19">
        <f t="shared" si="19"/>
        <v>-0.19671756014403366</v>
      </c>
      <c r="S180" s="2"/>
      <c r="T180" s="2"/>
      <c r="U180" s="2"/>
      <c r="V180" s="19">
        <f t="shared" si="20"/>
        <v>0</v>
      </c>
      <c r="W180" s="2"/>
      <c r="X180" s="2">
        <f t="shared" si="21"/>
        <v>-5517897</v>
      </c>
      <c r="Y180" s="2"/>
      <c r="Z180" s="19">
        <f t="shared" si="22"/>
        <v>0</v>
      </c>
    </row>
    <row r="181" spans="1:26" s="24" customFormat="1" hidden="1" outlineLevel="1" x14ac:dyDescent="0.25">
      <c r="A181" s="44"/>
      <c r="B181" s="11" t="str">
        <f>CONCATENATE("          ", "5300", " - ", "COG$ OFFSET")</f>
        <v xml:space="preserve">          5300 - COG$ OFFSET</v>
      </c>
      <c r="C181" s="11"/>
      <c r="D181" s="2">
        <v>237794.99999999997</v>
      </c>
      <c r="E181" s="2"/>
      <c r="F181" s="19">
        <f t="shared" si="15"/>
        <v>0.46977191244610794</v>
      </c>
      <c r="G181" s="2"/>
      <c r="H181" s="2"/>
      <c r="I181" s="2"/>
      <c r="J181" s="19">
        <f t="shared" si="16"/>
        <v>0</v>
      </c>
      <c r="K181" s="2"/>
      <c r="L181" s="2">
        <f t="shared" si="17"/>
        <v>237794.99999999997</v>
      </c>
      <c r="M181" s="2"/>
      <c r="N181" s="19">
        <f t="shared" si="18"/>
        <v>0</v>
      </c>
      <c r="O181" s="11"/>
      <c r="P181" s="2">
        <v>6157688.4699999997</v>
      </c>
      <c r="Q181" s="2"/>
      <c r="R181" s="19">
        <f t="shared" si="19"/>
        <v>0.21952665153870171</v>
      </c>
      <c r="S181" s="2"/>
      <c r="T181" s="2"/>
      <c r="U181" s="2"/>
      <c r="V181" s="19">
        <f t="shared" si="20"/>
        <v>0</v>
      </c>
      <c r="W181" s="2"/>
      <c r="X181" s="2">
        <f t="shared" si="21"/>
        <v>6157688.4699999997</v>
      </c>
      <c r="Y181" s="2"/>
      <c r="Z181" s="19">
        <f t="shared" si="22"/>
        <v>0</v>
      </c>
    </row>
    <row r="182" spans="1:26" s="24" customFormat="1" hidden="1" outlineLevel="1" x14ac:dyDescent="0.25">
      <c r="A182" s="44"/>
      <c r="B182" s="11" t="str">
        <f>CONCATENATE("          ", "5500", " - ", "FREIGHT-IN")</f>
        <v xml:space="preserve">          5500 - FREIGHT-IN</v>
      </c>
      <c r="C182" s="11"/>
      <c r="D182" s="2"/>
      <c r="E182" s="2"/>
      <c r="F182" s="19">
        <f t="shared" si="15"/>
        <v>0</v>
      </c>
      <c r="G182" s="2"/>
      <c r="H182" s="2"/>
      <c r="I182" s="2"/>
      <c r="J182" s="19">
        <f t="shared" si="16"/>
        <v>0</v>
      </c>
      <c r="K182" s="2"/>
      <c r="L182" s="2">
        <f t="shared" si="17"/>
        <v>0</v>
      </c>
      <c r="M182" s="2"/>
      <c r="N182" s="19">
        <f t="shared" si="18"/>
        <v>0</v>
      </c>
      <c r="O182" s="11"/>
      <c r="P182" s="2">
        <v>156.47999999999999</v>
      </c>
      <c r="Q182" s="2"/>
      <c r="R182" s="19">
        <f t="shared" si="19"/>
        <v>5.5786405239783171E-6</v>
      </c>
      <c r="S182" s="2"/>
      <c r="T182" s="2"/>
      <c r="U182" s="2"/>
      <c r="V182" s="19">
        <f t="shared" si="20"/>
        <v>0</v>
      </c>
      <c r="W182" s="2"/>
      <c r="X182" s="2">
        <f t="shared" si="21"/>
        <v>156.47999999999999</v>
      </c>
      <c r="Y182" s="2"/>
      <c r="Z182" s="19">
        <f t="shared" si="22"/>
        <v>0</v>
      </c>
    </row>
    <row r="183" spans="1:26" s="24" customFormat="1" hidden="1" outlineLevel="1" x14ac:dyDescent="0.25">
      <c r="A183" s="44"/>
      <c r="B183" s="11" t="str">
        <f>CONCATENATE("          ", "5501", " - ", "FREIGHT-IN-NEW TEXT")</f>
        <v xml:space="preserve">          5501 - FREIGHT-IN-NEW TEXT</v>
      </c>
      <c r="C183" s="11"/>
      <c r="D183" s="2">
        <v>-21.22</v>
      </c>
      <c r="E183" s="2"/>
      <c r="F183" s="19">
        <f t="shared" si="15"/>
        <v>-4.1920814071390951E-5</v>
      </c>
      <c r="G183" s="2"/>
      <c r="H183" s="2"/>
      <c r="I183" s="2"/>
      <c r="J183" s="19">
        <f t="shared" si="16"/>
        <v>0</v>
      </c>
      <c r="K183" s="2"/>
      <c r="L183" s="2">
        <f t="shared" si="17"/>
        <v>-21.22</v>
      </c>
      <c r="M183" s="2"/>
      <c r="N183" s="19">
        <f t="shared" si="18"/>
        <v>0</v>
      </c>
      <c r="O183" s="11"/>
      <c r="P183" s="2">
        <v>69747.73000000001</v>
      </c>
      <c r="Q183" s="2"/>
      <c r="R183" s="19">
        <f t="shared" si="19"/>
        <v>2.4865638614103929E-3</v>
      </c>
      <c r="S183" s="2"/>
      <c r="T183" s="2"/>
      <c r="U183" s="2"/>
      <c r="V183" s="19">
        <f t="shared" si="20"/>
        <v>0</v>
      </c>
      <c r="W183" s="2"/>
      <c r="X183" s="2">
        <f t="shared" si="21"/>
        <v>69747.73000000001</v>
      </c>
      <c r="Y183" s="2"/>
      <c r="Z183" s="19">
        <f t="shared" si="22"/>
        <v>0</v>
      </c>
    </row>
    <row r="184" spans="1:26" s="24" customFormat="1" hidden="1" outlineLevel="1" x14ac:dyDescent="0.25">
      <c r="A184" s="44"/>
      <c r="B184" s="11" t="str">
        <f>CONCATENATE("          ", "5502", " - ", "FREIGHT-IN-USED TEXT")</f>
        <v xml:space="preserve">          5502 - FREIGHT-IN-USED TEXT</v>
      </c>
      <c r="C184" s="11"/>
      <c r="D184" s="2">
        <v>379.42</v>
      </c>
      <c r="E184" s="2"/>
      <c r="F184" s="19">
        <f t="shared" si="15"/>
        <v>7.4955679900881979E-4</v>
      </c>
      <c r="G184" s="2"/>
      <c r="H184" s="2"/>
      <c r="I184" s="2"/>
      <c r="J184" s="19">
        <f t="shared" si="16"/>
        <v>0</v>
      </c>
      <c r="K184" s="2"/>
      <c r="L184" s="2">
        <f t="shared" si="17"/>
        <v>379.42</v>
      </c>
      <c r="M184" s="2"/>
      <c r="N184" s="19">
        <f t="shared" si="18"/>
        <v>0</v>
      </c>
      <c r="O184" s="11"/>
      <c r="P184" s="2">
        <v>15680.76</v>
      </c>
      <c r="Q184" s="2"/>
      <c r="R184" s="19">
        <f t="shared" si="19"/>
        <v>5.5903197330507562E-4</v>
      </c>
      <c r="S184" s="2"/>
      <c r="T184" s="2"/>
      <c r="U184" s="2"/>
      <c r="V184" s="19">
        <f t="shared" si="20"/>
        <v>0</v>
      </c>
      <c r="W184" s="2"/>
      <c r="X184" s="2">
        <f t="shared" si="21"/>
        <v>15680.76</v>
      </c>
      <c r="Y184" s="2"/>
      <c r="Z184" s="19">
        <f t="shared" si="22"/>
        <v>0</v>
      </c>
    </row>
    <row r="185" spans="1:26" s="24" customFormat="1" hidden="1" outlineLevel="1" x14ac:dyDescent="0.25">
      <c r="A185" s="44"/>
      <c r="B185" s="11" t="str">
        <f>CONCATENATE("          ", "5504", " - ", "FREIGHT-IN-DIGITAL TEXT")</f>
        <v xml:space="preserve">          5504 - FREIGHT-IN-DIGITAL TEXT</v>
      </c>
      <c r="C185" s="11"/>
      <c r="D185" s="2"/>
      <c r="E185" s="2"/>
      <c r="F185" s="19">
        <f t="shared" si="15"/>
        <v>0</v>
      </c>
      <c r="G185" s="2"/>
      <c r="H185" s="2"/>
      <c r="I185" s="2"/>
      <c r="J185" s="19">
        <f t="shared" si="16"/>
        <v>0</v>
      </c>
      <c r="K185" s="2"/>
      <c r="L185" s="2">
        <f t="shared" si="17"/>
        <v>0</v>
      </c>
      <c r="M185" s="2"/>
      <c r="N185" s="19">
        <f t="shared" si="18"/>
        <v>0</v>
      </c>
      <c r="O185" s="11"/>
      <c r="P185" s="2">
        <v>118.75</v>
      </c>
      <c r="Q185" s="2"/>
      <c r="R185" s="19">
        <f t="shared" si="19"/>
        <v>4.2335350346525127E-6</v>
      </c>
      <c r="S185" s="2"/>
      <c r="T185" s="2"/>
      <c r="U185" s="2"/>
      <c r="V185" s="19">
        <f t="shared" si="20"/>
        <v>0</v>
      </c>
      <c r="W185" s="2"/>
      <c r="X185" s="2">
        <f t="shared" si="21"/>
        <v>118.75</v>
      </c>
      <c r="Y185" s="2"/>
      <c r="Z185" s="19">
        <f t="shared" si="22"/>
        <v>0</v>
      </c>
    </row>
    <row r="186" spans="1:26" s="24" customFormat="1" hidden="1" outlineLevel="1" x14ac:dyDescent="0.25">
      <c r="A186" s="44"/>
      <c r="B186" s="11" t="str">
        <f>CONCATENATE("          ", "5513", " - ", "FREIGHT-IN-TRADE BOOKS")</f>
        <v xml:space="preserve">          5513 - FREIGHT-IN-TRADE BOOKS</v>
      </c>
      <c r="C186" s="11"/>
      <c r="D186" s="2"/>
      <c r="E186" s="2"/>
      <c r="F186" s="19">
        <f t="shared" si="15"/>
        <v>0</v>
      </c>
      <c r="G186" s="2"/>
      <c r="H186" s="2"/>
      <c r="I186" s="2"/>
      <c r="J186" s="19">
        <f t="shared" si="16"/>
        <v>0</v>
      </c>
      <c r="K186" s="2"/>
      <c r="L186" s="2">
        <f t="shared" si="17"/>
        <v>0</v>
      </c>
      <c r="M186" s="2"/>
      <c r="N186" s="19">
        <f t="shared" si="18"/>
        <v>0</v>
      </c>
      <c r="O186" s="11"/>
      <c r="P186" s="2">
        <v>30.24</v>
      </c>
      <c r="Q186" s="2"/>
      <c r="R186" s="19">
        <f t="shared" si="19"/>
        <v>1.0780808374559324E-6</v>
      </c>
      <c r="S186" s="2"/>
      <c r="T186" s="2"/>
      <c r="U186" s="2"/>
      <c r="V186" s="19">
        <f t="shared" si="20"/>
        <v>0</v>
      </c>
      <c r="W186" s="2"/>
      <c r="X186" s="2">
        <f t="shared" si="21"/>
        <v>30.24</v>
      </c>
      <c r="Y186" s="2"/>
      <c r="Z186" s="19">
        <f t="shared" si="22"/>
        <v>0</v>
      </c>
    </row>
    <row r="187" spans="1:26" s="24" customFormat="1" hidden="1" outlineLevel="1" x14ac:dyDescent="0.25">
      <c r="A187" s="44"/>
      <c r="B187" s="11" t="str">
        <f>CONCATENATE("          ", "5518", " - ", "FREIGHT-IN-STUDY GUIDES")</f>
        <v xml:space="preserve">          5518 - FREIGHT-IN-STUDY GUIDES</v>
      </c>
      <c r="C187" s="11"/>
      <c r="D187" s="2"/>
      <c r="E187" s="2"/>
      <c r="F187" s="19">
        <f t="shared" si="15"/>
        <v>0</v>
      </c>
      <c r="G187" s="2"/>
      <c r="H187" s="2"/>
      <c r="I187" s="2"/>
      <c r="J187" s="19">
        <f t="shared" si="16"/>
        <v>0</v>
      </c>
      <c r="K187" s="2"/>
      <c r="L187" s="2">
        <f t="shared" si="17"/>
        <v>0</v>
      </c>
      <c r="M187" s="2"/>
      <c r="N187" s="19">
        <f t="shared" si="18"/>
        <v>0</v>
      </c>
      <c r="O187" s="11"/>
      <c r="P187" s="2">
        <v>21.13</v>
      </c>
      <c r="Q187" s="2"/>
      <c r="R187" s="19">
        <f t="shared" si="19"/>
        <v>7.5330185500806387E-7</v>
      </c>
      <c r="S187" s="2"/>
      <c r="T187" s="2"/>
      <c r="U187" s="2"/>
      <c r="V187" s="19">
        <f t="shared" si="20"/>
        <v>0</v>
      </c>
      <c r="W187" s="2"/>
      <c r="X187" s="2">
        <f t="shared" si="21"/>
        <v>21.13</v>
      </c>
      <c r="Y187" s="2"/>
      <c r="Z187" s="19">
        <f t="shared" si="22"/>
        <v>0</v>
      </c>
    </row>
    <row r="188" spans="1:26" s="24" customFormat="1" hidden="1" outlineLevel="1" x14ac:dyDescent="0.25">
      <c r="A188" s="44"/>
      <c r="B188" s="11" t="str">
        <f>CONCATENATE("          ", "5525", " - ", "FREIGHT-IN-TEST FORMS")</f>
        <v xml:space="preserve">          5525 - FREIGHT-IN-TEST FORMS</v>
      </c>
      <c r="C188" s="11"/>
      <c r="D188" s="2">
        <v>377.1</v>
      </c>
      <c r="E188" s="2"/>
      <c r="F188" s="19">
        <f t="shared" si="15"/>
        <v>7.4497356203211725E-4</v>
      </c>
      <c r="G188" s="2"/>
      <c r="H188" s="2"/>
      <c r="I188" s="2"/>
      <c r="J188" s="19">
        <f t="shared" si="16"/>
        <v>0</v>
      </c>
      <c r="K188" s="2"/>
      <c r="L188" s="2">
        <f t="shared" si="17"/>
        <v>377.1</v>
      </c>
      <c r="M188" s="2"/>
      <c r="N188" s="19">
        <f t="shared" si="18"/>
        <v>0</v>
      </c>
      <c r="O188" s="11"/>
      <c r="P188" s="2">
        <v>1614.32</v>
      </c>
      <c r="Q188" s="2"/>
      <c r="R188" s="19">
        <f t="shared" si="19"/>
        <v>5.755183391275995E-5</v>
      </c>
      <c r="S188" s="2"/>
      <c r="T188" s="2"/>
      <c r="U188" s="2"/>
      <c r="V188" s="19">
        <f t="shared" si="20"/>
        <v>0</v>
      </c>
      <c r="W188" s="2"/>
      <c r="X188" s="2">
        <f t="shared" si="21"/>
        <v>1614.32</v>
      </c>
      <c r="Y188" s="2"/>
      <c r="Z188" s="19">
        <f t="shared" si="22"/>
        <v>0</v>
      </c>
    </row>
    <row r="189" spans="1:26" s="24" customFormat="1" hidden="1" outlineLevel="1" x14ac:dyDescent="0.25">
      <c r="A189" s="44"/>
      <c r="B189" s="11" t="str">
        <f>CONCATENATE("          ", "5526", " - ", "FREIGHT-IN-WRITING INSTRUMENTS")</f>
        <v xml:space="preserve">          5526 - FREIGHT-IN-WRITING INSTRUMENTS</v>
      </c>
      <c r="C189" s="11"/>
      <c r="D189" s="2">
        <v>14.15</v>
      </c>
      <c r="E189" s="2"/>
      <c r="F189" s="19">
        <f t="shared" si="15"/>
        <v>2.7953794491526013E-5</v>
      </c>
      <c r="G189" s="2"/>
      <c r="H189" s="2"/>
      <c r="I189" s="2"/>
      <c r="J189" s="19">
        <f t="shared" si="16"/>
        <v>0</v>
      </c>
      <c r="K189" s="2"/>
      <c r="L189" s="2">
        <f t="shared" si="17"/>
        <v>14.15</v>
      </c>
      <c r="M189" s="2"/>
      <c r="N189" s="19">
        <f t="shared" si="18"/>
        <v>0</v>
      </c>
      <c r="O189" s="11"/>
      <c r="P189" s="2">
        <v>274.5</v>
      </c>
      <c r="Q189" s="2"/>
      <c r="R189" s="19">
        <f t="shared" si="19"/>
        <v>9.7861504590493866E-6</v>
      </c>
      <c r="S189" s="2"/>
      <c r="T189" s="2"/>
      <c r="U189" s="2"/>
      <c r="V189" s="19">
        <f t="shared" si="20"/>
        <v>0</v>
      </c>
      <c r="W189" s="2"/>
      <c r="X189" s="2">
        <f t="shared" si="21"/>
        <v>274.5</v>
      </c>
      <c r="Y189" s="2"/>
      <c r="Z189" s="19">
        <f t="shared" si="22"/>
        <v>0</v>
      </c>
    </row>
    <row r="190" spans="1:26" s="24" customFormat="1" hidden="1" outlineLevel="1" x14ac:dyDescent="0.25">
      <c r="A190" s="44"/>
      <c r="B190" s="11" t="str">
        <f>CONCATENATE("          ", "5527", " - ", "FREIGHT-IN-SCHOOL SUPPLIES")</f>
        <v xml:space="preserve">          5527 - FREIGHT-IN-SCHOOL SUPPLIES</v>
      </c>
      <c r="C190" s="11"/>
      <c r="D190" s="2">
        <v>-250.91</v>
      </c>
      <c r="E190" s="2"/>
      <c r="F190" s="19">
        <f t="shared" si="15"/>
        <v>-4.9568103009673434E-4</v>
      </c>
      <c r="G190" s="2"/>
      <c r="H190" s="2"/>
      <c r="I190" s="2"/>
      <c r="J190" s="19">
        <f t="shared" si="16"/>
        <v>0</v>
      </c>
      <c r="K190" s="2"/>
      <c r="L190" s="2">
        <f t="shared" si="17"/>
        <v>-250.91</v>
      </c>
      <c r="M190" s="2"/>
      <c r="N190" s="19">
        <f t="shared" si="18"/>
        <v>0</v>
      </c>
      <c r="O190" s="11"/>
      <c r="P190" s="2">
        <v>1808</v>
      </c>
      <c r="Q190" s="2"/>
      <c r="R190" s="19">
        <f t="shared" si="19"/>
        <v>6.445668499075152E-5</v>
      </c>
      <c r="S190" s="2"/>
      <c r="T190" s="2"/>
      <c r="U190" s="2"/>
      <c r="V190" s="19">
        <f t="shared" si="20"/>
        <v>0</v>
      </c>
      <c r="W190" s="2"/>
      <c r="X190" s="2">
        <f t="shared" si="21"/>
        <v>1808</v>
      </c>
      <c r="Y190" s="2"/>
      <c r="Z190" s="19">
        <f t="shared" si="22"/>
        <v>0</v>
      </c>
    </row>
    <row r="191" spans="1:26" s="24" customFormat="1" hidden="1" outlineLevel="1" x14ac:dyDescent="0.25">
      <c r="A191" s="44"/>
      <c r="B191" s="11" t="str">
        <f>CONCATENATE("          ", "5528", " - ", "FREIGHT-IN-ART/TECH")</f>
        <v xml:space="preserve">          5528 - FREIGHT-IN-ART/TECH</v>
      </c>
      <c r="C191" s="11"/>
      <c r="D191" s="2">
        <v>-19.75</v>
      </c>
      <c r="E191" s="2"/>
      <c r="F191" s="19">
        <f t="shared" si="15"/>
        <v>-3.9016780297359624E-5</v>
      </c>
      <c r="G191" s="2"/>
      <c r="H191" s="2"/>
      <c r="I191" s="2"/>
      <c r="J191" s="19">
        <f t="shared" si="16"/>
        <v>0</v>
      </c>
      <c r="K191" s="2"/>
      <c r="L191" s="2">
        <f t="shared" si="17"/>
        <v>-19.75</v>
      </c>
      <c r="M191" s="2"/>
      <c r="N191" s="19">
        <f t="shared" si="18"/>
        <v>0</v>
      </c>
      <c r="O191" s="11"/>
      <c r="P191" s="2">
        <v>2824.37</v>
      </c>
      <c r="Q191" s="2"/>
      <c r="R191" s="19">
        <f t="shared" si="19"/>
        <v>1.0069111028060225E-4</v>
      </c>
      <c r="S191" s="2"/>
      <c r="T191" s="2"/>
      <c r="U191" s="2"/>
      <c r="V191" s="19">
        <f t="shared" si="20"/>
        <v>0</v>
      </c>
      <c r="W191" s="2"/>
      <c r="X191" s="2">
        <f t="shared" si="21"/>
        <v>2824.37</v>
      </c>
      <c r="Y191" s="2"/>
      <c r="Z191" s="19">
        <f t="shared" si="22"/>
        <v>0</v>
      </c>
    </row>
    <row r="192" spans="1:26" s="24" customFormat="1" hidden="1" outlineLevel="1" x14ac:dyDescent="0.25">
      <c r="A192" s="44"/>
      <c r="B192" s="11" t="str">
        <f>CONCATENATE("          ", "5540", " - ", "FREIGHT-IN-LOGO CLOTHING")</f>
        <v xml:space="preserve">          5540 - FREIGHT-IN-LOGO CLOTHING</v>
      </c>
      <c r="C192" s="11"/>
      <c r="D192" s="2">
        <v>815.7</v>
      </c>
      <c r="E192" s="2"/>
      <c r="F192" s="19">
        <f t="shared" si="15"/>
        <v>1.611442414610443E-3</v>
      </c>
      <c r="G192" s="2"/>
      <c r="H192" s="2"/>
      <c r="I192" s="2"/>
      <c r="J192" s="19">
        <f t="shared" si="16"/>
        <v>0</v>
      </c>
      <c r="K192" s="2"/>
      <c r="L192" s="2">
        <f t="shared" si="17"/>
        <v>815.7</v>
      </c>
      <c r="M192" s="2"/>
      <c r="N192" s="19">
        <f t="shared" si="18"/>
        <v>0</v>
      </c>
      <c r="O192" s="11"/>
      <c r="P192" s="2">
        <v>32519</v>
      </c>
      <c r="Q192" s="2"/>
      <c r="R192" s="19">
        <f t="shared" si="19"/>
        <v>1.1593290592999163E-3</v>
      </c>
      <c r="S192" s="2"/>
      <c r="T192" s="2"/>
      <c r="U192" s="2"/>
      <c r="V192" s="19">
        <f t="shared" si="20"/>
        <v>0</v>
      </c>
      <c r="W192" s="2"/>
      <c r="X192" s="2">
        <f t="shared" si="21"/>
        <v>32519</v>
      </c>
      <c r="Y192" s="2"/>
      <c r="Z192" s="19">
        <f t="shared" si="22"/>
        <v>0</v>
      </c>
    </row>
    <row r="193" spans="1:26" s="24" customFormat="1" hidden="1" outlineLevel="1" x14ac:dyDescent="0.25">
      <c r="A193" s="44"/>
      <c r="B193" s="11" t="str">
        <f>CONCATENATE("          ", "5541", " - ", "FREIGHT-IN-LOGO GIFTS")</f>
        <v xml:space="preserve">          5541 - FREIGHT-IN-LOGO GIFTS</v>
      </c>
      <c r="C193" s="11"/>
      <c r="D193" s="2">
        <v>343.16</v>
      </c>
      <c r="E193" s="2"/>
      <c r="F193" s="19">
        <f t="shared" si="15"/>
        <v>6.7792396591604711E-4</v>
      </c>
      <c r="G193" s="2"/>
      <c r="H193" s="2"/>
      <c r="I193" s="2"/>
      <c r="J193" s="19">
        <f t="shared" si="16"/>
        <v>0</v>
      </c>
      <c r="K193" s="2"/>
      <c r="L193" s="2">
        <f t="shared" si="17"/>
        <v>343.16</v>
      </c>
      <c r="M193" s="2"/>
      <c r="N193" s="19">
        <f t="shared" si="18"/>
        <v>0</v>
      </c>
      <c r="O193" s="11"/>
      <c r="P193" s="2">
        <v>5226.1000000000004</v>
      </c>
      <c r="Q193" s="2"/>
      <c r="R193" s="19">
        <f t="shared" si="19"/>
        <v>1.8631475742818946E-4</v>
      </c>
      <c r="S193" s="2"/>
      <c r="T193" s="2"/>
      <c r="U193" s="2"/>
      <c r="V193" s="19">
        <f t="shared" si="20"/>
        <v>0</v>
      </c>
      <c r="W193" s="2"/>
      <c r="X193" s="2">
        <f t="shared" si="21"/>
        <v>5226.1000000000004</v>
      </c>
      <c r="Y193" s="2"/>
      <c r="Z193" s="19">
        <f t="shared" si="22"/>
        <v>0</v>
      </c>
    </row>
    <row r="194" spans="1:26" s="24" customFormat="1" hidden="1" outlineLevel="1" x14ac:dyDescent="0.25">
      <c r="A194" s="44"/>
      <c r="B194" s="11" t="str">
        <f>CONCATENATE("          ", "5542", " - ", "FREIGHT-IN-EVERYDAY GIFTS")</f>
        <v xml:space="preserve">          5542 - FREIGHT-IN-EVERYDAY GIFTS</v>
      </c>
      <c r="C194" s="11"/>
      <c r="D194" s="2">
        <v>384.47</v>
      </c>
      <c r="E194" s="2"/>
      <c r="F194" s="19">
        <f t="shared" si="15"/>
        <v>7.5953324156586622E-4</v>
      </c>
      <c r="G194" s="2"/>
      <c r="H194" s="2"/>
      <c r="I194" s="2"/>
      <c r="J194" s="19">
        <f t="shared" si="16"/>
        <v>0</v>
      </c>
      <c r="K194" s="2"/>
      <c r="L194" s="2">
        <f t="shared" si="17"/>
        <v>384.47</v>
      </c>
      <c r="M194" s="2"/>
      <c r="N194" s="19">
        <f t="shared" si="18"/>
        <v>0</v>
      </c>
      <c r="O194" s="11"/>
      <c r="P194" s="2">
        <v>2223.5100000000002</v>
      </c>
      <c r="Q194" s="2"/>
      <c r="R194" s="19">
        <f t="shared" si="19"/>
        <v>7.9269957767580715E-5</v>
      </c>
      <c r="S194" s="2"/>
      <c r="T194" s="2"/>
      <c r="U194" s="2"/>
      <c r="V194" s="19">
        <f t="shared" si="20"/>
        <v>0</v>
      </c>
      <c r="W194" s="2"/>
      <c r="X194" s="2">
        <f t="shared" si="21"/>
        <v>2223.5100000000002</v>
      </c>
      <c r="Y194" s="2"/>
      <c r="Z194" s="19">
        <f t="shared" si="22"/>
        <v>0</v>
      </c>
    </row>
    <row r="195" spans="1:26" s="24" customFormat="1" hidden="1" outlineLevel="1" x14ac:dyDescent="0.25">
      <c r="A195" s="44"/>
      <c r="B195" s="11" t="str">
        <f>CONCATENATE("          ", "5543", " - ", "FREIGHT-IN-CARDS")</f>
        <v xml:space="preserve">          5543 - FREIGHT-IN-CARDS</v>
      </c>
      <c r="C195" s="11"/>
      <c r="D195" s="2"/>
      <c r="E195" s="2"/>
      <c r="F195" s="19">
        <f t="shared" si="15"/>
        <v>0</v>
      </c>
      <c r="G195" s="2"/>
      <c r="H195" s="2"/>
      <c r="I195" s="2"/>
      <c r="J195" s="19">
        <f t="shared" si="16"/>
        <v>0</v>
      </c>
      <c r="K195" s="2"/>
      <c r="L195" s="2">
        <f t="shared" si="17"/>
        <v>0</v>
      </c>
      <c r="M195" s="2"/>
      <c r="N195" s="19">
        <f t="shared" si="18"/>
        <v>0</v>
      </c>
      <c r="O195" s="11"/>
      <c r="P195" s="2">
        <v>2926.76</v>
      </c>
      <c r="Q195" s="2"/>
      <c r="R195" s="19">
        <f t="shared" si="19"/>
        <v>1.0434139787805969E-4</v>
      </c>
      <c r="S195" s="2"/>
      <c r="T195" s="2"/>
      <c r="U195" s="2"/>
      <c r="V195" s="19">
        <f t="shared" si="20"/>
        <v>0</v>
      </c>
      <c r="W195" s="2"/>
      <c r="X195" s="2">
        <f t="shared" si="21"/>
        <v>2926.76</v>
      </c>
      <c r="Y195" s="2"/>
      <c r="Z195" s="19">
        <f t="shared" si="22"/>
        <v>0</v>
      </c>
    </row>
    <row r="196" spans="1:26" s="24" customFormat="1" hidden="1" outlineLevel="1" x14ac:dyDescent="0.25">
      <c r="A196" s="44"/>
      <c r="B196" s="11" t="str">
        <f>CONCATENATE("          ", "5544", " - ", "FREIGHT-IN-ACCESSORIES")</f>
        <v xml:space="preserve">          5544 - FREIGHT-IN-ACCESSORIES</v>
      </c>
      <c r="C196" s="11"/>
      <c r="D196" s="2"/>
      <c r="E196" s="2"/>
      <c r="F196" s="19">
        <f t="shared" si="15"/>
        <v>0</v>
      </c>
      <c r="G196" s="2"/>
      <c r="H196" s="2"/>
      <c r="I196" s="2"/>
      <c r="J196" s="19">
        <f t="shared" si="16"/>
        <v>0</v>
      </c>
      <c r="K196" s="2"/>
      <c r="L196" s="2">
        <f t="shared" si="17"/>
        <v>0</v>
      </c>
      <c r="M196" s="2"/>
      <c r="N196" s="19">
        <f t="shared" si="18"/>
        <v>0</v>
      </c>
      <c r="O196" s="11"/>
      <c r="P196" s="2">
        <v>483.44</v>
      </c>
      <c r="Q196" s="2"/>
      <c r="R196" s="19">
        <f t="shared" si="19"/>
        <v>1.7235033070757142E-5</v>
      </c>
      <c r="S196" s="2"/>
      <c r="T196" s="2"/>
      <c r="U196" s="2"/>
      <c r="V196" s="19">
        <f t="shared" si="20"/>
        <v>0</v>
      </c>
      <c r="W196" s="2"/>
      <c r="X196" s="2">
        <f t="shared" si="21"/>
        <v>483.44</v>
      </c>
      <c r="Y196" s="2"/>
      <c r="Z196" s="19">
        <f t="shared" si="22"/>
        <v>0</v>
      </c>
    </row>
    <row r="197" spans="1:26" s="24" customFormat="1" hidden="1" outlineLevel="1" x14ac:dyDescent="0.25">
      <c r="A197" s="44"/>
      <c r="B197" s="11" t="str">
        <f>CONCATENATE("          ", "5545", " - ", "FREIGHT-IN-SPECIAL ORDERS")</f>
        <v xml:space="preserve">          5545 - FREIGHT-IN-SPECIAL ORDERS</v>
      </c>
      <c r="C197" s="11"/>
      <c r="D197" s="2">
        <v>173.06</v>
      </c>
      <c r="E197" s="2"/>
      <c r="F197" s="19">
        <f t="shared" si="15"/>
        <v>3.41885772063851E-4</v>
      </c>
      <c r="G197" s="2"/>
      <c r="H197" s="2"/>
      <c r="I197" s="2"/>
      <c r="J197" s="19">
        <f t="shared" si="16"/>
        <v>0</v>
      </c>
      <c r="K197" s="2"/>
      <c r="L197" s="2">
        <f t="shared" si="17"/>
        <v>173.06</v>
      </c>
      <c r="M197" s="2"/>
      <c r="N197" s="19">
        <f t="shared" si="18"/>
        <v>0</v>
      </c>
      <c r="O197" s="11"/>
      <c r="P197" s="2">
        <v>1065.32</v>
      </c>
      <c r="Q197" s="2"/>
      <c r="R197" s="19">
        <f t="shared" si="19"/>
        <v>3.7979532994661173E-5</v>
      </c>
      <c r="S197" s="2"/>
      <c r="T197" s="2"/>
      <c r="U197" s="2"/>
      <c r="V197" s="19">
        <f t="shared" si="20"/>
        <v>0</v>
      </c>
      <c r="W197" s="2"/>
      <c r="X197" s="2">
        <f t="shared" si="21"/>
        <v>1065.32</v>
      </c>
      <c r="Y197" s="2"/>
      <c r="Z197" s="19">
        <f t="shared" si="22"/>
        <v>0</v>
      </c>
    </row>
    <row r="198" spans="1:26" s="24" customFormat="1" hidden="1" outlineLevel="1" x14ac:dyDescent="0.25">
      <c r="A198" s="44"/>
      <c r="B198" s="11" t="str">
        <f>CONCATENATE("          ", "5581", " - ", "FREIGHT-IN-ELECTRONICS")</f>
        <v xml:space="preserve">          5581 - FREIGHT-IN-ELECTRONICS</v>
      </c>
      <c r="C198" s="11"/>
      <c r="D198" s="2">
        <v>31.25</v>
      </c>
      <c r="E198" s="2"/>
      <c r="F198" s="19">
        <f t="shared" si="15"/>
        <v>6.1735411862910805E-5</v>
      </c>
      <c r="G198" s="2"/>
      <c r="H198" s="2"/>
      <c r="I198" s="2"/>
      <c r="J198" s="19">
        <f t="shared" si="16"/>
        <v>0</v>
      </c>
      <c r="K198" s="2"/>
      <c r="L198" s="2">
        <f t="shared" si="17"/>
        <v>31.25</v>
      </c>
      <c r="M198" s="2"/>
      <c r="N198" s="19">
        <f t="shared" si="18"/>
        <v>0</v>
      </c>
      <c r="O198" s="11"/>
      <c r="P198" s="2">
        <v>137</v>
      </c>
      <c r="Q198" s="2"/>
      <c r="R198" s="19">
        <f t="shared" si="19"/>
        <v>4.8841625241885832E-6</v>
      </c>
      <c r="S198" s="2"/>
      <c r="T198" s="2"/>
      <c r="U198" s="2"/>
      <c r="V198" s="19">
        <f t="shared" si="20"/>
        <v>0</v>
      </c>
      <c r="W198" s="2"/>
      <c r="X198" s="2">
        <f t="shared" si="21"/>
        <v>137</v>
      </c>
      <c r="Y198" s="2"/>
      <c r="Z198" s="19">
        <f t="shared" si="22"/>
        <v>0</v>
      </c>
    </row>
    <row r="199" spans="1:26" s="24" customFormat="1" hidden="1" outlineLevel="1" x14ac:dyDescent="0.25">
      <c r="A199" s="44"/>
      <c r="B199" s="11" t="str">
        <f>CONCATENATE("          ", "5582", " - ", "FREIGHT-IN-COMPUTER HARDWARE")</f>
        <v xml:space="preserve">          5582 - FREIGHT-IN-COMPUTER HARDWARE</v>
      </c>
      <c r="C199" s="11"/>
      <c r="D199" s="2"/>
      <c r="E199" s="2"/>
      <c r="F199" s="19">
        <f t="shared" si="15"/>
        <v>0</v>
      </c>
      <c r="G199" s="2"/>
      <c r="H199" s="2"/>
      <c r="I199" s="2"/>
      <c r="J199" s="19">
        <f t="shared" si="16"/>
        <v>0</v>
      </c>
      <c r="K199" s="2"/>
      <c r="L199" s="2">
        <f t="shared" si="17"/>
        <v>0</v>
      </c>
      <c r="M199" s="2"/>
      <c r="N199" s="19">
        <f t="shared" si="18"/>
        <v>0</v>
      </c>
      <c r="O199" s="11"/>
      <c r="P199" s="2">
        <v>154.30000000000001</v>
      </c>
      <c r="Q199" s="2"/>
      <c r="R199" s="19">
        <f t="shared" si="19"/>
        <v>5.5009217334474334E-6</v>
      </c>
      <c r="S199" s="2"/>
      <c r="T199" s="2"/>
      <c r="U199" s="2"/>
      <c r="V199" s="19">
        <f t="shared" si="20"/>
        <v>0</v>
      </c>
      <c r="W199" s="2"/>
      <c r="X199" s="2">
        <f t="shared" si="21"/>
        <v>154.30000000000001</v>
      </c>
      <c r="Y199" s="2"/>
      <c r="Z199" s="19">
        <f t="shared" si="22"/>
        <v>0</v>
      </c>
    </row>
    <row r="200" spans="1:26" s="24" customFormat="1" hidden="1" outlineLevel="1" x14ac:dyDescent="0.25">
      <c r="A200" s="44"/>
      <c r="B200" s="11" t="str">
        <f>CONCATENATE("          ", "5583", " - ", "FREIGHT-IN-COMPUTER EQUIPMENT")</f>
        <v xml:space="preserve">          5583 - FREIGHT-IN-COMPUTER EQUIPMENT</v>
      </c>
      <c r="C200" s="11"/>
      <c r="D200" s="2"/>
      <c r="E200" s="2"/>
      <c r="F200" s="19">
        <f t="shared" si="15"/>
        <v>0</v>
      </c>
      <c r="G200" s="2"/>
      <c r="H200" s="2"/>
      <c r="I200" s="2"/>
      <c r="J200" s="19">
        <f t="shared" si="16"/>
        <v>0</v>
      </c>
      <c r="K200" s="2"/>
      <c r="L200" s="2">
        <f t="shared" si="17"/>
        <v>0</v>
      </c>
      <c r="M200" s="2"/>
      <c r="N200" s="19">
        <f t="shared" si="18"/>
        <v>0</v>
      </c>
      <c r="O200" s="11"/>
      <c r="P200" s="2">
        <v>96.55</v>
      </c>
      <c r="Q200" s="2"/>
      <c r="R200" s="19">
        <f t="shared" si="19"/>
        <v>3.4420868008058955E-6</v>
      </c>
      <c r="S200" s="2"/>
      <c r="T200" s="2"/>
      <c r="U200" s="2"/>
      <c r="V200" s="19">
        <f t="shared" si="20"/>
        <v>0</v>
      </c>
      <c r="W200" s="2"/>
      <c r="X200" s="2">
        <f t="shared" si="21"/>
        <v>96.55</v>
      </c>
      <c r="Y200" s="2"/>
      <c r="Z200" s="19">
        <f t="shared" si="22"/>
        <v>0</v>
      </c>
    </row>
    <row r="201" spans="1:26" s="24" customFormat="1" hidden="1" outlineLevel="1" x14ac:dyDescent="0.25">
      <c r="A201" s="44"/>
      <c r="B201" s="11" t="str">
        <f>CONCATENATE("          ", "5585", " - ", "FREIGHT-IN-SOFTWARE")</f>
        <v xml:space="preserve">          5585 - FREIGHT-IN-SOFTWARE</v>
      </c>
      <c r="C201" s="11"/>
      <c r="D201" s="2">
        <v>10</v>
      </c>
      <c r="E201" s="2"/>
      <c r="F201" s="19">
        <f t="shared" si="15"/>
        <v>1.9755331796131456E-5</v>
      </c>
      <c r="G201" s="2"/>
      <c r="H201" s="2"/>
      <c r="I201" s="2"/>
      <c r="J201" s="19">
        <f t="shared" si="16"/>
        <v>0</v>
      </c>
      <c r="K201" s="2"/>
      <c r="L201" s="2">
        <f t="shared" si="17"/>
        <v>10</v>
      </c>
      <c r="M201" s="2"/>
      <c r="N201" s="19">
        <f t="shared" si="18"/>
        <v>0</v>
      </c>
      <c r="O201" s="11"/>
      <c r="P201" s="2">
        <v>10</v>
      </c>
      <c r="Q201" s="2"/>
      <c r="R201" s="19">
        <f t="shared" si="19"/>
        <v>3.5650821344442213E-7</v>
      </c>
      <c r="S201" s="2"/>
      <c r="T201" s="2"/>
      <c r="U201" s="2"/>
      <c r="V201" s="19">
        <f t="shared" si="20"/>
        <v>0</v>
      </c>
      <c r="W201" s="2"/>
      <c r="X201" s="2">
        <f t="shared" si="21"/>
        <v>10</v>
      </c>
      <c r="Y201" s="2"/>
      <c r="Z201" s="19">
        <f t="shared" si="22"/>
        <v>0</v>
      </c>
    </row>
    <row r="202" spans="1:26" s="24" customFormat="1" hidden="1" outlineLevel="1" x14ac:dyDescent="0.25">
      <c r="A202" s="44"/>
      <c r="B202" s="11" t="str">
        <f>CONCATENATE("          ", "5586", " - ", "FREIGHT-IN-COMPUTER SUPPLIES")</f>
        <v xml:space="preserve">          5586 - FREIGHT-IN-COMPUTER SUPPLIES</v>
      </c>
      <c r="C202" s="11"/>
      <c r="D202" s="2"/>
      <c r="E202" s="2"/>
      <c r="F202" s="19">
        <f t="shared" si="15"/>
        <v>0</v>
      </c>
      <c r="G202" s="2"/>
      <c r="H202" s="2"/>
      <c r="I202" s="2"/>
      <c r="J202" s="19">
        <f t="shared" si="16"/>
        <v>0</v>
      </c>
      <c r="K202" s="2"/>
      <c r="L202" s="2">
        <f t="shared" si="17"/>
        <v>0</v>
      </c>
      <c r="M202" s="2"/>
      <c r="N202" s="19">
        <f t="shared" si="18"/>
        <v>0</v>
      </c>
      <c r="O202" s="11"/>
      <c r="P202" s="2">
        <v>301.27</v>
      </c>
      <c r="Q202" s="2"/>
      <c r="R202" s="19">
        <f t="shared" si="19"/>
        <v>1.0740522946440104E-5</v>
      </c>
      <c r="S202" s="2"/>
      <c r="T202" s="2"/>
      <c r="U202" s="2"/>
      <c r="V202" s="19">
        <f t="shared" si="20"/>
        <v>0</v>
      </c>
      <c r="W202" s="2"/>
      <c r="X202" s="2">
        <f t="shared" si="21"/>
        <v>301.27</v>
      </c>
      <c r="Y202" s="2"/>
      <c r="Z202" s="19">
        <f t="shared" si="22"/>
        <v>0</v>
      </c>
    </row>
    <row r="203" spans="1:26" s="24" customFormat="1" hidden="1" outlineLevel="1" x14ac:dyDescent="0.25">
      <c r="A203" s="44"/>
      <c r="B203" s="11" t="str">
        <f>CONCATENATE("          ", "5592", " - ", "FREIGHT-IN-GRAD MERCH")</f>
        <v xml:space="preserve">          5592 - FREIGHT-IN-GRAD MERCH</v>
      </c>
      <c r="C203" s="11"/>
      <c r="D203" s="2">
        <v>41.32</v>
      </c>
      <c r="E203" s="2"/>
      <c r="F203" s="19">
        <f t="shared" si="15"/>
        <v>8.1629030981615182E-5</v>
      </c>
      <c r="G203" s="2"/>
      <c r="H203" s="2"/>
      <c r="I203" s="2"/>
      <c r="J203" s="19">
        <f t="shared" si="16"/>
        <v>0</v>
      </c>
      <c r="K203" s="2"/>
      <c r="L203" s="2">
        <f t="shared" si="17"/>
        <v>41.32</v>
      </c>
      <c r="M203" s="2"/>
      <c r="N203" s="19">
        <f t="shared" si="18"/>
        <v>0</v>
      </c>
      <c r="O203" s="11"/>
      <c r="P203" s="2">
        <v>160.05000000000001</v>
      </c>
      <c r="Q203" s="2"/>
      <c r="R203" s="19">
        <f t="shared" si="19"/>
        <v>5.7059139561779761E-6</v>
      </c>
      <c r="S203" s="2"/>
      <c r="T203" s="2"/>
      <c r="U203" s="2"/>
      <c r="V203" s="19">
        <f t="shared" si="20"/>
        <v>0</v>
      </c>
      <c r="W203" s="2"/>
      <c r="X203" s="2">
        <f t="shared" si="21"/>
        <v>160.05000000000001</v>
      </c>
      <c r="Y203" s="2"/>
      <c r="Z203" s="19">
        <f t="shared" si="22"/>
        <v>0</v>
      </c>
    </row>
    <row r="204" spans="1:26" x14ac:dyDescent="0.25">
      <c r="A204" s="9"/>
      <c r="B204" s="10"/>
      <c r="C204" s="10"/>
      <c r="D204" s="3"/>
      <c r="E204" s="3"/>
      <c r="F204" s="8"/>
      <c r="G204" s="3"/>
      <c r="H204" s="3"/>
      <c r="I204" s="3"/>
      <c r="J204" s="8"/>
      <c r="K204" s="3"/>
      <c r="L204" s="3"/>
      <c r="M204" s="3"/>
      <c r="N204" s="8"/>
      <c r="O204" s="10"/>
      <c r="P204" s="3"/>
      <c r="Q204" s="3"/>
      <c r="R204" s="8"/>
      <c r="S204" s="3"/>
      <c r="T204" s="3"/>
      <c r="U204" s="3"/>
      <c r="V204" s="8"/>
      <c r="W204" s="3"/>
      <c r="X204" s="3"/>
      <c r="Y204" s="3"/>
      <c r="Z204" s="8"/>
    </row>
    <row r="205" spans="1:26" s="23" customFormat="1" x14ac:dyDescent="0.25">
      <c r="A205" s="10"/>
      <c r="B205" s="29" t="s">
        <v>6</v>
      </c>
      <c r="C205" s="29"/>
      <c r="D205" s="20">
        <f>D12-D142</f>
        <v>219863.70999999996</v>
      </c>
      <c r="E205" s="14"/>
      <c r="F205" s="22">
        <f>IF(D$12=0,0,D205/D$12)</f>
        <v>0.4343480540978425</v>
      </c>
      <c r="G205" s="14"/>
      <c r="H205" s="20">
        <f>H12-H142</f>
        <v>1693584.2717900001</v>
      </c>
      <c r="I205" s="14"/>
      <c r="J205" s="22">
        <f>IF(H$12=0,0,H205/H$12)</f>
        <v>0.59085632369512397</v>
      </c>
      <c r="K205" s="16"/>
      <c r="L205" s="20">
        <f>+D205-H205</f>
        <v>-1473720.5617900002</v>
      </c>
      <c r="M205" s="16"/>
      <c r="N205" s="22">
        <f>IF(H205=0,0,L205/H205)</f>
        <v>-0.87017846489113915</v>
      </c>
      <c r="O205" s="28"/>
      <c r="P205" s="20">
        <f>P12-P142</f>
        <v>15608601.259999998</v>
      </c>
      <c r="Q205" s="14"/>
      <c r="R205" s="22">
        <f>IF(P$12=0,0,P205/P$12)</f>
        <v>0.55645945495689553</v>
      </c>
      <c r="S205" s="14"/>
      <c r="T205" s="20">
        <f>T12-T142</f>
        <v>20984351.994399995</v>
      </c>
      <c r="U205" s="14"/>
      <c r="V205" s="22">
        <f>IF(T$12=0,0,T205/T$12)</f>
        <v>0.58103638761314891</v>
      </c>
      <c r="W205" s="16"/>
      <c r="X205" s="20">
        <f>+P205-T205</f>
        <v>-5375750.7343999967</v>
      </c>
      <c r="Y205" s="16"/>
      <c r="Z205" s="22">
        <f>IF(T205=0,0,X205/T205)</f>
        <v>-0.25617902024492351</v>
      </c>
    </row>
    <row r="206" spans="1:26" x14ac:dyDescent="0.25">
      <c r="A206" s="9"/>
      <c r="B206" s="10"/>
      <c r="C206" s="9"/>
      <c r="D206" s="1"/>
      <c r="E206" s="1"/>
      <c r="F206" s="5"/>
      <c r="G206" s="1"/>
      <c r="H206" s="1"/>
      <c r="I206" s="1"/>
      <c r="J206" s="5"/>
      <c r="K206" s="1"/>
      <c r="L206" s="1"/>
      <c r="M206" s="1"/>
      <c r="N206" s="5"/>
      <c r="O206" s="36"/>
      <c r="P206" s="1"/>
      <c r="Q206" s="1"/>
      <c r="R206" s="5"/>
      <c r="S206" s="1"/>
      <c r="T206" s="1"/>
      <c r="U206" s="1"/>
      <c r="V206" s="5"/>
      <c r="W206" s="1"/>
      <c r="X206" s="1"/>
      <c r="Y206" s="1"/>
      <c r="Z206" s="5"/>
    </row>
    <row r="207" spans="1:26" s="23" customFormat="1" x14ac:dyDescent="0.25">
      <c r="A207" s="10"/>
      <c r="B207" s="28" t="s">
        <v>9</v>
      </c>
      <c r="C207" s="10"/>
      <c r="D207" s="21">
        <f>SUM(OSRRefD22x_0)</f>
        <v>625976.83999999985</v>
      </c>
      <c r="E207" s="21"/>
      <c r="F207" s="30">
        <f t="shared" ref="F207:F218" si="23">IF(D$12=0,0,D207/D$12)</f>
        <v>1.2366380170893891</v>
      </c>
      <c r="G207" s="21"/>
      <c r="H207" s="21">
        <f>SUM(OSRRefH22x_0)</f>
        <v>1425328.2934550906</v>
      </c>
      <c r="I207" s="21"/>
      <c r="J207" s="30">
        <f t="shared" ref="J207:J218" si="24">IF(H$12=0,0,H207/H$12)</f>
        <v>0.49726739292365474</v>
      </c>
      <c r="K207" s="4"/>
      <c r="L207" s="21">
        <f t="shared" ref="L207:L218" si="25">+D207-H207</f>
        <v>-799351.45345509076</v>
      </c>
      <c r="M207" s="4"/>
      <c r="N207" s="30">
        <f t="shared" ref="N207:N218" si="26">IF(H207=0,0,L207/H207)</f>
        <v>-0.56081918609600434</v>
      </c>
      <c r="O207" s="10"/>
      <c r="P207" s="21">
        <f>SUM(OSRRefP22x_0)</f>
        <v>15049429.189999992</v>
      </c>
      <c r="Q207" s="21"/>
      <c r="R207" s="30">
        <f t="shared" ref="R207:R218" si="27">IF(P$12=0,0,P207/P$12)</f>
        <v>0.53652451138852342</v>
      </c>
      <c r="S207" s="21"/>
      <c r="T207" s="21">
        <f>SUM(OSRRefT22x_0)</f>
        <v>16976501.169446498</v>
      </c>
      <c r="U207" s="21"/>
      <c r="V207" s="30">
        <f t="shared" ref="V207:V218" si="28">IF(T$12=0,0,T207/T$12)</f>
        <v>0.4700628790652171</v>
      </c>
      <c r="W207" s="4"/>
      <c r="X207" s="21">
        <f t="shared" ref="X207:X218" si="29">+P207-T207</f>
        <v>-1927071.9794465061</v>
      </c>
      <c r="Y207" s="4"/>
      <c r="Z207" s="30">
        <f t="shared" ref="Z207:Z218" si="30">IF(T207=0,0,X207/T207)</f>
        <v>-0.11351408398067081</v>
      </c>
    </row>
    <row r="208" spans="1:26" s="27" customFormat="1" outlineLevel="1" collapsed="1" x14ac:dyDescent="0.25">
      <c r="A208" s="25"/>
      <c r="B208" s="12" t="str">
        <f>CONCATENATE("     ","*Benefits                                         ")</f>
        <v xml:space="preserve">     *Benefits                                         </v>
      </c>
      <c r="C208" s="12"/>
      <c r="D208" s="1">
        <f>SUM(OSRRefD22_0x_0)</f>
        <v>146856.24999999997</v>
      </c>
      <c r="E208" s="1"/>
      <c r="F208" s="5">
        <f t="shared" si="23"/>
        <v>0.29011939450856294</v>
      </c>
      <c r="G208" s="1"/>
      <c r="H208" s="1">
        <f>SUM(OSRRefH22_0x_0)</f>
        <v>214783.16583566315</v>
      </c>
      <c r="I208" s="1"/>
      <c r="J208" s="5">
        <f t="shared" si="24"/>
        <v>7.4933378793798855E-2</v>
      </c>
      <c r="K208" s="1"/>
      <c r="L208" s="1">
        <f t="shared" si="25"/>
        <v>-67926.915835663181</v>
      </c>
      <c r="M208" s="1"/>
      <c r="N208" s="5">
        <f t="shared" si="26"/>
        <v>-0.31625809951807882</v>
      </c>
      <c r="O208" s="12"/>
      <c r="P208" s="1">
        <f>SUM(OSRRefP22_0x_0)</f>
        <v>2259750.3000000003</v>
      </c>
      <c r="Q208" s="1"/>
      <c r="R208" s="5">
        <f t="shared" si="27"/>
        <v>8.0561954228349705E-2</v>
      </c>
      <c r="S208" s="1"/>
      <c r="T208" s="1">
        <f>SUM(OSRRefT22_0x_0)</f>
        <v>2420502.8305205759</v>
      </c>
      <c r="U208" s="1"/>
      <c r="V208" s="5">
        <f t="shared" si="28"/>
        <v>6.7021379608405235E-2</v>
      </c>
      <c r="W208" s="1"/>
      <c r="X208" s="1">
        <f t="shared" si="29"/>
        <v>-160752.53052057559</v>
      </c>
      <c r="Y208" s="1"/>
      <c r="Z208" s="5">
        <f t="shared" si="30"/>
        <v>-6.641286615888925E-2</v>
      </c>
    </row>
    <row r="209" spans="1:26" s="24" customFormat="1" hidden="1" outlineLevel="2" x14ac:dyDescent="0.25">
      <c r="A209" s="26"/>
      <c r="B209" s="11" t="str">
        <f>CONCATENATE("          ", "6111", " - ", "F.I.C.A.")</f>
        <v xml:space="preserve">          6111 - F.I.C.A.</v>
      </c>
      <c r="C209" s="11"/>
      <c r="D209" s="7">
        <v>17908.080000000002</v>
      </c>
      <c r="E209" s="2"/>
      <c r="F209" s="6">
        <f t="shared" si="23"/>
        <v>3.5378006223166586E-2</v>
      </c>
      <c r="G209" s="2"/>
      <c r="H209" s="7">
        <v>32559.697698906006</v>
      </c>
      <c r="I209" s="2"/>
      <c r="J209" s="6">
        <f t="shared" si="24"/>
        <v>1.1359401243533551E-2</v>
      </c>
      <c r="K209" s="2"/>
      <c r="L209" s="7">
        <f t="shared" si="25"/>
        <v>-14651.617698906004</v>
      </c>
      <c r="M209" s="2"/>
      <c r="N209" s="6">
        <f t="shared" si="26"/>
        <v>-0.44999243648992149</v>
      </c>
      <c r="O209" s="11"/>
      <c r="P209" s="7">
        <v>420573.49</v>
      </c>
      <c r="Q209" s="2"/>
      <c r="R209" s="6">
        <f t="shared" si="27"/>
        <v>1.4993790354198552E-2</v>
      </c>
      <c r="S209" s="2"/>
      <c r="T209" s="7">
        <v>392462.54436099675</v>
      </c>
      <c r="U209" s="2"/>
      <c r="V209" s="6">
        <f t="shared" si="28"/>
        <v>1.0866907832552251E-2</v>
      </c>
      <c r="W209" s="2"/>
      <c r="X209" s="7">
        <f t="shared" si="29"/>
        <v>28110.945639003243</v>
      </c>
      <c r="Y209" s="2"/>
      <c r="Z209" s="6">
        <f t="shared" si="30"/>
        <v>7.162707892232921E-2</v>
      </c>
    </row>
    <row r="210" spans="1:26" s="24" customFormat="1" hidden="1" outlineLevel="2" x14ac:dyDescent="0.25">
      <c r="A210" s="26"/>
      <c r="B210" s="11" t="str">
        <f>CONCATENATE("          ", "6112", " - ", "COMPENSATION INSURANCE")</f>
        <v xml:space="preserve">          6112 - COMPENSATION INSURANCE</v>
      </c>
      <c r="C210" s="11"/>
      <c r="D210" s="7">
        <v>9249.5300000000007</v>
      </c>
      <c r="E210" s="2"/>
      <c r="F210" s="6">
        <f t="shared" si="23"/>
        <v>1.8272753410827181E-2</v>
      </c>
      <c r="G210" s="2"/>
      <c r="H210" s="7">
        <v>21795.258756872317</v>
      </c>
      <c r="I210" s="2"/>
      <c r="J210" s="6">
        <f t="shared" si="24"/>
        <v>7.6039124108412568E-3</v>
      </c>
      <c r="K210" s="2"/>
      <c r="L210" s="7">
        <f t="shared" si="25"/>
        <v>-12545.728756872317</v>
      </c>
      <c r="M210" s="2"/>
      <c r="N210" s="6">
        <f t="shared" si="26"/>
        <v>-0.57561733479839927</v>
      </c>
      <c r="O210" s="11"/>
      <c r="P210" s="7">
        <v>200901.33000000002</v>
      </c>
      <c r="Q210" s="2"/>
      <c r="R210" s="6">
        <f t="shared" si="27"/>
        <v>7.1622974236908287E-3</v>
      </c>
      <c r="S210" s="2"/>
      <c r="T210" s="7">
        <v>262779.32201524766</v>
      </c>
      <c r="U210" s="2"/>
      <c r="V210" s="6">
        <f t="shared" si="28"/>
        <v>7.2761049778386367E-3</v>
      </c>
      <c r="W210" s="2"/>
      <c r="X210" s="7">
        <f t="shared" si="29"/>
        <v>-61877.992015247641</v>
      </c>
      <c r="Y210" s="2"/>
      <c r="Z210" s="6">
        <f t="shared" si="30"/>
        <v>-0.23547511859269199</v>
      </c>
    </row>
    <row r="211" spans="1:26" s="24" customFormat="1" hidden="1" outlineLevel="2" x14ac:dyDescent="0.25">
      <c r="A211" s="26"/>
      <c r="B211" s="11" t="str">
        <f>CONCATENATE("          ", "6113", " - ", "GROUP INSURANCE")</f>
        <v xml:space="preserve">          6113 - GROUP INSURANCE</v>
      </c>
      <c r="C211" s="11"/>
      <c r="D211" s="7">
        <v>75664.960000000006</v>
      </c>
      <c r="E211" s="2"/>
      <c r="F211" s="6">
        <f t="shared" si="23"/>
        <v>0.14947863901410149</v>
      </c>
      <c r="G211" s="2"/>
      <c r="H211" s="7">
        <v>93582.526923076919</v>
      </c>
      <c r="I211" s="2"/>
      <c r="J211" s="6">
        <f t="shared" si="24"/>
        <v>3.2648997006465751E-2</v>
      </c>
      <c r="K211" s="2"/>
      <c r="L211" s="7">
        <f t="shared" si="25"/>
        <v>-17917.566923076913</v>
      </c>
      <c r="M211" s="2"/>
      <c r="N211" s="6">
        <f t="shared" si="26"/>
        <v>-0.19146273895558319</v>
      </c>
      <c r="O211" s="11"/>
      <c r="P211" s="7">
        <v>1028448.7</v>
      </c>
      <c r="Q211" s="2"/>
      <c r="R211" s="6">
        <f t="shared" si="27"/>
        <v>3.6665040865623846E-2</v>
      </c>
      <c r="S211" s="2"/>
      <c r="T211" s="7">
        <v>1043817.9557692307</v>
      </c>
      <c r="U211" s="2"/>
      <c r="V211" s="6">
        <f t="shared" si="28"/>
        <v>2.8902308468126563E-2</v>
      </c>
      <c r="W211" s="2"/>
      <c r="X211" s="7">
        <f t="shared" si="29"/>
        <v>-15369.255769230775</v>
      </c>
      <c r="Y211" s="2"/>
      <c r="Z211" s="6">
        <f t="shared" si="30"/>
        <v>-1.4724076822288962E-2</v>
      </c>
    </row>
    <row r="212" spans="1:26" s="24" customFormat="1" hidden="1" outlineLevel="2" x14ac:dyDescent="0.25">
      <c r="A212" s="26"/>
      <c r="B212" s="11" t="str">
        <f>CONCATENATE("          ", "6114", " - ", "STATE UNEMPLOYMENT INSURANCE")</f>
        <v xml:space="preserve">          6114 - STATE UNEMPLOYMENT INSURANCE</v>
      </c>
      <c r="C212" s="11"/>
      <c r="D212" s="7">
        <v>974.04</v>
      </c>
      <c r="E212" s="2"/>
      <c r="F212" s="6">
        <f t="shared" si="23"/>
        <v>1.9242483382703884E-3</v>
      </c>
      <c r="G212" s="2"/>
      <c r="H212" s="7">
        <v>1890.0858728270316</v>
      </c>
      <c r="I212" s="2"/>
      <c r="J212" s="6">
        <f t="shared" si="24"/>
        <v>6.594116448107554E-4</v>
      </c>
      <c r="K212" s="2"/>
      <c r="L212" s="7">
        <f t="shared" si="25"/>
        <v>-916.04587282703164</v>
      </c>
      <c r="M212" s="2"/>
      <c r="N212" s="6">
        <f t="shared" si="26"/>
        <v>-0.48465833536805775</v>
      </c>
      <c r="O212" s="11"/>
      <c r="P212" s="7">
        <v>20622.75</v>
      </c>
      <c r="Q212" s="2"/>
      <c r="R212" s="6">
        <f t="shared" si="27"/>
        <v>7.3521797588109558E-4</v>
      </c>
      <c r="S212" s="2"/>
      <c r="T212" s="7">
        <v>22291.269188262035</v>
      </c>
      <c r="U212" s="2"/>
      <c r="V212" s="6">
        <f t="shared" si="28"/>
        <v>6.1722365922552765E-4</v>
      </c>
      <c r="W212" s="2"/>
      <c r="X212" s="7">
        <f t="shared" si="29"/>
        <v>-1668.5191882620347</v>
      </c>
      <c r="Y212" s="2"/>
      <c r="Z212" s="6">
        <f t="shared" si="30"/>
        <v>-7.4850793562738493E-2</v>
      </c>
    </row>
    <row r="213" spans="1:26" s="24" customFormat="1" hidden="1" outlineLevel="2" x14ac:dyDescent="0.25">
      <c r="A213" s="26"/>
      <c r="B213" s="11" t="str">
        <f>CONCATENATE("          ", "6115", " - ", "P.E.R.S.")</f>
        <v xml:space="preserve">          6115 - P.E.R.S.</v>
      </c>
      <c r="C213" s="11"/>
      <c r="D213" s="7">
        <v>13005.81</v>
      </c>
      <c r="E213" s="2"/>
      <c r="F213" s="6">
        <f t="shared" si="23"/>
        <v>2.5693409182744445E-2</v>
      </c>
      <c r="G213" s="2"/>
      <c r="H213" s="7">
        <v>18385.742724600001</v>
      </c>
      <c r="I213" s="2"/>
      <c r="J213" s="6">
        <f t="shared" si="24"/>
        <v>6.4144031895027849E-3</v>
      </c>
      <c r="K213" s="2"/>
      <c r="L213" s="7">
        <f t="shared" si="25"/>
        <v>-5379.9327246000012</v>
      </c>
      <c r="M213" s="2"/>
      <c r="N213" s="6">
        <f t="shared" si="26"/>
        <v>-0.29261438089208586</v>
      </c>
      <c r="O213" s="11"/>
      <c r="P213" s="7">
        <v>225897.07</v>
      </c>
      <c r="Q213" s="2"/>
      <c r="R213" s="6">
        <f t="shared" si="27"/>
        <v>8.0534160848029571E-3</v>
      </c>
      <c r="S213" s="2"/>
      <c r="T213" s="7">
        <v>220014.80157320003</v>
      </c>
      <c r="U213" s="2"/>
      <c r="V213" s="6">
        <f t="shared" si="28"/>
        <v>6.0919968156096091E-3</v>
      </c>
      <c r="W213" s="2"/>
      <c r="X213" s="7">
        <f t="shared" si="29"/>
        <v>5882.2684267999721</v>
      </c>
      <c r="Y213" s="2"/>
      <c r="Z213" s="6">
        <f t="shared" si="30"/>
        <v>2.6735784977825285E-2</v>
      </c>
    </row>
    <row r="214" spans="1:26" s="24" customFormat="1" hidden="1" outlineLevel="2" x14ac:dyDescent="0.25">
      <c r="A214" s="26"/>
      <c r="B214" s="11" t="str">
        <f>CONCATENATE("          ", "6116", " - ", "EDUCATIONAL BENEFITS")</f>
        <v xml:space="preserve">          6116 - EDUCATIONAL BENEFITS</v>
      </c>
      <c r="C214" s="11"/>
      <c r="D214" s="7"/>
      <c r="E214" s="2"/>
      <c r="F214" s="6">
        <f t="shared" si="23"/>
        <v>0</v>
      </c>
      <c r="G214" s="2"/>
      <c r="H214" s="7">
        <v>8000</v>
      </c>
      <c r="I214" s="2"/>
      <c r="J214" s="6">
        <f t="shared" si="24"/>
        <v>2.7910335897044208E-3</v>
      </c>
      <c r="K214" s="2"/>
      <c r="L214" s="7">
        <f t="shared" si="25"/>
        <v>-8000</v>
      </c>
      <c r="M214" s="2"/>
      <c r="N214" s="6">
        <f t="shared" si="26"/>
        <v>-1</v>
      </c>
      <c r="O214" s="11"/>
      <c r="P214" s="7"/>
      <c r="Q214" s="2"/>
      <c r="R214" s="6">
        <f t="shared" si="27"/>
        <v>0</v>
      </c>
      <c r="S214" s="2"/>
      <c r="T214" s="7">
        <v>24000</v>
      </c>
      <c r="U214" s="2"/>
      <c r="V214" s="6">
        <f t="shared" si="28"/>
        <v>6.645367608414586E-4</v>
      </c>
      <c r="W214" s="2"/>
      <c r="X214" s="7">
        <f t="shared" si="29"/>
        <v>-24000</v>
      </c>
      <c r="Y214" s="2"/>
      <c r="Z214" s="6">
        <f t="shared" si="30"/>
        <v>-1</v>
      </c>
    </row>
    <row r="215" spans="1:26" s="24" customFormat="1" hidden="1" outlineLevel="2" x14ac:dyDescent="0.25">
      <c r="A215" s="26"/>
      <c r="B215" s="11" t="str">
        <f>CONCATENATE("          ", "6117", " - ", "RETIREMENT STAFF HOURLY")</f>
        <v xml:space="preserve">          6117 - RETIREMENT STAFF HOURLY</v>
      </c>
      <c r="C215" s="11"/>
      <c r="D215" s="7">
        <v>1798.48</v>
      </c>
      <c r="E215" s="2"/>
      <c r="F215" s="6">
        <f t="shared" si="23"/>
        <v>3.5529569128706505E-3</v>
      </c>
      <c r="G215" s="2"/>
      <c r="H215" s="7"/>
      <c r="I215" s="2"/>
      <c r="J215" s="6">
        <f t="shared" si="24"/>
        <v>0</v>
      </c>
      <c r="K215" s="2"/>
      <c r="L215" s="7">
        <f t="shared" si="25"/>
        <v>1798.48</v>
      </c>
      <c r="M215" s="2"/>
      <c r="N215" s="6">
        <f t="shared" si="26"/>
        <v>0</v>
      </c>
      <c r="O215" s="11"/>
      <c r="P215" s="7">
        <v>24516.1</v>
      </c>
      <c r="Q215" s="2"/>
      <c r="R215" s="6">
        <f t="shared" si="27"/>
        <v>8.7401910116247962E-4</v>
      </c>
      <c r="S215" s="2"/>
      <c r="T215" s="7"/>
      <c r="U215" s="2"/>
      <c r="V215" s="6">
        <f t="shared" si="28"/>
        <v>0</v>
      </c>
      <c r="W215" s="2"/>
      <c r="X215" s="7">
        <f t="shared" si="29"/>
        <v>24516.1</v>
      </c>
      <c r="Y215" s="2"/>
      <c r="Z215" s="6">
        <f t="shared" si="30"/>
        <v>0</v>
      </c>
    </row>
    <row r="216" spans="1:26" s="24" customFormat="1" hidden="1" outlineLevel="2" x14ac:dyDescent="0.25">
      <c r="A216" s="26"/>
      <c r="B216" s="11" t="str">
        <f>CONCATENATE("          ", "6118", " - ", "VACATION")</f>
        <v xml:space="preserve">          6118 - VACATION</v>
      </c>
      <c r="C216" s="11"/>
      <c r="D216" s="7">
        <v>14653.96</v>
      </c>
      <c r="E216" s="2"/>
      <c r="F216" s="6">
        <f t="shared" si="23"/>
        <v>2.8949384192723852E-2</v>
      </c>
      <c r="G216" s="2"/>
      <c r="H216" s="7">
        <v>14222.61215924615</v>
      </c>
      <c r="I216" s="2"/>
      <c r="J216" s="6">
        <f t="shared" si="24"/>
        <v>4.9619735337243153E-3</v>
      </c>
      <c r="K216" s="2"/>
      <c r="L216" s="7">
        <f t="shared" si="25"/>
        <v>431.3478407538496</v>
      </c>
      <c r="M216" s="2"/>
      <c r="N216" s="6">
        <f t="shared" si="26"/>
        <v>3.032831352807645E-2</v>
      </c>
      <c r="O216" s="11"/>
      <c r="P216" s="7">
        <v>254924.38999999998</v>
      </c>
      <c r="Q216" s="2"/>
      <c r="R216" s="6">
        <f t="shared" si="27"/>
        <v>9.0882638842309099E-3</v>
      </c>
      <c r="S216" s="2"/>
      <c r="T216" s="7">
        <v>168558.18487095376</v>
      </c>
      <c r="U216" s="2"/>
      <c r="V216" s="6">
        <f t="shared" si="28"/>
        <v>4.6672129244774742E-3</v>
      </c>
      <c r="W216" s="2"/>
      <c r="X216" s="7">
        <f t="shared" si="29"/>
        <v>86366.205129046226</v>
      </c>
      <c r="Y216" s="2"/>
      <c r="Z216" s="6">
        <f t="shared" si="30"/>
        <v>0.51238214979098884</v>
      </c>
    </row>
    <row r="217" spans="1:26" s="24" customFormat="1" hidden="1" outlineLevel="2" x14ac:dyDescent="0.25">
      <c r="A217" s="26"/>
      <c r="B217" s="11" t="str">
        <f>CONCATENATE("          ", "6119", " - ", "SICK LEAVE")</f>
        <v xml:space="preserve">          6119 - SICK LEAVE</v>
      </c>
      <c r="C217" s="11"/>
      <c r="D217" s="7">
        <v>10164.280000000001</v>
      </c>
      <c r="E217" s="2"/>
      <c r="F217" s="6">
        <f t="shared" si="23"/>
        <v>2.0079872386878306E-2</v>
      </c>
      <c r="G217" s="2"/>
      <c r="H217" s="7">
        <v>19422.241700134731</v>
      </c>
      <c r="I217" s="2"/>
      <c r="J217" s="6">
        <f t="shared" si="24"/>
        <v>6.7760161215542417E-3</v>
      </c>
      <c r="K217" s="2"/>
      <c r="L217" s="7">
        <f t="shared" si="25"/>
        <v>-9257.9617001347306</v>
      </c>
      <c r="M217" s="2"/>
      <c r="N217" s="6">
        <f t="shared" si="26"/>
        <v>-0.47666803055336854</v>
      </c>
      <c r="O217" s="11"/>
      <c r="P217" s="7">
        <v>-7888.09</v>
      </c>
      <c r="Q217" s="2"/>
      <c r="R217" s="6">
        <f t="shared" si="27"/>
        <v>-2.8121688733888118E-4</v>
      </c>
      <c r="S217" s="2"/>
      <c r="T217" s="7">
        <v>232278.75274268471</v>
      </c>
      <c r="U217" s="2"/>
      <c r="V217" s="6">
        <f t="shared" si="28"/>
        <v>6.431573748329907E-3</v>
      </c>
      <c r="W217" s="2"/>
      <c r="X217" s="7">
        <f t="shared" si="29"/>
        <v>-240166.8427426847</v>
      </c>
      <c r="Y217" s="2"/>
      <c r="Z217" s="6">
        <f t="shared" si="30"/>
        <v>-1.03395958479568</v>
      </c>
    </row>
    <row r="218" spans="1:26" s="24" customFormat="1" hidden="1" outlineLevel="2" x14ac:dyDescent="0.25">
      <c r="A218" s="26"/>
      <c r="B218" s="11" t="str">
        <f>CONCATENATE("          ", "6156", " - ", "EMPLOYEE MEALS")</f>
        <v xml:space="preserve">          6156 - EMPLOYEE MEALS</v>
      </c>
      <c r="C218" s="11"/>
      <c r="D218" s="7">
        <v>3437.11</v>
      </c>
      <c r="E218" s="2"/>
      <c r="F218" s="6">
        <f t="shared" si="23"/>
        <v>6.7901248469801395E-3</v>
      </c>
      <c r="G218" s="2"/>
      <c r="H218" s="7">
        <v>4925</v>
      </c>
      <c r="I218" s="2"/>
      <c r="J218" s="6">
        <f t="shared" si="24"/>
        <v>1.7182300536617841E-3</v>
      </c>
      <c r="K218" s="2"/>
      <c r="L218" s="7">
        <f t="shared" si="25"/>
        <v>-1487.8899999999999</v>
      </c>
      <c r="M218" s="2"/>
      <c r="N218" s="6">
        <f t="shared" si="26"/>
        <v>-0.30210964467005075</v>
      </c>
      <c r="O218" s="11"/>
      <c r="P218" s="7">
        <v>91754.559999999998</v>
      </c>
      <c r="Q218" s="2"/>
      <c r="R218" s="6">
        <f t="shared" si="27"/>
        <v>3.2711254260979036E-3</v>
      </c>
      <c r="S218" s="2"/>
      <c r="T218" s="7">
        <v>54300</v>
      </c>
      <c r="U218" s="2"/>
      <c r="V218" s="6">
        <f t="shared" si="28"/>
        <v>1.5035144214038002E-3</v>
      </c>
      <c r="W218" s="2"/>
      <c r="X218" s="7">
        <f t="shared" si="29"/>
        <v>37454.559999999998</v>
      </c>
      <c r="Y218" s="2"/>
      <c r="Z218" s="6">
        <f t="shared" si="30"/>
        <v>0.68977090239410677</v>
      </c>
    </row>
    <row r="219" spans="1:26" s="27" customFormat="1" outlineLevel="1" collapsed="1" x14ac:dyDescent="0.25">
      <c r="A219" s="25"/>
      <c r="B219" s="12" t="str">
        <f>CONCATENATE("     ","*Payroll                                          ")</f>
        <v xml:space="preserve">     *Payroll                                          </v>
      </c>
      <c r="C219" s="12"/>
      <c r="D219" s="1">
        <f>SUM(OSRRefD22_1x_0)</f>
        <v>204094.06</v>
      </c>
      <c r="E219" s="1"/>
      <c r="F219" s="5">
        <f t="shared" ref="F219:F229" si="31">IF(D$12=0,0,D219/D$12)</f>
        <v>0.40319458729195612</v>
      </c>
      <c r="G219" s="1"/>
      <c r="H219" s="1">
        <f>SUM(OSRRefH22_1x_0)</f>
        <v>694327.62761942751</v>
      </c>
      <c r="I219" s="1"/>
      <c r="J219" s="5">
        <f t="shared" ref="J219:J229" si="32">IF(H$12=0,0,H219/H$12)</f>
        <v>0.24223646636820065</v>
      </c>
      <c r="K219" s="1"/>
      <c r="L219" s="1">
        <f t="shared" ref="L219:L229" si="33">+D219-H219</f>
        <v>-490233.56761942751</v>
      </c>
      <c r="M219" s="1"/>
      <c r="N219" s="5">
        <f t="shared" ref="N219:N229" si="34">IF(H219=0,0,L219/H219)</f>
        <v>-0.70605510729890275</v>
      </c>
      <c r="O219" s="12"/>
      <c r="P219" s="1">
        <f>SUM(OSRRefP22_1x_0)</f>
        <v>7248489.25</v>
      </c>
      <c r="Q219" s="1"/>
      <c r="R219" s="5">
        <f t="shared" ref="R219:R229" si="35">IF(P$12=0,0,P219/P$12)</f>
        <v>0.2584145952688599</v>
      </c>
      <c r="S219" s="1"/>
      <c r="T219" s="1">
        <f>SUM(OSRRefT22_1x_0)</f>
        <v>8182063.978925922</v>
      </c>
      <c r="U219" s="1"/>
      <c r="V219" s="5">
        <f t="shared" ref="V219:V229" si="36">IF(T$12=0,0,T219/T$12)</f>
        <v>0.22655342889804203</v>
      </c>
      <c r="W219" s="1"/>
      <c r="X219" s="1">
        <f t="shared" ref="X219:X229" si="37">+P219-T219</f>
        <v>-933574.72892592195</v>
      </c>
      <c r="Y219" s="1"/>
      <c r="Z219" s="5">
        <f t="shared" ref="Z219:Z229" si="38">IF(T219=0,0,X219/T219)</f>
        <v>-0.11410015019810128</v>
      </c>
    </row>
    <row r="220" spans="1:26" s="24" customFormat="1" hidden="1" outlineLevel="2" x14ac:dyDescent="0.25">
      <c r="A220" s="26"/>
      <c r="B220" s="11" t="str">
        <f>CONCATENATE("          ", "6001", " - ", "ADMINISTRATIVE SALARIES")</f>
        <v xml:space="preserve">          6001 - ADMINISTRATIVE SALARIES</v>
      </c>
      <c r="C220" s="11"/>
      <c r="D220" s="7">
        <v>18921.89</v>
      </c>
      <c r="E220" s="2"/>
      <c r="F220" s="6">
        <f t="shared" si="31"/>
        <v>3.7380821515990183E-2</v>
      </c>
      <c r="G220" s="2"/>
      <c r="H220" s="7">
        <v>61054.71516184615</v>
      </c>
      <c r="I220" s="2"/>
      <c r="J220" s="6">
        <f t="shared" si="32"/>
        <v>2.130072010331855E-2</v>
      </c>
      <c r="K220" s="2"/>
      <c r="L220" s="7">
        <f t="shared" si="33"/>
        <v>-42132.825161846151</v>
      </c>
      <c r="M220" s="2"/>
      <c r="N220" s="6">
        <f t="shared" si="34"/>
        <v>-0.69008306811617848</v>
      </c>
      <c r="O220" s="11"/>
      <c r="P220" s="7">
        <v>364307.76</v>
      </c>
      <c r="Q220" s="2"/>
      <c r="R220" s="6">
        <f t="shared" si="35"/>
        <v>1.2987870866153932E-2</v>
      </c>
      <c r="S220" s="2"/>
      <c r="T220" s="7">
        <v>730140.95629215392</v>
      </c>
      <c r="U220" s="2"/>
      <c r="V220" s="6">
        <f t="shared" si="36"/>
        <v>2.021689608550304E-2</v>
      </c>
      <c r="W220" s="2"/>
      <c r="X220" s="7">
        <f t="shared" si="37"/>
        <v>-365833.19629215391</v>
      </c>
      <c r="Y220" s="2"/>
      <c r="Z220" s="6">
        <f t="shared" si="38"/>
        <v>-0.50104461767211395</v>
      </c>
    </row>
    <row r="221" spans="1:26" s="24" customFormat="1" hidden="1" outlineLevel="2" x14ac:dyDescent="0.25">
      <c r="A221" s="26"/>
      <c r="B221" s="11" t="str">
        <f>CONCATENATE("          ", "6002", " - ", "STAFF SALARIES")</f>
        <v xml:space="preserve">          6002 - STAFF SALARIES</v>
      </c>
      <c r="C221" s="11"/>
      <c r="D221" s="7">
        <v>94952.88</v>
      </c>
      <c r="E221" s="2"/>
      <c r="F221" s="6">
        <f t="shared" si="31"/>
        <v>0.18758256493982547</v>
      </c>
      <c r="G221" s="2"/>
      <c r="H221" s="7">
        <v>134951.77562810775</v>
      </c>
      <c r="I221" s="2"/>
      <c r="J221" s="6">
        <f t="shared" si="32"/>
        <v>4.7081867346037892E-2</v>
      </c>
      <c r="K221" s="2"/>
      <c r="L221" s="7">
        <f t="shared" si="33"/>
        <v>-39998.895628107741</v>
      </c>
      <c r="M221" s="2"/>
      <c r="N221" s="6">
        <f t="shared" si="34"/>
        <v>-0.29639399290554258</v>
      </c>
      <c r="O221" s="11"/>
      <c r="P221" s="7">
        <v>1884607.89</v>
      </c>
      <c r="Q221" s="2"/>
      <c r="R221" s="6">
        <f t="shared" si="35"/>
        <v>6.7187819190716203E-2</v>
      </c>
      <c r="S221" s="2"/>
      <c r="T221" s="7">
        <v>1615407.7395372922</v>
      </c>
      <c r="U221" s="2"/>
      <c r="V221" s="6">
        <f t="shared" si="36"/>
        <v>4.4729076111263949E-2</v>
      </c>
      <c r="W221" s="2"/>
      <c r="X221" s="7">
        <f t="shared" si="37"/>
        <v>269200.15046270774</v>
      </c>
      <c r="Y221" s="2"/>
      <c r="Z221" s="6">
        <f t="shared" si="38"/>
        <v>0.16664532667140486</v>
      </c>
    </row>
    <row r="222" spans="1:26" s="24" customFormat="1" hidden="1" outlineLevel="2" x14ac:dyDescent="0.25">
      <c r="A222" s="26"/>
      <c r="B222" s="11" t="str">
        <f>CONCATENATE("          ", "6003", " - ", "STAFF HOURLY-9 MONTH")</f>
        <v xml:space="preserve">          6003 - STAFF HOURLY-9 MONTH</v>
      </c>
      <c r="C222" s="11"/>
      <c r="D222" s="7"/>
      <c r="E222" s="2"/>
      <c r="F222" s="6">
        <f t="shared" si="31"/>
        <v>0</v>
      </c>
      <c r="G222" s="2"/>
      <c r="H222" s="7">
        <v>0</v>
      </c>
      <c r="I222" s="2"/>
      <c r="J222" s="6">
        <f t="shared" si="32"/>
        <v>0</v>
      </c>
      <c r="K222" s="2"/>
      <c r="L222" s="7">
        <f t="shared" si="33"/>
        <v>0</v>
      </c>
      <c r="M222" s="2"/>
      <c r="N222" s="6">
        <f t="shared" si="34"/>
        <v>0</v>
      </c>
      <c r="O222" s="11"/>
      <c r="P222" s="7"/>
      <c r="Q222" s="2"/>
      <c r="R222" s="6">
        <f t="shared" si="35"/>
        <v>0</v>
      </c>
      <c r="S222" s="2"/>
      <c r="T222" s="7">
        <v>0</v>
      </c>
      <c r="U222" s="2"/>
      <c r="V222" s="6">
        <f t="shared" si="36"/>
        <v>0</v>
      </c>
      <c r="W222" s="2"/>
      <c r="X222" s="7">
        <f t="shared" si="37"/>
        <v>0</v>
      </c>
      <c r="Y222" s="2"/>
      <c r="Z222" s="6">
        <f t="shared" si="38"/>
        <v>0</v>
      </c>
    </row>
    <row r="223" spans="1:26" s="24" customFormat="1" hidden="1" outlineLevel="2" x14ac:dyDescent="0.25">
      <c r="A223" s="26"/>
      <c r="B223" s="11" t="str">
        <f>CONCATENATE("          ", "6004", " - ", "STAFF HOURLY")</f>
        <v xml:space="preserve">          6004 - STAFF HOURLY</v>
      </c>
      <c r="C223" s="11"/>
      <c r="D223" s="7">
        <v>56184.04</v>
      </c>
      <c r="E223" s="2"/>
      <c r="F223" s="6">
        <f t="shared" si="31"/>
        <v>0.11099343518471216</v>
      </c>
      <c r="G223" s="2"/>
      <c r="H223" s="7">
        <v>162514.00042200001</v>
      </c>
      <c r="I223" s="2"/>
      <c r="J223" s="6">
        <f t="shared" si="32"/>
        <v>5.6697754246880054E-2</v>
      </c>
      <c r="K223" s="2"/>
      <c r="L223" s="7">
        <f t="shared" si="33"/>
        <v>-106329.960422</v>
      </c>
      <c r="M223" s="2"/>
      <c r="N223" s="6">
        <f t="shared" si="34"/>
        <v>-0.654281847384798</v>
      </c>
      <c r="O223" s="11"/>
      <c r="P223" s="7">
        <v>954364.56</v>
      </c>
      <c r="Q223" s="2"/>
      <c r="R223" s="6">
        <f t="shared" si="35"/>
        <v>3.4023880426027199E-2</v>
      </c>
      <c r="S223" s="2"/>
      <c r="T223" s="7">
        <v>1777932.9691239998</v>
      </c>
      <c r="U223" s="2"/>
      <c r="V223" s="6">
        <f t="shared" si="36"/>
        <v>4.922924234562083E-2</v>
      </c>
      <c r="W223" s="2"/>
      <c r="X223" s="7">
        <f t="shared" si="37"/>
        <v>-823568.40912399977</v>
      </c>
      <c r="Y223" s="2"/>
      <c r="Z223" s="6">
        <f t="shared" si="38"/>
        <v>-0.4632167935609956</v>
      </c>
    </row>
    <row r="224" spans="1:26" s="24" customFormat="1" hidden="1" outlineLevel="2" x14ac:dyDescent="0.25">
      <c r="A224" s="26"/>
      <c r="B224" s="11" t="str">
        <f>CONCATENATE("          ", "6005", " - ", "TEMPORARY WAGES-HOURLY")</f>
        <v xml:space="preserve">          6005 - TEMPORARY WAGES-HOURLY</v>
      </c>
      <c r="C224" s="11"/>
      <c r="D224" s="7">
        <v>14022.65</v>
      </c>
      <c r="E224" s="2"/>
      <c r="F224" s="6">
        <f t="shared" si="31"/>
        <v>2.7702210341102276E-2</v>
      </c>
      <c r="G224" s="2"/>
      <c r="H224" s="7">
        <v>43352.028308000001</v>
      </c>
      <c r="I224" s="2"/>
      <c r="J224" s="6">
        <f t="shared" si="32"/>
        <v>1.5124620898680614E-2</v>
      </c>
      <c r="K224" s="2"/>
      <c r="L224" s="7">
        <f t="shared" si="33"/>
        <v>-29329.378307999999</v>
      </c>
      <c r="M224" s="2"/>
      <c r="N224" s="6">
        <f t="shared" si="34"/>
        <v>-0.67653993256383993</v>
      </c>
      <c r="O224" s="11"/>
      <c r="P224" s="7">
        <v>1198082.3</v>
      </c>
      <c r="Q224" s="2"/>
      <c r="R224" s="6">
        <f t="shared" si="35"/>
        <v>4.271261803323842E-2</v>
      </c>
      <c r="S224" s="2"/>
      <c r="T224" s="7">
        <v>630043.15863000008</v>
      </c>
      <c r="U224" s="2"/>
      <c r="V224" s="6">
        <f t="shared" si="36"/>
        <v>1.7445284992762565E-2</v>
      </c>
      <c r="W224" s="2"/>
      <c r="X224" s="7">
        <f t="shared" si="37"/>
        <v>568039.14136999997</v>
      </c>
      <c r="Y224" s="2"/>
      <c r="Z224" s="6">
        <f t="shared" si="38"/>
        <v>0.90158766679599378</v>
      </c>
    </row>
    <row r="225" spans="1:26" s="24" customFormat="1" hidden="1" outlineLevel="2" x14ac:dyDescent="0.25">
      <c r="A225" s="26"/>
      <c r="B225" s="11" t="str">
        <f>CONCATENATE("          ", "6006", " - ", "TEMPORARY PART TIME")</f>
        <v xml:space="preserve">          6006 - TEMPORARY PART TIME</v>
      </c>
      <c r="C225" s="11"/>
      <c r="D225" s="7">
        <v>1929.14</v>
      </c>
      <c r="E225" s="2"/>
      <c r="F225" s="6">
        <f t="shared" si="31"/>
        <v>3.8110800781189043E-3</v>
      </c>
      <c r="G225" s="2"/>
      <c r="H225" s="7">
        <v>0</v>
      </c>
      <c r="I225" s="2"/>
      <c r="J225" s="6">
        <f t="shared" si="32"/>
        <v>0</v>
      </c>
      <c r="K225" s="2"/>
      <c r="L225" s="7">
        <f t="shared" si="33"/>
        <v>1929.14</v>
      </c>
      <c r="M225" s="2"/>
      <c r="N225" s="6">
        <f t="shared" si="34"/>
        <v>0</v>
      </c>
      <c r="O225" s="11"/>
      <c r="P225" s="7">
        <v>111837.24</v>
      </c>
      <c r="Q225" s="2"/>
      <c r="R225" s="6">
        <f t="shared" si="35"/>
        <v>3.9870894628955067E-3</v>
      </c>
      <c r="S225" s="2"/>
      <c r="T225" s="7">
        <v>0</v>
      </c>
      <c r="U225" s="2"/>
      <c r="V225" s="6">
        <f t="shared" si="36"/>
        <v>0</v>
      </c>
      <c r="W225" s="2"/>
      <c r="X225" s="7">
        <f t="shared" si="37"/>
        <v>111837.24</v>
      </c>
      <c r="Y225" s="2"/>
      <c r="Z225" s="6">
        <f t="shared" si="38"/>
        <v>0</v>
      </c>
    </row>
    <row r="226" spans="1:26" s="24" customFormat="1" hidden="1" outlineLevel="2" x14ac:dyDescent="0.25">
      <c r="A226" s="26"/>
      <c r="B226" s="11" t="str">
        <f>CONCATENATE("          ", "6007", " - ", "STUDENT HOURLY")</f>
        <v xml:space="preserve">          6007 - STUDENT HOURLY</v>
      </c>
      <c r="C226" s="11"/>
      <c r="D226" s="7">
        <v>18083.46</v>
      </c>
      <c r="E226" s="2"/>
      <c r="F226" s="6">
        <f t="shared" si="31"/>
        <v>3.5724475232207134E-2</v>
      </c>
      <c r="G226" s="2"/>
      <c r="H226" s="7">
        <v>42994.125</v>
      </c>
      <c r="I226" s="2"/>
      <c r="J226" s="6">
        <f t="shared" si="32"/>
        <v>1.4999755879368823E-2</v>
      </c>
      <c r="K226" s="2"/>
      <c r="L226" s="7">
        <f t="shared" si="33"/>
        <v>-24910.665000000001</v>
      </c>
      <c r="M226" s="2"/>
      <c r="N226" s="6">
        <f t="shared" si="34"/>
        <v>-0.57939695249060197</v>
      </c>
      <c r="O226" s="11"/>
      <c r="P226" s="7">
        <v>2494142.96</v>
      </c>
      <c r="Q226" s="2"/>
      <c r="R226" s="6">
        <f t="shared" si="35"/>
        <v>8.891824507445828E-2</v>
      </c>
      <c r="S226" s="2"/>
      <c r="T226" s="7">
        <v>708243.16295120004</v>
      </c>
      <c r="U226" s="2"/>
      <c r="V226" s="6">
        <f t="shared" si="36"/>
        <v>1.9610567391487494E-2</v>
      </c>
      <c r="W226" s="2"/>
      <c r="X226" s="7">
        <f t="shared" si="37"/>
        <v>1785899.7970487999</v>
      </c>
      <c r="Y226" s="2"/>
      <c r="Z226" s="6">
        <f t="shared" si="38"/>
        <v>2.521591298682051</v>
      </c>
    </row>
    <row r="227" spans="1:26" s="24" customFormat="1" hidden="1" outlineLevel="2" x14ac:dyDescent="0.25">
      <c r="A227" s="26"/>
      <c r="B227" s="11" t="str">
        <f>CONCATENATE("          ", "6008", " - ", "STUDENT HOURLY-FICA EXEMPT")</f>
        <v xml:space="preserve">          6008 - STUDENT HOURLY-FICA EXEMPT</v>
      </c>
      <c r="C227" s="11"/>
      <c r="D227" s="7"/>
      <c r="E227" s="2"/>
      <c r="F227" s="6">
        <f t="shared" si="31"/>
        <v>0</v>
      </c>
      <c r="G227" s="2"/>
      <c r="H227" s="7">
        <v>249460.98309947358</v>
      </c>
      <c r="I227" s="2"/>
      <c r="J227" s="6">
        <f t="shared" si="32"/>
        <v>8.7031747893914699E-2</v>
      </c>
      <c r="K227" s="2"/>
      <c r="L227" s="7">
        <f t="shared" si="33"/>
        <v>-249460.98309947358</v>
      </c>
      <c r="M227" s="2"/>
      <c r="N227" s="6">
        <f t="shared" si="34"/>
        <v>-1</v>
      </c>
      <c r="O227" s="11"/>
      <c r="P227" s="7">
        <v>241146.53999999998</v>
      </c>
      <c r="Q227" s="2"/>
      <c r="R227" s="6">
        <f t="shared" si="35"/>
        <v>8.5970722153703872E-3</v>
      </c>
      <c r="S227" s="2"/>
      <c r="T227" s="7">
        <v>2720295.9923912752</v>
      </c>
      <c r="U227" s="2"/>
      <c r="V227" s="6">
        <f t="shared" si="36"/>
        <v>7.5322361971404142E-2</v>
      </c>
      <c r="W227" s="2"/>
      <c r="X227" s="7">
        <f t="shared" si="37"/>
        <v>-2479149.4523912752</v>
      </c>
      <c r="Y227" s="2"/>
      <c r="Z227" s="6">
        <f t="shared" si="38"/>
        <v>-0.91135283047341464</v>
      </c>
    </row>
    <row r="228" spans="1:26" s="24" customFormat="1" hidden="1" outlineLevel="2" x14ac:dyDescent="0.25">
      <c r="A228" s="26"/>
      <c r="B228" s="11" t="str">
        <f>CONCATENATE("          ", "6009", " - ", "TEMPORARY-SEASONAL")</f>
        <v xml:space="preserve">          6009 - TEMPORARY-SEASONAL</v>
      </c>
      <c r="C228" s="11"/>
      <c r="D228" s="7"/>
      <c r="E228" s="2"/>
      <c r="F228" s="6">
        <f t="shared" si="31"/>
        <v>0</v>
      </c>
      <c r="G228" s="2"/>
      <c r="H228" s="7">
        <v>0</v>
      </c>
      <c r="I228" s="2"/>
      <c r="J228" s="6">
        <f t="shared" si="32"/>
        <v>0</v>
      </c>
      <c r="K228" s="2"/>
      <c r="L228" s="7">
        <f t="shared" si="33"/>
        <v>0</v>
      </c>
      <c r="M228" s="2"/>
      <c r="N228" s="6">
        <f t="shared" si="34"/>
        <v>0</v>
      </c>
      <c r="O228" s="11"/>
      <c r="P228" s="7"/>
      <c r="Q228" s="2"/>
      <c r="R228" s="6">
        <f t="shared" si="35"/>
        <v>0</v>
      </c>
      <c r="S228" s="2"/>
      <c r="T228" s="7">
        <v>0</v>
      </c>
      <c r="U228" s="2"/>
      <c r="V228" s="6">
        <f t="shared" si="36"/>
        <v>0</v>
      </c>
      <c r="W228" s="2"/>
      <c r="X228" s="7">
        <f t="shared" si="37"/>
        <v>0</v>
      </c>
      <c r="Y228" s="2"/>
      <c r="Z228" s="6">
        <f t="shared" si="38"/>
        <v>0</v>
      </c>
    </row>
    <row r="229" spans="1:26" s="24" customFormat="1" hidden="1" outlineLevel="2" x14ac:dyDescent="0.25">
      <c r="A229" s="26"/>
      <c r="B229" s="11" t="str">
        <f>CONCATENATE("          ", "6010", " - ", "GRATUITY")</f>
        <v xml:space="preserve">          6010 - GRATUITY</v>
      </c>
      <c r="C229" s="11"/>
      <c r="D229" s="7"/>
      <c r="E229" s="2"/>
      <c r="F229" s="6">
        <f t="shared" si="31"/>
        <v>0</v>
      </c>
      <c r="G229" s="2"/>
      <c r="H229" s="7">
        <v>0</v>
      </c>
      <c r="I229" s="2"/>
      <c r="J229" s="6">
        <f t="shared" si="32"/>
        <v>0</v>
      </c>
      <c r="K229" s="2"/>
      <c r="L229" s="7">
        <f t="shared" si="33"/>
        <v>0</v>
      </c>
      <c r="M229" s="2"/>
      <c r="N229" s="6">
        <f t="shared" si="34"/>
        <v>0</v>
      </c>
      <c r="O229" s="11"/>
      <c r="P229" s="7"/>
      <c r="Q229" s="2"/>
      <c r="R229" s="6">
        <f t="shared" si="35"/>
        <v>0</v>
      </c>
      <c r="S229" s="2"/>
      <c r="T229" s="7">
        <v>0</v>
      </c>
      <c r="U229" s="2"/>
      <c r="V229" s="6">
        <f t="shared" si="36"/>
        <v>0</v>
      </c>
      <c r="W229" s="2"/>
      <c r="X229" s="7">
        <f t="shared" si="37"/>
        <v>0</v>
      </c>
      <c r="Y229" s="2"/>
      <c r="Z229" s="6">
        <f t="shared" si="38"/>
        <v>0</v>
      </c>
    </row>
    <row r="230" spans="1:26" s="27" customFormat="1" outlineLevel="1" collapsed="1" x14ac:dyDescent="0.25">
      <c r="A230" s="25"/>
      <c r="B230" s="12" t="str">
        <f>CONCATENATE("     ","Advertising/Promo                                 ")</f>
        <v xml:space="preserve">     Advertising/Promo                                 </v>
      </c>
      <c r="C230" s="12"/>
      <c r="D230" s="1">
        <f>SUM(OSRRefD22_2x_0)</f>
        <v>3050.57</v>
      </c>
      <c r="E230" s="1"/>
      <c r="F230" s="5">
        <f t="shared" ref="F230:F234" si="39">IF(D$12=0,0,D230/D$12)</f>
        <v>6.0265022517324738E-3</v>
      </c>
      <c r="G230" s="1"/>
      <c r="H230" s="1">
        <f>SUM(OSRRefH22_2x_0)</f>
        <v>7820</v>
      </c>
      <c r="I230" s="1"/>
      <c r="J230" s="5">
        <f t="shared" ref="J230:J234" si="40">IF(H$12=0,0,H230/H$12)</f>
        <v>2.7282353339360714E-3</v>
      </c>
      <c r="K230" s="1"/>
      <c r="L230" s="1">
        <f t="shared" ref="L230:L234" si="41">+D230-H230</f>
        <v>-4769.43</v>
      </c>
      <c r="M230" s="1"/>
      <c r="N230" s="5">
        <f t="shared" ref="N230:N234" si="42">IF(H230=0,0,L230/H230)</f>
        <v>-0.60990153452685425</v>
      </c>
      <c r="O230" s="12"/>
      <c r="P230" s="1">
        <f>SUM(OSRRefP22_2x_0)</f>
        <v>89872.960000000006</v>
      </c>
      <c r="Q230" s="1"/>
      <c r="R230" s="5">
        <f t="shared" ref="R230:R234" si="43">IF(P$12=0,0,P230/P$12)</f>
        <v>3.2040448406562014E-3</v>
      </c>
      <c r="S230" s="1"/>
      <c r="T230" s="1">
        <f>SUM(OSRRefT22_2x_0)</f>
        <v>116430</v>
      </c>
      <c r="U230" s="1"/>
      <c r="V230" s="5">
        <f t="shared" ref="V230:V234" si="44">IF(T$12=0,0,T230/T$12)</f>
        <v>3.2238339610321264E-3</v>
      </c>
      <c r="W230" s="1"/>
      <c r="X230" s="1">
        <f t="shared" ref="X230:X234" si="45">+P230-T230</f>
        <v>-26557.039999999994</v>
      </c>
      <c r="Y230" s="1"/>
      <c r="Z230" s="5">
        <f t="shared" ref="Z230:Z234" si="46">IF(T230=0,0,X230/T230)</f>
        <v>-0.22809447736837579</v>
      </c>
    </row>
    <row r="231" spans="1:26" s="24" customFormat="1" hidden="1" outlineLevel="2" x14ac:dyDescent="0.25">
      <c r="A231" s="26"/>
      <c r="B231" s="11" t="str">
        <f>CONCATENATE("          ", "6362", " - ", "ADVERTISING EXPENSE")</f>
        <v xml:space="preserve">          6362 - ADVERTISING EXPENSE</v>
      </c>
      <c r="C231" s="11"/>
      <c r="D231" s="7">
        <v>3050.57</v>
      </c>
      <c r="E231" s="2"/>
      <c r="F231" s="6">
        <f t="shared" si="39"/>
        <v>6.0265022517324738E-3</v>
      </c>
      <c r="G231" s="2"/>
      <c r="H231" s="7">
        <v>7820</v>
      </c>
      <c r="I231" s="2"/>
      <c r="J231" s="6">
        <f t="shared" si="40"/>
        <v>2.7282353339360714E-3</v>
      </c>
      <c r="K231" s="2"/>
      <c r="L231" s="7">
        <f t="shared" si="41"/>
        <v>-4769.43</v>
      </c>
      <c r="M231" s="2"/>
      <c r="N231" s="6">
        <f t="shared" si="42"/>
        <v>-0.60990153452685425</v>
      </c>
      <c r="O231" s="11"/>
      <c r="P231" s="7">
        <v>89872.960000000006</v>
      </c>
      <c r="Q231" s="2"/>
      <c r="R231" s="6">
        <f t="shared" si="43"/>
        <v>3.2040448406562014E-3</v>
      </c>
      <c r="S231" s="2"/>
      <c r="T231" s="7">
        <v>116430</v>
      </c>
      <c r="U231" s="2"/>
      <c r="V231" s="6">
        <f t="shared" si="44"/>
        <v>3.2238339610321264E-3</v>
      </c>
      <c r="W231" s="2"/>
      <c r="X231" s="7">
        <f t="shared" si="45"/>
        <v>-26557.039999999994</v>
      </c>
      <c r="Y231" s="2"/>
      <c r="Z231" s="6">
        <f t="shared" si="46"/>
        <v>-0.22809447736837579</v>
      </c>
    </row>
    <row r="232" spans="1:26" s="27" customFormat="1" outlineLevel="1" collapsed="1" x14ac:dyDescent="0.25">
      <c r="A232" s="25"/>
      <c r="B232" s="12" t="str">
        <f>CONCATENATE("     ","Bad Debts/Over/Short                              ")</f>
        <v xml:space="preserve">     Bad Debts/Over/Short                              </v>
      </c>
      <c r="C232" s="12"/>
      <c r="D232" s="1">
        <f>SUM(OSRRefD22_3x_0)</f>
        <v>-4.55</v>
      </c>
      <c r="E232" s="1"/>
      <c r="F232" s="5">
        <f t="shared" si="39"/>
        <v>-8.9886759672398134E-6</v>
      </c>
      <c r="G232" s="1"/>
      <c r="H232" s="1">
        <f>SUM(OSRRefH22_3x_0)</f>
        <v>427</v>
      </c>
      <c r="I232" s="1"/>
      <c r="J232" s="5">
        <f t="shared" si="40"/>
        <v>1.4897141785047345E-4</v>
      </c>
      <c r="K232" s="1"/>
      <c r="L232" s="1">
        <f t="shared" si="41"/>
        <v>-431.55</v>
      </c>
      <c r="M232" s="1"/>
      <c r="N232" s="5">
        <f t="shared" si="42"/>
        <v>-1.0106557377049181</v>
      </c>
      <c r="O232" s="12"/>
      <c r="P232" s="1">
        <f>SUM(OSRRefP22_3x_0)</f>
        <v>-656.94</v>
      </c>
      <c r="Q232" s="1"/>
      <c r="R232" s="5">
        <f t="shared" si="43"/>
        <v>-2.3420450574017867E-5</v>
      </c>
      <c r="S232" s="1"/>
      <c r="T232" s="1">
        <f>SUM(OSRRefT22_3x_0)</f>
        <v>4434</v>
      </c>
      <c r="U232" s="1"/>
      <c r="V232" s="5">
        <f t="shared" si="44"/>
        <v>1.2277316656545949E-4</v>
      </c>
      <c r="W232" s="1"/>
      <c r="X232" s="1">
        <f t="shared" si="45"/>
        <v>-5090.9400000000005</v>
      </c>
      <c r="Y232" s="1"/>
      <c r="Z232" s="5">
        <f t="shared" si="46"/>
        <v>-1.1481596752368066</v>
      </c>
    </row>
    <row r="233" spans="1:26" s="24" customFormat="1" hidden="1" outlineLevel="2" x14ac:dyDescent="0.25">
      <c r="A233" s="26"/>
      <c r="B233" s="11" t="str">
        <f>CONCATENATE("          ", "6272", " - ", "CASH (OVER/SHORT)")</f>
        <v xml:space="preserve">          6272 - CASH (OVER/SHORT)</v>
      </c>
      <c r="C233" s="11"/>
      <c r="D233" s="7">
        <v>-4.55</v>
      </c>
      <c r="E233" s="2"/>
      <c r="F233" s="6">
        <f t="shared" si="39"/>
        <v>-8.9886759672398134E-6</v>
      </c>
      <c r="G233" s="2"/>
      <c r="H233" s="7">
        <v>367</v>
      </c>
      <c r="I233" s="2"/>
      <c r="J233" s="6">
        <f t="shared" si="40"/>
        <v>1.2803866592769032E-4</v>
      </c>
      <c r="K233" s="2"/>
      <c r="L233" s="7">
        <f t="shared" si="41"/>
        <v>-371.55</v>
      </c>
      <c r="M233" s="2"/>
      <c r="N233" s="6">
        <f t="shared" si="42"/>
        <v>-1.0123978201634878</v>
      </c>
      <c r="O233" s="11"/>
      <c r="P233" s="7">
        <v>-701.74</v>
      </c>
      <c r="Q233" s="2"/>
      <c r="R233" s="6">
        <f t="shared" si="43"/>
        <v>-2.5017607370248877E-5</v>
      </c>
      <c r="S233" s="2"/>
      <c r="T233" s="7">
        <v>3824</v>
      </c>
      <c r="U233" s="2"/>
      <c r="V233" s="6">
        <f t="shared" si="44"/>
        <v>1.0588285722740575E-4</v>
      </c>
      <c r="W233" s="2"/>
      <c r="X233" s="7">
        <f t="shared" si="45"/>
        <v>-4525.74</v>
      </c>
      <c r="Y233" s="2"/>
      <c r="Z233" s="6">
        <f t="shared" si="46"/>
        <v>-1.1835094142259415</v>
      </c>
    </row>
    <row r="234" spans="1:26" s="24" customFormat="1" hidden="1" outlineLevel="2" x14ac:dyDescent="0.25">
      <c r="A234" s="26"/>
      <c r="B234" s="11" t="str">
        <f>CONCATENATE("          ", "6342", " - ", "BAD DEBT")</f>
        <v xml:space="preserve">          6342 - BAD DEBT</v>
      </c>
      <c r="C234" s="11"/>
      <c r="D234" s="7"/>
      <c r="E234" s="2"/>
      <c r="F234" s="6">
        <f t="shared" si="39"/>
        <v>0</v>
      </c>
      <c r="G234" s="2"/>
      <c r="H234" s="7">
        <v>60</v>
      </c>
      <c r="I234" s="2"/>
      <c r="J234" s="6">
        <f t="shared" si="40"/>
        <v>2.0932751922783158E-5</v>
      </c>
      <c r="K234" s="2"/>
      <c r="L234" s="7">
        <f t="shared" si="41"/>
        <v>-60</v>
      </c>
      <c r="M234" s="2"/>
      <c r="N234" s="6">
        <f t="shared" si="42"/>
        <v>-1</v>
      </c>
      <c r="O234" s="11"/>
      <c r="P234" s="7">
        <v>44.8</v>
      </c>
      <c r="Q234" s="2"/>
      <c r="R234" s="6">
        <f t="shared" si="43"/>
        <v>1.597156796231011E-6</v>
      </c>
      <c r="S234" s="2"/>
      <c r="T234" s="7">
        <v>610</v>
      </c>
      <c r="U234" s="2"/>
      <c r="V234" s="6">
        <f t="shared" si="44"/>
        <v>1.6890309338053741E-5</v>
      </c>
      <c r="W234" s="2"/>
      <c r="X234" s="7">
        <f t="shared" si="45"/>
        <v>-565.20000000000005</v>
      </c>
      <c r="Y234" s="2"/>
      <c r="Z234" s="6">
        <f t="shared" si="46"/>
        <v>-0.9265573770491804</v>
      </c>
    </row>
    <row r="235" spans="1:26" s="27" customFormat="1" outlineLevel="1" collapsed="1" x14ac:dyDescent="0.25">
      <c r="A235" s="25"/>
      <c r="B235" s="12" t="str">
        <f>CONCATENATE("     ","Bank/card Fees                                    ")</f>
        <v xml:space="preserve">     Bank/card Fees                                    </v>
      </c>
      <c r="C235" s="12"/>
      <c r="D235" s="1">
        <f>SUM(OSRRefD22_4x_0)</f>
        <v>5798.6</v>
      </c>
      <c r="E235" s="1"/>
      <c r="F235" s="5">
        <f t="shared" ref="F235:F241" si="47">IF(D$12=0,0,D235/D$12)</f>
        <v>1.1455326695304788E-2</v>
      </c>
      <c r="G235" s="1"/>
      <c r="H235" s="1">
        <f>SUM(OSRRefH22_4x_0)</f>
        <v>31832</v>
      </c>
      <c r="I235" s="1"/>
      <c r="J235" s="5">
        <f t="shared" ref="J235:J241" si="48">IF(H$12=0,0,H235/H$12)</f>
        <v>1.110552265343389E-2</v>
      </c>
      <c r="K235" s="1"/>
      <c r="L235" s="1">
        <f t="shared" ref="L235:L241" si="49">+D235-H235</f>
        <v>-26033.4</v>
      </c>
      <c r="M235" s="1"/>
      <c r="N235" s="5">
        <f t="shared" ref="N235:N241" si="50">IF(H235=0,0,L235/H235)</f>
        <v>-0.81783739633073638</v>
      </c>
      <c r="O235" s="12"/>
      <c r="P235" s="1">
        <f>SUM(OSRRefP22_4x_0)</f>
        <v>404825.91000000003</v>
      </c>
      <c r="Q235" s="1"/>
      <c r="R235" s="5">
        <f t="shared" ref="R235:R241" si="51">IF(P$12=0,0,P235/P$12)</f>
        <v>1.4432376193011243E-2</v>
      </c>
      <c r="S235" s="1"/>
      <c r="T235" s="1">
        <f>SUM(OSRRefT22_4x_0)</f>
        <v>421530</v>
      </c>
      <c r="U235" s="1"/>
      <c r="V235" s="5">
        <f t="shared" ref="V235:V241" si="52">IF(T$12=0,0,T235/T$12)</f>
        <v>1.1671757533229169E-2</v>
      </c>
      <c r="W235" s="1"/>
      <c r="X235" s="1">
        <f t="shared" ref="X235:X241" si="53">+P235-T235</f>
        <v>-16704.089999999967</v>
      </c>
      <c r="Y235" s="1"/>
      <c r="Z235" s="5">
        <f t="shared" ref="Z235:Z241" si="54">IF(T235=0,0,X235/T235)</f>
        <v>-3.9627286314141266E-2</v>
      </c>
    </row>
    <row r="236" spans="1:26" s="24" customFormat="1" hidden="1" outlineLevel="2" x14ac:dyDescent="0.25">
      <c r="A236" s="26"/>
      <c r="B236" s="11" t="str">
        <f>CONCATENATE("          ", "6381", " - ", "BANK/CREDIT CARD FEES")</f>
        <v xml:space="preserve">          6381 - BANK/CREDIT CARD FEES</v>
      </c>
      <c r="C236" s="11"/>
      <c r="D236" s="7">
        <v>5798.6</v>
      </c>
      <c r="E236" s="2"/>
      <c r="F236" s="6">
        <f t="shared" si="47"/>
        <v>1.1455326695304788E-2</v>
      </c>
      <c r="G236" s="2"/>
      <c r="H236" s="7">
        <v>31832</v>
      </c>
      <c r="I236" s="2"/>
      <c r="J236" s="6">
        <f t="shared" si="48"/>
        <v>1.110552265343389E-2</v>
      </c>
      <c r="K236" s="2"/>
      <c r="L236" s="7">
        <f t="shared" si="49"/>
        <v>-26033.4</v>
      </c>
      <c r="M236" s="2"/>
      <c r="N236" s="6">
        <f t="shared" si="50"/>
        <v>-0.81783739633073638</v>
      </c>
      <c r="O236" s="11"/>
      <c r="P236" s="7">
        <v>404825.91000000003</v>
      </c>
      <c r="Q236" s="2"/>
      <c r="R236" s="6">
        <f t="shared" si="51"/>
        <v>1.4432376193011243E-2</v>
      </c>
      <c r="S236" s="2"/>
      <c r="T236" s="7">
        <v>421530</v>
      </c>
      <c r="U236" s="2"/>
      <c r="V236" s="6">
        <f t="shared" si="52"/>
        <v>1.1671757533229169E-2</v>
      </c>
      <c r="W236" s="2"/>
      <c r="X236" s="7">
        <f t="shared" si="53"/>
        <v>-16704.089999999967</v>
      </c>
      <c r="Y236" s="2"/>
      <c r="Z236" s="6">
        <f t="shared" si="54"/>
        <v>-3.9627286314141266E-2</v>
      </c>
    </row>
    <row r="237" spans="1:26" s="27" customFormat="1" outlineLevel="1" collapsed="1" x14ac:dyDescent="0.25">
      <c r="A237" s="25"/>
      <c r="B237" s="12" t="str">
        <f>CONCATENATE("     ","Depreciation                                      ")</f>
        <v xml:space="preserve">     Depreciation                                      </v>
      </c>
      <c r="C237" s="12"/>
      <c r="D237" s="1">
        <f>SUM(OSRRefD22_5x_0)</f>
        <v>77550.860000000015</v>
      </c>
      <c r="E237" s="1"/>
      <c r="F237" s="5">
        <f t="shared" si="47"/>
        <v>0.15320429703753394</v>
      </c>
      <c r="G237" s="1"/>
      <c r="H237" s="1">
        <f>SUM(OSRRefH22_5x_0)</f>
        <v>85493</v>
      </c>
      <c r="I237" s="1"/>
      <c r="J237" s="5">
        <f t="shared" si="48"/>
        <v>2.9826729335575005E-2</v>
      </c>
      <c r="K237" s="1"/>
      <c r="L237" s="1">
        <f t="shared" si="49"/>
        <v>-7942.1399999999849</v>
      </c>
      <c r="M237" s="1"/>
      <c r="N237" s="5">
        <f t="shared" si="50"/>
        <v>-9.2898132010807724E-2</v>
      </c>
      <c r="O237" s="12"/>
      <c r="P237" s="1">
        <f>SUM(OSRRefP22_5x_0)</f>
        <v>867085.58</v>
      </c>
      <c r="Q237" s="1"/>
      <c r="R237" s="5">
        <f t="shared" si="51"/>
        <v>3.0912313102922053E-2</v>
      </c>
      <c r="S237" s="1"/>
      <c r="T237" s="1">
        <f>SUM(OSRRefT22_5x_0)</f>
        <v>913884</v>
      </c>
      <c r="U237" s="1"/>
      <c r="V237" s="5">
        <f t="shared" si="52"/>
        <v>2.5304563047701484E-2</v>
      </c>
      <c r="W237" s="1"/>
      <c r="X237" s="1">
        <f t="shared" si="53"/>
        <v>-46798.420000000042</v>
      </c>
      <c r="Y237" s="1"/>
      <c r="Z237" s="5">
        <f t="shared" si="54"/>
        <v>-5.120827150929444E-2</v>
      </c>
    </row>
    <row r="238" spans="1:26" s="24" customFormat="1" hidden="1" outlineLevel="2" x14ac:dyDescent="0.25">
      <c r="A238" s="26"/>
      <c r="B238" s="11" t="str">
        <f>CONCATENATE("          ", "6321", " - ", "BUILDING DEPRECIATION")</f>
        <v xml:space="preserve">          6321 - BUILDING DEPRECIATION</v>
      </c>
      <c r="C238" s="11"/>
      <c r="D238" s="7">
        <v>45519.990000000005</v>
      </c>
      <c r="E238" s="2"/>
      <c r="F238" s="6">
        <f t="shared" si="47"/>
        <v>8.9926250580658604E-2</v>
      </c>
      <c r="G238" s="2"/>
      <c r="H238" s="7">
        <v>44515</v>
      </c>
      <c r="I238" s="2"/>
      <c r="J238" s="6">
        <f t="shared" si="48"/>
        <v>1.5530357530711537E-2</v>
      </c>
      <c r="K238" s="2"/>
      <c r="L238" s="7">
        <f t="shared" si="49"/>
        <v>1004.9900000000052</v>
      </c>
      <c r="M238" s="2"/>
      <c r="N238" s="6">
        <f t="shared" si="50"/>
        <v>2.2576434909581156E-2</v>
      </c>
      <c r="O238" s="11"/>
      <c r="P238" s="7">
        <v>500719.89</v>
      </c>
      <c r="Q238" s="2"/>
      <c r="R238" s="6">
        <f t="shared" si="51"/>
        <v>1.7851075341998757E-2</v>
      </c>
      <c r="S238" s="2"/>
      <c r="T238" s="7">
        <v>490079</v>
      </c>
      <c r="U238" s="2"/>
      <c r="V238" s="6">
        <f t="shared" si="52"/>
        <v>1.3569812967350884E-2</v>
      </c>
      <c r="W238" s="2"/>
      <c r="X238" s="7">
        <f t="shared" si="53"/>
        <v>10640.890000000014</v>
      </c>
      <c r="Y238" s="2"/>
      <c r="Z238" s="6">
        <f t="shared" si="54"/>
        <v>2.1712601437727415E-2</v>
      </c>
    </row>
    <row r="239" spans="1:26" s="24" customFormat="1" hidden="1" outlineLevel="2" x14ac:dyDescent="0.25">
      <c r="A239" s="26"/>
      <c r="B239" s="11" t="str">
        <f>CONCATENATE("          ", "6322", " - ", "EQUIPMENT DEPRECIATION EXPENSE")</f>
        <v xml:space="preserve">          6322 - EQUIPMENT DEPRECIATION EXPENSE</v>
      </c>
      <c r="C239" s="11"/>
      <c r="D239" s="7">
        <v>32030.870000000003</v>
      </c>
      <c r="E239" s="2"/>
      <c r="F239" s="6">
        <f t="shared" si="47"/>
        <v>6.327804645687532E-2</v>
      </c>
      <c r="G239" s="2"/>
      <c r="H239" s="7">
        <v>31525</v>
      </c>
      <c r="I239" s="2"/>
      <c r="J239" s="6">
        <f t="shared" si="48"/>
        <v>1.0998416739428984E-2</v>
      </c>
      <c r="K239" s="2"/>
      <c r="L239" s="7">
        <f t="shared" si="49"/>
        <v>505.87000000000262</v>
      </c>
      <c r="M239" s="2"/>
      <c r="N239" s="6">
        <f t="shared" si="50"/>
        <v>1.6046629659000874E-2</v>
      </c>
      <c r="O239" s="11"/>
      <c r="P239" s="7">
        <v>362123.20999999996</v>
      </c>
      <c r="Q239" s="2"/>
      <c r="R239" s="6">
        <f t="shared" si="51"/>
        <v>1.2909989864385928E-2</v>
      </c>
      <c r="S239" s="2"/>
      <c r="T239" s="7">
        <v>346775</v>
      </c>
      <c r="U239" s="2"/>
      <c r="V239" s="6">
        <f t="shared" si="52"/>
        <v>9.6018639683665349E-3</v>
      </c>
      <c r="W239" s="2"/>
      <c r="X239" s="7">
        <f t="shared" si="53"/>
        <v>15348.209999999963</v>
      </c>
      <c r="Y239" s="2"/>
      <c r="Z239" s="6">
        <f t="shared" si="54"/>
        <v>4.4259851488717361E-2</v>
      </c>
    </row>
    <row r="240" spans="1:26" s="24" customFormat="1" hidden="1" outlineLevel="2" x14ac:dyDescent="0.25">
      <c r="A240" s="26"/>
      <c r="B240" s="11" t="str">
        <f>CONCATENATE("          ", "6324", " - ", "FURNITURE + FIXT DEPRECIATION")</f>
        <v xml:space="preserve">          6324 - FURNITURE + FIXT DEPRECIATION</v>
      </c>
      <c r="C240" s="11"/>
      <c r="D240" s="7"/>
      <c r="E240" s="2"/>
      <c r="F240" s="6">
        <f t="shared" si="47"/>
        <v>0</v>
      </c>
      <c r="G240" s="2"/>
      <c r="H240" s="7">
        <v>6946</v>
      </c>
      <c r="I240" s="2"/>
      <c r="J240" s="6">
        <f t="shared" si="48"/>
        <v>2.4233149142608634E-3</v>
      </c>
      <c r="K240" s="2"/>
      <c r="L240" s="7">
        <f t="shared" si="49"/>
        <v>-6946</v>
      </c>
      <c r="M240" s="2"/>
      <c r="N240" s="6">
        <f t="shared" si="50"/>
        <v>-1</v>
      </c>
      <c r="O240" s="11"/>
      <c r="P240" s="7"/>
      <c r="Q240" s="2"/>
      <c r="R240" s="6">
        <f t="shared" si="51"/>
        <v>0</v>
      </c>
      <c r="S240" s="2"/>
      <c r="T240" s="7">
        <v>55702</v>
      </c>
      <c r="U240" s="2"/>
      <c r="V240" s="6">
        <f t="shared" si="52"/>
        <v>1.542334443849622E-3</v>
      </c>
      <c r="W240" s="2"/>
      <c r="X240" s="7">
        <f t="shared" si="53"/>
        <v>-55702</v>
      </c>
      <c r="Y240" s="2"/>
      <c r="Z240" s="6">
        <f t="shared" si="54"/>
        <v>-1</v>
      </c>
    </row>
    <row r="241" spans="1:26" s="24" customFormat="1" hidden="1" outlineLevel="2" x14ac:dyDescent="0.25">
      <c r="A241" s="26"/>
      <c r="B241" s="11" t="str">
        <f>CONCATENATE("          ", "6326", " - ", "VEHICLES DEPRECIATION EXPENSE")</f>
        <v xml:space="preserve">          6326 - VEHICLES DEPRECIATION EXPENSE</v>
      </c>
      <c r="C241" s="11"/>
      <c r="D241" s="7"/>
      <c r="E241" s="2"/>
      <c r="F241" s="6">
        <f t="shared" si="47"/>
        <v>0</v>
      </c>
      <c r="G241" s="2"/>
      <c r="H241" s="7">
        <v>2507</v>
      </c>
      <c r="I241" s="2"/>
      <c r="J241" s="6">
        <f t="shared" si="48"/>
        <v>8.7464015117362287E-4</v>
      </c>
      <c r="K241" s="2"/>
      <c r="L241" s="7">
        <f t="shared" si="49"/>
        <v>-2507</v>
      </c>
      <c r="M241" s="2"/>
      <c r="N241" s="6">
        <f t="shared" si="50"/>
        <v>-1</v>
      </c>
      <c r="O241" s="11"/>
      <c r="P241" s="7">
        <v>4242.4799999999996</v>
      </c>
      <c r="Q241" s="2"/>
      <c r="R241" s="6">
        <f t="shared" si="51"/>
        <v>1.5124789653736919E-4</v>
      </c>
      <c r="S241" s="2"/>
      <c r="T241" s="7">
        <v>21328</v>
      </c>
      <c r="U241" s="2"/>
      <c r="V241" s="6">
        <f t="shared" si="52"/>
        <v>5.9055166813444288E-4</v>
      </c>
      <c r="W241" s="2"/>
      <c r="X241" s="7">
        <f t="shared" si="53"/>
        <v>-17085.52</v>
      </c>
      <c r="Y241" s="2"/>
      <c r="Z241" s="6">
        <f t="shared" si="54"/>
        <v>-0.80108402100525133</v>
      </c>
    </row>
    <row r="242" spans="1:26" s="27" customFormat="1" outlineLevel="1" collapsed="1" x14ac:dyDescent="0.25">
      <c r="A242" s="25"/>
      <c r="B242" s="12" t="str">
        <f>CONCATENATE("     ","Discounts and Markdowns                           ")</f>
        <v xml:space="preserve">     Discounts and Markdowns                           </v>
      </c>
      <c r="C242" s="12"/>
      <c r="D242" s="1">
        <f>SUM(OSRRefD22_6x_0)</f>
        <v>48114.67</v>
      </c>
      <c r="E242" s="1"/>
      <c r="F242" s="5">
        <f t="shared" ref="F242:F244" si="55">IF(D$12=0,0,D242/D$12)</f>
        <v>9.505212701113723E-2</v>
      </c>
      <c r="G242" s="1"/>
      <c r="H242" s="1">
        <f>SUM(OSRRefH22_6x_0)</f>
        <v>22825</v>
      </c>
      <c r="I242" s="1"/>
      <c r="J242" s="5">
        <f t="shared" ref="J242:J244" si="56">IF(H$12=0,0,H242/H$12)</f>
        <v>7.963167710625425E-3</v>
      </c>
      <c r="K242" s="1"/>
      <c r="L242" s="1">
        <f t="shared" ref="L242:L244" si="57">+D242-H242</f>
        <v>25289.67</v>
      </c>
      <c r="M242" s="1"/>
      <c r="N242" s="5">
        <f t="shared" ref="N242:N244" si="58">IF(H242=0,0,L242/H242)</f>
        <v>1.1079811610076669</v>
      </c>
      <c r="O242" s="12"/>
      <c r="P242" s="1">
        <f>SUM(OSRRefP22_6x_0)</f>
        <v>421895.44</v>
      </c>
      <c r="Q242" s="1"/>
      <c r="R242" s="5">
        <f t="shared" ref="R242:R244" si="59">IF(P$12=0,0,P242/P$12)</f>
        <v>1.5040918957474839E-2</v>
      </c>
      <c r="S242" s="1"/>
      <c r="T242" s="1">
        <f>SUM(OSRRefT22_6x_0)</f>
        <v>355775</v>
      </c>
      <c r="U242" s="1"/>
      <c r="V242" s="5">
        <f t="shared" ref="V242:V244" si="60">IF(T$12=0,0,T242/T$12)</f>
        <v>9.8510652536820814E-3</v>
      </c>
      <c r="W242" s="1"/>
      <c r="X242" s="1">
        <f t="shared" ref="X242:X244" si="61">+P242-T242</f>
        <v>66120.44</v>
      </c>
      <c r="Y242" s="1"/>
      <c r="Z242" s="5">
        <f t="shared" ref="Z242:Z244" si="62">IF(T242=0,0,X242/T242)</f>
        <v>0.18584903379945192</v>
      </c>
    </row>
    <row r="243" spans="1:26" s="24" customFormat="1" hidden="1" outlineLevel="2" x14ac:dyDescent="0.25">
      <c r="A243" s="26"/>
      <c r="B243" s="11" t="str">
        <f>CONCATENATE("          ", "6382", " - ", "DISCOUNTS/MARK DOWNS")</f>
        <v xml:space="preserve">          6382 - DISCOUNTS/MARK DOWNS</v>
      </c>
      <c r="C243" s="11"/>
      <c r="D243" s="7">
        <v>48114.67</v>
      </c>
      <c r="E243" s="2"/>
      <c r="F243" s="6">
        <f t="shared" si="55"/>
        <v>9.505212701113723E-2</v>
      </c>
      <c r="G243" s="2"/>
      <c r="H243" s="7">
        <v>22825</v>
      </c>
      <c r="I243" s="2"/>
      <c r="J243" s="6">
        <f t="shared" si="56"/>
        <v>7.963167710625425E-3</v>
      </c>
      <c r="K243" s="2"/>
      <c r="L243" s="7">
        <f t="shared" si="57"/>
        <v>25289.67</v>
      </c>
      <c r="M243" s="2"/>
      <c r="N243" s="6">
        <f t="shared" si="58"/>
        <v>1.1079811610076669</v>
      </c>
      <c r="O243" s="11"/>
      <c r="P243" s="7">
        <v>425127.06</v>
      </c>
      <c r="Q243" s="2"/>
      <c r="R243" s="6">
        <f t="shared" si="59"/>
        <v>1.5156128864747966E-2</v>
      </c>
      <c r="S243" s="2"/>
      <c r="T243" s="7">
        <v>355775</v>
      </c>
      <c r="U243" s="2"/>
      <c r="V243" s="6">
        <f t="shared" si="60"/>
        <v>9.8510652536820814E-3</v>
      </c>
      <c r="W243" s="2"/>
      <c r="X243" s="7">
        <f t="shared" si="61"/>
        <v>69352.06</v>
      </c>
      <c r="Y243" s="2"/>
      <c r="Z243" s="6">
        <f t="shared" si="62"/>
        <v>0.19493235893471997</v>
      </c>
    </row>
    <row r="244" spans="1:26" s="24" customFormat="1" hidden="1" outlineLevel="2" x14ac:dyDescent="0.25">
      <c r="A244" s="26"/>
      <c r="B244" s="11" t="str">
        <f>CONCATENATE("          ", "9175", " - ", "EARNED DISCOUNTS")</f>
        <v xml:space="preserve">          9175 - EARNED DISCOUNTS</v>
      </c>
      <c r="C244" s="11"/>
      <c r="D244" s="7"/>
      <c r="E244" s="2"/>
      <c r="F244" s="6">
        <f t="shared" si="55"/>
        <v>0</v>
      </c>
      <c r="G244" s="2"/>
      <c r="H244" s="7"/>
      <c r="I244" s="2"/>
      <c r="J244" s="6">
        <f t="shared" si="56"/>
        <v>0</v>
      </c>
      <c r="K244" s="2"/>
      <c r="L244" s="7">
        <f t="shared" si="57"/>
        <v>0</v>
      </c>
      <c r="M244" s="2"/>
      <c r="N244" s="6">
        <f t="shared" si="58"/>
        <v>0</v>
      </c>
      <c r="O244" s="11"/>
      <c r="P244" s="7">
        <v>-3231.62</v>
      </c>
      <c r="Q244" s="2"/>
      <c r="R244" s="6">
        <f t="shared" si="59"/>
        <v>-1.1520990727312634E-4</v>
      </c>
      <c r="S244" s="2"/>
      <c r="T244" s="7"/>
      <c r="U244" s="2"/>
      <c r="V244" s="6">
        <f t="shared" si="60"/>
        <v>0</v>
      </c>
      <c r="W244" s="2"/>
      <c r="X244" s="7">
        <f t="shared" si="61"/>
        <v>-3231.62</v>
      </c>
      <c r="Y244" s="2"/>
      <c r="Z244" s="6">
        <f t="shared" si="62"/>
        <v>0</v>
      </c>
    </row>
    <row r="245" spans="1:26" s="27" customFormat="1" outlineLevel="1" collapsed="1" x14ac:dyDescent="0.25">
      <c r="A245" s="25"/>
      <c r="B245" s="12" t="str">
        <f>CONCATENATE("     ","Donations                                         ")</f>
        <v xml:space="preserve">     Donations                                         </v>
      </c>
      <c r="C245" s="12"/>
      <c r="D245" s="1">
        <f>SUM(OSRRefD22_7x_0)</f>
        <v>16171.72</v>
      </c>
      <c r="E245" s="1"/>
      <c r="F245" s="5">
        <f t="shared" ref="F245:F248" si="63">IF(D$12=0,0,D245/D$12)</f>
        <v>3.1947769431413496E-2</v>
      </c>
      <c r="G245" s="1"/>
      <c r="H245" s="1">
        <f>SUM(OSRRefH22_7x_0)</f>
        <v>11266</v>
      </c>
      <c r="I245" s="1"/>
      <c r="J245" s="5">
        <f t="shared" ref="J245:J248" si="64">IF(H$12=0,0,H245/H$12)</f>
        <v>3.9304730527012508E-3</v>
      </c>
      <c r="K245" s="1"/>
      <c r="L245" s="1">
        <f t="shared" ref="L245:L248" si="65">+D245-H245</f>
        <v>4905.7199999999993</v>
      </c>
      <c r="M245" s="1"/>
      <c r="N245" s="5">
        <f t="shared" ref="N245:N248" si="66">IF(H245=0,0,L245/H245)</f>
        <v>0.43544470086987391</v>
      </c>
      <c r="O245" s="12"/>
      <c r="P245" s="1">
        <f>SUM(OSRRefP22_7x_0)</f>
        <v>148923.69999999998</v>
      </c>
      <c r="Q245" s="1"/>
      <c r="R245" s="5">
        <f t="shared" ref="R245:R248" si="67">IF(P$12=0,0,P245/P$12)</f>
        <v>5.3092522226533077E-3</v>
      </c>
      <c r="S245" s="1"/>
      <c r="T245" s="1">
        <f>SUM(OSRRefT22_7x_0)</f>
        <v>150783</v>
      </c>
      <c r="U245" s="1"/>
      <c r="V245" s="5">
        <f t="shared" ref="V245:V248" si="68">IF(T$12=0,0,T245/T$12)</f>
        <v>4.1750352670815692E-3</v>
      </c>
      <c r="W245" s="1"/>
      <c r="X245" s="1">
        <f t="shared" ref="X245:X248" si="69">+P245-T245</f>
        <v>-1859.3000000000175</v>
      </c>
      <c r="Y245" s="1"/>
      <c r="Z245" s="5">
        <f t="shared" ref="Z245:Z248" si="70">IF(T245=0,0,X245/T245)</f>
        <v>-1.2330965692419022E-2</v>
      </c>
    </row>
    <row r="246" spans="1:26" s="24" customFormat="1" hidden="1" outlineLevel="2" x14ac:dyDescent="0.25">
      <c r="A246" s="26"/>
      <c r="B246" s="11" t="str">
        <f>CONCATENATE("          ", "6395", " - ", "DONATION-OFF CAMPUS")</f>
        <v xml:space="preserve">          6395 - DONATION-OFF CAMPUS</v>
      </c>
      <c r="C246" s="11"/>
      <c r="D246" s="7"/>
      <c r="E246" s="2"/>
      <c r="F246" s="6">
        <f t="shared" si="63"/>
        <v>0</v>
      </c>
      <c r="G246" s="2"/>
      <c r="H246" s="7">
        <v>1050</v>
      </c>
      <c r="I246" s="2"/>
      <c r="J246" s="6">
        <f t="shared" si="64"/>
        <v>3.6632315864870523E-4</v>
      </c>
      <c r="K246" s="2"/>
      <c r="L246" s="7">
        <f t="shared" si="65"/>
        <v>-1050</v>
      </c>
      <c r="M246" s="2"/>
      <c r="N246" s="6">
        <f t="shared" si="66"/>
        <v>-1</v>
      </c>
      <c r="O246" s="11"/>
      <c r="P246" s="7"/>
      <c r="Q246" s="2"/>
      <c r="R246" s="6">
        <f t="shared" si="67"/>
        <v>0</v>
      </c>
      <c r="S246" s="2"/>
      <c r="T246" s="7">
        <v>11375</v>
      </c>
      <c r="U246" s="2"/>
      <c r="V246" s="6">
        <f t="shared" si="68"/>
        <v>3.1496273560714969E-4</v>
      </c>
      <c r="W246" s="2"/>
      <c r="X246" s="7">
        <f t="shared" si="69"/>
        <v>-11375</v>
      </c>
      <c r="Y246" s="2"/>
      <c r="Z246" s="6">
        <f t="shared" si="70"/>
        <v>-1</v>
      </c>
    </row>
    <row r="247" spans="1:26" s="24" customFormat="1" hidden="1" outlineLevel="2" x14ac:dyDescent="0.25">
      <c r="A247" s="26"/>
      <c r="B247" s="11" t="str">
        <f>CONCATENATE("          ", "6396", " - ", "COUPONS-CHARTROOM")</f>
        <v xml:space="preserve">          6396 - COUPONS-CHARTROOM</v>
      </c>
      <c r="C247" s="11"/>
      <c r="D247" s="7"/>
      <c r="E247" s="2"/>
      <c r="F247" s="6">
        <f t="shared" si="63"/>
        <v>0</v>
      </c>
      <c r="G247" s="2"/>
      <c r="H247" s="7">
        <v>100</v>
      </c>
      <c r="I247" s="2"/>
      <c r="J247" s="6">
        <f t="shared" si="64"/>
        <v>3.488791987130526E-5</v>
      </c>
      <c r="K247" s="2"/>
      <c r="L247" s="7">
        <f t="shared" si="65"/>
        <v>-100</v>
      </c>
      <c r="M247" s="2"/>
      <c r="N247" s="6">
        <f t="shared" si="66"/>
        <v>-1</v>
      </c>
      <c r="O247" s="11"/>
      <c r="P247" s="7"/>
      <c r="Q247" s="2"/>
      <c r="R247" s="6">
        <f t="shared" si="67"/>
        <v>0</v>
      </c>
      <c r="S247" s="2"/>
      <c r="T247" s="7">
        <v>1100</v>
      </c>
      <c r="U247" s="2"/>
      <c r="V247" s="6">
        <f t="shared" si="68"/>
        <v>3.0457934871900186E-5</v>
      </c>
      <c r="W247" s="2"/>
      <c r="X247" s="7">
        <f t="shared" si="69"/>
        <v>-1100</v>
      </c>
      <c r="Y247" s="2"/>
      <c r="Z247" s="6">
        <f t="shared" si="70"/>
        <v>-1</v>
      </c>
    </row>
    <row r="248" spans="1:26" s="24" customFormat="1" hidden="1" outlineLevel="2" x14ac:dyDescent="0.25">
      <c r="A248" s="26"/>
      <c r="B248" s="11" t="str">
        <f>CONCATENATE("          ", "6399", " - ", "DONATION-ON CAMPUS")</f>
        <v xml:space="preserve">          6399 - DONATION-ON CAMPUS</v>
      </c>
      <c r="C248" s="11"/>
      <c r="D248" s="7">
        <v>16171.72</v>
      </c>
      <c r="E248" s="2"/>
      <c r="F248" s="6">
        <f t="shared" si="63"/>
        <v>3.1947769431413496E-2</v>
      </c>
      <c r="G248" s="2"/>
      <c r="H248" s="7">
        <v>10116</v>
      </c>
      <c r="I248" s="2"/>
      <c r="J248" s="6">
        <f t="shared" si="64"/>
        <v>3.5292619741812401E-3</v>
      </c>
      <c r="K248" s="2"/>
      <c r="L248" s="7">
        <f t="shared" si="65"/>
        <v>6055.7199999999993</v>
      </c>
      <c r="M248" s="2"/>
      <c r="N248" s="6">
        <f t="shared" si="66"/>
        <v>0.59862791617240008</v>
      </c>
      <c r="O248" s="11"/>
      <c r="P248" s="7">
        <v>148923.69999999998</v>
      </c>
      <c r="Q248" s="2"/>
      <c r="R248" s="6">
        <f t="shared" si="67"/>
        <v>5.3092522226533077E-3</v>
      </c>
      <c r="S248" s="2"/>
      <c r="T248" s="7">
        <v>138308</v>
      </c>
      <c r="U248" s="2"/>
      <c r="V248" s="6">
        <f t="shared" si="68"/>
        <v>3.8296145966025194E-3</v>
      </c>
      <c r="W248" s="2"/>
      <c r="X248" s="7">
        <f t="shared" si="69"/>
        <v>10615.699999999983</v>
      </c>
      <c r="Y248" s="2"/>
      <c r="Z248" s="6">
        <f t="shared" si="70"/>
        <v>7.6754056164502288E-2</v>
      </c>
    </row>
    <row r="249" spans="1:26" s="27" customFormat="1" outlineLevel="1" collapsed="1" x14ac:dyDescent="0.25">
      <c r="A249" s="25"/>
      <c r="B249" s="12" t="str">
        <f>CONCATENATE("     ","Employees' Appreciation                           ")</f>
        <v xml:space="preserve">     Employees' Appreciation                           </v>
      </c>
      <c r="C249" s="12"/>
      <c r="D249" s="1">
        <f>SUM(OSRRefD22_8x_0)</f>
        <v>0</v>
      </c>
      <c r="E249" s="1"/>
      <c r="F249" s="5">
        <f t="shared" ref="F249:F255" si="71">IF(D$12=0,0,D249/D$12)</f>
        <v>0</v>
      </c>
      <c r="G249" s="1"/>
      <c r="H249" s="1">
        <f>SUM(OSRRefH22_8x_0)</f>
        <v>3005</v>
      </c>
      <c r="I249" s="1"/>
      <c r="J249" s="5">
        <f t="shared" ref="J249:J255" si="72">IF(H$12=0,0,H249/H$12)</f>
        <v>1.0483819921327231E-3</v>
      </c>
      <c r="K249" s="1"/>
      <c r="L249" s="1">
        <f t="shared" ref="L249:L255" si="73">+D249-H249</f>
        <v>-3005</v>
      </c>
      <c r="M249" s="1"/>
      <c r="N249" s="5">
        <f t="shared" ref="N249:N255" si="74">IF(H249=0,0,L249/H249)</f>
        <v>-1</v>
      </c>
      <c r="O249" s="12"/>
      <c r="P249" s="1">
        <f>SUM(OSRRefP22_8x_0)</f>
        <v>5253.59</v>
      </c>
      <c r="Q249" s="1"/>
      <c r="R249" s="5">
        <f t="shared" ref="R249:R255" si="75">IF(P$12=0,0,P249/P$12)</f>
        <v>1.8729479850694816E-4</v>
      </c>
      <c r="S249" s="1"/>
      <c r="T249" s="1">
        <f>SUM(OSRRefT22_8x_0)</f>
        <v>22955</v>
      </c>
      <c r="U249" s="1"/>
      <c r="V249" s="5">
        <f t="shared" ref="V249:V255" si="76">IF(T$12=0,0,T249/T$12)</f>
        <v>6.356017227131535E-4</v>
      </c>
      <c r="W249" s="1"/>
      <c r="X249" s="1">
        <f t="shared" ref="X249:X255" si="77">+P249-T249</f>
        <v>-17701.41</v>
      </c>
      <c r="Y249" s="1"/>
      <c r="Z249" s="5">
        <f t="shared" ref="Z249:Z255" si="78">IF(T249=0,0,X249/T249)</f>
        <v>-0.77113526464822479</v>
      </c>
    </row>
    <row r="250" spans="1:26" s="24" customFormat="1" hidden="1" outlineLevel="2" x14ac:dyDescent="0.25">
      <c r="A250" s="26"/>
      <c r="B250" s="11" t="str">
        <f>CONCATENATE("          ", "6277", " - ", "EMPLOYEE APPRECIATION")</f>
        <v xml:space="preserve">          6277 - EMPLOYEE APPRECIATION</v>
      </c>
      <c r="C250" s="11"/>
      <c r="D250" s="7"/>
      <c r="E250" s="2"/>
      <c r="F250" s="6">
        <f t="shared" si="71"/>
        <v>0</v>
      </c>
      <c r="G250" s="2"/>
      <c r="H250" s="7">
        <v>3005</v>
      </c>
      <c r="I250" s="2"/>
      <c r="J250" s="6">
        <f t="shared" si="72"/>
        <v>1.0483819921327231E-3</v>
      </c>
      <c r="K250" s="2"/>
      <c r="L250" s="7">
        <f t="shared" si="73"/>
        <v>-3005</v>
      </c>
      <c r="M250" s="2"/>
      <c r="N250" s="6">
        <f t="shared" si="74"/>
        <v>-1</v>
      </c>
      <c r="O250" s="11"/>
      <c r="P250" s="7">
        <v>5253.59</v>
      </c>
      <c r="Q250" s="2"/>
      <c r="R250" s="6">
        <f t="shared" si="75"/>
        <v>1.8729479850694816E-4</v>
      </c>
      <c r="S250" s="2"/>
      <c r="T250" s="7">
        <v>22955</v>
      </c>
      <c r="U250" s="2"/>
      <c r="V250" s="6">
        <f t="shared" si="76"/>
        <v>6.356017227131535E-4</v>
      </c>
      <c r="W250" s="2"/>
      <c r="X250" s="7">
        <f t="shared" si="77"/>
        <v>-17701.41</v>
      </c>
      <c r="Y250" s="2"/>
      <c r="Z250" s="6">
        <f t="shared" si="78"/>
        <v>-0.77113526464822479</v>
      </c>
    </row>
    <row r="251" spans="1:26" s="27" customFormat="1" outlineLevel="1" collapsed="1" x14ac:dyDescent="0.25">
      <c r="A251" s="25"/>
      <c r="B251" s="12" t="str">
        <f>CONCATENATE("     ","Equipment Rental                                  ")</f>
        <v xml:space="preserve">     Equipment Rental                                  </v>
      </c>
      <c r="C251" s="12"/>
      <c r="D251" s="1">
        <f>SUM(OSRRefD22_9x_0)</f>
        <v>3263.87</v>
      </c>
      <c r="E251" s="1"/>
      <c r="F251" s="5">
        <f t="shared" si="71"/>
        <v>6.447883478943958E-3</v>
      </c>
      <c r="G251" s="1"/>
      <c r="H251" s="1">
        <f>SUM(OSRRefH22_9x_0)</f>
        <v>6035</v>
      </c>
      <c r="I251" s="1"/>
      <c r="J251" s="5">
        <f t="shared" si="72"/>
        <v>2.1054859642332725E-3</v>
      </c>
      <c r="K251" s="1"/>
      <c r="L251" s="1">
        <f t="shared" si="73"/>
        <v>-2771.13</v>
      </c>
      <c r="M251" s="1"/>
      <c r="N251" s="5">
        <f t="shared" si="74"/>
        <v>-0.4591764705882353</v>
      </c>
      <c r="O251" s="12"/>
      <c r="P251" s="1">
        <f>SUM(OSRRefP22_9x_0)</f>
        <v>50933.17</v>
      </c>
      <c r="Q251" s="1"/>
      <c r="R251" s="5">
        <f t="shared" si="75"/>
        <v>1.8158093441761037E-3</v>
      </c>
      <c r="S251" s="1"/>
      <c r="T251" s="1">
        <f>SUM(OSRRefT22_9x_0)</f>
        <v>61220.999999999993</v>
      </c>
      <c r="U251" s="1"/>
      <c r="V251" s="5">
        <f t="shared" si="76"/>
        <v>1.6951502098114556E-3</v>
      </c>
      <c r="W251" s="1"/>
      <c r="X251" s="1">
        <f t="shared" si="77"/>
        <v>-10287.829999999994</v>
      </c>
      <c r="Y251" s="1"/>
      <c r="Z251" s="5">
        <f t="shared" si="78"/>
        <v>-0.16804413518237199</v>
      </c>
    </row>
    <row r="252" spans="1:26" s="24" customFormat="1" hidden="1" outlineLevel="2" x14ac:dyDescent="0.25">
      <c r="A252" s="26"/>
      <c r="B252" s="11" t="str">
        <f>CONCATENATE("          ", "6351", " - ", "EQUIPMENT RENTAL")</f>
        <v xml:space="preserve">          6351 - EQUIPMENT RENTAL</v>
      </c>
      <c r="C252" s="11"/>
      <c r="D252" s="7">
        <v>3263.87</v>
      </c>
      <c r="E252" s="2"/>
      <c r="F252" s="6">
        <f t="shared" si="71"/>
        <v>6.447883478943958E-3</v>
      </c>
      <c r="G252" s="2"/>
      <c r="H252" s="7">
        <v>6035</v>
      </c>
      <c r="I252" s="2"/>
      <c r="J252" s="6">
        <f t="shared" si="72"/>
        <v>2.1054859642332725E-3</v>
      </c>
      <c r="K252" s="2"/>
      <c r="L252" s="7">
        <f t="shared" si="73"/>
        <v>-2771.13</v>
      </c>
      <c r="M252" s="2"/>
      <c r="N252" s="6">
        <f t="shared" si="74"/>
        <v>-0.4591764705882353</v>
      </c>
      <c r="O252" s="11"/>
      <c r="P252" s="7">
        <v>50933.17</v>
      </c>
      <c r="Q252" s="2"/>
      <c r="R252" s="6">
        <f t="shared" si="75"/>
        <v>1.8158093441761037E-3</v>
      </c>
      <c r="S252" s="2"/>
      <c r="T252" s="7">
        <v>61220.999999999993</v>
      </c>
      <c r="U252" s="2"/>
      <c r="V252" s="6">
        <f t="shared" si="76"/>
        <v>1.6951502098114556E-3</v>
      </c>
      <c r="W252" s="2"/>
      <c r="X252" s="7">
        <f t="shared" si="77"/>
        <v>-10287.829999999994</v>
      </c>
      <c r="Y252" s="2"/>
      <c r="Z252" s="6">
        <f t="shared" si="78"/>
        <v>-0.16804413518237199</v>
      </c>
    </row>
    <row r="253" spans="1:26" s="27" customFormat="1" outlineLevel="1" collapsed="1" x14ac:dyDescent="0.25">
      <c r="A253" s="25"/>
      <c r="B253" s="12" t="str">
        <f>CONCATENATE("     ","Freight out/Postage                               ")</f>
        <v xml:space="preserve">     Freight out/Postage                               </v>
      </c>
      <c r="C253" s="12"/>
      <c r="D253" s="1">
        <f>SUM(OSRRefD22_10x_0)</f>
        <v>6098.75</v>
      </c>
      <c r="E253" s="1"/>
      <c r="F253" s="5">
        <f t="shared" si="71"/>
        <v>1.2048282979165673E-2</v>
      </c>
      <c r="G253" s="1"/>
      <c r="H253" s="1">
        <f>SUM(OSRRefH22_10x_0)</f>
        <v>326</v>
      </c>
      <c r="I253" s="1"/>
      <c r="J253" s="5">
        <f t="shared" si="72"/>
        <v>1.1373461878045514E-4</v>
      </c>
      <c r="K253" s="1"/>
      <c r="L253" s="1">
        <f t="shared" si="73"/>
        <v>5772.75</v>
      </c>
      <c r="M253" s="1"/>
      <c r="N253" s="5">
        <f t="shared" si="74"/>
        <v>17.707822085889571</v>
      </c>
      <c r="O253" s="12"/>
      <c r="P253" s="1">
        <f>SUM(OSRRefP22_10x_0)</f>
        <v>16444.720000000008</v>
      </c>
      <c r="Q253" s="1"/>
      <c r="R253" s="5">
        <f t="shared" si="75"/>
        <v>5.8626777477937609E-4</v>
      </c>
      <c r="S253" s="1"/>
      <c r="T253" s="1">
        <f>SUM(OSRRefT22_10x_0)</f>
        <v>-54114</v>
      </c>
      <c r="U253" s="1"/>
      <c r="V253" s="5">
        <f t="shared" si="76"/>
        <v>-1.4983642615072788E-3</v>
      </c>
      <c r="W253" s="1"/>
      <c r="X253" s="1">
        <f t="shared" si="77"/>
        <v>70558.720000000001</v>
      </c>
      <c r="Y253" s="1"/>
      <c r="Z253" s="5">
        <f t="shared" si="78"/>
        <v>-1.3038903056510329</v>
      </c>
    </row>
    <row r="254" spans="1:26" s="24" customFormat="1" hidden="1" outlineLevel="2" x14ac:dyDescent="0.25">
      <c r="A254" s="26"/>
      <c r="B254" s="11" t="str">
        <f>CONCATENATE("          ", "6305", " - ", "FREIGHT OUT")</f>
        <v xml:space="preserve">          6305 - FREIGHT OUT</v>
      </c>
      <c r="C254" s="11"/>
      <c r="D254" s="7">
        <v>7586</v>
      </c>
      <c r="E254" s="2"/>
      <c r="F254" s="6">
        <f t="shared" si="71"/>
        <v>1.4986394700545323E-2</v>
      </c>
      <c r="G254" s="2"/>
      <c r="H254" s="7">
        <v>275</v>
      </c>
      <c r="I254" s="2"/>
      <c r="J254" s="6">
        <f t="shared" si="72"/>
        <v>9.5941779646089464E-5</v>
      </c>
      <c r="K254" s="2"/>
      <c r="L254" s="7">
        <f t="shared" si="73"/>
        <v>7311</v>
      </c>
      <c r="M254" s="2"/>
      <c r="N254" s="6">
        <f t="shared" si="74"/>
        <v>26.585454545454546</v>
      </c>
      <c r="O254" s="11"/>
      <c r="P254" s="7">
        <v>70362.960000000006</v>
      </c>
      <c r="Q254" s="2"/>
      <c r="R254" s="6">
        <f t="shared" si="75"/>
        <v>2.508497316226134E-3</v>
      </c>
      <c r="S254" s="2"/>
      <c r="T254" s="7">
        <v>-54675</v>
      </c>
      <c r="U254" s="2"/>
      <c r="V254" s="6">
        <f t="shared" si="76"/>
        <v>-1.5138978082919481E-3</v>
      </c>
      <c r="W254" s="2"/>
      <c r="X254" s="7">
        <f t="shared" si="77"/>
        <v>125037.96</v>
      </c>
      <c r="Y254" s="2"/>
      <c r="Z254" s="6">
        <f t="shared" si="78"/>
        <v>-2.2869311385459534</v>
      </c>
    </row>
    <row r="255" spans="1:26" s="24" customFormat="1" hidden="1" outlineLevel="2" x14ac:dyDescent="0.25">
      <c r="A255" s="26"/>
      <c r="B255" s="11" t="str">
        <f>CONCATENATE("          ", "6307", " - ", "POSTAGE")</f>
        <v xml:space="preserve">          6307 - POSTAGE</v>
      </c>
      <c r="C255" s="11"/>
      <c r="D255" s="7">
        <v>-1487.25</v>
      </c>
      <c r="E255" s="2"/>
      <c r="F255" s="6">
        <f t="shared" si="71"/>
        <v>-2.9381117213796511E-3</v>
      </c>
      <c r="G255" s="2"/>
      <c r="H255" s="7">
        <v>51</v>
      </c>
      <c r="I255" s="2"/>
      <c r="J255" s="6">
        <f t="shared" si="72"/>
        <v>1.7792839134365684E-5</v>
      </c>
      <c r="K255" s="2"/>
      <c r="L255" s="7">
        <f t="shared" si="73"/>
        <v>-1538.25</v>
      </c>
      <c r="M255" s="2"/>
      <c r="N255" s="6">
        <f t="shared" si="74"/>
        <v>-30.161764705882351</v>
      </c>
      <c r="O255" s="11"/>
      <c r="P255" s="7">
        <v>-53918.239999999998</v>
      </c>
      <c r="Q255" s="2"/>
      <c r="R255" s="6">
        <f t="shared" si="75"/>
        <v>-1.9222295414467578E-3</v>
      </c>
      <c r="S255" s="2"/>
      <c r="T255" s="7">
        <v>561</v>
      </c>
      <c r="U255" s="2"/>
      <c r="V255" s="6">
        <f t="shared" si="76"/>
        <v>1.5533546784669095E-5</v>
      </c>
      <c r="W255" s="2"/>
      <c r="X255" s="7">
        <f t="shared" si="77"/>
        <v>-54479.24</v>
      </c>
      <c r="Y255" s="2"/>
      <c r="Z255" s="6">
        <f t="shared" si="78"/>
        <v>-97.110944741532975</v>
      </c>
    </row>
    <row r="256" spans="1:26" s="27" customFormat="1" outlineLevel="1" collapsed="1" x14ac:dyDescent="0.25">
      <c r="A256" s="25"/>
      <c r="B256" s="12" t="str">
        <f>CONCATENATE("     ","General                                           ")</f>
        <v xml:space="preserve">     General                                           </v>
      </c>
      <c r="C256" s="12"/>
      <c r="D256" s="1">
        <f>SUM(OSRRefD22_11x_0)</f>
        <v>-1159.01</v>
      </c>
      <c r="E256" s="1"/>
      <c r="F256" s="5">
        <f t="shared" ref="F256:F258" si="79">IF(D$12=0,0,D256/D$12)</f>
        <v>-2.2896627105034322E-3</v>
      </c>
      <c r="G256" s="1"/>
      <c r="H256" s="1">
        <f>SUM(OSRRefH22_11x_0)</f>
        <v>4886</v>
      </c>
      <c r="I256" s="1"/>
      <c r="J256" s="5">
        <f t="shared" ref="J256:J258" si="80">IF(H$12=0,0,H256/H$12)</f>
        <v>1.7046237649119751E-3</v>
      </c>
      <c r="K256" s="1"/>
      <c r="L256" s="1">
        <f t="shared" ref="L256:L258" si="81">+D256-H256</f>
        <v>-6045.01</v>
      </c>
      <c r="M256" s="1"/>
      <c r="N256" s="5">
        <f t="shared" ref="N256:N258" si="82">IF(H256=0,0,L256/H256)</f>
        <v>-1.2372103970528039</v>
      </c>
      <c r="O256" s="12"/>
      <c r="P256" s="1">
        <f>SUM(OSRRefP22_11x_0)</f>
        <v>102064.31</v>
      </c>
      <c r="Q256" s="1"/>
      <c r="R256" s="5">
        <f t="shared" ref="R256:R258" si="83">IF(P$12=0,0,P256/P$12)</f>
        <v>3.6386764814537666E-3</v>
      </c>
      <c r="S256" s="1"/>
      <c r="T256" s="1">
        <f>SUM(OSRRefT22_11x_0)</f>
        <v>107007</v>
      </c>
      <c r="U256" s="1"/>
      <c r="V256" s="5">
        <f t="shared" ref="V256:V258" si="84">IF(T$12=0,0,T256/T$12)</f>
        <v>2.9629202153067485E-3</v>
      </c>
      <c r="W256" s="1"/>
      <c r="X256" s="1">
        <f t="shared" ref="X256:X258" si="85">+P256-T256</f>
        <v>-4942.6900000000023</v>
      </c>
      <c r="Y256" s="1"/>
      <c r="Z256" s="5">
        <f t="shared" ref="Z256:Z258" si="86">IF(T256=0,0,X256/T256)</f>
        <v>-4.6190342687861562E-2</v>
      </c>
    </row>
    <row r="257" spans="1:26" s="24" customFormat="1" hidden="1" outlineLevel="2" x14ac:dyDescent="0.25">
      <c r="A257" s="26"/>
      <c r="B257" s="11" t="str">
        <f>CONCATENATE("          ", "6269", " - ", "ENTERTAINMENT")</f>
        <v xml:space="preserve">          6269 - ENTERTAINMENT</v>
      </c>
      <c r="C257" s="11"/>
      <c r="D257" s="7"/>
      <c r="E257" s="2"/>
      <c r="F257" s="6">
        <f t="shared" si="79"/>
        <v>0</v>
      </c>
      <c r="G257" s="2"/>
      <c r="H257" s="7">
        <v>300</v>
      </c>
      <c r="I257" s="2"/>
      <c r="J257" s="6">
        <f t="shared" si="80"/>
        <v>1.0466375961391578E-4</v>
      </c>
      <c r="K257" s="2"/>
      <c r="L257" s="7">
        <f t="shared" si="81"/>
        <v>-300</v>
      </c>
      <c r="M257" s="2"/>
      <c r="N257" s="6">
        <f t="shared" si="82"/>
        <v>-1</v>
      </c>
      <c r="O257" s="11"/>
      <c r="P257" s="7">
        <v>10050</v>
      </c>
      <c r="Q257" s="2"/>
      <c r="R257" s="6">
        <f t="shared" si="83"/>
        <v>3.5829075451164423E-4</v>
      </c>
      <c r="S257" s="2"/>
      <c r="T257" s="7">
        <v>7250</v>
      </c>
      <c r="U257" s="2"/>
      <c r="V257" s="6">
        <f t="shared" si="84"/>
        <v>2.0074547983752397E-4</v>
      </c>
      <c r="W257" s="2"/>
      <c r="X257" s="7">
        <f t="shared" si="85"/>
        <v>2800</v>
      </c>
      <c r="Y257" s="2"/>
      <c r="Z257" s="6">
        <f t="shared" si="86"/>
        <v>0.38620689655172413</v>
      </c>
    </row>
    <row r="258" spans="1:26" s="24" customFormat="1" hidden="1" outlineLevel="2" x14ac:dyDescent="0.25">
      <c r="A258" s="26"/>
      <c r="B258" s="11" t="str">
        <f>CONCATENATE("          ", "6279", " - ", "GENERAL EXPENSE")</f>
        <v xml:space="preserve">          6279 - GENERAL EXPENSE</v>
      </c>
      <c r="C258" s="11"/>
      <c r="D258" s="7">
        <v>-1159.01</v>
      </c>
      <c r="E258" s="2"/>
      <c r="F258" s="6">
        <f t="shared" si="79"/>
        <v>-2.2896627105034322E-3</v>
      </c>
      <c r="G258" s="2"/>
      <c r="H258" s="7">
        <v>4586</v>
      </c>
      <c r="I258" s="2"/>
      <c r="J258" s="6">
        <f t="shared" si="80"/>
        <v>1.5999600052980592E-3</v>
      </c>
      <c r="K258" s="2"/>
      <c r="L258" s="7">
        <f t="shared" si="81"/>
        <v>-5745.01</v>
      </c>
      <c r="M258" s="2"/>
      <c r="N258" s="6">
        <f t="shared" si="82"/>
        <v>-1.2527278674225906</v>
      </c>
      <c r="O258" s="11"/>
      <c r="P258" s="7">
        <v>92014.31</v>
      </c>
      <c r="Q258" s="2"/>
      <c r="R258" s="6">
        <f t="shared" si="83"/>
        <v>3.2803857269421222E-3</v>
      </c>
      <c r="S258" s="2"/>
      <c r="T258" s="7">
        <v>99757</v>
      </c>
      <c r="U258" s="2"/>
      <c r="V258" s="6">
        <f t="shared" si="84"/>
        <v>2.7621747354692246E-3</v>
      </c>
      <c r="W258" s="2"/>
      <c r="X258" s="7">
        <f t="shared" si="85"/>
        <v>-7742.6900000000023</v>
      </c>
      <c r="Y258" s="2"/>
      <c r="Z258" s="6">
        <f t="shared" si="86"/>
        <v>-7.7615505678799504E-2</v>
      </c>
    </row>
    <row r="259" spans="1:26" s="27" customFormat="1" outlineLevel="1" collapsed="1" x14ac:dyDescent="0.25">
      <c r="A259" s="25"/>
      <c r="B259" s="12" t="str">
        <f>CONCATENATE("     ","Insurance                                         ")</f>
        <v xml:space="preserve">     Insurance                                         </v>
      </c>
      <c r="C259" s="12"/>
      <c r="D259" s="1">
        <f>SUM(OSRRefD22_12x_0)</f>
        <v>8563.32</v>
      </c>
      <c r="E259" s="1"/>
      <c r="F259" s="5">
        <f t="shared" ref="F259:F275" si="87">IF(D$12=0,0,D259/D$12)</f>
        <v>1.6917122787644841E-2</v>
      </c>
      <c r="G259" s="1"/>
      <c r="H259" s="1">
        <f>SUM(OSRRefH22_12x_0)</f>
        <v>8081</v>
      </c>
      <c r="I259" s="1"/>
      <c r="J259" s="5">
        <f t="shared" ref="J259:J275" si="88">IF(H$12=0,0,H259/H$12)</f>
        <v>2.819292804800178E-3</v>
      </c>
      <c r="K259" s="1"/>
      <c r="L259" s="1">
        <f t="shared" ref="L259:L275" si="89">+D259-H259</f>
        <v>482.31999999999971</v>
      </c>
      <c r="M259" s="1"/>
      <c r="N259" s="5">
        <f t="shared" ref="N259:N275" si="90">IF(H259=0,0,L259/H259)</f>
        <v>5.9685682465041419E-2</v>
      </c>
      <c r="O259" s="12"/>
      <c r="P259" s="1">
        <f>SUM(OSRRefP22_12x_0)</f>
        <v>99957.52</v>
      </c>
      <c r="Q259" s="1"/>
      <c r="R259" s="5">
        <f t="shared" ref="R259:R275" si="91">IF(P$12=0,0,P259/P$12)</f>
        <v>3.5635676875535095E-3</v>
      </c>
      <c r="S259" s="1"/>
      <c r="T259" s="1">
        <f>SUM(OSRRefT22_12x_0)</f>
        <v>88891</v>
      </c>
      <c r="U259" s="1"/>
      <c r="V259" s="5">
        <f t="shared" ref="V259:V275" si="92">IF(T$12=0,0,T259/T$12)</f>
        <v>2.4613057169982542E-3</v>
      </c>
      <c r="W259" s="1"/>
      <c r="X259" s="1">
        <f t="shared" ref="X259:X275" si="93">+P259-T259</f>
        <v>11066.520000000004</v>
      </c>
      <c r="Y259" s="1"/>
      <c r="Z259" s="5">
        <f t="shared" ref="Z259:Z275" si="94">IF(T259=0,0,X259/T259)</f>
        <v>0.12449539323441072</v>
      </c>
    </row>
    <row r="260" spans="1:26" s="24" customFormat="1" hidden="1" outlineLevel="2" x14ac:dyDescent="0.25">
      <c r="A260" s="26"/>
      <c r="B260" s="11" t="str">
        <f>CONCATENATE("          ", "6314", " - ", "LIABILITY INSURANCE")</f>
        <v xml:space="preserve">          6314 - LIABILITY INSURANCE</v>
      </c>
      <c r="C260" s="11"/>
      <c r="D260" s="7">
        <v>8563.32</v>
      </c>
      <c r="E260" s="2"/>
      <c r="F260" s="6">
        <f t="shared" si="87"/>
        <v>1.6917122787644841E-2</v>
      </c>
      <c r="G260" s="2"/>
      <c r="H260" s="7">
        <v>8081</v>
      </c>
      <c r="I260" s="2"/>
      <c r="J260" s="6">
        <f t="shared" si="88"/>
        <v>2.819292804800178E-3</v>
      </c>
      <c r="K260" s="2"/>
      <c r="L260" s="7">
        <f t="shared" si="89"/>
        <v>482.31999999999971</v>
      </c>
      <c r="M260" s="2"/>
      <c r="N260" s="6">
        <f t="shared" si="90"/>
        <v>5.9685682465041419E-2</v>
      </c>
      <c r="O260" s="11"/>
      <c r="P260" s="7">
        <v>99957.52</v>
      </c>
      <c r="Q260" s="2"/>
      <c r="R260" s="6">
        <f t="shared" si="91"/>
        <v>3.5635676875535095E-3</v>
      </c>
      <c r="S260" s="2"/>
      <c r="T260" s="7">
        <v>88891</v>
      </c>
      <c r="U260" s="2"/>
      <c r="V260" s="6">
        <f t="shared" si="92"/>
        <v>2.4613057169982542E-3</v>
      </c>
      <c r="W260" s="2"/>
      <c r="X260" s="7">
        <f t="shared" si="93"/>
        <v>11066.520000000004</v>
      </c>
      <c r="Y260" s="2"/>
      <c r="Z260" s="6">
        <f t="shared" si="94"/>
        <v>0.12449539323441072</v>
      </c>
    </row>
    <row r="261" spans="1:26" s="27" customFormat="1" outlineLevel="1" collapsed="1" x14ac:dyDescent="0.25">
      <c r="A261" s="25"/>
      <c r="B261" s="12" t="str">
        <f>CONCATENATE("     ","Interest                                          ")</f>
        <v xml:space="preserve">     Interest                                          </v>
      </c>
      <c r="C261" s="12"/>
      <c r="D261" s="1">
        <f>SUM(OSRRefD22_13x_0)</f>
        <v>11929</v>
      </c>
      <c r="E261" s="1"/>
      <c r="F261" s="5">
        <f t="shared" si="87"/>
        <v>2.3566135299605214E-2</v>
      </c>
      <c r="G261" s="1"/>
      <c r="H261" s="1">
        <f>SUM(OSRRefH22_13x_0)</f>
        <v>11554</v>
      </c>
      <c r="I261" s="1"/>
      <c r="J261" s="5">
        <f t="shared" si="88"/>
        <v>4.0309502619306102E-3</v>
      </c>
      <c r="K261" s="1"/>
      <c r="L261" s="1">
        <f t="shared" si="89"/>
        <v>375</v>
      </c>
      <c r="M261" s="1"/>
      <c r="N261" s="5">
        <f t="shared" si="90"/>
        <v>3.2456292193179852E-2</v>
      </c>
      <c r="O261" s="12"/>
      <c r="P261" s="1">
        <f>SUM(OSRRefP22_13x_0)</f>
        <v>127619.05000000002</v>
      </c>
      <c r="Q261" s="1"/>
      <c r="R261" s="5">
        <f t="shared" si="91"/>
        <v>4.5497239516974382E-3</v>
      </c>
      <c r="S261" s="1"/>
      <c r="T261" s="1">
        <f>SUM(OSRRefT22_13x_0)</f>
        <v>130846.00000000001</v>
      </c>
      <c r="U261" s="1"/>
      <c r="V261" s="5">
        <f t="shared" si="92"/>
        <v>3.6229990420442297E-3</v>
      </c>
      <c r="W261" s="1"/>
      <c r="X261" s="1">
        <f t="shared" si="93"/>
        <v>-3226.9499999999971</v>
      </c>
      <c r="Y261" s="1"/>
      <c r="Z261" s="5">
        <f t="shared" si="94"/>
        <v>-2.4662198309463007E-2</v>
      </c>
    </row>
    <row r="262" spans="1:26" s="24" customFormat="1" hidden="1" outlineLevel="2" x14ac:dyDescent="0.25">
      <c r="A262" s="26"/>
      <c r="B262" s="11" t="str">
        <f>CONCATENATE("          ", "6401", " - ", "INTEREST EXPENSE")</f>
        <v xml:space="preserve">          6401 - INTEREST EXPENSE</v>
      </c>
      <c r="C262" s="11"/>
      <c r="D262" s="7">
        <v>11929</v>
      </c>
      <c r="E262" s="2"/>
      <c r="F262" s="6">
        <f t="shared" si="87"/>
        <v>2.3566135299605214E-2</v>
      </c>
      <c r="G262" s="2"/>
      <c r="H262" s="7">
        <v>11554</v>
      </c>
      <c r="I262" s="2"/>
      <c r="J262" s="6">
        <f t="shared" si="88"/>
        <v>4.0309502619306102E-3</v>
      </c>
      <c r="K262" s="2"/>
      <c r="L262" s="7">
        <f t="shared" si="89"/>
        <v>375</v>
      </c>
      <c r="M262" s="2"/>
      <c r="N262" s="6">
        <f t="shared" si="90"/>
        <v>3.2456292193179852E-2</v>
      </c>
      <c r="O262" s="11"/>
      <c r="P262" s="7">
        <v>127619.05000000002</v>
      </c>
      <c r="Q262" s="2"/>
      <c r="R262" s="6">
        <f t="shared" si="91"/>
        <v>4.5497239516974382E-3</v>
      </c>
      <c r="S262" s="2"/>
      <c r="T262" s="7">
        <v>130846.00000000001</v>
      </c>
      <c r="U262" s="2"/>
      <c r="V262" s="6">
        <f t="shared" si="92"/>
        <v>3.6229990420442297E-3</v>
      </c>
      <c r="W262" s="2"/>
      <c r="X262" s="7">
        <f t="shared" si="93"/>
        <v>-3226.9499999999971</v>
      </c>
      <c r="Y262" s="2"/>
      <c r="Z262" s="6">
        <f t="shared" si="94"/>
        <v>-2.4662198309463007E-2</v>
      </c>
    </row>
    <row r="263" spans="1:26" s="27" customFormat="1" outlineLevel="1" collapsed="1" x14ac:dyDescent="0.25">
      <c r="A263" s="25"/>
      <c r="B263" s="12" t="str">
        <f>CONCATENATE("     ","Inventory Adjustment                              ")</f>
        <v xml:space="preserve">     Inventory Adjustment                              </v>
      </c>
      <c r="C263" s="12"/>
      <c r="D263" s="1">
        <f>SUM(OSRRefD22_14x_0)</f>
        <v>4550</v>
      </c>
      <c r="E263" s="1"/>
      <c r="F263" s="5">
        <f t="shared" si="87"/>
        <v>8.9886759672398123E-3</v>
      </c>
      <c r="G263" s="1"/>
      <c r="H263" s="1">
        <f>SUM(OSRRefH22_14x_0)</f>
        <v>4550</v>
      </c>
      <c r="I263" s="1"/>
      <c r="J263" s="5">
        <f t="shared" si="88"/>
        <v>1.5874003541443893E-3</v>
      </c>
      <c r="K263" s="1"/>
      <c r="L263" s="1">
        <f t="shared" si="89"/>
        <v>0</v>
      </c>
      <c r="M263" s="1"/>
      <c r="N263" s="5">
        <f t="shared" si="90"/>
        <v>0</v>
      </c>
      <c r="O263" s="12"/>
      <c r="P263" s="1">
        <f>SUM(OSRRefP22_14x_0)</f>
        <v>53350</v>
      </c>
      <c r="Q263" s="1"/>
      <c r="R263" s="5">
        <f t="shared" si="91"/>
        <v>1.9019713187259921E-3</v>
      </c>
      <c r="S263" s="1"/>
      <c r="T263" s="1">
        <f>SUM(OSRRefT22_14x_0)</f>
        <v>53350</v>
      </c>
      <c r="U263" s="1"/>
      <c r="V263" s="5">
        <f t="shared" si="92"/>
        <v>1.477209841287159E-3</v>
      </c>
      <c r="W263" s="1"/>
      <c r="X263" s="1">
        <f t="shared" si="93"/>
        <v>0</v>
      </c>
      <c r="Y263" s="1"/>
      <c r="Z263" s="5">
        <f t="shared" si="94"/>
        <v>0</v>
      </c>
    </row>
    <row r="264" spans="1:26" s="24" customFormat="1" hidden="1" outlineLevel="2" x14ac:dyDescent="0.25">
      <c r="A264" s="26"/>
      <c r="B264" s="11" t="str">
        <f>CONCATENATE("          ", "6408", " - ", "INVENTORY ADJUSTMENT")</f>
        <v xml:space="preserve">          6408 - INVENTORY ADJUSTMENT</v>
      </c>
      <c r="C264" s="11"/>
      <c r="D264" s="7">
        <v>4550</v>
      </c>
      <c r="E264" s="2"/>
      <c r="F264" s="6">
        <f t="shared" si="87"/>
        <v>8.9886759672398123E-3</v>
      </c>
      <c r="G264" s="2"/>
      <c r="H264" s="7">
        <v>4550</v>
      </c>
      <c r="I264" s="2"/>
      <c r="J264" s="6">
        <f t="shared" si="88"/>
        <v>1.5874003541443893E-3</v>
      </c>
      <c r="K264" s="2"/>
      <c r="L264" s="7">
        <f t="shared" si="89"/>
        <v>0</v>
      </c>
      <c r="M264" s="2"/>
      <c r="N264" s="6">
        <f t="shared" si="90"/>
        <v>0</v>
      </c>
      <c r="O264" s="11"/>
      <c r="P264" s="7">
        <v>53350</v>
      </c>
      <c r="Q264" s="2"/>
      <c r="R264" s="6">
        <f t="shared" si="91"/>
        <v>1.9019713187259921E-3</v>
      </c>
      <c r="S264" s="2"/>
      <c r="T264" s="7">
        <v>53350</v>
      </c>
      <c r="U264" s="2"/>
      <c r="V264" s="6">
        <f t="shared" si="92"/>
        <v>1.477209841287159E-3</v>
      </c>
      <c r="W264" s="2"/>
      <c r="X264" s="7">
        <f t="shared" si="93"/>
        <v>0</v>
      </c>
      <c r="Y264" s="2"/>
      <c r="Z264" s="6">
        <f t="shared" si="94"/>
        <v>0</v>
      </c>
    </row>
    <row r="265" spans="1:26" s="27" customFormat="1" outlineLevel="1" collapsed="1" x14ac:dyDescent="0.25">
      <c r="A265" s="25"/>
      <c r="B265" s="12" t="str">
        <f>CONCATENATE("     ","Professional Services                             ")</f>
        <v xml:space="preserve">     Professional Services                             </v>
      </c>
      <c r="C265" s="12"/>
      <c r="D265" s="1">
        <f>SUM(OSRRefD22_15x_0)</f>
        <v>0</v>
      </c>
      <c r="E265" s="1"/>
      <c r="F265" s="5">
        <f t="shared" si="87"/>
        <v>0</v>
      </c>
      <c r="G265" s="1"/>
      <c r="H265" s="1">
        <f>SUM(OSRRefH22_15x_0)</f>
        <v>1415</v>
      </c>
      <c r="I265" s="1"/>
      <c r="J265" s="5">
        <f t="shared" si="88"/>
        <v>4.9366406617896942E-4</v>
      </c>
      <c r="K265" s="1"/>
      <c r="L265" s="1">
        <f t="shared" si="89"/>
        <v>-1415</v>
      </c>
      <c r="M265" s="1"/>
      <c r="N265" s="5">
        <f t="shared" si="90"/>
        <v>-1</v>
      </c>
      <c r="O265" s="12"/>
      <c r="P265" s="1">
        <f>SUM(OSRRefP22_15x_0)</f>
        <v>9254.56</v>
      </c>
      <c r="Q265" s="1"/>
      <c r="R265" s="5">
        <f t="shared" si="91"/>
        <v>3.2993266518142108E-4</v>
      </c>
      <c r="S265" s="1"/>
      <c r="T265" s="1">
        <f>SUM(OSRRefT22_15x_0)</f>
        <v>18715</v>
      </c>
      <c r="U265" s="1"/>
      <c r="V265" s="5">
        <f t="shared" si="92"/>
        <v>5.1820022829782912E-4</v>
      </c>
      <c r="W265" s="1"/>
      <c r="X265" s="1">
        <f t="shared" si="93"/>
        <v>-9460.44</v>
      </c>
      <c r="Y265" s="1"/>
      <c r="Z265" s="5">
        <f t="shared" si="94"/>
        <v>-0.50550040074806313</v>
      </c>
    </row>
    <row r="266" spans="1:26" s="24" customFormat="1" hidden="1" outlineLevel="2" x14ac:dyDescent="0.25">
      <c r="A266" s="26"/>
      <c r="B266" s="11" t="str">
        <f>CONCATENATE("          ", "6336", " - ", "PROFESSIONAL SERVICES")</f>
        <v xml:space="preserve">          6336 - PROFESSIONAL SERVICES</v>
      </c>
      <c r="C266" s="11"/>
      <c r="D266" s="7"/>
      <c r="E266" s="2"/>
      <c r="F266" s="6">
        <f t="shared" si="87"/>
        <v>0</v>
      </c>
      <c r="G266" s="2"/>
      <c r="H266" s="7">
        <v>1415</v>
      </c>
      <c r="I266" s="2"/>
      <c r="J266" s="6">
        <f t="shared" si="88"/>
        <v>4.9366406617896942E-4</v>
      </c>
      <c r="K266" s="2"/>
      <c r="L266" s="7">
        <f t="shared" si="89"/>
        <v>-1415</v>
      </c>
      <c r="M266" s="2"/>
      <c r="N266" s="6">
        <f t="shared" si="90"/>
        <v>-1</v>
      </c>
      <c r="O266" s="11"/>
      <c r="P266" s="7">
        <v>9254.56</v>
      </c>
      <c r="Q266" s="2"/>
      <c r="R266" s="6">
        <f t="shared" si="91"/>
        <v>3.2993266518142108E-4</v>
      </c>
      <c r="S266" s="2"/>
      <c r="T266" s="7">
        <v>18715</v>
      </c>
      <c r="U266" s="2"/>
      <c r="V266" s="6">
        <f t="shared" si="92"/>
        <v>5.1820022829782912E-4</v>
      </c>
      <c r="W266" s="2"/>
      <c r="X266" s="7">
        <f t="shared" si="93"/>
        <v>-9460.44</v>
      </c>
      <c r="Y266" s="2"/>
      <c r="Z266" s="6">
        <f t="shared" si="94"/>
        <v>-0.50550040074806313</v>
      </c>
    </row>
    <row r="267" spans="1:26" s="27" customFormat="1" outlineLevel="1" collapsed="1" x14ac:dyDescent="0.25">
      <c r="A267" s="25"/>
      <c r="B267" s="12" t="str">
        <f>CONCATENATE("     ","R/H Commissions                                   ")</f>
        <v xml:space="preserve">     R/H Commissions                                   </v>
      </c>
      <c r="C267" s="12"/>
      <c r="D267" s="1">
        <f>SUM(OSRRefD22_16x_0)</f>
        <v>8698.56</v>
      </c>
      <c r="E267" s="1"/>
      <c r="F267" s="5">
        <f t="shared" si="87"/>
        <v>1.7184293894855724E-2</v>
      </c>
      <c r="G267" s="1"/>
      <c r="H267" s="1">
        <f>SUM(OSRRefH22_16x_0)</f>
        <v>54076</v>
      </c>
      <c r="I267" s="1"/>
      <c r="J267" s="5">
        <f t="shared" si="88"/>
        <v>1.8865991549607032E-2</v>
      </c>
      <c r="K267" s="1"/>
      <c r="L267" s="1">
        <f t="shared" si="89"/>
        <v>-45377.440000000002</v>
      </c>
      <c r="M267" s="1"/>
      <c r="N267" s="5">
        <f t="shared" si="90"/>
        <v>-0.83914194836896228</v>
      </c>
      <c r="O267" s="12"/>
      <c r="P267" s="1">
        <f>SUM(OSRRefP22_16x_0)</f>
        <v>714561.85000000009</v>
      </c>
      <c r="Q267" s="1"/>
      <c r="R267" s="5">
        <f t="shared" si="91"/>
        <v>2.5474716853904119E-2</v>
      </c>
      <c r="S267" s="1"/>
      <c r="T267" s="1">
        <f>SUM(OSRRefT22_16x_0)</f>
        <v>890097</v>
      </c>
      <c r="U267" s="1"/>
      <c r="V267" s="5">
        <f t="shared" si="92"/>
        <v>2.4645924050612493E-2</v>
      </c>
      <c r="W267" s="1"/>
      <c r="X267" s="1">
        <f t="shared" si="93"/>
        <v>-175535.14999999991</v>
      </c>
      <c r="Y267" s="1"/>
      <c r="Z267" s="5">
        <f t="shared" si="94"/>
        <v>-0.19720901205149541</v>
      </c>
    </row>
    <row r="268" spans="1:26" s="24" customFormat="1" hidden="1" outlineLevel="2" x14ac:dyDescent="0.25">
      <c r="A268" s="26"/>
      <c r="B268" s="11" t="str">
        <f>CONCATENATE("          ", "6387", " - ", "COMMISSION DUE HOUSING")</f>
        <v xml:space="preserve">          6387 - COMMISSION DUE HOUSING</v>
      </c>
      <c r="C268" s="11"/>
      <c r="D268" s="7">
        <v>8698.56</v>
      </c>
      <c r="E268" s="2"/>
      <c r="F268" s="6">
        <f t="shared" si="87"/>
        <v>1.7184293894855724E-2</v>
      </c>
      <c r="G268" s="2"/>
      <c r="H268" s="7">
        <v>54076</v>
      </c>
      <c r="I268" s="2"/>
      <c r="J268" s="6">
        <f t="shared" si="88"/>
        <v>1.8865991549607032E-2</v>
      </c>
      <c r="K268" s="2"/>
      <c r="L268" s="7">
        <f t="shared" si="89"/>
        <v>-45377.440000000002</v>
      </c>
      <c r="M268" s="2"/>
      <c r="N268" s="6">
        <f t="shared" si="90"/>
        <v>-0.83914194836896228</v>
      </c>
      <c r="O268" s="11"/>
      <c r="P268" s="7">
        <v>714561.85000000009</v>
      </c>
      <c r="Q268" s="2"/>
      <c r="R268" s="6">
        <f t="shared" si="91"/>
        <v>2.5474716853904119E-2</v>
      </c>
      <c r="S268" s="2"/>
      <c r="T268" s="7">
        <v>890097</v>
      </c>
      <c r="U268" s="2"/>
      <c r="V268" s="6">
        <f t="shared" si="92"/>
        <v>2.4645924050612493E-2</v>
      </c>
      <c r="W268" s="2"/>
      <c r="X268" s="7">
        <f t="shared" si="93"/>
        <v>-175535.14999999991</v>
      </c>
      <c r="Y268" s="2"/>
      <c r="Z268" s="6">
        <f t="shared" si="94"/>
        <v>-0.19720901205149541</v>
      </c>
    </row>
    <row r="269" spans="1:26" s="27" customFormat="1" outlineLevel="1" collapsed="1" x14ac:dyDescent="0.25">
      <c r="A269" s="25"/>
      <c r="B269" s="12" t="str">
        <f>CONCATENATE("     ","Rent                                              ")</f>
        <v xml:space="preserve">     Rent                                              </v>
      </c>
      <c r="C269" s="12"/>
      <c r="D269" s="1">
        <f>SUM(OSRRefD22_17x_0)</f>
        <v>9900</v>
      </c>
      <c r="E269" s="1"/>
      <c r="F269" s="5">
        <f t="shared" si="87"/>
        <v>1.9557778478170144E-2</v>
      </c>
      <c r="G269" s="1"/>
      <c r="H269" s="1">
        <f>SUM(OSRRefH22_17x_0)</f>
        <v>10200</v>
      </c>
      <c r="I269" s="1"/>
      <c r="J269" s="5">
        <f t="shared" si="88"/>
        <v>3.5585678268731367E-3</v>
      </c>
      <c r="K269" s="1"/>
      <c r="L269" s="1">
        <f t="shared" si="89"/>
        <v>-300</v>
      </c>
      <c r="M269" s="1"/>
      <c r="N269" s="5">
        <f t="shared" si="90"/>
        <v>-2.9411764705882353E-2</v>
      </c>
      <c r="O269" s="12"/>
      <c r="P269" s="1">
        <f>SUM(OSRRefP22_17x_0)</f>
        <v>108900</v>
      </c>
      <c r="Q269" s="1"/>
      <c r="R269" s="5">
        <f t="shared" si="91"/>
        <v>3.8823744444097569E-3</v>
      </c>
      <c r="S269" s="1"/>
      <c r="T269" s="1">
        <f>SUM(OSRRefT22_17x_0)</f>
        <v>112200</v>
      </c>
      <c r="U269" s="1"/>
      <c r="V269" s="5">
        <f t="shared" si="92"/>
        <v>3.1067093569338193E-3</v>
      </c>
      <c r="W269" s="1"/>
      <c r="X269" s="1">
        <f t="shared" si="93"/>
        <v>-3300</v>
      </c>
      <c r="Y269" s="1"/>
      <c r="Z269" s="5">
        <f t="shared" si="94"/>
        <v>-2.9411764705882353E-2</v>
      </c>
    </row>
    <row r="270" spans="1:26" s="24" customFormat="1" hidden="1" outlineLevel="2" x14ac:dyDescent="0.25">
      <c r="A270" s="26"/>
      <c r="B270" s="11" t="str">
        <f>CONCATENATE("          ", "6273", " - ", "RENT")</f>
        <v xml:space="preserve">          6273 - RENT</v>
      </c>
      <c r="C270" s="11"/>
      <c r="D270" s="7">
        <v>9900</v>
      </c>
      <c r="E270" s="2"/>
      <c r="F270" s="6">
        <f t="shared" si="87"/>
        <v>1.9557778478170144E-2</v>
      </c>
      <c r="G270" s="2"/>
      <c r="H270" s="7">
        <v>10200</v>
      </c>
      <c r="I270" s="2"/>
      <c r="J270" s="6">
        <f t="shared" si="88"/>
        <v>3.5585678268731367E-3</v>
      </c>
      <c r="K270" s="2"/>
      <c r="L270" s="7">
        <f t="shared" si="89"/>
        <v>-300</v>
      </c>
      <c r="M270" s="2"/>
      <c r="N270" s="6">
        <f t="shared" si="90"/>
        <v>-2.9411764705882353E-2</v>
      </c>
      <c r="O270" s="11"/>
      <c r="P270" s="7">
        <v>108900</v>
      </c>
      <c r="Q270" s="2"/>
      <c r="R270" s="6">
        <f t="shared" si="91"/>
        <v>3.8823744444097569E-3</v>
      </c>
      <c r="S270" s="2"/>
      <c r="T270" s="7">
        <v>112200</v>
      </c>
      <c r="U270" s="2"/>
      <c r="V270" s="6">
        <f t="shared" si="92"/>
        <v>3.1067093569338193E-3</v>
      </c>
      <c r="W270" s="2"/>
      <c r="X270" s="7">
        <f t="shared" si="93"/>
        <v>-3300</v>
      </c>
      <c r="Y270" s="2"/>
      <c r="Z270" s="6">
        <f t="shared" si="94"/>
        <v>-2.9411764705882353E-2</v>
      </c>
    </row>
    <row r="271" spans="1:26" s="27" customFormat="1" outlineLevel="1" collapsed="1" x14ac:dyDescent="0.25">
      <c r="A271" s="25"/>
      <c r="B271" s="12" t="str">
        <f>CONCATENATE("     ","Repair and Maintenance                            ")</f>
        <v xml:space="preserve">     Repair and Maintenance                            </v>
      </c>
      <c r="C271" s="12"/>
      <c r="D271" s="1">
        <f>SUM(OSRRefD22_18x_0)</f>
        <v>13186.75</v>
      </c>
      <c r="E271" s="1"/>
      <c r="F271" s="5">
        <f t="shared" si="87"/>
        <v>2.6050862156263649E-2</v>
      </c>
      <c r="G271" s="1"/>
      <c r="H271" s="1">
        <f>SUM(OSRRefH22_18x_0)</f>
        <v>48343</v>
      </c>
      <c r="I271" s="1"/>
      <c r="J271" s="5">
        <f t="shared" si="88"/>
        <v>1.6865867103385102E-2</v>
      </c>
      <c r="K271" s="1"/>
      <c r="L271" s="1">
        <f t="shared" si="89"/>
        <v>-35156.25</v>
      </c>
      <c r="M271" s="1"/>
      <c r="N271" s="5">
        <f t="shared" si="90"/>
        <v>-0.72722524460625115</v>
      </c>
      <c r="O271" s="12"/>
      <c r="P271" s="1">
        <f>SUM(OSRRefP22_18x_0)</f>
        <v>561189.75</v>
      </c>
      <c r="Q271" s="1"/>
      <c r="R271" s="5">
        <f t="shared" si="91"/>
        <v>2.0006875517582189E-2</v>
      </c>
      <c r="S271" s="1"/>
      <c r="T271" s="1">
        <f>SUM(OSRRefT22_18x_0)</f>
        <v>657533</v>
      </c>
      <c r="U271" s="1"/>
      <c r="V271" s="5">
        <f t="shared" si="92"/>
        <v>1.8206452081931952E-2</v>
      </c>
      <c r="W271" s="1"/>
      <c r="X271" s="1">
        <f t="shared" si="93"/>
        <v>-96343.25</v>
      </c>
      <c r="Y271" s="1"/>
      <c r="Z271" s="5">
        <f t="shared" si="94"/>
        <v>-0.14652230382353434</v>
      </c>
    </row>
    <row r="272" spans="1:26" s="24" customFormat="1" hidden="1" outlineLevel="2" x14ac:dyDescent="0.25">
      <c r="A272" s="26"/>
      <c r="B272" s="11" t="str">
        <f>CONCATENATE("          ", "6371", " - ", "COMPUTER SOFTWARE MAINTENANCE")</f>
        <v xml:space="preserve">          6371 - COMPUTER SOFTWARE MAINTENANCE</v>
      </c>
      <c r="C272" s="11"/>
      <c r="D272" s="7"/>
      <c r="E272" s="2"/>
      <c r="F272" s="6">
        <f t="shared" si="87"/>
        <v>0</v>
      </c>
      <c r="G272" s="2"/>
      <c r="H272" s="7">
        <v>13547</v>
      </c>
      <c r="I272" s="2"/>
      <c r="J272" s="6">
        <f t="shared" si="88"/>
        <v>4.7262665049657235E-3</v>
      </c>
      <c r="K272" s="2"/>
      <c r="L272" s="7">
        <f t="shared" si="89"/>
        <v>-13547</v>
      </c>
      <c r="M272" s="2"/>
      <c r="N272" s="6">
        <f t="shared" si="90"/>
        <v>-1</v>
      </c>
      <c r="O272" s="11"/>
      <c r="P272" s="7">
        <v>92162.36</v>
      </c>
      <c r="Q272" s="2"/>
      <c r="R272" s="6">
        <f t="shared" si="91"/>
        <v>3.2856638310421672E-3</v>
      </c>
      <c r="S272" s="2"/>
      <c r="T272" s="7">
        <v>213502</v>
      </c>
      <c r="U272" s="2"/>
      <c r="V272" s="6">
        <f t="shared" si="92"/>
        <v>5.9116636463822127E-3</v>
      </c>
      <c r="W272" s="2"/>
      <c r="X272" s="7">
        <f t="shared" si="93"/>
        <v>-121339.64</v>
      </c>
      <c r="Y272" s="2"/>
      <c r="Z272" s="6">
        <f t="shared" si="94"/>
        <v>-0.56833022641474085</v>
      </c>
    </row>
    <row r="273" spans="1:26" s="24" customFormat="1" hidden="1" outlineLevel="2" x14ac:dyDescent="0.25">
      <c r="A273" s="26"/>
      <c r="B273" s="11" t="str">
        <f>CONCATENATE("          ", "6372", " - ", "COMPUTER HARDWARE MAINTENANCE")</f>
        <v xml:space="preserve">          6372 - COMPUTER HARDWARE MAINTENANCE</v>
      </c>
      <c r="C273" s="11"/>
      <c r="D273" s="7"/>
      <c r="E273" s="2"/>
      <c r="F273" s="6">
        <f t="shared" si="87"/>
        <v>0</v>
      </c>
      <c r="G273" s="2"/>
      <c r="H273" s="7">
        <v>200</v>
      </c>
      <c r="I273" s="2"/>
      <c r="J273" s="6">
        <f t="shared" si="88"/>
        <v>6.9775839742610519E-5</v>
      </c>
      <c r="K273" s="2"/>
      <c r="L273" s="7">
        <f t="shared" si="89"/>
        <v>-200</v>
      </c>
      <c r="M273" s="2"/>
      <c r="N273" s="6">
        <f t="shared" si="90"/>
        <v>-1</v>
      </c>
      <c r="O273" s="11"/>
      <c r="P273" s="7">
        <v>8195.19</v>
      </c>
      <c r="Q273" s="2"/>
      <c r="R273" s="6">
        <f t="shared" si="91"/>
        <v>2.9216525457375942E-4</v>
      </c>
      <c r="S273" s="2"/>
      <c r="T273" s="7">
        <v>22610</v>
      </c>
      <c r="U273" s="2"/>
      <c r="V273" s="6">
        <f t="shared" si="92"/>
        <v>6.2604900677605752E-4</v>
      </c>
      <c r="W273" s="2"/>
      <c r="X273" s="7">
        <f t="shared" si="93"/>
        <v>-14414.81</v>
      </c>
      <c r="Y273" s="2"/>
      <c r="Z273" s="6">
        <f t="shared" si="94"/>
        <v>-0.63754135338345863</v>
      </c>
    </row>
    <row r="274" spans="1:26" s="24" customFormat="1" hidden="1" outlineLevel="2" x14ac:dyDescent="0.25">
      <c r="A274" s="26"/>
      <c r="B274" s="11" t="str">
        <f>CONCATENATE("          ", "6373", " - ", "MAINTENANCE CONTRACTS")</f>
        <v xml:space="preserve">          6373 - MAINTENANCE CONTRACTS</v>
      </c>
      <c r="C274" s="11"/>
      <c r="D274" s="7">
        <v>10545.77</v>
      </c>
      <c r="E274" s="2"/>
      <c r="F274" s="6">
        <f t="shared" si="87"/>
        <v>2.0833518539568923E-2</v>
      </c>
      <c r="G274" s="2"/>
      <c r="H274" s="7">
        <v>11095</v>
      </c>
      <c r="I274" s="2"/>
      <c r="J274" s="6">
        <f t="shared" si="88"/>
        <v>3.8708147097213188E-3</v>
      </c>
      <c r="K274" s="2"/>
      <c r="L274" s="7">
        <f t="shared" si="89"/>
        <v>-549.22999999999956</v>
      </c>
      <c r="M274" s="2"/>
      <c r="N274" s="6">
        <f t="shared" si="90"/>
        <v>-4.9502478593961202E-2</v>
      </c>
      <c r="O274" s="11"/>
      <c r="P274" s="7">
        <v>290632.78000000003</v>
      </c>
      <c r="Q274" s="2"/>
      <c r="R274" s="6">
        <f t="shared" si="91"/>
        <v>1.0361297316618579E-2</v>
      </c>
      <c r="S274" s="2"/>
      <c r="T274" s="7">
        <v>110289</v>
      </c>
      <c r="U274" s="2"/>
      <c r="V274" s="6">
        <f t="shared" si="92"/>
        <v>3.0537956173518179E-3</v>
      </c>
      <c r="W274" s="2"/>
      <c r="X274" s="7">
        <f t="shared" si="93"/>
        <v>180343.78000000003</v>
      </c>
      <c r="Y274" s="2"/>
      <c r="Z274" s="6">
        <f t="shared" si="94"/>
        <v>1.6351928116131258</v>
      </c>
    </row>
    <row r="275" spans="1:26" s="24" customFormat="1" hidden="1" outlineLevel="2" x14ac:dyDescent="0.25">
      <c r="A275" s="26"/>
      <c r="B275" s="11" t="str">
        <f>CONCATENATE("          ", "6375", " - ", "OUTSIDE REPAIRS &amp; MAINTENANCE")</f>
        <v xml:space="preserve">          6375 - OUTSIDE REPAIRS &amp; MAINTENANCE</v>
      </c>
      <c r="C275" s="11"/>
      <c r="D275" s="7">
        <v>2640.98</v>
      </c>
      <c r="E275" s="2"/>
      <c r="F275" s="6">
        <f t="shared" si="87"/>
        <v>5.2173436166947258E-3</v>
      </c>
      <c r="G275" s="2"/>
      <c r="H275" s="7">
        <v>23501</v>
      </c>
      <c r="I275" s="2"/>
      <c r="J275" s="6">
        <f t="shared" si="88"/>
        <v>8.1990100489554487E-3</v>
      </c>
      <c r="K275" s="2"/>
      <c r="L275" s="7">
        <f t="shared" si="89"/>
        <v>-20860.02</v>
      </c>
      <c r="M275" s="2"/>
      <c r="N275" s="6">
        <f t="shared" si="90"/>
        <v>-0.88762265435513388</v>
      </c>
      <c r="O275" s="11"/>
      <c r="P275" s="7">
        <v>170199.41999999998</v>
      </c>
      <c r="Q275" s="2"/>
      <c r="R275" s="6">
        <f t="shared" si="91"/>
        <v>6.0677491153476844E-3</v>
      </c>
      <c r="S275" s="2"/>
      <c r="T275" s="7">
        <v>311132</v>
      </c>
      <c r="U275" s="2"/>
      <c r="V275" s="6">
        <f t="shared" si="92"/>
        <v>8.6149438114218636E-3</v>
      </c>
      <c r="W275" s="2"/>
      <c r="X275" s="7">
        <f t="shared" si="93"/>
        <v>-140932.58000000002</v>
      </c>
      <c r="Y275" s="2"/>
      <c r="Z275" s="6">
        <f t="shared" si="94"/>
        <v>-0.45296716506177448</v>
      </c>
    </row>
    <row r="276" spans="1:26" s="27" customFormat="1" outlineLevel="1" collapsed="1" x14ac:dyDescent="0.25">
      <c r="A276" s="25"/>
      <c r="B276" s="12" t="str">
        <f>CONCATENATE("     ","Royalty &amp; Commissions                             ")</f>
        <v xml:space="preserve">     Royalty &amp; Commissions                             </v>
      </c>
      <c r="C276" s="12"/>
      <c r="D276" s="1">
        <f>SUM(OSRRefD22_19x_0)</f>
        <v>0</v>
      </c>
      <c r="E276" s="1"/>
      <c r="F276" s="5">
        <f t="shared" ref="F276:F280" si="95">IF(D$12=0,0,D276/D$12)</f>
        <v>0</v>
      </c>
      <c r="G276" s="1"/>
      <c r="H276" s="1">
        <f>SUM(OSRRefH22_19x_0)</f>
        <v>59777</v>
      </c>
      <c r="I276" s="1"/>
      <c r="J276" s="5">
        <f t="shared" ref="J276:J280" si="96">IF(H$12=0,0,H276/H$12)</f>
        <v>2.0854951861470145E-2</v>
      </c>
      <c r="K276" s="1"/>
      <c r="L276" s="1">
        <f t="shared" ref="L276:L280" si="97">+D276-H276</f>
        <v>-59777</v>
      </c>
      <c r="M276" s="1"/>
      <c r="N276" s="5">
        <f t="shared" ref="N276:N280" si="98">IF(H276=0,0,L276/H276)</f>
        <v>-1</v>
      </c>
      <c r="O276" s="12"/>
      <c r="P276" s="1">
        <f>SUM(OSRRefP22_19x_0)</f>
        <v>381769.01</v>
      </c>
      <c r="Q276" s="1"/>
      <c r="R276" s="5">
        <f t="shared" ref="R276:R280" si="99">IF(P$12=0,0,P276/P$12)</f>
        <v>1.3610378770354573E-2</v>
      </c>
      <c r="S276" s="1"/>
      <c r="T276" s="1">
        <f>SUM(OSRRefT22_19x_0)</f>
        <v>588112</v>
      </c>
      <c r="U276" s="1"/>
      <c r="V276" s="5">
        <f t="shared" ref="V276:V280" si="100">IF(T$12=0,0,T276/T$12)</f>
        <v>1.628425181216633E-2</v>
      </c>
      <c r="W276" s="1"/>
      <c r="X276" s="1">
        <f t="shared" ref="X276:X280" si="101">+P276-T276</f>
        <v>-206342.99</v>
      </c>
      <c r="Y276" s="1"/>
      <c r="Z276" s="5">
        <f t="shared" ref="Z276:Z280" si="102">IF(T276=0,0,X276/T276)</f>
        <v>-0.35085662254808608</v>
      </c>
    </row>
    <row r="277" spans="1:26" s="24" customFormat="1" hidden="1" outlineLevel="2" x14ac:dyDescent="0.25">
      <c r="A277" s="26"/>
      <c r="B277" s="11" t="str">
        <f>CONCATENATE("          ", "6252", " - ", "ROYALTY DUE CSTV")</f>
        <v xml:space="preserve">          6252 - ROYALTY DUE CSTV</v>
      </c>
      <c r="C277" s="11"/>
      <c r="D277" s="7"/>
      <c r="E277" s="2"/>
      <c r="F277" s="6">
        <f t="shared" si="95"/>
        <v>0</v>
      </c>
      <c r="G277" s="2"/>
      <c r="H277" s="7">
        <v>11685</v>
      </c>
      <c r="I277" s="2"/>
      <c r="J277" s="6">
        <f t="shared" si="96"/>
        <v>4.0766534369620199E-3</v>
      </c>
      <c r="K277" s="2"/>
      <c r="L277" s="7">
        <f t="shared" si="97"/>
        <v>-11685</v>
      </c>
      <c r="M277" s="2"/>
      <c r="N277" s="6">
        <f t="shared" si="98"/>
        <v>-1</v>
      </c>
      <c r="O277" s="11"/>
      <c r="P277" s="7"/>
      <c r="Q277" s="2"/>
      <c r="R277" s="6">
        <f t="shared" si="99"/>
        <v>0</v>
      </c>
      <c r="S277" s="2"/>
      <c r="T277" s="7">
        <v>57935</v>
      </c>
      <c r="U277" s="2"/>
      <c r="V277" s="6">
        <f t="shared" si="100"/>
        <v>1.6041640516395795E-3</v>
      </c>
      <c r="W277" s="2"/>
      <c r="X277" s="7">
        <f t="shared" si="101"/>
        <v>-57935</v>
      </c>
      <c r="Y277" s="2"/>
      <c r="Z277" s="6">
        <f t="shared" si="102"/>
        <v>-1</v>
      </c>
    </row>
    <row r="278" spans="1:26" s="24" customFormat="1" hidden="1" outlineLevel="2" x14ac:dyDescent="0.25">
      <c r="A278" s="26"/>
      <c r="B278" s="11" t="str">
        <f>CONCATENATE("          ", "6253", " - ", "ROYALTY DUE ATHLETICS-LRG")</f>
        <v xml:space="preserve">          6253 - ROYALTY DUE ATHLETICS-LRG</v>
      </c>
      <c r="C278" s="11"/>
      <c r="D278" s="7"/>
      <c r="E278" s="2"/>
      <c r="F278" s="6">
        <f t="shared" si="95"/>
        <v>0</v>
      </c>
      <c r="G278" s="2"/>
      <c r="H278" s="7">
        <v>23700</v>
      </c>
      <c r="I278" s="2"/>
      <c r="J278" s="6">
        <f t="shared" si="96"/>
        <v>8.2684370094993475E-3</v>
      </c>
      <c r="K278" s="2"/>
      <c r="L278" s="7">
        <f t="shared" si="97"/>
        <v>-23700</v>
      </c>
      <c r="M278" s="2"/>
      <c r="N278" s="6">
        <f t="shared" si="98"/>
        <v>-1</v>
      </c>
      <c r="O278" s="11"/>
      <c r="P278" s="7">
        <v>32870.44</v>
      </c>
      <c r="Q278" s="2"/>
      <c r="R278" s="6">
        <f t="shared" si="99"/>
        <v>1.1718581839532071E-3</v>
      </c>
      <c r="S278" s="2"/>
      <c r="T278" s="7">
        <v>207700</v>
      </c>
      <c r="U278" s="2"/>
      <c r="V278" s="6">
        <f t="shared" si="100"/>
        <v>5.7510118844487897E-3</v>
      </c>
      <c r="W278" s="2"/>
      <c r="X278" s="7">
        <f t="shared" si="101"/>
        <v>-174829.56</v>
      </c>
      <c r="Y278" s="2"/>
      <c r="Z278" s="6">
        <f t="shared" si="102"/>
        <v>-0.84174077997111219</v>
      </c>
    </row>
    <row r="279" spans="1:26" s="24" customFormat="1" hidden="1" outlineLevel="2" x14ac:dyDescent="0.25">
      <c r="A279" s="26"/>
      <c r="B279" s="11" t="str">
        <f>CONCATENATE("          ", "6254", " - ", "ROYALTY &amp; COMMISSIONS")</f>
        <v xml:space="preserve">          6254 - ROYALTY &amp; COMMISSIONS</v>
      </c>
      <c r="C279" s="11"/>
      <c r="D279" s="7"/>
      <c r="E279" s="2"/>
      <c r="F279" s="6">
        <f t="shared" si="95"/>
        <v>0</v>
      </c>
      <c r="G279" s="2"/>
      <c r="H279" s="7">
        <v>11700</v>
      </c>
      <c r="I279" s="2"/>
      <c r="J279" s="6">
        <f t="shared" si="96"/>
        <v>4.0818866249427155E-3</v>
      </c>
      <c r="K279" s="2"/>
      <c r="L279" s="7">
        <f t="shared" si="97"/>
        <v>-11700</v>
      </c>
      <c r="M279" s="2"/>
      <c r="N279" s="6">
        <f t="shared" si="98"/>
        <v>-1</v>
      </c>
      <c r="O279" s="11"/>
      <c r="P279" s="7">
        <v>161620.87</v>
      </c>
      <c r="Q279" s="2"/>
      <c r="R279" s="6">
        <f t="shared" si="99"/>
        <v>5.7619167619033197E-3</v>
      </c>
      <c r="S279" s="2"/>
      <c r="T279" s="7">
        <v>134817</v>
      </c>
      <c r="U279" s="2"/>
      <c r="V279" s="6">
        <f t="shared" si="100"/>
        <v>3.7329521869317889E-3</v>
      </c>
      <c r="W279" s="2"/>
      <c r="X279" s="7">
        <f t="shared" si="101"/>
        <v>26803.869999999995</v>
      </c>
      <c r="Y279" s="2"/>
      <c r="Z279" s="6">
        <f t="shared" si="102"/>
        <v>0.19881669225691118</v>
      </c>
    </row>
    <row r="280" spans="1:26" s="24" customFormat="1" hidden="1" outlineLevel="2" x14ac:dyDescent="0.25">
      <c r="A280" s="26"/>
      <c r="B280" s="11" t="str">
        <f>CONCATENATE("          ", "6259", " - ", "ROYALTY &amp; COMMISSIONS")</f>
        <v xml:space="preserve">          6259 - ROYALTY &amp; COMMISSIONS</v>
      </c>
      <c r="C280" s="11"/>
      <c r="D280" s="7"/>
      <c r="E280" s="2"/>
      <c r="F280" s="6">
        <f t="shared" si="95"/>
        <v>0</v>
      </c>
      <c r="G280" s="2"/>
      <c r="H280" s="7">
        <v>12692</v>
      </c>
      <c r="I280" s="2"/>
      <c r="J280" s="6">
        <f t="shared" si="96"/>
        <v>4.4279747900660641E-3</v>
      </c>
      <c r="K280" s="2"/>
      <c r="L280" s="7">
        <f t="shared" si="97"/>
        <v>-12692</v>
      </c>
      <c r="M280" s="2"/>
      <c r="N280" s="6">
        <f t="shared" si="98"/>
        <v>-1</v>
      </c>
      <c r="O280" s="11"/>
      <c r="P280" s="7">
        <v>187277.7</v>
      </c>
      <c r="Q280" s="2"/>
      <c r="R280" s="6">
        <f t="shared" si="99"/>
        <v>6.6766038244980459E-3</v>
      </c>
      <c r="S280" s="2"/>
      <c r="T280" s="7">
        <v>187660</v>
      </c>
      <c r="U280" s="2"/>
      <c r="V280" s="6">
        <f t="shared" si="100"/>
        <v>5.196123689146172E-3</v>
      </c>
      <c r="W280" s="2"/>
      <c r="X280" s="7">
        <f t="shared" si="101"/>
        <v>-382.29999999998836</v>
      </c>
      <c r="Y280" s="2"/>
      <c r="Z280" s="6">
        <f t="shared" si="102"/>
        <v>-2.0371949269955684E-3</v>
      </c>
    </row>
    <row r="281" spans="1:26" s="27" customFormat="1" outlineLevel="1" collapsed="1" x14ac:dyDescent="0.25">
      <c r="A281" s="25"/>
      <c r="B281" s="12" t="str">
        <f>CONCATENATE("     ","Services                                          ")</f>
        <v xml:space="preserve">     Services                                          </v>
      </c>
      <c r="C281" s="12"/>
      <c r="D281" s="1">
        <f>SUM(OSRRefD22_20x_0)</f>
        <v>17599.589999999997</v>
      </c>
      <c r="E281" s="1"/>
      <c r="F281" s="5">
        <f t="shared" ref="F281:F287" si="103">IF(D$12=0,0,D281/D$12)</f>
        <v>3.4768573992587717E-2</v>
      </c>
      <c r="G281" s="1"/>
      <c r="H281" s="1">
        <f>SUM(OSRRefH22_20x_0)</f>
        <v>50117.5</v>
      </c>
      <c r="I281" s="1"/>
      <c r="J281" s="5">
        <f t="shared" ref="J281:J287" si="104">IF(H$12=0,0,H281/H$12)</f>
        <v>1.7484953241501414E-2</v>
      </c>
      <c r="K281" s="1"/>
      <c r="L281" s="1">
        <f t="shared" ref="L281:L287" si="105">+D281-H281</f>
        <v>-32517.910000000003</v>
      </c>
      <c r="M281" s="1"/>
      <c r="N281" s="5">
        <f t="shared" ref="N281:N287" si="106">IF(H281=0,0,L281/H281)</f>
        <v>-0.64883344141268029</v>
      </c>
      <c r="O281" s="12"/>
      <c r="P281" s="1">
        <f>SUM(OSRRefP22_20x_0)</f>
        <v>468686.82000000007</v>
      </c>
      <c r="Q281" s="1"/>
      <c r="R281" s="5">
        <f t="shared" ref="R281:R287" si="107">IF(P$12=0,0,P281/P$12)</f>
        <v>1.6709070086314746E-2</v>
      </c>
      <c r="S281" s="1"/>
      <c r="T281" s="1">
        <f>SUM(OSRRefT22_20x_0)</f>
        <v>520958.5</v>
      </c>
      <c r="U281" s="1"/>
      <c r="V281" s="5">
        <f t="shared" ref="V281:V287" si="108">IF(T$12=0,0,T281/T$12)</f>
        <v>1.4424836421784376E-2</v>
      </c>
      <c r="W281" s="1"/>
      <c r="X281" s="1">
        <f t="shared" ref="X281:X287" si="109">+P281-T281</f>
        <v>-52271.679999999935</v>
      </c>
      <c r="Y281" s="1"/>
      <c r="Z281" s="5">
        <f t="shared" ref="Z281:Z287" si="110">IF(T281=0,0,X281/T281)</f>
        <v>-0.10033751248899851</v>
      </c>
    </row>
    <row r="282" spans="1:26" s="24" customFormat="1" hidden="1" outlineLevel="2" x14ac:dyDescent="0.25">
      <c r="A282" s="26"/>
      <c r="B282" s="11" t="str">
        <f>CONCATENATE("          ", "6281", " - ", "STORAGE FEE")</f>
        <v xml:space="preserve">          6281 - STORAGE FEE</v>
      </c>
      <c r="C282" s="11"/>
      <c r="D282" s="7"/>
      <c r="E282" s="2"/>
      <c r="F282" s="6">
        <f t="shared" si="103"/>
        <v>0</v>
      </c>
      <c r="G282" s="2"/>
      <c r="H282" s="7"/>
      <c r="I282" s="2"/>
      <c r="J282" s="6">
        <f t="shared" si="104"/>
        <v>0</v>
      </c>
      <c r="K282" s="2"/>
      <c r="L282" s="7">
        <f t="shared" si="105"/>
        <v>0</v>
      </c>
      <c r="M282" s="2"/>
      <c r="N282" s="6">
        <f t="shared" si="106"/>
        <v>0</v>
      </c>
      <c r="O282" s="11"/>
      <c r="P282" s="7"/>
      <c r="Q282" s="2"/>
      <c r="R282" s="6">
        <f t="shared" si="107"/>
        <v>0</v>
      </c>
      <c r="S282" s="2"/>
      <c r="T282" s="7">
        <v>0</v>
      </c>
      <c r="U282" s="2"/>
      <c r="V282" s="6">
        <f t="shared" si="108"/>
        <v>0</v>
      </c>
      <c r="W282" s="2"/>
      <c r="X282" s="7">
        <f t="shared" si="109"/>
        <v>0</v>
      </c>
      <c r="Y282" s="2"/>
      <c r="Z282" s="6">
        <f t="shared" si="110"/>
        <v>0</v>
      </c>
    </row>
    <row r="283" spans="1:26" s="24" customFormat="1" hidden="1" outlineLevel="2" x14ac:dyDescent="0.25">
      <c r="A283" s="26"/>
      <c r="B283" s="11" t="str">
        <f>CONCATENATE("          ", "6282", " - ", "JANITORIAL/EXTERMINATOR EXPENS")</f>
        <v xml:space="preserve">          6282 - JANITORIAL/EXTERMINATOR EXPENS</v>
      </c>
      <c r="C283" s="11"/>
      <c r="D283" s="7">
        <v>1808.53</v>
      </c>
      <c r="E283" s="2"/>
      <c r="F283" s="6">
        <f t="shared" si="103"/>
        <v>3.5728110213257623E-3</v>
      </c>
      <c r="G283" s="2"/>
      <c r="H283" s="7">
        <v>3468</v>
      </c>
      <c r="I283" s="2"/>
      <c r="J283" s="6">
        <f t="shared" si="104"/>
        <v>1.2099130611368664E-3</v>
      </c>
      <c r="K283" s="2"/>
      <c r="L283" s="7">
        <f t="shared" si="105"/>
        <v>-1659.47</v>
      </c>
      <c r="M283" s="2"/>
      <c r="N283" s="6">
        <f t="shared" si="106"/>
        <v>-0.47850922722029987</v>
      </c>
      <c r="O283" s="11"/>
      <c r="P283" s="7">
        <v>40080.68</v>
      </c>
      <c r="Q283" s="2"/>
      <c r="R283" s="6">
        <f t="shared" si="107"/>
        <v>1.4289091620437581E-3</v>
      </c>
      <c r="S283" s="2"/>
      <c r="T283" s="7">
        <v>38433</v>
      </c>
      <c r="U283" s="2"/>
      <c r="V283" s="6">
        <f t="shared" si="108"/>
        <v>1.0641725553924908E-3</v>
      </c>
      <c r="W283" s="2"/>
      <c r="X283" s="7">
        <f t="shared" si="109"/>
        <v>1647.6800000000003</v>
      </c>
      <c r="Y283" s="2"/>
      <c r="Z283" s="6">
        <f t="shared" si="110"/>
        <v>4.2871490646059385E-2</v>
      </c>
    </row>
    <row r="284" spans="1:26" s="24" customFormat="1" hidden="1" outlineLevel="2" x14ac:dyDescent="0.25">
      <c r="A284" s="26"/>
      <c r="B284" s="11" t="str">
        <f>CONCATENATE("          ", "6283", " - ", "PLANT SERVICE")</f>
        <v xml:space="preserve">          6283 - PLANT SERVICE</v>
      </c>
      <c r="C284" s="11"/>
      <c r="D284" s="7"/>
      <c r="E284" s="2"/>
      <c r="F284" s="6">
        <f t="shared" si="103"/>
        <v>0</v>
      </c>
      <c r="G284" s="2"/>
      <c r="H284" s="7">
        <v>245</v>
      </c>
      <c r="I284" s="2"/>
      <c r="J284" s="6">
        <f t="shared" si="104"/>
        <v>8.5475403684697883E-5</v>
      </c>
      <c r="K284" s="2"/>
      <c r="L284" s="7">
        <f t="shared" si="105"/>
        <v>-245</v>
      </c>
      <c r="M284" s="2"/>
      <c r="N284" s="6">
        <f t="shared" si="106"/>
        <v>-1</v>
      </c>
      <c r="O284" s="11"/>
      <c r="P284" s="7">
        <v>2340</v>
      </c>
      <c r="Q284" s="2"/>
      <c r="R284" s="6">
        <f t="shared" si="107"/>
        <v>8.3422921945994783E-5</v>
      </c>
      <c r="S284" s="2"/>
      <c r="T284" s="7">
        <v>2660</v>
      </c>
      <c r="U284" s="2"/>
      <c r="V284" s="6">
        <f t="shared" si="108"/>
        <v>7.3652824326594999E-5</v>
      </c>
      <c r="W284" s="2"/>
      <c r="X284" s="7">
        <f t="shared" si="109"/>
        <v>-320</v>
      </c>
      <c r="Y284" s="2"/>
      <c r="Z284" s="6">
        <f t="shared" si="110"/>
        <v>-0.12030075187969924</v>
      </c>
    </row>
    <row r="285" spans="1:26" s="24" customFormat="1" hidden="1" outlineLevel="2" x14ac:dyDescent="0.25">
      <c r="A285" s="26"/>
      <c r="B285" s="11" t="str">
        <f>CONCATENATE("          ", "6284", " - ", "TRASH REMOVAL EXPENSE")</f>
        <v xml:space="preserve">          6284 - TRASH REMOVAL EXPENSE</v>
      </c>
      <c r="C285" s="11"/>
      <c r="D285" s="7">
        <v>5553.82</v>
      </c>
      <c r="E285" s="2"/>
      <c r="F285" s="6">
        <f t="shared" si="103"/>
        <v>1.097175568359908E-2</v>
      </c>
      <c r="G285" s="2"/>
      <c r="H285" s="7">
        <v>4277.5</v>
      </c>
      <c r="I285" s="2"/>
      <c r="J285" s="6">
        <f t="shared" si="104"/>
        <v>1.4923307724950825E-3</v>
      </c>
      <c r="K285" s="2"/>
      <c r="L285" s="7">
        <f t="shared" si="105"/>
        <v>1276.3199999999997</v>
      </c>
      <c r="M285" s="2"/>
      <c r="N285" s="6">
        <f t="shared" si="106"/>
        <v>0.29837989479836347</v>
      </c>
      <c r="O285" s="11"/>
      <c r="P285" s="7">
        <v>53202.02</v>
      </c>
      <c r="Q285" s="2"/>
      <c r="R285" s="6">
        <f t="shared" si="107"/>
        <v>1.8966957101834412E-3</v>
      </c>
      <c r="S285" s="2"/>
      <c r="T285" s="7">
        <v>47002.5</v>
      </c>
      <c r="U285" s="2"/>
      <c r="V285" s="6">
        <f t="shared" si="108"/>
        <v>1.3014537125604442E-3</v>
      </c>
      <c r="W285" s="2"/>
      <c r="X285" s="7">
        <f t="shared" si="109"/>
        <v>6199.5199999999968</v>
      </c>
      <c r="Y285" s="2"/>
      <c r="Z285" s="6">
        <f t="shared" si="110"/>
        <v>0.13189766501781813</v>
      </c>
    </row>
    <row r="286" spans="1:26" s="24" customFormat="1" hidden="1" outlineLevel="2" x14ac:dyDescent="0.25">
      <c r="A286" s="26"/>
      <c r="B286" s="11" t="str">
        <f>CONCATENATE("          ", "6285", " - ", "JANITORIAL SERVICES")</f>
        <v xml:space="preserve">          6285 - JANITORIAL SERVICES</v>
      </c>
      <c r="C286" s="11"/>
      <c r="D286" s="7">
        <v>10107.709999999999</v>
      </c>
      <c r="E286" s="2"/>
      <c r="F286" s="6">
        <f t="shared" si="103"/>
        <v>1.9968116474907587E-2</v>
      </c>
      <c r="G286" s="2"/>
      <c r="H286" s="7">
        <v>32796</v>
      </c>
      <c r="I286" s="2"/>
      <c r="J286" s="6">
        <f t="shared" si="104"/>
        <v>1.1441842200993273E-2</v>
      </c>
      <c r="K286" s="2"/>
      <c r="L286" s="7">
        <f t="shared" si="105"/>
        <v>-22688.29</v>
      </c>
      <c r="M286" s="2"/>
      <c r="N286" s="6">
        <f t="shared" si="106"/>
        <v>-0.6918005244542017</v>
      </c>
      <c r="O286" s="11"/>
      <c r="P286" s="7">
        <v>298328.35000000003</v>
      </c>
      <c r="Q286" s="2"/>
      <c r="R286" s="6">
        <f t="shared" si="107"/>
        <v>1.0635650707832229E-2</v>
      </c>
      <c r="S286" s="2"/>
      <c r="T286" s="7">
        <v>333459</v>
      </c>
      <c r="U286" s="2"/>
      <c r="V286" s="6">
        <f t="shared" si="108"/>
        <v>9.2331568222263315E-3</v>
      </c>
      <c r="W286" s="2"/>
      <c r="X286" s="7">
        <f t="shared" si="109"/>
        <v>-35130.649999999965</v>
      </c>
      <c r="Y286" s="2"/>
      <c r="Z286" s="6">
        <f t="shared" si="110"/>
        <v>-0.10535223220845731</v>
      </c>
    </row>
    <row r="287" spans="1:26" s="24" customFormat="1" hidden="1" outlineLevel="2" x14ac:dyDescent="0.25">
      <c r="A287" s="26"/>
      <c r="B287" s="11" t="str">
        <f>CONCATENATE("          ", "6286", " - ", "LAUNDRY EXPENSE")</f>
        <v xml:space="preserve">          6286 - LAUNDRY EXPENSE</v>
      </c>
      <c r="C287" s="11"/>
      <c r="D287" s="7">
        <v>129.53</v>
      </c>
      <c r="E287" s="2"/>
      <c r="F287" s="6">
        <f t="shared" si="103"/>
        <v>2.5589081275529074E-4</v>
      </c>
      <c r="G287" s="2"/>
      <c r="H287" s="7">
        <v>9331</v>
      </c>
      <c r="I287" s="2"/>
      <c r="J287" s="6">
        <f t="shared" si="104"/>
        <v>3.2553918031914941E-3</v>
      </c>
      <c r="K287" s="2"/>
      <c r="L287" s="7">
        <f t="shared" si="105"/>
        <v>-9201.4699999999993</v>
      </c>
      <c r="M287" s="2"/>
      <c r="N287" s="6">
        <f t="shared" si="106"/>
        <v>-0.98611831529310889</v>
      </c>
      <c r="O287" s="11"/>
      <c r="P287" s="7">
        <v>74735.77</v>
      </c>
      <c r="Q287" s="2"/>
      <c r="R287" s="6">
        <f t="shared" si="107"/>
        <v>2.6643915843093239E-3</v>
      </c>
      <c r="S287" s="2"/>
      <c r="T287" s="7">
        <v>99404</v>
      </c>
      <c r="U287" s="2"/>
      <c r="V287" s="6">
        <f t="shared" si="108"/>
        <v>2.7524005072785147E-3</v>
      </c>
      <c r="W287" s="2"/>
      <c r="X287" s="7">
        <f t="shared" si="109"/>
        <v>-24668.229999999996</v>
      </c>
      <c r="Y287" s="2"/>
      <c r="Z287" s="6">
        <f t="shared" si="110"/>
        <v>-0.24816134159591161</v>
      </c>
    </row>
    <row r="288" spans="1:26" s="27" customFormat="1" outlineLevel="1" collapsed="1" x14ac:dyDescent="0.25">
      <c r="A288" s="25"/>
      <c r="B288" s="12" t="str">
        <f>CONCATENATE("     ","Subscriptions &amp; Dues                              ")</f>
        <v xml:space="preserve">     Subscriptions &amp; Dues                              </v>
      </c>
      <c r="C288" s="12"/>
      <c r="D288" s="1">
        <f>SUM(OSRRefD22_21x_0)</f>
        <v>1175</v>
      </c>
      <c r="E288" s="1"/>
      <c r="F288" s="5">
        <f t="shared" ref="F288:F290" si="111">IF(D$12=0,0,D288/D$12)</f>
        <v>2.3212514860454464E-3</v>
      </c>
      <c r="G288" s="1"/>
      <c r="H288" s="1">
        <f>SUM(OSRRefH22_21x_0)</f>
        <v>1189</v>
      </c>
      <c r="I288" s="1"/>
      <c r="J288" s="5">
        <f t="shared" ref="J288:J290" si="112">IF(H$12=0,0,H288/H$12)</f>
        <v>4.1481736726981953E-4</v>
      </c>
      <c r="K288" s="1"/>
      <c r="L288" s="1">
        <f t="shared" ref="L288:L290" si="113">+D288-H288</f>
        <v>-14</v>
      </c>
      <c r="M288" s="1"/>
      <c r="N288" s="5">
        <f t="shared" ref="N288:N290" si="114">IF(H288=0,0,L288/H288)</f>
        <v>-1.1774600504625737E-2</v>
      </c>
      <c r="O288" s="12"/>
      <c r="P288" s="1">
        <f>SUM(OSRRefP22_21x_0)</f>
        <v>12924.099999999999</v>
      </c>
      <c r="Q288" s="1"/>
      <c r="R288" s="5">
        <f t="shared" ref="R288:R290" si="115">IF(P$12=0,0,P288/P$12)</f>
        <v>4.6075478013770553E-4</v>
      </c>
      <c r="S288" s="1"/>
      <c r="T288" s="1">
        <f>SUM(OSRRefT22_21x_0)</f>
        <v>28144</v>
      </c>
      <c r="U288" s="1"/>
      <c r="V288" s="5">
        <f t="shared" ref="V288:V290" si="116">IF(T$12=0,0,T288/T$12)</f>
        <v>7.7928010821341721E-4</v>
      </c>
      <c r="W288" s="1"/>
      <c r="X288" s="1">
        <f t="shared" ref="X288:X290" si="117">+P288-T288</f>
        <v>-15219.900000000001</v>
      </c>
      <c r="Y288" s="1"/>
      <c r="Z288" s="5">
        <f t="shared" ref="Z288:Z290" si="118">IF(T288=0,0,X288/T288)</f>
        <v>-0.54078666856168278</v>
      </c>
    </row>
    <row r="289" spans="1:26" s="24" customFormat="1" hidden="1" outlineLevel="2" x14ac:dyDescent="0.25">
      <c r="A289" s="26"/>
      <c r="B289" s="11" t="str">
        <f>CONCATENATE("          ", "6258", " - ", "MEMBERSHIP DUES")</f>
        <v xml:space="preserve">          6258 - MEMBERSHIP DUES</v>
      </c>
      <c r="C289" s="11"/>
      <c r="D289" s="7">
        <v>1175</v>
      </c>
      <c r="E289" s="2"/>
      <c r="F289" s="6">
        <f t="shared" si="111"/>
        <v>2.3212514860454464E-3</v>
      </c>
      <c r="G289" s="2"/>
      <c r="H289" s="7">
        <v>400</v>
      </c>
      <c r="I289" s="2"/>
      <c r="J289" s="6">
        <f t="shared" si="112"/>
        <v>1.3955167948522104E-4</v>
      </c>
      <c r="K289" s="2"/>
      <c r="L289" s="7">
        <f t="shared" si="113"/>
        <v>775</v>
      </c>
      <c r="M289" s="2"/>
      <c r="N289" s="6">
        <f t="shared" si="114"/>
        <v>1.9375</v>
      </c>
      <c r="O289" s="11"/>
      <c r="P289" s="7">
        <v>5149.91</v>
      </c>
      <c r="Q289" s="2"/>
      <c r="R289" s="6">
        <f t="shared" si="115"/>
        <v>1.8359852134995638E-4</v>
      </c>
      <c r="S289" s="2"/>
      <c r="T289" s="7">
        <v>16590</v>
      </c>
      <c r="U289" s="2"/>
      <c r="V289" s="6">
        <f t="shared" si="116"/>
        <v>4.5936103593165829E-4</v>
      </c>
      <c r="W289" s="2"/>
      <c r="X289" s="7">
        <f t="shared" si="117"/>
        <v>-11440.09</v>
      </c>
      <c r="Y289" s="2"/>
      <c r="Z289" s="6">
        <f t="shared" si="118"/>
        <v>-0.68957745629897527</v>
      </c>
    </row>
    <row r="290" spans="1:26" s="24" customFormat="1" hidden="1" outlineLevel="2" x14ac:dyDescent="0.25">
      <c r="A290" s="26"/>
      <c r="B290" s="11" t="str">
        <f>CONCATENATE("          ", "6275", " - ", "SUBSCRIPTIONS")</f>
        <v xml:space="preserve">          6275 - SUBSCRIPTIONS</v>
      </c>
      <c r="C290" s="11"/>
      <c r="D290" s="7"/>
      <c r="E290" s="2"/>
      <c r="F290" s="6">
        <f t="shared" si="111"/>
        <v>0</v>
      </c>
      <c r="G290" s="2"/>
      <c r="H290" s="7">
        <v>789</v>
      </c>
      <c r="I290" s="2"/>
      <c r="J290" s="6">
        <f t="shared" si="112"/>
        <v>2.7526568778459849E-4</v>
      </c>
      <c r="K290" s="2"/>
      <c r="L290" s="7">
        <f t="shared" si="113"/>
        <v>-789</v>
      </c>
      <c r="M290" s="2"/>
      <c r="N290" s="6">
        <f t="shared" si="114"/>
        <v>-1</v>
      </c>
      <c r="O290" s="11"/>
      <c r="P290" s="7">
        <v>7774.19</v>
      </c>
      <c r="Q290" s="2"/>
      <c r="R290" s="6">
        <f t="shared" si="115"/>
        <v>2.7715625878774918E-4</v>
      </c>
      <c r="S290" s="2"/>
      <c r="T290" s="7">
        <v>11554</v>
      </c>
      <c r="U290" s="2"/>
      <c r="V290" s="6">
        <f t="shared" si="116"/>
        <v>3.1991907228175886E-4</v>
      </c>
      <c r="W290" s="2"/>
      <c r="X290" s="7">
        <f t="shared" si="117"/>
        <v>-3779.8100000000004</v>
      </c>
      <c r="Y290" s="2"/>
      <c r="Z290" s="6">
        <f t="shared" si="118"/>
        <v>-0.32714298078587506</v>
      </c>
    </row>
    <row r="291" spans="1:26" s="27" customFormat="1" outlineLevel="1" collapsed="1" x14ac:dyDescent="0.25">
      <c r="A291" s="25"/>
      <c r="B291" s="12" t="str">
        <f>CONCATENATE("     ","Supplies                                          ")</f>
        <v xml:space="preserve">     Supplies                                          </v>
      </c>
      <c r="C291" s="12"/>
      <c r="D291" s="1">
        <f>SUM(OSRRefD22_22x_0)</f>
        <v>9861.0399999999991</v>
      </c>
      <c r="E291" s="1"/>
      <c r="F291" s="5">
        <f t="shared" ref="F291:F302" si="119">IF(D$12=0,0,D291/D$12)</f>
        <v>1.9480811705492412E-2</v>
      </c>
      <c r="G291" s="1"/>
      <c r="H291" s="1">
        <f>SUM(OSRRefH22_22x_0)</f>
        <v>58549</v>
      </c>
      <c r="I291" s="1"/>
      <c r="J291" s="5">
        <f t="shared" ref="J291:J302" si="120">IF(H$12=0,0,H291/H$12)</f>
        <v>2.0426528205450517E-2</v>
      </c>
      <c r="K291" s="1"/>
      <c r="L291" s="1">
        <f t="shared" ref="L291:L302" si="121">+D291-H291</f>
        <v>-48687.96</v>
      </c>
      <c r="M291" s="1"/>
      <c r="N291" s="5">
        <f t="shared" ref="N291:N302" si="122">IF(H291=0,0,L291/H291)</f>
        <v>-0.83157628652923188</v>
      </c>
      <c r="O291" s="12"/>
      <c r="P291" s="1">
        <f>SUM(OSRRefP22_22x_0)</f>
        <v>532810.6100000001</v>
      </c>
      <c r="Q291" s="1"/>
      <c r="R291" s="5">
        <f t="shared" ref="R291:R302" si="123">IF(P$12=0,0,P291/P$12)</f>
        <v>1.8995135867533278E-2</v>
      </c>
      <c r="S291" s="1"/>
      <c r="T291" s="1">
        <f>SUM(OSRRefT22_22x_0)</f>
        <v>733250.8600000001</v>
      </c>
      <c r="U291" s="1"/>
      <c r="V291" s="5">
        <f t="shared" ref="V291:V302" si="124">IF(T$12=0,0,T291/T$12)</f>
        <v>2.0303006307858914E-2</v>
      </c>
      <c r="W291" s="1"/>
      <c r="X291" s="1">
        <f t="shared" ref="X291:X302" si="125">+P291-T291</f>
        <v>-200440.25</v>
      </c>
      <c r="Y291" s="1"/>
      <c r="Z291" s="5">
        <f t="shared" ref="Z291:Z302" si="126">IF(T291=0,0,X291/T291)</f>
        <v>-0.27335835651116724</v>
      </c>
    </row>
    <row r="292" spans="1:26" s="24" customFormat="1" hidden="1" outlineLevel="2" x14ac:dyDescent="0.25">
      <c r="A292" s="26"/>
      <c r="B292" s="11" t="str">
        <f>CONCATENATE("          ", "6234", " - ", "EXPENDABLE SUPPLIES &amp; EQUIPMEN")</f>
        <v xml:space="preserve">          6234 - EXPENDABLE SUPPLIES &amp; EQUIPMEN</v>
      </c>
      <c r="C292" s="11"/>
      <c r="D292" s="7">
        <v>700.76</v>
      </c>
      <c r="E292" s="2"/>
      <c r="F292" s="6">
        <f t="shared" si="119"/>
        <v>1.3843746309457081E-3</v>
      </c>
      <c r="G292" s="2"/>
      <c r="H292" s="7">
        <v>8300</v>
      </c>
      <c r="I292" s="2"/>
      <c r="J292" s="6">
        <f t="shared" si="120"/>
        <v>2.8956973493183364E-3</v>
      </c>
      <c r="K292" s="2"/>
      <c r="L292" s="7">
        <f t="shared" si="121"/>
        <v>-7599.24</v>
      </c>
      <c r="M292" s="2"/>
      <c r="N292" s="6">
        <f t="shared" si="122"/>
        <v>-0.91557108433734935</v>
      </c>
      <c r="O292" s="11"/>
      <c r="P292" s="7">
        <v>20453.12</v>
      </c>
      <c r="Q292" s="2"/>
      <c r="R292" s="6">
        <f t="shared" si="123"/>
        <v>7.2917052705643789E-4</v>
      </c>
      <c r="S292" s="2"/>
      <c r="T292" s="7">
        <v>95900</v>
      </c>
      <c r="U292" s="2"/>
      <c r="V292" s="6">
        <f t="shared" si="124"/>
        <v>2.6553781401956618E-3</v>
      </c>
      <c r="W292" s="2"/>
      <c r="X292" s="7">
        <f t="shared" si="125"/>
        <v>-75446.880000000005</v>
      </c>
      <c r="Y292" s="2"/>
      <c r="Z292" s="6">
        <f t="shared" si="126"/>
        <v>-0.78672450469238797</v>
      </c>
    </row>
    <row r="293" spans="1:26" s="24" customFormat="1" hidden="1" outlineLevel="2" x14ac:dyDescent="0.25">
      <c r="A293" s="26"/>
      <c r="B293" s="11" t="str">
        <f>CONCATENATE("          ", "6235", " - ", "COVID-19 EXPENSES")</f>
        <v xml:space="preserve">          6235 - COVID-19 EXPENSES</v>
      </c>
      <c r="C293" s="11"/>
      <c r="D293" s="7">
        <v>3501.11</v>
      </c>
      <c r="E293" s="2"/>
      <c r="F293" s="6">
        <f t="shared" si="119"/>
        <v>6.9165589704753812E-3</v>
      </c>
      <c r="G293" s="2"/>
      <c r="H293" s="7"/>
      <c r="I293" s="2"/>
      <c r="J293" s="6">
        <f t="shared" si="120"/>
        <v>0</v>
      </c>
      <c r="K293" s="2"/>
      <c r="L293" s="7">
        <f t="shared" si="121"/>
        <v>3501.11</v>
      </c>
      <c r="M293" s="2"/>
      <c r="N293" s="6">
        <f t="shared" si="122"/>
        <v>0</v>
      </c>
      <c r="O293" s="11"/>
      <c r="P293" s="7">
        <v>3501.11</v>
      </c>
      <c r="Q293" s="2"/>
      <c r="R293" s="6">
        <f t="shared" si="123"/>
        <v>1.2481744711724009E-4</v>
      </c>
      <c r="S293" s="2"/>
      <c r="T293" s="7"/>
      <c r="U293" s="2"/>
      <c r="V293" s="6">
        <f t="shared" si="124"/>
        <v>0</v>
      </c>
      <c r="W293" s="2"/>
      <c r="X293" s="7">
        <f t="shared" si="125"/>
        <v>3501.11</v>
      </c>
      <c r="Y293" s="2"/>
      <c r="Z293" s="6">
        <f t="shared" si="126"/>
        <v>0</v>
      </c>
    </row>
    <row r="294" spans="1:26" s="24" customFormat="1" hidden="1" outlineLevel="2" x14ac:dyDescent="0.25">
      <c r="A294" s="26"/>
      <c r="B294" s="11" t="str">
        <f>CONCATENATE("          ", "6237", " - ", "JANITORIAL SUPPLIES")</f>
        <v xml:space="preserve">          6237 - JANITORIAL SUPPLIES</v>
      </c>
      <c r="C294" s="11"/>
      <c r="D294" s="7">
        <v>1123.01</v>
      </c>
      <c r="E294" s="2"/>
      <c r="F294" s="6">
        <f t="shared" si="119"/>
        <v>2.2185435160373586E-3</v>
      </c>
      <c r="G294" s="2"/>
      <c r="H294" s="7">
        <v>13961</v>
      </c>
      <c r="I294" s="2"/>
      <c r="J294" s="6">
        <f t="shared" si="120"/>
        <v>4.8707024932329278E-3</v>
      </c>
      <c r="K294" s="2"/>
      <c r="L294" s="7">
        <f t="shared" si="121"/>
        <v>-12837.99</v>
      </c>
      <c r="M294" s="2"/>
      <c r="N294" s="6">
        <f t="shared" si="122"/>
        <v>-0.91956091970489218</v>
      </c>
      <c r="O294" s="11"/>
      <c r="P294" s="7">
        <v>132411.94</v>
      </c>
      <c r="Q294" s="2"/>
      <c r="R294" s="6">
        <f t="shared" si="123"/>
        <v>4.7205944168110013E-3</v>
      </c>
      <c r="S294" s="2"/>
      <c r="T294" s="7">
        <v>155341</v>
      </c>
      <c r="U294" s="2"/>
      <c r="V294" s="6">
        <f t="shared" si="124"/>
        <v>4.3012418735780432E-3</v>
      </c>
      <c r="W294" s="2"/>
      <c r="X294" s="7">
        <f t="shared" si="125"/>
        <v>-22929.059999999998</v>
      </c>
      <c r="Y294" s="2"/>
      <c r="Z294" s="6">
        <f t="shared" si="126"/>
        <v>-0.14760468903895299</v>
      </c>
    </row>
    <row r="295" spans="1:26" s="24" customFormat="1" hidden="1" outlineLevel="2" x14ac:dyDescent="0.25">
      <c r="A295" s="26"/>
      <c r="B295" s="11" t="str">
        <f>CONCATENATE("          ", "6239", " - ", "KITCHEN SUPPLIES")</f>
        <v xml:space="preserve">          6239 - KITCHEN SUPPLIES</v>
      </c>
      <c r="C295" s="11"/>
      <c r="D295" s="7">
        <v>50</v>
      </c>
      <c r="E295" s="2"/>
      <c r="F295" s="6">
        <f t="shared" si="119"/>
        <v>9.8776658980657291E-5</v>
      </c>
      <c r="G295" s="2"/>
      <c r="H295" s="7">
        <v>4250</v>
      </c>
      <c r="I295" s="2"/>
      <c r="J295" s="6">
        <f t="shared" si="120"/>
        <v>1.4827365945304736E-3</v>
      </c>
      <c r="K295" s="2"/>
      <c r="L295" s="7">
        <f t="shared" si="121"/>
        <v>-4200</v>
      </c>
      <c r="M295" s="2"/>
      <c r="N295" s="6">
        <f t="shared" si="122"/>
        <v>-0.9882352941176471</v>
      </c>
      <c r="O295" s="11"/>
      <c r="P295" s="7">
        <v>72815.33</v>
      </c>
      <c r="Q295" s="2"/>
      <c r="R295" s="6">
        <f t="shared" si="123"/>
        <v>2.5959263209666033E-3</v>
      </c>
      <c r="S295" s="2"/>
      <c r="T295" s="7">
        <v>78404.150000000009</v>
      </c>
      <c r="U295" s="2"/>
      <c r="V295" s="6">
        <f t="shared" si="124"/>
        <v>2.170934994896994E-3</v>
      </c>
      <c r="W295" s="2"/>
      <c r="X295" s="7">
        <f t="shared" si="125"/>
        <v>-5588.820000000007</v>
      </c>
      <c r="Y295" s="2"/>
      <c r="Z295" s="6">
        <f t="shared" si="126"/>
        <v>-7.1282196159259514E-2</v>
      </c>
    </row>
    <row r="296" spans="1:26" s="24" customFormat="1" hidden="1" outlineLevel="2" x14ac:dyDescent="0.25">
      <c r="A296" s="26"/>
      <c r="B296" s="11" t="str">
        <f>CONCATENATE("          ", "6241", " - ", "OFFICE EXPENSE")</f>
        <v xml:space="preserve">          6241 - OFFICE EXPENSE</v>
      </c>
      <c r="C296" s="11"/>
      <c r="D296" s="7">
        <v>1542.51</v>
      </c>
      <c r="E296" s="2"/>
      <c r="F296" s="6">
        <f t="shared" si="119"/>
        <v>3.0472796848850735E-3</v>
      </c>
      <c r="G296" s="2"/>
      <c r="H296" s="7">
        <v>3499</v>
      </c>
      <c r="I296" s="2"/>
      <c r="J296" s="6">
        <f t="shared" si="120"/>
        <v>1.2207283162969712E-3</v>
      </c>
      <c r="K296" s="2"/>
      <c r="L296" s="7">
        <f t="shared" si="121"/>
        <v>-1956.49</v>
      </c>
      <c r="M296" s="2"/>
      <c r="N296" s="6">
        <f t="shared" si="122"/>
        <v>-0.55915690197199197</v>
      </c>
      <c r="O296" s="11"/>
      <c r="P296" s="7">
        <v>98605.6</v>
      </c>
      <c r="Q296" s="2"/>
      <c r="R296" s="6">
        <f t="shared" si="123"/>
        <v>3.5153706291615313E-3</v>
      </c>
      <c r="S296" s="2"/>
      <c r="T296" s="7">
        <v>45548.82</v>
      </c>
      <c r="U296" s="2"/>
      <c r="V296" s="6">
        <f t="shared" si="124"/>
        <v>1.261202720956277E-3</v>
      </c>
      <c r="W296" s="2"/>
      <c r="X296" s="7">
        <f t="shared" si="125"/>
        <v>53056.780000000006</v>
      </c>
      <c r="Y296" s="2"/>
      <c r="Z296" s="6">
        <f t="shared" si="126"/>
        <v>1.1648332492477305</v>
      </c>
    </row>
    <row r="297" spans="1:26" s="24" customFormat="1" hidden="1" outlineLevel="2" x14ac:dyDescent="0.25">
      <c r="A297" s="26"/>
      <c r="B297" s="11" t="str">
        <f>CONCATENATE("          ", "6243", " - ", "PAPER SUPPLIES")</f>
        <v xml:space="preserve">          6243 - PAPER SUPPLIES</v>
      </c>
      <c r="C297" s="11"/>
      <c r="D297" s="7">
        <v>1312.96</v>
      </c>
      <c r="E297" s="2"/>
      <c r="F297" s="6">
        <f t="shared" si="119"/>
        <v>2.5937960435048757E-3</v>
      </c>
      <c r="G297" s="2"/>
      <c r="H297" s="7">
        <v>10859</v>
      </c>
      <c r="I297" s="2"/>
      <c r="J297" s="6">
        <f t="shared" si="120"/>
        <v>3.7884792188250384E-3</v>
      </c>
      <c r="K297" s="2"/>
      <c r="L297" s="7">
        <f t="shared" si="121"/>
        <v>-9546.0400000000009</v>
      </c>
      <c r="M297" s="2"/>
      <c r="N297" s="6">
        <f t="shared" si="122"/>
        <v>-0.87909015563127368</v>
      </c>
      <c r="O297" s="11"/>
      <c r="P297" s="7">
        <v>112012.53</v>
      </c>
      <c r="Q297" s="2"/>
      <c r="R297" s="6">
        <f t="shared" si="123"/>
        <v>3.9933386953689733E-3</v>
      </c>
      <c r="S297" s="2"/>
      <c r="T297" s="7">
        <v>120679.52</v>
      </c>
      <c r="U297" s="2"/>
      <c r="V297" s="6">
        <f t="shared" si="124"/>
        <v>3.3414990550292511E-3</v>
      </c>
      <c r="W297" s="2"/>
      <c r="X297" s="7">
        <f t="shared" si="125"/>
        <v>-8666.9900000000052</v>
      </c>
      <c r="Y297" s="2"/>
      <c r="Z297" s="6">
        <f t="shared" si="126"/>
        <v>-7.1818233947234827E-2</v>
      </c>
    </row>
    <row r="298" spans="1:26" s="24" customFormat="1" hidden="1" outlineLevel="2" x14ac:dyDescent="0.25">
      <c r="A298" s="26"/>
      <c r="B298" s="11" t="str">
        <f>CONCATENATE("          ", "6244", " - ", "SAFETY SUPPLY EXPENSE")</f>
        <v xml:space="preserve">          6244 - SAFETY SUPPLY EXPENSE</v>
      </c>
      <c r="C298" s="11"/>
      <c r="D298" s="7"/>
      <c r="E298" s="2"/>
      <c r="F298" s="6">
        <f t="shared" si="119"/>
        <v>0</v>
      </c>
      <c r="G298" s="2"/>
      <c r="H298" s="7">
        <v>235</v>
      </c>
      <c r="I298" s="2"/>
      <c r="J298" s="6">
        <f t="shared" si="120"/>
        <v>8.1986611697567365E-5</v>
      </c>
      <c r="K298" s="2"/>
      <c r="L298" s="7">
        <f t="shared" si="121"/>
        <v>-235</v>
      </c>
      <c r="M298" s="2"/>
      <c r="N298" s="6">
        <f t="shared" si="122"/>
        <v>-1</v>
      </c>
      <c r="O298" s="11"/>
      <c r="P298" s="7"/>
      <c r="Q298" s="2"/>
      <c r="R298" s="6">
        <f t="shared" si="123"/>
        <v>0</v>
      </c>
      <c r="S298" s="2"/>
      <c r="T298" s="7">
        <v>2615</v>
      </c>
      <c r="U298" s="2"/>
      <c r="V298" s="6">
        <f t="shared" si="124"/>
        <v>7.240681790001727E-5</v>
      </c>
      <c r="W298" s="2"/>
      <c r="X298" s="7">
        <f t="shared" si="125"/>
        <v>-2615</v>
      </c>
      <c r="Y298" s="2"/>
      <c r="Z298" s="6">
        <f t="shared" si="126"/>
        <v>-1</v>
      </c>
    </row>
    <row r="299" spans="1:26" s="24" customFormat="1" hidden="1" outlineLevel="2" x14ac:dyDescent="0.25">
      <c r="A299" s="26"/>
      <c r="B299" s="11" t="str">
        <f>CONCATENATE("          ", "6245", " - ", "PRINTING")</f>
        <v xml:space="preserve">          6245 - PRINTING</v>
      </c>
      <c r="C299" s="11"/>
      <c r="D299" s="7">
        <v>66.150000000000006</v>
      </c>
      <c r="E299" s="2"/>
      <c r="F299" s="6">
        <f t="shared" si="119"/>
        <v>1.3068151983140961E-4</v>
      </c>
      <c r="G299" s="2"/>
      <c r="H299" s="7">
        <v>710</v>
      </c>
      <c r="I299" s="2"/>
      <c r="J299" s="6">
        <f t="shared" si="120"/>
        <v>2.4770423108626738E-4</v>
      </c>
      <c r="K299" s="2"/>
      <c r="L299" s="7">
        <f t="shared" si="121"/>
        <v>-643.85</v>
      </c>
      <c r="M299" s="2"/>
      <c r="N299" s="6">
        <f t="shared" si="122"/>
        <v>-0.90683098591549294</v>
      </c>
      <c r="O299" s="11"/>
      <c r="P299" s="7">
        <v>12795.58</v>
      </c>
      <c r="Q299" s="2"/>
      <c r="R299" s="6">
        <f t="shared" si="123"/>
        <v>4.5617293657851789E-4</v>
      </c>
      <c r="S299" s="2"/>
      <c r="T299" s="7">
        <v>7136.82</v>
      </c>
      <c r="U299" s="2"/>
      <c r="V299" s="6">
        <f t="shared" si="124"/>
        <v>1.9761163522952246E-4</v>
      </c>
      <c r="W299" s="2"/>
      <c r="X299" s="7">
        <f t="shared" si="125"/>
        <v>5658.76</v>
      </c>
      <c r="Y299" s="2"/>
      <c r="Z299" s="6">
        <f t="shared" si="126"/>
        <v>0.79289655616927435</v>
      </c>
    </row>
    <row r="300" spans="1:26" s="24" customFormat="1" hidden="1" outlineLevel="2" x14ac:dyDescent="0.25">
      <c r="A300" s="26"/>
      <c r="B300" s="11" t="str">
        <f>CONCATENATE("          ", "6246", " - ", "REPLACEMENTS")</f>
        <v xml:space="preserve">          6246 - REPLACEMENTS</v>
      </c>
      <c r="C300" s="11"/>
      <c r="D300" s="7"/>
      <c r="E300" s="2"/>
      <c r="F300" s="6">
        <f t="shared" si="119"/>
        <v>0</v>
      </c>
      <c r="G300" s="2"/>
      <c r="H300" s="7"/>
      <c r="I300" s="2"/>
      <c r="J300" s="6">
        <f t="shared" si="120"/>
        <v>0</v>
      </c>
      <c r="K300" s="2"/>
      <c r="L300" s="7">
        <f t="shared" si="121"/>
        <v>0</v>
      </c>
      <c r="M300" s="2"/>
      <c r="N300" s="6">
        <f t="shared" si="122"/>
        <v>0</v>
      </c>
      <c r="O300" s="11"/>
      <c r="P300" s="7">
        <v>25.87</v>
      </c>
      <c r="Q300" s="2"/>
      <c r="R300" s="6">
        <f t="shared" si="123"/>
        <v>9.2228674818072003E-7</v>
      </c>
      <c r="S300" s="2"/>
      <c r="T300" s="7">
        <v>3400</v>
      </c>
      <c r="U300" s="2"/>
      <c r="V300" s="6">
        <f t="shared" si="124"/>
        <v>9.4142707785873308E-5</v>
      </c>
      <c r="W300" s="2"/>
      <c r="X300" s="7">
        <f t="shared" si="125"/>
        <v>-3374.13</v>
      </c>
      <c r="Y300" s="2"/>
      <c r="Z300" s="6">
        <f t="shared" si="126"/>
        <v>-0.99239117647058828</v>
      </c>
    </row>
    <row r="301" spans="1:26" s="24" customFormat="1" hidden="1" outlineLevel="2" x14ac:dyDescent="0.25">
      <c r="A301" s="26"/>
      <c r="B301" s="11" t="str">
        <f>CONCATENATE("          ", "6247", " - ", "STORE SUPPLIES")</f>
        <v xml:space="preserve">          6247 - STORE SUPPLIES</v>
      </c>
      <c r="C301" s="11"/>
      <c r="D301" s="7">
        <v>1523.47</v>
      </c>
      <c r="E301" s="2"/>
      <c r="F301" s="6">
        <f t="shared" si="119"/>
        <v>3.0096655331452392E-3</v>
      </c>
      <c r="G301" s="2"/>
      <c r="H301" s="7">
        <v>15110</v>
      </c>
      <c r="I301" s="2"/>
      <c r="J301" s="6">
        <f t="shared" si="120"/>
        <v>5.2715646925542252E-3</v>
      </c>
      <c r="K301" s="2"/>
      <c r="L301" s="7">
        <f t="shared" si="121"/>
        <v>-13586.53</v>
      </c>
      <c r="M301" s="2"/>
      <c r="N301" s="6">
        <f t="shared" si="122"/>
        <v>-0.89917471872931842</v>
      </c>
      <c r="O301" s="11"/>
      <c r="P301" s="7">
        <v>75354.349999999991</v>
      </c>
      <c r="Q301" s="2"/>
      <c r="R301" s="6">
        <f t="shared" si="123"/>
        <v>2.6864444693765685E-3</v>
      </c>
      <c r="S301" s="2"/>
      <c r="T301" s="7">
        <v>185950.55</v>
      </c>
      <c r="U301" s="2"/>
      <c r="V301" s="6">
        <f t="shared" si="124"/>
        <v>5.1487906739036537E-3</v>
      </c>
      <c r="W301" s="2"/>
      <c r="X301" s="7">
        <f t="shared" si="125"/>
        <v>-110596.2</v>
      </c>
      <c r="Y301" s="2"/>
      <c r="Z301" s="6">
        <f t="shared" si="126"/>
        <v>-0.59476134918665202</v>
      </c>
    </row>
    <row r="302" spans="1:26" s="24" customFormat="1" hidden="1" outlineLevel="2" x14ac:dyDescent="0.25">
      <c r="A302" s="26"/>
      <c r="B302" s="11" t="str">
        <f>CONCATENATE("          ", "6248", " - ", "UNIFORMS")</f>
        <v xml:space="preserve">          6248 - UNIFORMS</v>
      </c>
      <c r="C302" s="11"/>
      <c r="D302" s="7">
        <v>41.07</v>
      </c>
      <c r="E302" s="2"/>
      <c r="F302" s="6">
        <f t="shared" si="119"/>
        <v>8.1135147686711901E-5</v>
      </c>
      <c r="G302" s="2"/>
      <c r="H302" s="7">
        <v>1625</v>
      </c>
      <c r="I302" s="2"/>
      <c r="J302" s="6">
        <f t="shared" si="120"/>
        <v>5.669286979087105E-4</v>
      </c>
      <c r="K302" s="2"/>
      <c r="L302" s="7">
        <f t="shared" si="121"/>
        <v>-1583.93</v>
      </c>
      <c r="M302" s="2"/>
      <c r="N302" s="6">
        <f t="shared" si="122"/>
        <v>-0.97472615384615391</v>
      </c>
      <c r="O302" s="11"/>
      <c r="P302" s="7">
        <v>4835.18</v>
      </c>
      <c r="Q302" s="2"/>
      <c r="R302" s="6">
        <f t="shared" si="123"/>
        <v>1.7237813834822011E-4</v>
      </c>
      <c r="S302" s="2"/>
      <c r="T302" s="7">
        <v>38275</v>
      </c>
      <c r="U302" s="2"/>
      <c r="V302" s="6">
        <f t="shared" si="124"/>
        <v>1.0597976883836178E-3</v>
      </c>
      <c r="W302" s="2"/>
      <c r="X302" s="7">
        <f t="shared" si="125"/>
        <v>-33439.82</v>
      </c>
      <c r="Y302" s="2"/>
      <c r="Z302" s="6">
        <f t="shared" si="126"/>
        <v>-0.8736726322664925</v>
      </c>
    </row>
    <row r="303" spans="1:26" s="27" customFormat="1" outlineLevel="1" collapsed="1" x14ac:dyDescent="0.25">
      <c r="A303" s="25"/>
      <c r="B303" s="12" t="str">
        <f>CONCATENATE("     ","Telephone/Data Lines                              ")</f>
        <v xml:space="preserve">     Telephone/Data Lines                              </v>
      </c>
      <c r="C303" s="12"/>
      <c r="D303" s="1">
        <f>SUM(OSRRefD22_23x_0)</f>
        <v>5686.23</v>
      </c>
      <c r="E303" s="1"/>
      <c r="F303" s="5">
        <f t="shared" ref="F303:F305" si="127">IF(D$12=0,0,D303/D$12)</f>
        <v>1.1233336031911657E-2</v>
      </c>
      <c r="G303" s="1"/>
      <c r="H303" s="1">
        <f>SUM(OSRRefH22_23x_0)</f>
        <v>6214</v>
      </c>
      <c r="I303" s="1"/>
      <c r="J303" s="5">
        <f t="shared" ref="J303:J305" si="128">IF(H$12=0,0,H303/H$12)</f>
        <v>2.1679353408029091E-3</v>
      </c>
      <c r="K303" s="1"/>
      <c r="L303" s="1">
        <f t="shared" ref="L303:L305" si="129">+D303-H303</f>
        <v>-527.77000000000044</v>
      </c>
      <c r="M303" s="1"/>
      <c r="N303" s="5">
        <f t="shared" ref="N303:N305" si="130">IF(H303=0,0,L303/H303)</f>
        <v>-8.4932410685548826E-2</v>
      </c>
      <c r="O303" s="12"/>
      <c r="P303" s="1">
        <f>SUM(OSRRefP22_23x_0)</f>
        <v>64761.859999999993</v>
      </c>
      <c r="Q303" s="1"/>
      <c r="R303" s="5">
        <f t="shared" ref="R303:R305" si="131">IF(P$12=0,0,P303/P$12)</f>
        <v>2.3088135007937782E-3</v>
      </c>
      <c r="S303" s="1"/>
      <c r="T303" s="1">
        <f>SUM(OSRRefT22_23x_0)</f>
        <v>72465</v>
      </c>
      <c r="U303" s="1"/>
      <c r="V303" s="5">
        <f t="shared" ref="V303:V305" si="132">IF(T$12=0,0,T303/T$12)</f>
        <v>2.006485682265679E-3</v>
      </c>
      <c r="W303" s="1"/>
      <c r="X303" s="1">
        <f t="shared" ref="X303:X305" si="133">+P303-T303</f>
        <v>-7703.1400000000067</v>
      </c>
      <c r="Y303" s="1"/>
      <c r="Z303" s="5">
        <f t="shared" ref="Z303:Z305" si="134">IF(T303=0,0,X303/T303)</f>
        <v>-0.10630152487407724</v>
      </c>
    </row>
    <row r="304" spans="1:26" s="24" customFormat="1" hidden="1" outlineLevel="2" x14ac:dyDescent="0.25">
      <c r="A304" s="26"/>
      <c r="B304" s="11" t="str">
        <f>CONCATENATE("          ", "6303", " - ", "DATA PHONE LINES")</f>
        <v xml:space="preserve">          6303 - DATA PHONE LINES</v>
      </c>
      <c r="C304" s="11"/>
      <c r="D304" s="7">
        <v>590</v>
      </c>
      <c r="E304" s="2"/>
      <c r="F304" s="6">
        <f t="shared" si="127"/>
        <v>1.165564575971756E-3</v>
      </c>
      <c r="G304" s="2"/>
      <c r="H304" s="7">
        <v>1926</v>
      </c>
      <c r="I304" s="2"/>
      <c r="J304" s="6">
        <f t="shared" si="128"/>
        <v>6.719413367213393E-4</v>
      </c>
      <c r="K304" s="2"/>
      <c r="L304" s="7">
        <f t="shared" si="129"/>
        <v>-1336</v>
      </c>
      <c r="M304" s="2"/>
      <c r="N304" s="6">
        <f t="shared" si="130"/>
        <v>-0.6936656282450675</v>
      </c>
      <c r="O304" s="11"/>
      <c r="P304" s="7">
        <v>2950</v>
      </c>
      <c r="Q304" s="2"/>
      <c r="R304" s="6">
        <f t="shared" si="131"/>
        <v>1.0516992296610453E-4</v>
      </c>
      <c r="S304" s="2"/>
      <c r="T304" s="7">
        <v>21717</v>
      </c>
      <c r="U304" s="2"/>
      <c r="V304" s="6">
        <f t="shared" si="132"/>
        <v>6.0132270146641485E-4</v>
      </c>
      <c r="W304" s="2"/>
      <c r="X304" s="7">
        <f t="shared" si="133"/>
        <v>-18767</v>
      </c>
      <c r="Y304" s="2"/>
      <c r="Z304" s="6">
        <f t="shared" si="134"/>
        <v>-0.86416171662752683</v>
      </c>
    </row>
    <row r="305" spans="1:26" s="24" customFormat="1" hidden="1" outlineLevel="2" x14ac:dyDescent="0.25">
      <c r="A305" s="26"/>
      <c r="B305" s="11" t="str">
        <f>CONCATENATE("          ", "6309", " - ", "TELEPHONE")</f>
        <v xml:space="preserve">          6309 - TELEPHONE</v>
      </c>
      <c r="C305" s="11"/>
      <c r="D305" s="7">
        <v>5096.2299999999996</v>
      </c>
      <c r="E305" s="2"/>
      <c r="F305" s="6">
        <f t="shared" si="127"/>
        <v>1.00677714559399E-2</v>
      </c>
      <c r="G305" s="2"/>
      <c r="H305" s="7">
        <v>4288</v>
      </c>
      <c r="I305" s="2"/>
      <c r="J305" s="6">
        <f t="shared" si="128"/>
        <v>1.4959940040815696E-3</v>
      </c>
      <c r="K305" s="2"/>
      <c r="L305" s="7">
        <f t="shared" si="129"/>
        <v>808.22999999999956</v>
      </c>
      <c r="M305" s="2"/>
      <c r="N305" s="6">
        <f t="shared" si="130"/>
        <v>0.18848647388059692</v>
      </c>
      <c r="O305" s="11"/>
      <c r="P305" s="7">
        <v>61811.859999999993</v>
      </c>
      <c r="Q305" s="2"/>
      <c r="R305" s="6">
        <f t="shared" si="131"/>
        <v>2.2036435778276737E-3</v>
      </c>
      <c r="S305" s="2"/>
      <c r="T305" s="7">
        <v>50748</v>
      </c>
      <c r="U305" s="2"/>
      <c r="V305" s="6">
        <f t="shared" si="132"/>
        <v>1.4051629807992642E-3</v>
      </c>
      <c r="W305" s="2"/>
      <c r="X305" s="7">
        <f t="shared" si="133"/>
        <v>11063.859999999993</v>
      </c>
      <c r="Y305" s="2"/>
      <c r="Z305" s="6">
        <f t="shared" si="134"/>
        <v>0.21801568534720567</v>
      </c>
    </row>
    <row r="306" spans="1:26" s="27" customFormat="1" outlineLevel="1" collapsed="1" x14ac:dyDescent="0.25">
      <c r="A306" s="25"/>
      <c r="B306" s="12" t="str">
        <f>CONCATENATE("     ","Training                                          ")</f>
        <v xml:space="preserve">     Training                                          </v>
      </c>
      <c r="C306" s="12"/>
      <c r="D306" s="1">
        <f>SUM(OSRRefD22_24x_0)</f>
        <v>2140.13</v>
      </c>
      <c r="E306" s="1"/>
      <c r="F306" s="5">
        <f t="shared" ref="F306:F311" si="135">IF(D$12=0,0,D306/D$12)</f>
        <v>4.2278978236854814E-3</v>
      </c>
      <c r="G306" s="1"/>
      <c r="H306" s="1">
        <f>SUM(OSRRefH22_24x_0)</f>
        <v>4054</v>
      </c>
      <c r="I306" s="1"/>
      <c r="J306" s="5">
        <f t="shared" ref="J306:J311" si="136">IF(H$12=0,0,H306/H$12)</f>
        <v>1.4143562715827152E-3</v>
      </c>
      <c r="K306" s="1"/>
      <c r="L306" s="1">
        <f t="shared" ref="L306:L311" si="137">+D306-H306</f>
        <v>-1913.87</v>
      </c>
      <c r="M306" s="1"/>
      <c r="N306" s="5">
        <f t="shared" ref="N306:N311" si="138">IF(H306=0,0,L306/H306)</f>
        <v>-0.47209422792303896</v>
      </c>
      <c r="O306" s="12"/>
      <c r="P306" s="1">
        <f>SUM(OSRRefP22_24x_0)</f>
        <v>37550.239999999998</v>
      </c>
      <c r="Q306" s="1"/>
      <c r="R306" s="5">
        <f t="shared" ref="R306:R311" si="139">IF(P$12=0,0,P306/P$12)</f>
        <v>1.3386968976809278E-3</v>
      </c>
      <c r="S306" s="1"/>
      <c r="T306" s="1">
        <f>SUM(OSRRefT22_24x_0)</f>
        <v>74381</v>
      </c>
      <c r="U306" s="1"/>
      <c r="V306" s="5">
        <f t="shared" ref="V306:V311" si="140">IF(T$12=0,0,T306/T$12)</f>
        <v>2.0595378670061888E-3</v>
      </c>
      <c r="W306" s="1"/>
      <c r="X306" s="1">
        <f t="shared" ref="X306:X311" si="141">+P306-T306</f>
        <v>-36830.76</v>
      </c>
      <c r="Y306" s="1"/>
      <c r="Z306" s="5">
        <f t="shared" ref="Z306:Z311" si="142">IF(T306=0,0,X306/T306)</f>
        <v>-0.49516354983127414</v>
      </c>
    </row>
    <row r="307" spans="1:26" s="24" customFormat="1" hidden="1" outlineLevel="2" x14ac:dyDescent="0.25">
      <c r="A307" s="26"/>
      <c r="B307" s="11" t="str">
        <f>CONCATENATE("          ", "6376", " - ", "TRAINING")</f>
        <v xml:space="preserve">          6376 - TRAINING</v>
      </c>
      <c r="C307" s="11"/>
      <c r="D307" s="7">
        <v>2140.13</v>
      </c>
      <c r="E307" s="2"/>
      <c r="F307" s="6">
        <f t="shared" si="135"/>
        <v>4.2278978236854814E-3</v>
      </c>
      <c r="G307" s="2"/>
      <c r="H307" s="7">
        <v>4054</v>
      </c>
      <c r="I307" s="2"/>
      <c r="J307" s="6">
        <f t="shared" si="136"/>
        <v>1.4143562715827152E-3</v>
      </c>
      <c r="K307" s="2"/>
      <c r="L307" s="7">
        <f t="shared" si="137"/>
        <v>-1913.87</v>
      </c>
      <c r="M307" s="2"/>
      <c r="N307" s="6">
        <f t="shared" si="138"/>
        <v>-0.47209422792303896</v>
      </c>
      <c r="O307" s="11"/>
      <c r="P307" s="7">
        <v>37550.239999999998</v>
      </c>
      <c r="Q307" s="2"/>
      <c r="R307" s="6">
        <f t="shared" si="139"/>
        <v>1.3386968976809278E-3</v>
      </c>
      <c r="S307" s="2"/>
      <c r="T307" s="7">
        <v>74381</v>
      </c>
      <c r="U307" s="2"/>
      <c r="V307" s="6">
        <f t="shared" si="140"/>
        <v>2.0595378670061888E-3</v>
      </c>
      <c r="W307" s="2"/>
      <c r="X307" s="7">
        <f t="shared" si="141"/>
        <v>-36830.76</v>
      </c>
      <c r="Y307" s="2"/>
      <c r="Z307" s="6">
        <f t="shared" si="142"/>
        <v>-0.49516354983127414</v>
      </c>
    </row>
    <row r="308" spans="1:26" s="27" customFormat="1" outlineLevel="1" collapsed="1" x14ac:dyDescent="0.25">
      <c r="A308" s="25"/>
      <c r="B308" s="12" t="str">
        <f>CONCATENATE("     ","Travel                                            ")</f>
        <v xml:space="preserve">     Travel                                            </v>
      </c>
      <c r="C308" s="12"/>
      <c r="D308" s="1">
        <f>SUM(OSRRefD22_25x_0)</f>
        <v>0</v>
      </c>
      <c r="E308" s="1"/>
      <c r="F308" s="5">
        <f t="shared" si="135"/>
        <v>0</v>
      </c>
      <c r="G308" s="1"/>
      <c r="H308" s="1">
        <f>SUM(OSRRefH22_25x_0)</f>
        <v>510</v>
      </c>
      <c r="I308" s="1"/>
      <c r="J308" s="5">
        <f t="shared" si="136"/>
        <v>1.7792839134365683E-4</v>
      </c>
      <c r="K308" s="1"/>
      <c r="L308" s="1">
        <f t="shared" si="137"/>
        <v>-510</v>
      </c>
      <c r="M308" s="1"/>
      <c r="N308" s="5">
        <f t="shared" si="138"/>
        <v>-1</v>
      </c>
      <c r="O308" s="12"/>
      <c r="P308" s="1">
        <f>SUM(OSRRefP22_25x_0)</f>
        <v>9441.3100000000013</v>
      </c>
      <c r="Q308" s="1"/>
      <c r="R308" s="5">
        <f t="shared" si="139"/>
        <v>3.3659045606749573E-4</v>
      </c>
      <c r="S308" s="1"/>
      <c r="T308" s="1">
        <f>SUM(OSRRefT22_25x_0)</f>
        <v>21665</v>
      </c>
      <c r="U308" s="1"/>
      <c r="V308" s="5">
        <f t="shared" si="140"/>
        <v>5.9988287181792508E-4</v>
      </c>
      <c r="W308" s="1"/>
      <c r="X308" s="1">
        <f t="shared" si="141"/>
        <v>-12223.689999999999</v>
      </c>
      <c r="Y308" s="1"/>
      <c r="Z308" s="5">
        <f t="shared" si="142"/>
        <v>-0.56421370874682664</v>
      </c>
    </row>
    <row r="309" spans="1:26" s="24" customFormat="1" hidden="1" outlineLevel="2" x14ac:dyDescent="0.25">
      <c r="A309" s="26"/>
      <c r="B309" s="11" t="str">
        <f>CONCATENATE("          ", "6292", " - ", "TRAVEL/CONFERENCE")</f>
        <v xml:space="preserve">          6292 - TRAVEL/CONFERENCE</v>
      </c>
      <c r="C309" s="11"/>
      <c r="D309" s="7"/>
      <c r="E309" s="2"/>
      <c r="F309" s="6">
        <f t="shared" si="135"/>
        <v>0</v>
      </c>
      <c r="G309" s="2"/>
      <c r="H309" s="7">
        <v>300</v>
      </c>
      <c r="I309" s="2"/>
      <c r="J309" s="6">
        <f t="shared" si="136"/>
        <v>1.0466375961391578E-4</v>
      </c>
      <c r="K309" s="2"/>
      <c r="L309" s="7">
        <f t="shared" si="137"/>
        <v>-300</v>
      </c>
      <c r="M309" s="2"/>
      <c r="N309" s="6">
        <f t="shared" si="138"/>
        <v>-1</v>
      </c>
      <c r="O309" s="11"/>
      <c r="P309" s="7">
        <v>7216.54</v>
      </c>
      <c r="Q309" s="2"/>
      <c r="R309" s="6">
        <f t="shared" si="139"/>
        <v>2.57275578265021E-4</v>
      </c>
      <c r="S309" s="2"/>
      <c r="T309" s="7">
        <v>18700</v>
      </c>
      <c r="U309" s="2"/>
      <c r="V309" s="6">
        <f t="shared" si="140"/>
        <v>5.1778489282230315E-4</v>
      </c>
      <c r="W309" s="2"/>
      <c r="X309" s="7">
        <f t="shared" si="141"/>
        <v>-11483.46</v>
      </c>
      <c r="Y309" s="2"/>
      <c r="Z309" s="6">
        <f t="shared" si="142"/>
        <v>-0.61408877005347584</v>
      </c>
    </row>
    <row r="310" spans="1:26" s="24" customFormat="1" hidden="1" outlineLevel="2" x14ac:dyDescent="0.25">
      <c r="A310" s="26"/>
      <c r="B310" s="11" t="str">
        <f>CONCATENATE("          ", "6294", " - ", "TRAVEL OPERATIONAL")</f>
        <v xml:space="preserve">          6294 - TRAVEL OPERATIONAL</v>
      </c>
      <c r="C310" s="11"/>
      <c r="D310" s="7"/>
      <c r="E310" s="2"/>
      <c r="F310" s="6">
        <f t="shared" si="135"/>
        <v>0</v>
      </c>
      <c r="G310" s="2"/>
      <c r="H310" s="7">
        <v>100</v>
      </c>
      <c r="I310" s="2"/>
      <c r="J310" s="6">
        <f t="shared" si="136"/>
        <v>3.488791987130526E-5</v>
      </c>
      <c r="K310" s="2"/>
      <c r="L310" s="7">
        <f t="shared" si="137"/>
        <v>-100</v>
      </c>
      <c r="M310" s="2"/>
      <c r="N310" s="6">
        <f t="shared" si="138"/>
        <v>-1</v>
      </c>
      <c r="O310" s="11"/>
      <c r="P310" s="7">
        <v>418.6</v>
      </c>
      <c r="Q310" s="2"/>
      <c r="R310" s="6">
        <f t="shared" si="139"/>
        <v>1.4923433814783512E-5</v>
      </c>
      <c r="S310" s="2"/>
      <c r="T310" s="7">
        <v>1205</v>
      </c>
      <c r="U310" s="2"/>
      <c r="V310" s="6">
        <f t="shared" si="140"/>
        <v>3.3365283200581567E-5</v>
      </c>
      <c r="W310" s="2"/>
      <c r="X310" s="7">
        <f t="shared" si="141"/>
        <v>-786.4</v>
      </c>
      <c r="Y310" s="2"/>
      <c r="Z310" s="6">
        <f t="shared" si="142"/>
        <v>-0.65261410788381746</v>
      </c>
    </row>
    <row r="311" spans="1:26" s="24" customFormat="1" hidden="1" outlineLevel="2" x14ac:dyDescent="0.25">
      <c r="A311" s="26"/>
      <c r="B311" s="11" t="str">
        <f>CONCATENATE("          ", "6298", " - ", "VEHICLE MILEAGE")</f>
        <v xml:space="preserve">          6298 - VEHICLE MILEAGE</v>
      </c>
      <c r="C311" s="11"/>
      <c r="D311" s="7"/>
      <c r="E311" s="2"/>
      <c r="F311" s="6">
        <f t="shared" si="135"/>
        <v>0</v>
      </c>
      <c r="G311" s="2"/>
      <c r="H311" s="7">
        <v>110</v>
      </c>
      <c r="I311" s="2"/>
      <c r="J311" s="6">
        <f t="shared" si="136"/>
        <v>3.8376711858435784E-5</v>
      </c>
      <c r="K311" s="2"/>
      <c r="L311" s="7">
        <f t="shared" si="137"/>
        <v>-110</v>
      </c>
      <c r="M311" s="2"/>
      <c r="N311" s="6">
        <f t="shared" si="138"/>
        <v>-1</v>
      </c>
      <c r="O311" s="11"/>
      <c r="P311" s="7">
        <v>1806.17</v>
      </c>
      <c r="Q311" s="2"/>
      <c r="R311" s="6">
        <f t="shared" si="139"/>
        <v>6.439144398769119E-5</v>
      </c>
      <c r="S311" s="2"/>
      <c r="T311" s="7">
        <v>1760</v>
      </c>
      <c r="U311" s="2"/>
      <c r="V311" s="6">
        <f t="shared" si="140"/>
        <v>4.8732695795040298E-5</v>
      </c>
      <c r="W311" s="2"/>
      <c r="X311" s="7">
        <f t="shared" si="141"/>
        <v>46.170000000000073</v>
      </c>
      <c r="Y311" s="2"/>
      <c r="Z311" s="6">
        <f t="shared" si="142"/>
        <v>2.6232954545454587E-2</v>
      </c>
    </row>
    <row r="312" spans="1:26" s="27" customFormat="1" outlineLevel="1" collapsed="1" x14ac:dyDescent="0.25">
      <c r="A312" s="25"/>
      <c r="B312" s="12" t="str">
        <f>CONCATENATE("     ","Utilities                                         ")</f>
        <v xml:space="preserve">     Utilities                                         </v>
      </c>
      <c r="C312" s="12"/>
      <c r="D312" s="1">
        <f>SUM(OSRRefD22_26x_0)</f>
        <v>22851.43</v>
      </c>
      <c r="E312" s="1"/>
      <c r="F312" s="5">
        <f t="shared" ref="F312:F313" si="143">IF(D$12=0,0,D312/D$12)</f>
        <v>4.5143758166607227E-2</v>
      </c>
      <c r="G312" s="1"/>
      <c r="H312" s="1">
        <f>SUM(OSRRefH22_26x_0)</f>
        <v>23673</v>
      </c>
      <c r="I312" s="1"/>
      <c r="J312" s="5">
        <f t="shared" ref="J312:J313" si="144">IF(H$12=0,0,H312/H$12)</f>
        <v>8.2590172711340948E-3</v>
      </c>
      <c r="K312" s="1"/>
      <c r="L312" s="1">
        <f t="shared" ref="L312:L313" si="145">+D312-H312</f>
        <v>-821.56999999999971</v>
      </c>
      <c r="M312" s="1"/>
      <c r="N312" s="5">
        <f t="shared" ref="N312:N313" si="146">IF(H312=0,0,L312/H312)</f>
        <v>-3.4704938115152274E-2</v>
      </c>
      <c r="O312" s="12"/>
      <c r="P312" s="1">
        <f>SUM(OSRRefP22_26x_0)</f>
        <v>251770.52000000002</v>
      </c>
      <c r="Q312" s="1"/>
      <c r="R312" s="5">
        <f t="shared" ref="R312:R313" si="147">IF(P$12=0,0,P312/P$12)</f>
        <v>8.9758258283173156E-3</v>
      </c>
      <c r="S312" s="1"/>
      <c r="T312" s="1">
        <f>SUM(OSRRefT22_26x_0)</f>
        <v>283421</v>
      </c>
      <c r="U312" s="1"/>
      <c r="V312" s="5">
        <f t="shared" ref="V312:V313" si="148">IF(T$12=0,0,T312/T$12)</f>
        <v>7.8476530539352933E-3</v>
      </c>
      <c r="W312" s="1"/>
      <c r="X312" s="1">
        <f t="shared" ref="X312:X313" si="149">+P312-T312</f>
        <v>-31650.479999999981</v>
      </c>
      <c r="Y312" s="1"/>
      <c r="Z312" s="5">
        <f t="shared" ref="Z312:Z313" si="150">IF(T312=0,0,X312/T312)</f>
        <v>-0.11167302352330978</v>
      </c>
    </row>
    <row r="313" spans="1:26" s="24" customFormat="1" hidden="1" outlineLevel="2" x14ac:dyDescent="0.25">
      <c r="A313" s="26"/>
      <c r="B313" s="11" t="str">
        <f>CONCATENATE("          ", "6274", " - ", "UTILITIES")</f>
        <v xml:space="preserve">          6274 - UTILITIES</v>
      </c>
      <c r="C313" s="11"/>
      <c r="D313" s="7">
        <v>22851.43</v>
      </c>
      <c r="E313" s="2"/>
      <c r="F313" s="6">
        <f t="shared" si="143"/>
        <v>4.5143758166607227E-2</v>
      </c>
      <c r="G313" s="2"/>
      <c r="H313" s="7">
        <v>23673</v>
      </c>
      <c r="I313" s="2"/>
      <c r="J313" s="6">
        <f t="shared" si="144"/>
        <v>8.2590172711340948E-3</v>
      </c>
      <c r="K313" s="2"/>
      <c r="L313" s="7">
        <f t="shared" si="145"/>
        <v>-821.56999999999971</v>
      </c>
      <c r="M313" s="2"/>
      <c r="N313" s="6">
        <f t="shared" si="146"/>
        <v>-3.4704938115152274E-2</v>
      </c>
      <c r="O313" s="11"/>
      <c r="P313" s="7">
        <v>251770.52000000002</v>
      </c>
      <c r="Q313" s="2"/>
      <c r="R313" s="6">
        <f t="shared" si="147"/>
        <v>8.9758258283173156E-3</v>
      </c>
      <c r="S313" s="2"/>
      <c r="T313" s="7">
        <v>283421</v>
      </c>
      <c r="U313" s="2"/>
      <c r="V313" s="6">
        <f t="shared" si="148"/>
        <v>7.8476530539352933E-3</v>
      </c>
      <c r="W313" s="2"/>
      <c r="X313" s="7">
        <f t="shared" si="149"/>
        <v>-31650.479999999981</v>
      </c>
      <c r="Y313" s="2"/>
      <c r="Z313" s="6">
        <f t="shared" si="150"/>
        <v>-0.11167302352330978</v>
      </c>
    </row>
    <row r="314" spans="1:26" s="62" customFormat="1" x14ac:dyDescent="0.25">
      <c r="A314" s="36"/>
      <c r="B314" s="36"/>
      <c r="C314" s="36"/>
      <c r="D314" s="1"/>
      <c r="E314" s="1"/>
      <c r="F314" s="5"/>
      <c r="G314" s="1"/>
      <c r="H314" s="1"/>
      <c r="I314" s="1"/>
      <c r="J314" s="5"/>
      <c r="K314" s="1"/>
      <c r="L314" s="1"/>
      <c r="M314" s="1"/>
      <c r="N314" s="5"/>
      <c r="O314" s="36"/>
      <c r="P314" s="1"/>
      <c r="Q314" s="1"/>
      <c r="R314" s="5"/>
      <c r="S314" s="1"/>
      <c r="T314" s="1"/>
      <c r="U314" s="1"/>
      <c r="V314" s="5"/>
      <c r="W314" s="1"/>
      <c r="X314" s="1"/>
      <c r="Y314" s="1"/>
      <c r="Z314" s="5"/>
    </row>
    <row r="315" spans="1:26" s="23" customFormat="1" collapsed="1" x14ac:dyDescent="0.25">
      <c r="A315" s="10"/>
      <c r="B315" s="28" t="s">
        <v>0</v>
      </c>
      <c r="C315" s="10"/>
      <c r="D315" s="4">
        <f>SUM(OSRRefD25x_0)</f>
        <v>114560.20999999999</v>
      </c>
      <c r="E315" s="4"/>
      <c r="F315" s="13">
        <f t="shared" ref="F315:F328" si="151">IF(D$12=0,0,D315/D$12)</f>
        <v>0.22631749591844968</v>
      </c>
      <c r="G315" s="4"/>
      <c r="H315" s="4">
        <f>SUM(OSRRefH25x_0)</f>
        <v>130378</v>
      </c>
      <c r="I315" s="4"/>
      <c r="J315" s="13">
        <f t="shared" ref="J315:J328" si="152">IF(H$12=0,0,H315/H$12)</f>
        <v>4.5486172169810372E-2</v>
      </c>
      <c r="K315" s="4"/>
      <c r="L315" s="4">
        <f t="shared" ref="L315:L328" si="153">+D315-H315</f>
        <v>-15817.790000000008</v>
      </c>
      <c r="M315" s="4"/>
      <c r="N315" s="13">
        <f t="shared" ref="N315:N328" si="154">IF(H315=0,0,L315/H315)</f>
        <v>-0.12132253907867899</v>
      </c>
      <c r="O315" s="10"/>
      <c r="P315" s="4">
        <f>SUM(OSRRefP25x_0)</f>
        <v>1890337.32</v>
      </c>
      <c r="Q315" s="4"/>
      <c r="R315" s="13">
        <f t="shared" ref="R315:R328" si="155">IF(P$12=0,0,P315/P$12)</f>
        <v>6.7392078076051687E-2</v>
      </c>
      <c r="S315" s="4"/>
      <c r="T315" s="4">
        <f>SUM(OSRRefT25x_0)</f>
        <v>1585476</v>
      </c>
      <c r="U315" s="4"/>
      <c r="V315" s="13">
        <f t="shared" ref="V315:V328" si="156">IF(T$12=0,0,T315/T$12)</f>
        <v>4.3900295226328018E-2</v>
      </c>
      <c r="W315" s="4"/>
      <c r="X315" s="4">
        <f t="shared" ref="X315:X328" si="157">+P315-T315</f>
        <v>304861.32000000007</v>
      </c>
      <c r="Y315" s="4"/>
      <c r="Z315" s="13">
        <f t="shared" ref="Z315:Z328" si="158">IF(T315=0,0,X315/T315)</f>
        <v>0.19228378102222932</v>
      </c>
    </row>
    <row r="316" spans="1:26" s="24" customFormat="1" hidden="1" outlineLevel="1" x14ac:dyDescent="0.25">
      <c r="A316" s="44"/>
      <c r="B316" s="11" t="str">
        <f>CONCATENATE("          ", "4098", " - ", "TAXABLE SALES-GRAD RENTALS")</f>
        <v xml:space="preserve">          4098 - TAXABLE SALES-GRAD RENTALS</v>
      </c>
      <c r="C316" s="11"/>
      <c r="D316" s="2">
        <f>-152</f>
        <v>-152</v>
      </c>
      <c r="E316" s="2"/>
      <c r="F316" s="19">
        <f t="shared" si="151"/>
        <v>-3.0028104330119814E-4</v>
      </c>
      <c r="G316" s="2"/>
      <c r="H316" s="2"/>
      <c r="I316" s="2"/>
      <c r="J316" s="19">
        <f t="shared" si="152"/>
        <v>0</v>
      </c>
      <c r="K316" s="2"/>
      <c r="L316" s="2">
        <f t="shared" si="153"/>
        <v>-152</v>
      </c>
      <c r="M316" s="2"/>
      <c r="N316" s="19">
        <f t="shared" si="154"/>
        <v>0</v>
      </c>
      <c r="O316" s="11"/>
      <c r="P316" s="2">
        <f>--1946.85</f>
        <v>1946.85</v>
      </c>
      <c r="Q316" s="2"/>
      <c r="R316" s="19">
        <f t="shared" si="155"/>
        <v>6.9406801534427324E-5</v>
      </c>
      <c r="S316" s="2"/>
      <c r="T316" s="2"/>
      <c r="U316" s="2"/>
      <c r="V316" s="19">
        <f t="shared" si="156"/>
        <v>0</v>
      </c>
      <c r="W316" s="2"/>
      <c r="X316" s="2">
        <f t="shared" si="157"/>
        <v>1946.85</v>
      </c>
      <c r="Y316" s="2"/>
      <c r="Z316" s="19">
        <f t="shared" si="158"/>
        <v>0</v>
      </c>
    </row>
    <row r="317" spans="1:26" s="24" customFormat="1" hidden="1" outlineLevel="1" x14ac:dyDescent="0.25">
      <c r="A317" s="44"/>
      <c r="B317" s="11" t="str">
        <f>CONCATENATE("          ", "4187", " - ", "NON-TAXABLE SALES-COMPUTER REP")</f>
        <v xml:space="preserve">          4187 - NON-TAXABLE SALES-COMPUTER REP</v>
      </c>
      <c r="C317" s="11"/>
      <c r="D317" s="2">
        <f>--99.99</f>
        <v>99.99</v>
      </c>
      <c r="E317" s="2"/>
      <c r="F317" s="19">
        <f t="shared" si="151"/>
        <v>1.9753356262951842E-4</v>
      </c>
      <c r="G317" s="2"/>
      <c r="H317" s="2"/>
      <c r="I317" s="2"/>
      <c r="J317" s="19">
        <f t="shared" si="152"/>
        <v>0</v>
      </c>
      <c r="K317" s="2"/>
      <c r="L317" s="2">
        <f t="shared" si="153"/>
        <v>99.99</v>
      </c>
      <c r="M317" s="2"/>
      <c r="N317" s="19">
        <f t="shared" si="154"/>
        <v>0</v>
      </c>
      <c r="O317" s="11"/>
      <c r="P317" s="2">
        <f>--16283.19</f>
        <v>16283.19</v>
      </c>
      <c r="Q317" s="2"/>
      <c r="R317" s="19">
        <f t="shared" si="155"/>
        <v>5.8050909760760797E-4</v>
      </c>
      <c r="S317" s="2"/>
      <c r="T317" s="2"/>
      <c r="U317" s="2"/>
      <c r="V317" s="19">
        <f t="shared" si="156"/>
        <v>0</v>
      </c>
      <c r="W317" s="2"/>
      <c r="X317" s="2">
        <f t="shared" si="157"/>
        <v>16283.19</v>
      </c>
      <c r="Y317" s="2"/>
      <c r="Z317" s="19">
        <f t="shared" si="158"/>
        <v>0</v>
      </c>
    </row>
    <row r="318" spans="1:26" s="24" customFormat="1" hidden="1" outlineLevel="1" x14ac:dyDescent="0.25">
      <c r="A318" s="44"/>
      <c r="B318" s="11" t="str">
        <f>CONCATENATE("          ", "4197", " - ", "NON-TAXABLE SALES-RETURNED CHE")</f>
        <v xml:space="preserve">          4197 - NON-TAXABLE SALES-RETURNED CHE</v>
      </c>
      <c r="C318" s="11"/>
      <c r="D318" s="2">
        <f>0</f>
        <v>0</v>
      </c>
      <c r="E318" s="2"/>
      <c r="F318" s="19">
        <f t="shared" si="151"/>
        <v>0</v>
      </c>
      <c r="G318" s="2"/>
      <c r="H318" s="2"/>
      <c r="I318" s="2"/>
      <c r="J318" s="19">
        <f t="shared" si="152"/>
        <v>0</v>
      </c>
      <c r="K318" s="2"/>
      <c r="L318" s="2">
        <f t="shared" si="153"/>
        <v>0</v>
      </c>
      <c r="M318" s="2"/>
      <c r="N318" s="19">
        <f t="shared" si="154"/>
        <v>0</v>
      </c>
      <c r="O318" s="11"/>
      <c r="P318" s="2">
        <f>--30</f>
        <v>30</v>
      </c>
      <c r="Q318" s="2"/>
      <c r="R318" s="19">
        <f t="shared" si="155"/>
        <v>1.0695246403332663E-6</v>
      </c>
      <c r="S318" s="2"/>
      <c r="T318" s="2"/>
      <c r="U318" s="2"/>
      <c r="V318" s="19">
        <f t="shared" si="156"/>
        <v>0</v>
      </c>
      <c r="W318" s="2"/>
      <c r="X318" s="2">
        <f t="shared" si="157"/>
        <v>30</v>
      </c>
      <c r="Y318" s="2"/>
      <c r="Z318" s="19">
        <f t="shared" si="158"/>
        <v>0</v>
      </c>
    </row>
    <row r="319" spans="1:26" s="24" customFormat="1" hidden="1" outlineLevel="1" x14ac:dyDescent="0.25">
      <c r="A319" s="44"/>
      <c r="B319" s="11" t="str">
        <f>CONCATENATE("          ", "4198", " - ", "NON-TAXABLE SALES-GRAD RENTALS")</f>
        <v xml:space="preserve">          4198 - NON-TAXABLE SALES-GRAD RENTALS</v>
      </c>
      <c r="C319" s="11"/>
      <c r="D319" s="2">
        <f>-3469.7</f>
        <v>-3469.7</v>
      </c>
      <c r="E319" s="2"/>
      <c r="F319" s="19">
        <f t="shared" si="151"/>
        <v>-6.8545074733037314E-3</v>
      </c>
      <c r="G319" s="2"/>
      <c r="H319" s="2"/>
      <c r="I319" s="2"/>
      <c r="J319" s="19">
        <f t="shared" si="152"/>
        <v>0</v>
      </c>
      <c r="K319" s="2"/>
      <c r="L319" s="2">
        <f t="shared" si="153"/>
        <v>-3469.7</v>
      </c>
      <c r="M319" s="2"/>
      <c r="N319" s="19">
        <f t="shared" si="154"/>
        <v>0</v>
      </c>
      <c r="O319" s="11"/>
      <c r="P319" s="2">
        <f>--163.76</f>
        <v>163.76</v>
      </c>
      <c r="Q319" s="2"/>
      <c r="R319" s="19">
        <f t="shared" si="155"/>
        <v>5.8381785033658563E-6</v>
      </c>
      <c r="S319" s="2"/>
      <c r="T319" s="2"/>
      <c r="U319" s="2"/>
      <c r="V319" s="19">
        <f t="shared" si="156"/>
        <v>0</v>
      </c>
      <c r="W319" s="2"/>
      <c r="X319" s="2">
        <f t="shared" si="157"/>
        <v>163.76</v>
      </c>
      <c r="Y319" s="2"/>
      <c r="Z319" s="19">
        <f t="shared" si="158"/>
        <v>0</v>
      </c>
    </row>
    <row r="320" spans="1:26" s="24" customFormat="1" hidden="1" outlineLevel="1" x14ac:dyDescent="0.25">
      <c r="A320" s="44"/>
      <c r="B320" s="11" t="str">
        <f>CONCATENATE("          ", "4387", " - ", "SALES RETURN NON TAXABLE-COMPU")</f>
        <v xml:space="preserve">          4387 - SALES RETURN NON TAXABLE-COMPU</v>
      </c>
      <c r="C320" s="11"/>
      <c r="D320" s="2">
        <f>0</f>
        <v>0</v>
      </c>
      <c r="E320" s="2"/>
      <c r="F320" s="19">
        <f t="shared" si="151"/>
        <v>0</v>
      </c>
      <c r="G320" s="2"/>
      <c r="H320" s="2"/>
      <c r="I320" s="2"/>
      <c r="J320" s="19">
        <f t="shared" si="152"/>
        <v>0</v>
      </c>
      <c r="K320" s="2"/>
      <c r="L320" s="2">
        <f t="shared" si="153"/>
        <v>0</v>
      </c>
      <c r="M320" s="2"/>
      <c r="N320" s="19">
        <f t="shared" si="154"/>
        <v>0</v>
      </c>
      <c r="O320" s="11"/>
      <c r="P320" s="2">
        <f>-7889</f>
        <v>-7889</v>
      </c>
      <c r="Q320" s="2"/>
      <c r="R320" s="19">
        <f t="shared" si="155"/>
        <v>-2.8124932958630461E-4</v>
      </c>
      <c r="S320" s="2"/>
      <c r="T320" s="2"/>
      <c r="U320" s="2"/>
      <c r="V320" s="19">
        <f t="shared" si="156"/>
        <v>0</v>
      </c>
      <c r="W320" s="2"/>
      <c r="X320" s="2">
        <f t="shared" si="157"/>
        <v>-7889</v>
      </c>
      <c r="Y320" s="2"/>
      <c r="Z320" s="19">
        <f t="shared" si="158"/>
        <v>0</v>
      </c>
    </row>
    <row r="321" spans="1:26" s="24" customFormat="1" hidden="1" outlineLevel="1" x14ac:dyDescent="0.25">
      <c r="A321" s="44"/>
      <c r="B321" s="11" t="str">
        <f>CONCATENATE("          ", "5087", " - ", "PURCHASES @ COST-COMPUTER REPA")</f>
        <v xml:space="preserve">          5087 - PURCHASES @ COST-COMPUTER REPA</v>
      </c>
      <c r="C321" s="11"/>
      <c r="D321" s="2">
        <f>--32.7</f>
        <v>32.700000000000003</v>
      </c>
      <c r="E321" s="2"/>
      <c r="F321" s="19">
        <f t="shared" si="151"/>
        <v>6.4599934973349864E-5</v>
      </c>
      <c r="G321" s="2"/>
      <c r="H321" s="2"/>
      <c r="I321" s="2"/>
      <c r="J321" s="19">
        <f t="shared" si="152"/>
        <v>0</v>
      </c>
      <c r="K321" s="2"/>
      <c r="L321" s="2">
        <f t="shared" si="153"/>
        <v>32.700000000000003</v>
      </c>
      <c r="M321" s="2"/>
      <c r="N321" s="19">
        <f t="shared" si="154"/>
        <v>0</v>
      </c>
      <c r="O321" s="11"/>
      <c r="P321" s="2">
        <f>-72.06</f>
        <v>-72.06</v>
      </c>
      <c r="Q321" s="2"/>
      <c r="R321" s="19">
        <f t="shared" si="155"/>
        <v>-2.5689981860805057E-6</v>
      </c>
      <c r="S321" s="2"/>
      <c r="T321" s="2"/>
      <c r="U321" s="2"/>
      <c r="V321" s="19">
        <f t="shared" si="156"/>
        <v>0</v>
      </c>
      <c r="W321" s="2"/>
      <c r="X321" s="2">
        <f t="shared" si="157"/>
        <v>-72.06</v>
      </c>
      <c r="Y321" s="2"/>
      <c r="Z321" s="19">
        <f t="shared" si="158"/>
        <v>0</v>
      </c>
    </row>
    <row r="322" spans="1:26" s="24" customFormat="1" hidden="1" outlineLevel="1" x14ac:dyDescent="0.25">
      <c r="A322" s="44"/>
      <c r="B322" s="11" t="str">
        <f>CONCATENATE("          ", "9150", " - ", "MISC. INCOME")</f>
        <v xml:space="preserve">          9150 - MISC. INCOME</v>
      </c>
      <c r="C322" s="11"/>
      <c r="D322" s="2">
        <f>--47998.15</f>
        <v>47998.15</v>
      </c>
      <c r="E322" s="2"/>
      <c r="F322" s="19">
        <f t="shared" si="151"/>
        <v>9.482193788504871E-2</v>
      </c>
      <c r="G322" s="2"/>
      <c r="H322" s="2">
        <v>89029</v>
      </c>
      <c r="I322" s="2"/>
      <c r="J322" s="19">
        <f t="shared" si="152"/>
        <v>3.106036618222436E-2</v>
      </c>
      <c r="K322" s="2"/>
      <c r="L322" s="2">
        <f t="shared" si="153"/>
        <v>-41030.85</v>
      </c>
      <c r="M322" s="2"/>
      <c r="N322" s="19">
        <f t="shared" si="154"/>
        <v>-0.46087061519280231</v>
      </c>
      <c r="O322" s="11"/>
      <c r="P322" s="2">
        <f>--815733.81</f>
        <v>815733.81</v>
      </c>
      <c r="Q322" s="2"/>
      <c r="R322" s="19">
        <f t="shared" si="155"/>
        <v>2.9081580324931171E-2</v>
      </c>
      <c r="S322" s="2"/>
      <c r="T322" s="2">
        <v>771930</v>
      </c>
      <c r="U322" s="2"/>
      <c r="V322" s="19">
        <f t="shared" si="156"/>
        <v>2.1373994241514465E-2</v>
      </c>
      <c r="W322" s="2"/>
      <c r="X322" s="2">
        <f t="shared" si="157"/>
        <v>43803.810000000056</v>
      </c>
      <c r="Y322" s="2"/>
      <c r="Z322" s="19">
        <f t="shared" si="158"/>
        <v>5.6745831875947374E-2</v>
      </c>
    </row>
    <row r="323" spans="1:26" s="24" customFormat="1" hidden="1" outlineLevel="1" x14ac:dyDescent="0.25">
      <c r="A323" s="44"/>
      <c r="B323" s="11" t="str">
        <f>CONCATENATE("          ", "9151", " - ", "MISC. INCOME")</f>
        <v xml:space="preserve">          9151 - MISC. INCOME</v>
      </c>
      <c r="C323" s="11"/>
      <c r="D323" s="2">
        <f>0</f>
        <v>0</v>
      </c>
      <c r="E323" s="2"/>
      <c r="F323" s="19">
        <f t="shared" si="151"/>
        <v>0</v>
      </c>
      <c r="G323" s="2"/>
      <c r="H323" s="2">
        <v>21249</v>
      </c>
      <c r="I323" s="2"/>
      <c r="J323" s="19">
        <f t="shared" si="152"/>
        <v>7.4133340934536551E-3</v>
      </c>
      <c r="K323" s="2"/>
      <c r="L323" s="2">
        <f t="shared" si="153"/>
        <v>-21249</v>
      </c>
      <c r="M323" s="2"/>
      <c r="N323" s="19">
        <f t="shared" si="154"/>
        <v>-1</v>
      </c>
      <c r="O323" s="11"/>
      <c r="P323" s="2">
        <f>--169392.7</f>
        <v>169392.7</v>
      </c>
      <c r="Q323" s="2"/>
      <c r="R323" s="19">
        <f t="shared" si="155"/>
        <v>6.0389888847526968E-3</v>
      </c>
      <c r="S323" s="2"/>
      <c r="T323" s="2">
        <v>452996</v>
      </c>
      <c r="U323" s="2"/>
      <c r="V323" s="19">
        <f t="shared" si="156"/>
        <v>1.2543020604755725E-2</v>
      </c>
      <c r="W323" s="2"/>
      <c r="X323" s="2">
        <f t="shared" si="157"/>
        <v>-283603.3</v>
      </c>
      <c r="Y323" s="2"/>
      <c r="Z323" s="19">
        <f t="shared" si="158"/>
        <v>-0.62606137802541295</v>
      </c>
    </row>
    <row r="324" spans="1:26" s="24" customFormat="1" hidden="1" outlineLevel="1" x14ac:dyDescent="0.25">
      <c r="A324" s="44"/>
      <c r="B324" s="11" t="str">
        <f>CONCATENATE("          ", "9152", " - ", "MISC. INCOME")</f>
        <v xml:space="preserve">          9152 - MISC. INCOME</v>
      </c>
      <c r="C324" s="11"/>
      <c r="D324" s="2">
        <f>--5092.84</f>
        <v>5092.84</v>
      </c>
      <c r="E324" s="2"/>
      <c r="F324" s="19">
        <f t="shared" si="151"/>
        <v>1.0061074398461014E-2</v>
      </c>
      <c r="G324" s="2"/>
      <c r="H324" s="2"/>
      <c r="I324" s="2"/>
      <c r="J324" s="19">
        <f t="shared" si="152"/>
        <v>0</v>
      </c>
      <c r="K324" s="2"/>
      <c r="L324" s="2">
        <f t="shared" si="153"/>
        <v>5092.84</v>
      </c>
      <c r="M324" s="2"/>
      <c r="N324" s="19">
        <f t="shared" si="154"/>
        <v>0</v>
      </c>
      <c r="O324" s="11"/>
      <c r="P324" s="2">
        <f>--9874.89</f>
        <v>9874.89</v>
      </c>
      <c r="Q324" s="2"/>
      <c r="R324" s="19">
        <f t="shared" si="155"/>
        <v>3.5204793918601891E-4</v>
      </c>
      <c r="S324" s="2"/>
      <c r="T324" s="2"/>
      <c r="U324" s="2"/>
      <c r="V324" s="19">
        <f t="shared" si="156"/>
        <v>0</v>
      </c>
      <c r="W324" s="2"/>
      <c r="X324" s="2">
        <f t="shared" si="157"/>
        <v>9874.89</v>
      </c>
      <c r="Y324" s="2"/>
      <c r="Z324" s="19">
        <f t="shared" si="158"/>
        <v>0</v>
      </c>
    </row>
    <row r="325" spans="1:26" s="24" customFormat="1" hidden="1" outlineLevel="1" x14ac:dyDescent="0.25">
      <c r="A325" s="44"/>
      <c r="B325" s="11" t="str">
        <f>CONCATENATE("          ", "9153", " - ", "MISC. INCOME")</f>
        <v xml:space="preserve">          9153 - MISC. INCOME</v>
      </c>
      <c r="C325" s="11"/>
      <c r="D325" s="2">
        <f t="shared" ref="D325:D326" si="159">0</f>
        <v>0</v>
      </c>
      <c r="E325" s="2"/>
      <c r="F325" s="19">
        <f t="shared" si="151"/>
        <v>0</v>
      </c>
      <c r="G325" s="2"/>
      <c r="H325" s="2"/>
      <c r="I325" s="2"/>
      <c r="J325" s="19">
        <f t="shared" si="152"/>
        <v>0</v>
      </c>
      <c r="K325" s="2"/>
      <c r="L325" s="2">
        <f t="shared" si="153"/>
        <v>0</v>
      </c>
      <c r="M325" s="2"/>
      <c r="N325" s="19">
        <f t="shared" si="154"/>
        <v>0</v>
      </c>
      <c r="O325" s="11"/>
      <c r="P325" s="2">
        <f>--450</f>
        <v>450</v>
      </c>
      <c r="Q325" s="2"/>
      <c r="R325" s="19">
        <f t="shared" si="155"/>
        <v>1.6042869604998995E-5</v>
      </c>
      <c r="S325" s="2"/>
      <c r="T325" s="2"/>
      <c r="U325" s="2"/>
      <c r="V325" s="19">
        <f t="shared" si="156"/>
        <v>0</v>
      </c>
      <c r="W325" s="2"/>
      <c r="X325" s="2">
        <f t="shared" si="157"/>
        <v>450</v>
      </c>
      <c r="Y325" s="2"/>
      <c r="Z325" s="19">
        <f t="shared" si="158"/>
        <v>0</v>
      </c>
    </row>
    <row r="326" spans="1:26" s="24" customFormat="1" hidden="1" outlineLevel="1" x14ac:dyDescent="0.25">
      <c r="A326" s="44"/>
      <c r="B326" s="11" t="str">
        <f>CONCATENATE("          ", "9160", " - ", "MISC. INCOME")</f>
        <v xml:space="preserve">          9160 - MISC. INCOME</v>
      </c>
      <c r="C326" s="11"/>
      <c r="D326" s="2">
        <f t="shared" si="159"/>
        <v>0</v>
      </c>
      <c r="E326" s="2"/>
      <c r="F326" s="19">
        <f t="shared" si="151"/>
        <v>0</v>
      </c>
      <c r="G326" s="2"/>
      <c r="H326" s="2">
        <v>20100</v>
      </c>
      <c r="I326" s="2"/>
      <c r="J326" s="19">
        <f t="shared" si="152"/>
        <v>7.0124718941323577E-3</v>
      </c>
      <c r="K326" s="2"/>
      <c r="L326" s="2">
        <f t="shared" si="153"/>
        <v>-20100</v>
      </c>
      <c r="M326" s="2"/>
      <c r="N326" s="19">
        <f t="shared" si="154"/>
        <v>-1</v>
      </c>
      <c r="O326" s="11"/>
      <c r="P326" s="2">
        <f>--152564.32</f>
        <v>152564.32</v>
      </c>
      <c r="Q326" s="2"/>
      <c r="R326" s="19">
        <f t="shared" si="155"/>
        <v>5.4390433158563118E-3</v>
      </c>
      <c r="S326" s="2"/>
      <c r="T326" s="2">
        <v>360550</v>
      </c>
      <c r="U326" s="2"/>
      <c r="V326" s="19">
        <f t="shared" si="156"/>
        <v>9.9832803800578296E-3</v>
      </c>
      <c r="W326" s="2"/>
      <c r="X326" s="2">
        <f t="shared" si="157"/>
        <v>-207985.68</v>
      </c>
      <c r="Y326" s="2"/>
      <c r="Z326" s="19">
        <f t="shared" si="158"/>
        <v>-0.57685669116627369</v>
      </c>
    </row>
    <row r="327" spans="1:26" s="24" customFormat="1" hidden="1" outlineLevel="1" x14ac:dyDescent="0.25">
      <c r="A327" s="44"/>
      <c r="B327" s="11" t="str">
        <f>CONCATENATE("          ", "9163", " - ", "MISC. INCOME")</f>
        <v xml:space="preserve">          9163 - MISC. INCOME</v>
      </c>
      <c r="C327" s="11"/>
      <c r="D327" s="2">
        <f>--58333.34</f>
        <v>58333.34</v>
      </c>
      <c r="E327" s="2"/>
      <c r="F327" s="19">
        <f t="shared" si="151"/>
        <v>0.11523944864765469</v>
      </c>
      <c r="G327" s="2"/>
      <c r="H327" s="2"/>
      <c r="I327" s="2"/>
      <c r="J327" s="19">
        <f t="shared" si="152"/>
        <v>0</v>
      </c>
      <c r="K327" s="2"/>
      <c r="L327" s="2">
        <f t="shared" si="153"/>
        <v>58333.34</v>
      </c>
      <c r="M327" s="2"/>
      <c r="N327" s="19">
        <f t="shared" si="154"/>
        <v>0</v>
      </c>
      <c r="O327" s="11"/>
      <c r="P327" s="2">
        <f>--488733.84</f>
        <v>488733.84</v>
      </c>
      <c r="Q327" s="2"/>
      <c r="R327" s="19">
        <f t="shared" si="155"/>
        <v>1.7423762814823204E-2</v>
      </c>
      <c r="S327" s="2"/>
      <c r="T327" s="2"/>
      <c r="U327" s="2"/>
      <c r="V327" s="19">
        <f t="shared" si="156"/>
        <v>0</v>
      </c>
      <c r="W327" s="2"/>
      <c r="X327" s="2">
        <f t="shared" si="157"/>
        <v>488733.84</v>
      </c>
      <c r="Y327" s="2"/>
      <c r="Z327" s="19">
        <f t="shared" si="158"/>
        <v>0</v>
      </c>
    </row>
    <row r="328" spans="1:26" s="24" customFormat="1" hidden="1" outlineLevel="1" x14ac:dyDescent="0.25">
      <c r="A328" s="44"/>
      <c r="B328" s="11" t="str">
        <f>CONCATENATE("          ", "9165", " - ", "OTHER INCOME")</f>
        <v xml:space="preserve">          9165 - OTHER INCOME</v>
      </c>
      <c r="C328" s="11"/>
      <c r="D328" s="2">
        <f>--6624.89</f>
        <v>6624.89</v>
      </c>
      <c r="E328" s="2"/>
      <c r="F328" s="19">
        <f t="shared" si="151"/>
        <v>1.3087690006287334E-2</v>
      </c>
      <c r="G328" s="2"/>
      <c r="H328" s="2"/>
      <c r="I328" s="2"/>
      <c r="J328" s="19">
        <f t="shared" si="152"/>
        <v>0</v>
      </c>
      <c r="K328" s="2"/>
      <c r="L328" s="2">
        <f t="shared" si="153"/>
        <v>6624.89</v>
      </c>
      <c r="M328" s="2"/>
      <c r="N328" s="19">
        <f t="shared" si="154"/>
        <v>0</v>
      </c>
      <c r="O328" s="11"/>
      <c r="P328" s="2">
        <f>--243125.02</f>
        <v>243125.02</v>
      </c>
      <c r="Q328" s="2"/>
      <c r="R328" s="19">
        <f t="shared" si="155"/>
        <v>8.6676066523839398E-3</v>
      </c>
      <c r="S328" s="2"/>
      <c r="T328" s="2"/>
      <c r="U328" s="2"/>
      <c r="V328" s="19">
        <f t="shared" si="156"/>
        <v>0</v>
      </c>
      <c r="W328" s="2"/>
      <c r="X328" s="2">
        <f t="shared" si="157"/>
        <v>243125.02</v>
      </c>
      <c r="Y328" s="2"/>
      <c r="Z328" s="19">
        <f t="shared" si="158"/>
        <v>0</v>
      </c>
    </row>
    <row r="329" spans="1:26" x14ac:dyDescent="0.25">
      <c r="A329" s="9"/>
      <c r="B329" s="10"/>
      <c r="C329" s="10"/>
      <c r="D329" s="3"/>
      <c r="E329" s="3"/>
      <c r="F329" s="8"/>
      <c r="G329" s="3"/>
      <c r="H329" s="3"/>
      <c r="I329" s="3"/>
      <c r="J329" s="8"/>
      <c r="K329" s="3"/>
      <c r="L329" s="3"/>
      <c r="M329" s="3"/>
      <c r="N329" s="8"/>
      <c r="O329" s="10"/>
      <c r="P329" s="3"/>
      <c r="Q329" s="3"/>
      <c r="R329" s="8"/>
      <c r="S329" s="3"/>
      <c r="T329" s="3"/>
      <c r="U329" s="3"/>
      <c r="V329" s="8"/>
      <c r="W329" s="3"/>
      <c r="X329" s="3"/>
      <c r="Y329" s="3"/>
      <c r="Z329" s="8"/>
    </row>
    <row r="330" spans="1:26" s="23" customFormat="1" x14ac:dyDescent="0.25">
      <c r="A330" s="10"/>
      <c r="B330" s="29" t="s">
        <v>3</v>
      </c>
      <c r="C330" s="29"/>
      <c r="D330" s="20">
        <f>+D205-D207+D315</f>
        <v>-291552.91999999993</v>
      </c>
      <c r="E330" s="14"/>
      <c r="F330" s="22">
        <f>IF(D$12=0,0,D330/D$12)</f>
        <v>-0.57597246707309691</v>
      </c>
      <c r="G330" s="14"/>
      <c r="H330" s="20">
        <f>+H205-H207+H315</f>
        <v>398633.97833490954</v>
      </c>
      <c r="I330" s="14"/>
      <c r="J330" s="22">
        <f>IF(H$12=0,0,H330/H$12)</f>
        <v>0.13907510294127962</v>
      </c>
      <c r="K330" s="16"/>
      <c r="L330" s="20">
        <f>+D330-H330</f>
        <v>-690186.89833490946</v>
      </c>
      <c r="M330" s="16"/>
      <c r="N330" s="22">
        <f>IF(H330=0,0,L330/H330)</f>
        <v>-1.7313800023214625</v>
      </c>
      <c r="O330" s="28"/>
      <c r="P330" s="20">
        <f>+P205-P207+P315</f>
        <v>2449509.3900000062</v>
      </c>
      <c r="Q330" s="14"/>
      <c r="R330" s="22">
        <f>IF(P$12=0,0,P330/P$12)</f>
        <v>8.7327021644423838E-2</v>
      </c>
      <c r="S330" s="14"/>
      <c r="T330" s="20">
        <f>+T205-T207+T315</f>
        <v>5593326.8249534965</v>
      </c>
      <c r="U330" s="14"/>
      <c r="V330" s="22">
        <f>IF(T$12=0,0,T330/T$12)</f>
        <v>0.15487380377425988</v>
      </c>
      <c r="W330" s="16"/>
      <c r="X330" s="20">
        <f>+P330-T330</f>
        <v>-3143817.4349534903</v>
      </c>
      <c r="Y330" s="16"/>
      <c r="Z330" s="22">
        <f>IF(T330=0,0,X330/T330)</f>
        <v>-0.56206574965867984</v>
      </c>
    </row>
    <row r="331" spans="1:26" x14ac:dyDescent="0.25">
      <c r="A331" s="9"/>
      <c r="B331" s="10"/>
      <c r="C331" s="9"/>
      <c r="D331" s="3"/>
      <c r="E331" s="3"/>
      <c r="F331" s="8"/>
      <c r="G331" s="3"/>
      <c r="H331" s="3"/>
      <c r="I331" s="3"/>
      <c r="J331" s="8"/>
      <c r="K331" s="3"/>
      <c r="L331" s="3"/>
      <c r="M331" s="3"/>
      <c r="N331" s="8"/>
      <c r="P331" s="3"/>
      <c r="Q331" s="3"/>
      <c r="R331" s="8"/>
      <c r="S331" s="3"/>
      <c r="T331" s="3"/>
      <c r="U331" s="3"/>
      <c r="V331" s="8"/>
      <c r="W331" s="3"/>
      <c r="X331" s="3"/>
      <c r="Y331" s="3"/>
      <c r="Z331" s="8"/>
    </row>
    <row r="332" spans="1:26" s="23" customFormat="1" x14ac:dyDescent="0.25">
      <c r="A332" s="52"/>
      <c r="B332" s="10" t="s">
        <v>14</v>
      </c>
      <c r="C332" s="10"/>
      <c r="D332" s="4">
        <v>194155.12000000002</v>
      </c>
      <c r="E332" s="4"/>
      <c r="F332" s="13">
        <f>IF(D$12=0,0,D332/D$12)</f>
        <v>0.3835598815517719</v>
      </c>
      <c r="G332" s="4"/>
      <c r="H332" s="4">
        <v>298207</v>
      </c>
      <c r="I332" s="4"/>
      <c r="J332" s="13">
        <f>IF(H$12=0,0,H332/H$12)</f>
        <v>0.10403821921062328</v>
      </c>
      <c r="K332" s="4"/>
      <c r="L332" s="4">
        <f>+D332-H332</f>
        <v>-104051.87999999998</v>
      </c>
      <c r="M332" s="4"/>
      <c r="N332" s="13">
        <f>IF(H332=0,0,L332/H332)</f>
        <v>-0.34892500846727265</v>
      </c>
      <c r="O332" s="10"/>
      <c r="P332" s="4">
        <v>3321539.68</v>
      </c>
      <c r="Q332" s="4"/>
      <c r="R332" s="13">
        <f>IF(P$12=0,0,P332/P$12)</f>
        <v>0.11841561772015576</v>
      </c>
      <c r="S332" s="4"/>
      <c r="T332" s="4">
        <v>4183062</v>
      </c>
      <c r="U332" s="4"/>
      <c r="V332" s="13">
        <f>IF(T$12=0,0,T332/T$12)</f>
        <v>0.1158249363282914</v>
      </c>
      <c r="W332" s="4"/>
      <c r="X332" s="4">
        <f>+P332-T332</f>
        <v>-861522.31999999983</v>
      </c>
      <c r="Y332" s="4"/>
      <c r="Z332" s="13">
        <f>IF(T332=0,0,X332/T332)</f>
        <v>-0.20595494879110082</v>
      </c>
    </row>
    <row r="333" spans="1:26" x14ac:dyDescent="0.25">
      <c r="A333" s="9"/>
      <c r="B333" s="10"/>
      <c r="C333" s="10"/>
      <c r="D333" s="3"/>
      <c r="E333" s="3"/>
      <c r="F333" s="8"/>
      <c r="G333" s="3"/>
      <c r="H333" s="3"/>
      <c r="I333" s="3"/>
      <c r="J333" s="8"/>
      <c r="K333" s="3"/>
      <c r="L333" s="3"/>
      <c r="M333" s="3"/>
      <c r="N333" s="8"/>
      <c r="O333" s="10"/>
      <c r="P333" s="3"/>
      <c r="Q333" s="3"/>
      <c r="R333" s="8"/>
      <c r="S333" s="3"/>
      <c r="T333" s="3"/>
      <c r="U333" s="3"/>
      <c r="V333" s="8"/>
      <c r="W333" s="3"/>
      <c r="X333" s="3"/>
      <c r="Y333" s="3"/>
      <c r="Z333" s="8"/>
    </row>
    <row r="334" spans="1:26" s="23" customFormat="1" ht="15.75" thickBot="1" x14ac:dyDescent="0.3">
      <c r="A334" s="10"/>
      <c r="B334" s="29" t="s">
        <v>4</v>
      </c>
      <c r="C334" s="29"/>
      <c r="D334" s="35">
        <f>+D330-D332</f>
        <v>-485708.03999999992</v>
      </c>
      <c r="E334" s="14"/>
      <c r="F334" s="32">
        <f>IF(D$12=0,0,D334/D$12)</f>
        <v>-0.9595323486248688</v>
      </c>
      <c r="G334" s="14"/>
      <c r="H334" s="35">
        <f>+H330-H332</f>
        <v>100426.97833490954</v>
      </c>
      <c r="I334" s="14"/>
      <c r="J334" s="32">
        <f>IF(H$12=0,0,H334/H$12)</f>
        <v>3.5036883730656332E-2</v>
      </c>
      <c r="K334" s="16"/>
      <c r="L334" s="35">
        <f>D334-H334</f>
        <v>-586135.01833490946</v>
      </c>
      <c r="M334" s="16"/>
      <c r="N334" s="32">
        <f>IF(H334=0,0,L334/H334)</f>
        <v>-5.8364298921773132</v>
      </c>
      <c r="O334" s="28"/>
      <c r="P334" s="35">
        <f>+P330-P332</f>
        <v>-872030.28999999398</v>
      </c>
      <c r="Q334" s="14"/>
      <c r="R334" s="32">
        <f>IF(P$12=0,0,P334/P$12)</f>
        <v>-3.1088596075731917E-2</v>
      </c>
      <c r="S334" s="14"/>
      <c r="T334" s="35">
        <f>+T330-T332</f>
        <v>1410264.8249534965</v>
      </c>
      <c r="U334" s="14"/>
      <c r="V334" s="32">
        <f>IF(T$12=0,0,T334/T$12)</f>
        <v>3.9048867445968465E-2</v>
      </c>
      <c r="W334" s="16"/>
      <c r="X334" s="35">
        <f>P334-T334</f>
        <v>-2282295.1149534904</v>
      </c>
      <c r="Y334" s="16"/>
      <c r="Z334" s="32">
        <f>IF(T334=0,0,X334/T334)</f>
        <v>-1.6183450615587389</v>
      </c>
    </row>
    <row r="335" spans="1:26" ht="15.75" thickTop="1" x14ac:dyDescent="0.25">
      <c r="A335" s="9"/>
      <c r="B335" s="9"/>
      <c r="C335" s="9"/>
      <c r="D335" s="3"/>
      <c r="E335" s="3"/>
      <c r="F335" s="8"/>
      <c r="G335" s="3"/>
      <c r="H335" s="3"/>
      <c r="I335" s="3"/>
      <c r="J335" s="8"/>
      <c r="K335" s="3"/>
      <c r="L335" s="3"/>
      <c r="M335" s="3"/>
      <c r="N335" s="8"/>
      <c r="P335" s="3"/>
      <c r="Q335" s="3"/>
      <c r="R335" s="8"/>
      <c r="S335" s="3"/>
      <c r="T335" s="3"/>
      <c r="U335" s="3"/>
      <c r="V335" s="8"/>
      <c r="W335" s="3"/>
      <c r="X335" s="3"/>
      <c r="Y335" s="3"/>
      <c r="Z335" s="8"/>
    </row>
    <row r="336" spans="1:26" s="23" customFormat="1" x14ac:dyDescent="0.25">
      <c r="A336" s="52"/>
      <c r="B336" s="10" t="s">
        <v>2</v>
      </c>
      <c r="C336" s="10"/>
      <c r="D336" s="4">
        <f>--502115.75</f>
        <v>502115.75</v>
      </c>
      <c r="E336" s="4"/>
      <c r="F336" s="13">
        <f t="shared" ref="F336:F337" si="160">IF(D$12=0,0,D336/D$12)</f>
        <v>0.99194632413133932</v>
      </c>
      <c r="G336" s="4"/>
      <c r="H336" s="4">
        <f t="shared" ref="H336:H337" si="161">--25000</f>
        <v>25000</v>
      </c>
      <c r="I336" s="4"/>
      <c r="J336" s="13">
        <f t="shared" ref="J336:J337" si="162">IF(H$12=0,0,H336/H$12)</f>
        <v>8.7219799678263151E-3</v>
      </c>
      <c r="K336" s="4"/>
      <c r="L336" s="4">
        <f t="shared" ref="L336:L337" si="163">+D336-H336</f>
        <v>477115.75</v>
      </c>
      <c r="M336" s="4"/>
      <c r="N336" s="13">
        <f t="shared" ref="N336:N337" si="164">IF(H336=0,0,L336/H336)</f>
        <v>19.084630000000001</v>
      </c>
      <c r="O336" s="10"/>
      <c r="P336" s="4">
        <f>-359271.52</f>
        <v>-359271.52</v>
      </c>
      <c r="Q336" s="4"/>
      <c r="R336" s="13">
        <f t="shared" ref="R336:R337" si="165">IF(P$12=0,0,P336/P$12)</f>
        <v>-1.2808324773666198E-2</v>
      </c>
      <c r="S336" s="4"/>
      <c r="T336" s="4">
        <f>--275000</f>
        <v>275000</v>
      </c>
      <c r="U336" s="4"/>
      <c r="V336" s="13">
        <f t="shared" ref="V336:V337" si="166">IF(T$12=0,0,T336/T$12)</f>
        <v>7.6144837179750466E-3</v>
      </c>
      <c r="W336" s="4"/>
      <c r="X336" s="4">
        <f t="shared" ref="X336:X337" si="167">+P336-T336</f>
        <v>-634271.52</v>
      </c>
      <c r="Y336" s="4"/>
      <c r="Z336" s="13">
        <f t="shared" ref="Z336:Z337" si="168">IF(T336=0,0,X336/T336)</f>
        <v>-2.3064418909090909</v>
      </c>
    </row>
    <row r="337" spans="1:26" s="23" customFormat="1" x14ac:dyDescent="0.25">
      <c r="A337" s="52"/>
      <c r="B337" s="10" t="s">
        <v>1</v>
      </c>
      <c r="C337" s="10"/>
      <c r="D337" s="4">
        <f>--23915.4</f>
        <v>23915.4</v>
      </c>
      <c r="E337" s="4"/>
      <c r="F337" s="13">
        <f t="shared" si="160"/>
        <v>4.7245666203720227E-2</v>
      </c>
      <c r="G337" s="4"/>
      <c r="H337" s="4">
        <f t="shared" si="161"/>
        <v>25000</v>
      </c>
      <c r="I337" s="4"/>
      <c r="J337" s="13">
        <f t="shared" si="162"/>
        <v>8.7219799678263151E-3</v>
      </c>
      <c r="K337" s="4"/>
      <c r="L337" s="4">
        <f t="shared" si="163"/>
        <v>-1084.5999999999985</v>
      </c>
      <c r="M337" s="4"/>
      <c r="N337" s="13">
        <f t="shared" si="164"/>
        <v>-4.3383999999999943E-2</v>
      </c>
      <c r="O337" s="10"/>
      <c r="P337" s="4">
        <f>--267586.13</f>
        <v>267586.13</v>
      </c>
      <c r="Q337" s="4"/>
      <c r="R337" s="13">
        <f t="shared" si="165"/>
        <v>9.5396653148806885E-3</v>
      </c>
      <c r="S337" s="4"/>
      <c r="T337" s="4">
        <f>--260000</f>
        <v>260000</v>
      </c>
      <c r="U337" s="4"/>
      <c r="V337" s="13">
        <f t="shared" si="166"/>
        <v>7.1991482424491353E-3</v>
      </c>
      <c r="W337" s="4"/>
      <c r="X337" s="4">
        <f t="shared" si="167"/>
        <v>7586.1300000000047</v>
      </c>
      <c r="Y337" s="4"/>
      <c r="Z337" s="13">
        <f t="shared" si="168"/>
        <v>2.9177423076923094E-2</v>
      </c>
    </row>
    <row r="338" spans="1:26" x14ac:dyDescent="0.25">
      <c r="A338" s="9"/>
      <c r="B338" s="9"/>
      <c r="C338" s="9"/>
      <c r="D338" s="3"/>
      <c r="E338" s="3"/>
      <c r="F338" s="8"/>
      <c r="G338" s="3"/>
      <c r="H338" s="3"/>
      <c r="I338" s="3"/>
      <c r="J338" s="8"/>
      <c r="K338" s="3"/>
      <c r="L338" s="3"/>
      <c r="M338" s="3"/>
      <c r="N338" s="8"/>
      <c r="P338" s="3"/>
      <c r="Q338" s="3"/>
      <c r="R338" s="8"/>
      <c r="S338" s="3"/>
      <c r="T338" s="3"/>
      <c r="U338" s="3"/>
      <c r="V338" s="8"/>
      <c r="W338" s="3"/>
      <c r="X338" s="3"/>
      <c r="Y338" s="3"/>
      <c r="Z338" s="8"/>
    </row>
    <row r="339" spans="1:26" s="23" customFormat="1" ht="15.75" thickBot="1" x14ac:dyDescent="0.3">
      <c r="A339" s="10"/>
      <c r="B339" s="29" t="s">
        <v>5</v>
      </c>
      <c r="C339" s="29"/>
      <c r="D339" s="34">
        <f>SUM(D334:D338)</f>
        <v>40323.110000000081</v>
      </c>
      <c r="E339" s="14"/>
      <c r="F339" s="31">
        <f>IF(D$12=0,0,D339/D$12)</f>
        <v>7.9659641710190784E-2</v>
      </c>
      <c r="G339" s="14"/>
      <c r="H339" s="34">
        <f>SUM(H334:H338)</f>
        <v>150426.97833490954</v>
      </c>
      <c r="I339" s="14"/>
      <c r="J339" s="31">
        <f>IF(H$12=0,0,H339/H$12)</f>
        <v>5.2480843666308966E-2</v>
      </c>
      <c r="K339" s="16"/>
      <c r="L339" s="34">
        <f>+D339-H339</f>
        <v>-110103.86833490946</v>
      </c>
      <c r="M339" s="16"/>
      <c r="N339" s="31">
        <f>IF(H339=0,0,L339/H339)</f>
        <v>-0.73194229887257989</v>
      </c>
      <c r="O339" s="28"/>
      <c r="P339" s="34">
        <f>SUM(P334:P338)</f>
        <v>-963715.679999994</v>
      </c>
      <c r="Q339" s="14"/>
      <c r="R339" s="31">
        <f>IF(P$12=0,0,P339/P$12)</f>
        <v>-3.4357255534517427E-2</v>
      </c>
      <c r="S339" s="14"/>
      <c r="T339" s="34">
        <f>SUM(T334:T338)</f>
        <v>1945264.8249534965</v>
      </c>
      <c r="U339" s="14"/>
      <c r="V339" s="31">
        <f>IF(T$12=0,0,T339/T$12)</f>
        <v>5.386249940639265E-2</v>
      </c>
      <c r="W339" s="16"/>
      <c r="X339" s="34">
        <f>+P339-T339</f>
        <v>-2908980.5049534906</v>
      </c>
      <c r="Y339" s="16"/>
      <c r="Z339" s="31">
        <f>IF(T339=0,0,X339/T339)</f>
        <v>-1.4954161858260264</v>
      </c>
    </row>
    <row r="340" spans="1:26" ht="15.75" thickTop="1" x14ac:dyDescent="0.25">
      <c r="A340" s="9"/>
      <c r="C340" s="9"/>
      <c r="D340" s="18"/>
      <c r="E340" s="18"/>
      <c r="G340" s="18"/>
      <c r="H340" s="18"/>
      <c r="I340" s="18"/>
      <c r="J340" s="42"/>
      <c r="K340" s="18"/>
      <c r="L340" s="18"/>
      <c r="M340" s="18"/>
      <c r="P340" s="18"/>
      <c r="Q340" s="18"/>
      <c r="R340" s="42"/>
      <c r="S340" s="18"/>
      <c r="T340" s="18"/>
      <c r="U340" s="18"/>
      <c r="V340" s="42"/>
      <c r="W340" s="18"/>
      <c r="X340" s="18"/>
    </row>
    <row r="341" spans="1:26" x14ac:dyDescent="0.25">
      <c r="A341" s="9"/>
      <c r="B341" s="59">
        <v>43992.370907060184</v>
      </c>
      <c r="D341" s="18"/>
      <c r="E341" s="18"/>
      <c r="G341" s="18"/>
      <c r="H341" s="18"/>
      <c r="I341" s="18"/>
      <c r="J341" s="42"/>
      <c r="K341" s="18"/>
      <c r="L341" s="18"/>
      <c r="M341" s="18"/>
      <c r="P341" s="18"/>
      <c r="Q341" s="18"/>
      <c r="R341" s="42"/>
      <c r="S341" s="18"/>
      <c r="T341" s="18"/>
      <c r="U341" s="18"/>
      <c r="V341" s="42"/>
      <c r="W341" s="18"/>
      <c r="X341" s="18"/>
    </row>
    <row r="342" spans="1:26" x14ac:dyDescent="0.25">
      <c r="A342" s="9"/>
      <c r="B342" s="56" t="s">
        <v>314</v>
      </c>
      <c r="D342" s="18"/>
      <c r="E342" s="18"/>
      <c r="G342" s="18"/>
      <c r="H342" s="18"/>
      <c r="I342" s="18"/>
      <c r="J342" s="42"/>
      <c r="K342" s="18"/>
      <c r="L342" s="18"/>
      <c r="M342" s="18"/>
      <c r="P342" s="18"/>
      <c r="Q342" s="18"/>
      <c r="R342" s="42"/>
      <c r="S342" s="18"/>
      <c r="T342" s="18"/>
      <c r="U342" s="18"/>
      <c r="V342" s="42"/>
      <c r="W342" s="18"/>
      <c r="X342" s="18"/>
    </row>
    <row r="343" spans="1:26" x14ac:dyDescent="0.25">
      <c r="A343" s="9"/>
      <c r="B343" s="54"/>
      <c r="D343" s="18"/>
      <c r="E343" s="18"/>
      <c r="G343" s="18"/>
      <c r="H343" s="18"/>
      <c r="I343" s="18"/>
      <c r="J343" s="42"/>
      <c r="K343" s="18"/>
      <c r="L343" s="18"/>
      <c r="M343" s="18"/>
      <c r="P343" s="18"/>
      <c r="Q343" s="18"/>
      <c r="R343" s="42"/>
      <c r="S343" s="18"/>
      <c r="T343" s="18"/>
      <c r="U343" s="18"/>
      <c r="V343" s="42"/>
      <c r="W343" s="18"/>
      <c r="X343" s="18"/>
    </row>
    <row r="344" spans="1:26" x14ac:dyDescent="0.25">
      <c r="D344" s="18"/>
      <c r="E344" s="18"/>
      <c r="G344" s="18"/>
      <c r="H344" s="18"/>
      <c r="I344" s="18"/>
      <c r="J344" s="42"/>
      <c r="K344" s="18"/>
      <c r="L344" s="18"/>
      <c r="M344" s="18"/>
      <c r="P344" s="18"/>
      <c r="Q344" s="18"/>
      <c r="R344" s="42"/>
      <c r="S344" s="18"/>
      <c r="T344" s="18"/>
      <c r="U344" s="18"/>
      <c r="V344" s="42"/>
      <c r="W344" s="18"/>
      <c r="X344" s="18"/>
    </row>
  </sheetData>
  <pageMargins left="0.25" right="0.25" top="0.75" bottom="0.75" header="0.3" footer="0.3"/>
  <pageSetup scale="55" fitToWidth="2" orientation="landscape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63" t="s">
        <v>13</v>
      </c>
    </row>
    <row r="3" spans="1:26" x14ac:dyDescent="0.25">
      <c r="D3" s="63" t="s">
        <v>296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61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63" t="e">
        <f ca="1">CONCATENATE("Period ",RIGHT(_xll.OneStop.ReportPlayer.OSRFunctions.OSRGet("Period","PeriodId"),2),", ",_xll.OneStop.ReportPlayer.OSRFunctions.OSRGet("Period","Year"))</f>
        <v>#NAME?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61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5" t="e">
        <f ca="1">_xll.OneStop.ReportPlayer.OSRFunctions.OSRGet("Period","PeriodEnd")</f>
        <v>#NAME?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61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51"/>
      <c r="C6" s="51"/>
      <c r="D6" s="23" t="s">
        <v>301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57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5" t="s">
        <v>294</v>
      </c>
      <c r="E9" s="15"/>
      <c r="F9" s="38"/>
      <c r="G9" s="15"/>
      <c r="H9" s="15"/>
      <c r="I9" s="15"/>
      <c r="J9" s="46"/>
      <c r="K9" s="15"/>
      <c r="L9" s="15"/>
      <c r="M9" s="15"/>
      <c r="N9" s="38"/>
      <c r="P9" s="15" t="s">
        <v>295</v>
      </c>
      <c r="Q9" s="15"/>
      <c r="R9" s="38"/>
      <c r="S9" s="15"/>
      <c r="T9" s="15"/>
      <c r="U9" s="15"/>
      <c r="V9" s="46"/>
      <c r="W9" s="15"/>
      <c r="X9" s="15"/>
      <c r="Y9" s="15"/>
      <c r="Z9" s="38"/>
    </row>
    <row r="10" spans="1:26" x14ac:dyDescent="0.25">
      <c r="A10" s="10"/>
      <c r="B10" s="55"/>
      <c r="C10" s="10"/>
      <c r="D10" s="43" t="s">
        <v>10</v>
      </c>
      <c r="E10" s="33"/>
      <c r="F10" s="40" t="s">
        <v>15</v>
      </c>
      <c r="G10" s="33"/>
      <c r="H10" s="47" t="s">
        <v>11</v>
      </c>
      <c r="I10" s="33"/>
      <c r="J10" s="45" t="s">
        <v>16</v>
      </c>
      <c r="K10" s="10"/>
      <c r="L10" s="43" t="s">
        <v>12</v>
      </c>
      <c r="M10" s="10"/>
      <c r="N10" s="40" t="s">
        <v>17</v>
      </c>
      <c r="O10" s="10"/>
      <c r="P10" s="53" t="s">
        <v>10</v>
      </c>
      <c r="Q10" s="33"/>
      <c r="R10" s="40" t="s">
        <v>15</v>
      </c>
      <c r="S10" s="33"/>
      <c r="T10" s="47" t="s">
        <v>11</v>
      </c>
      <c r="U10" s="33"/>
      <c r="V10" s="45" t="s">
        <v>16</v>
      </c>
      <c r="W10" s="10"/>
      <c r="X10" s="43" t="s">
        <v>12</v>
      </c>
      <c r="Y10" s="10"/>
      <c r="Z10" s="40" t="s">
        <v>17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 t="e">
        <f ca="1">SUM(_xll.OneStop.ReportPlayer.OSRFunctions.OSRRef(D13))</f>
        <v>#NAME?</v>
      </c>
      <c r="E12" s="4"/>
      <c r="F12" s="13"/>
      <c r="G12" s="4"/>
      <c r="H12" s="4" t="e">
        <f ca="1">SUM(_xll.OneStop.ReportPlayer.OSRFunctions.OSRRef(H13))</f>
        <v>#NAME?</v>
      </c>
      <c r="I12" s="4"/>
      <c r="J12" s="13"/>
      <c r="K12" s="4"/>
      <c r="L12" s="4" t="e">
        <f t="shared" ref="L12:L13" ca="1" si="0">+D12-H12</f>
        <v>#NAME?</v>
      </c>
      <c r="M12" s="4"/>
      <c r="N12" s="13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3"/>
      <c r="S12" s="4"/>
      <c r="T12" s="4" t="e">
        <f ca="1">SUM(_xll.OneStop.ReportPlayer.OSRFunctions.OSRRef(T13))</f>
        <v>#NAME?</v>
      </c>
      <c r="U12" s="4"/>
      <c r="V12" s="13"/>
      <c r="W12" s="4"/>
      <c r="X12" s="4" t="e">
        <f t="shared" ref="X12:X13" ca="1" si="2">+P12-T12</f>
        <v>#NAME?</v>
      </c>
      <c r="Y12" s="4"/>
      <c r="Z12" s="13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8</v>
      </c>
      <c r="C15" s="10"/>
      <c r="D15" s="4" t="e">
        <f ca="1">SUM(_xll.OneStop.ReportPlayer.OSRFunctions.OSRRef(D16))</f>
        <v>#NAME?</v>
      </c>
      <c r="E15" s="4"/>
      <c r="F15" s="13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3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3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3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3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3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6</v>
      </c>
      <c r="C18" s="29"/>
      <c r="D18" s="20" t="e">
        <f ca="1">D12-D15</f>
        <v>#NAME?</v>
      </c>
      <c r="E18" s="14"/>
      <c r="F18" s="22" t="e">
        <f ca="1">IF(D$12=0,0,D18/D$12)</f>
        <v>#NAME?</v>
      </c>
      <c r="G18" s="14"/>
      <c r="H18" s="20" t="e">
        <f ca="1">H12-H15</f>
        <v>#NAME?</v>
      </c>
      <c r="I18" s="14"/>
      <c r="J18" s="22" t="e">
        <f ca="1">IF(H$12=0,0,H18/H$12)</f>
        <v>#NAME?</v>
      </c>
      <c r="K18" s="16"/>
      <c r="L18" s="20" t="e">
        <f ca="1">+D18-H18</f>
        <v>#NAME?</v>
      </c>
      <c r="M18" s="16"/>
      <c r="N18" s="22" t="e">
        <f ca="1">IF(H18=0,0,L18/H18)</f>
        <v>#NAME?</v>
      </c>
      <c r="O18" s="28"/>
      <c r="P18" s="20" t="e">
        <f ca="1">P12-P15</f>
        <v>#NAME?</v>
      </c>
      <c r="Q18" s="14"/>
      <c r="R18" s="22" t="e">
        <f ca="1">IF(P$12=0,0,P18/P$12)</f>
        <v>#NAME?</v>
      </c>
      <c r="S18" s="14"/>
      <c r="T18" s="20" t="e">
        <f ca="1">T12-T15</f>
        <v>#NAME?</v>
      </c>
      <c r="U18" s="14"/>
      <c r="V18" s="22" t="e">
        <f ca="1">IF(T$12=0,0,T18/T$12)</f>
        <v>#NAME?</v>
      </c>
      <c r="W18" s="16"/>
      <c r="X18" s="20" t="e">
        <f ca="1">+P18-T18</f>
        <v>#NAME?</v>
      </c>
      <c r="Y18" s="16"/>
      <c r="Z18" s="22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9</v>
      </c>
      <c r="C20" s="10"/>
      <c r="D20" s="21" t="e">
        <f ca="1">SUM(_xll.OneStop.ReportPlayer.OSRFunctions.OSRRef(D22))</f>
        <v>#NAME?</v>
      </c>
      <c r="E20" s="21"/>
      <c r="F20" s="30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0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0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0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0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0" t="e">
        <f t="shared" ref="Z20:Z22" ca="1" si="19">IF(T20=0,0,X20/T20)</f>
        <v>#NAME?</v>
      </c>
    </row>
    <row r="21" spans="1:26" s="27" customFormat="1" outlineLevel="1" collapsed="1" x14ac:dyDescent="0.25">
      <c r="A21" s="25"/>
      <c r="B21" s="12" t="e">
        <f ca="1">CONCATENATE("     ",_xll.OneStop.ReportPlayer.OSRFunctions.OSRGet("d_Account","AccountCategory"))</f>
        <v>#NAME?</v>
      </c>
      <c r="C21" s="12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2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6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62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8" t="s">
        <v>0</v>
      </c>
      <c r="C24" s="10"/>
      <c r="D24" s="4" t="e">
        <f ca="1">SUM(_xll.OneStop.ReportPlayer.OSRFunctions.OSRRef(D25))</f>
        <v>#NAME?</v>
      </c>
      <c r="E24" s="4"/>
      <c r="F24" s="13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3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3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3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3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3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3</v>
      </c>
      <c r="C27" s="29"/>
      <c r="D27" s="20" t="e">
        <f ca="1">+D18-D20+D24</f>
        <v>#NAME?</v>
      </c>
      <c r="E27" s="14"/>
      <c r="F27" s="22" t="e">
        <f ca="1">IF(D$12=0,0,D27/D$12)</f>
        <v>#NAME?</v>
      </c>
      <c r="G27" s="14"/>
      <c r="H27" s="20" t="e">
        <f ca="1">+H18-H20+H24</f>
        <v>#NAME?</v>
      </c>
      <c r="I27" s="14"/>
      <c r="J27" s="22" t="e">
        <f ca="1">IF(H$12=0,0,H27/H$12)</f>
        <v>#NAME?</v>
      </c>
      <c r="K27" s="16"/>
      <c r="L27" s="20" t="e">
        <f ca="1">+D27-H27</f>
        <v>#NAME?</v>
      </c>
      <c r="M27" s="16"/>
      <c r="N27" s="22" t="e">
        <f ca="1">IF(H27=0,0,L27/H27)</f>
        <v>#NAME?</v>
      </c>
      <c r="O27" s="28"/>
      <c r="P27" s="20" t="e">
        <f ca="1">+P18-P20+P24</f>
        <v>#NAME?</v>
      </c>
      <c r="Q27" s="14"/>
      <c r="R27" s="22" t="e">
        <f ca="1">IF(P$12=0,0,P27/P$12)</f>
        <v>#NAME?</v>
      </c>
      <c r="S27" s="14"/>
      <c r="T27" s="20" t="e">
        <f ca="1">+T18-T20+T24</f>
        <v>#NAME?</v>
      </c>
      <c r="U27" s="14"/>
      <c r="V27" s="22" t="e">
        <f ca="1">IF(T$12=0,0,T27/T$12)</f>
        <v>#NAME?</v>
      </c>
      <c r="W27" s="16"/>
      <c r="X27" s="20" t="e">
        <f ca="1">+P27-T27</f>
        <v>#NAME?</v>
      </c>
      <c r="Y27" s="16"/>
      <c r="Z27" s="22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3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3" t="e">
        <f ca="1">IF(H$12=0,0,H29/H$12)</f>
        <v>#NAME?</v>
      </c>
      <c r="K29" s="4"/>
      <c r="L29" s="4" t="e">
        <f ca="1">+D29-H29</f>
        <v>#NAME?</v>
      </c>
      <c r="M29" s="4"/>
      <c r="N29" s="13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3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3" t="e">
        <f ca="1">IF(T$12=0,0,T29/T$12)</f>
        <v>#NAME?</v>
      </c>
      <c r="W29" s="4"/>
      <c r="X29" s="4" t="e">
        <f ca="1">+P29-T29</f>
        <v>#NAME?</v>
      </c>
      <c r="Y29" s="4"/>
      <c r="Z29" s="13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4</v>
      </c>
      <c r="C31" s="29"/>
      <c r="D31" s="35" t="e">
        <f ca="1">+D27-D29</f>
        <v>#NAME?</v>
      </c>
      <c r="E31" s="14"/>
      <c r="F31" s="32" t="e">
        <f ca="1">IF(D$12=0,0,D31/D$12)</f>
        <v>#NAME?</v>
      </c>
      <c r="G31" s="14"/>
      <c r="H31" s="35" t="e">
        <f ca="1">+H27-H29</f>
        <v>#NAME?</v>
      </c>
      <c r="I31" s="14"/>
      <c r="J31" s="32" t="e">
        <f ca="1">IF(H$12=0,0,H31/H$12)</f>
        <v>#NAME?</v>
      </c>
      <c r="K31" s="16"/>
      <c r="L31" s="35" t="e">
        <f ca="1">D31-H31</f>
        <v>#NAME?</v>
      </c>
      <c r="M31" s="16"/>
      <c r="N31" s="32" t="e">
        <f ca="1">IF(H31=0,0,L31/H31)</f>
        <v>#NAME?</v>
      </c>
      <c r="O31" s="28"/>
      <c r="P31" s="35" t="e">
        <f ca="1">+P27-P29</f>
        <v>#NAME?</v>
      </c>
      <c r="Q31" s="14"/>
      <c r="R31" s="32" t="e">
        <f ca="1">IF(P$12=0,0,P31/P$12)</f>
        <v>#NAME?</v>
      </c>
      <c r="S31" s="14"/>
      <c r="T31" s="35" t="e">
        <f ca="1">+T27-T29</f>
        <v>#NAME?</v>
      </c>
      <c r="U31" s="14"/>
      <c r="V31" s="32" t="e">
        <f ca="1">IF(T$12=0,0,T31/T$12)</f>
        <v>#NAME?</v>
      </c>
      <c r="W31" s="16"/>
      <c r="X31" s="35" t="e">
        <f ca="1">P31-T31</f>
        <v>#NAME?</v>
      </c>
      <c r="Y31" s="16"/>
      <c r="Z31" s="32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3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3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3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3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3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3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3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3" t="e">
        <f t="shared" ca="1" si="29"/>
        <v>#NAME?</v>
      </c>
      <c r="K34" s="4"/>
      <c r="L34" s="4" t="e">
        <f t="shared" ca="1" si="30"/>
        <v>#NAME?</v>
      </c>
      <c r="M34" s="4"/>
      <c r="N34" s="13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3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3" t="e">
        <f t="shared" ca="1" si="33"/>
        <v>#NAME?</v>
      </c>
      <c r="W34" s="4"/>
      <c r="X34" s="4" t="e">
        <f t="shared" ca="1" si="34"/>
        <v>#NAME?</v>
      </c>
      <c r="Y34" s="4"/>
      <c r="Z34" s="13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5</v>
      </c>
      <c r="C36" s="29"/>
      <c r="D36" s="34" t="e">
        <f ca="1">SUM(D31:D35)</f>
        <v>#NAME?</v>
      </c>
      <c r="E36" s="14"/>
      <c r="F36" s="31" t="e">
        <f ca="1">IF(D$12=0,0,D36/D$12)</f>
        <v>#NAME?</v>
      </c>
      <c r="G36" s="14"/>
      <c r="H36" s="34" t="e">
        <f ca="1">SUM(H31:H35)</f>
        <v>#NAME?</v>
      </c>
      <c r="I36" s="14"/>
      <c r="J36" s="31" t="e">
        <f ca="1">IF(H$12=0,0,H36/H$12)</f>
        <v>#NAME?</v>
      </c>
      <c r="K36" s="16"/>
      <c r="L36" s="34" t="e">
        <f ca="1">+D36-H36</f>
        <v>#NAME?</v>
      </c>
      <c r="M36" s="16"/>
      <c r="N36" s="31" t="e">
        <f ca="1">IF(H36=0,0,L36/H36)</f>
        <v>#NAME?</v>
      </c>
      <c r="O36" s="28"/>
      <c r="P36" s="34" t="e">
        <f ca="1">SUM(P31:P35)</f>
        <v>#NAME?</v>
      </c>
      <c r="Q36" s="14"/>
      <c r="R36" s="31" t="e">
        <f ca="1">IF(P$12=0,0,P36/P$12)</f>
        <v>#NAME?</v>
      </c>
      <c r="S36" s="14"/>
      <c r="T36" s="34" t="e">
        <f ca="1">SUM(T31:T35)</f>
        <v>#NAME?</v>
      </c>
      <c r="U36" s="14"/>
      <c r="V36" s="31" t="e">
        <f ca="1">IF(T$12=0,0,T36/T$12)</f>
        <v>#NAME?</v>
      </c>
      <c r="W36" s="16"/>
      <c r="X36" s="34" t="e">
        <f ca="1">+P36-T36</f>
        <v>#NAME?</v>
      </c>
      <c r="Y36" s="16"/>
      <c r="Z36" s="31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59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56" t="e">
        <f ca="1">_xll.OneStop.ReportPlayer.OSRFunctions.OSRGet("User","UserId")</f>
        <v>#NAME?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54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63" t="s">
        <v>13</v>
      </c>
    </row>
    <row r="3" spans="1:26" x14ac:dyDescent="0.25">
      <c r="D3" s="63" t="s">
        <v>296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61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63" t="e">
        <f ca="1">CONCATENATE("Period ",RIGHT(_xll.OneStop.ReportPlayer.OSRFunctions.OSRGet("Period","PeriodId"),2),", ",_xll.OneStop.ReportPlayer.OSRFunctions.OSRGet("Period","Year"))</f>
        <v>#NAME?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61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5" t="e">
        <f ca="1">_xll.OneStop.ReportPlayer.OSRFunctions.OSRGet("Period","PeriodEnd")</f>
        <v>#NAME?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61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51"/>
      <c r="C6" s="51"/>
      <c r="D6" s="23" t="s">
        <v>301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57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5" t="s">
        <v>294</v>
      </c>
      <c r="E9" s="15"/>
      <c r="F9" s="38"/>
      <c r="G9" s="15"/>
      <c r="H9" s="15"/>
      <c r="I9" s="15"/>
      <c r="J9" s="46"/>
      <c r="K9" s="15"/>
      <c r="L9" s="15"/>
      <c r="M9" s="15"/>
      <c r="N9" s="38"/>
      <c r="P9" s="15" t="s">
        <v>295</v>
      </c>
      <c r="Q9" s="15"/>
      <c r="R9" s="38"/>
      <c r="S9" s="15"/>
      <c r="T9" s="15"/>
      <c r="U9" s="15"/>
      <c r="V9" s="46"/>
      <c r="W9" s="15"/>
      <c r="X9" s="15"/>
      <c r="Y9" s="15"/>
      <c r="Z9" s="38"/>
    </row>
    <row r="10" spans="1:26" x14ac:dyDescent="0.25">
      <c r="A10" s="10"/>
      <c r="B10" s="55"/>
      <c r="C10" s="10"/>
      <c r="D10" s="43" t="s">
        <v>10</v>
      </c>
      <c r="E10" s="33"/>
      <c r="F10" s="40" t="s">
        <v>15</v>
      </c>
      <c r="G10" s="33"/>
      <c r="H10" s="47" t="s">
        <v>11</v>
      </c>
      <c r="I10" s="33"/>
      <c r="J10" s="45" t="s">
        <v>16</v>
      </c>
      <c r="K10" s="10"/>
      <c r="L10" s="43" t="s">
        <v>12</v>
      </c>
      <c r="M10" s="10"/>
      <c r="N10" s="40" t="s">
        <v>17</v>
      </c>
      <c r="O10" s="10"/>
      <c r="P10" s="53" t="s">
        <v>10</v>
      </c>
      <c r="Q10" s="33"/>
      <c r="R10" s="40" t="s">
        <v>15</v>
      </c>
      <c r="S10" s="33"/>
      <c r="T10" s="47" t="s">
        <v>11</v>
      </c>
      <c r="U10" s="33"/>
      <c r="V10" s="45" t="s">
        <v>16</v>
      </c>
      <c r="W10" s="10"/>
      <c r="X10" s="43" t="s">
        <v>12</v>
      </c>
      <c r="Y10" s="10"/>
      <c r="Z10" s="40" t="s">
        <v>17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 t="e">
        <f ca="1">SUM(_xll.OneStop.ReportPlayer.OSRFunctions.OSRRef(D13))</f>
        <v>#NAME?</v>
      </c>
      <c r="E12" s="4"/>
      <c r="F12" s="13"/>
      <c r="G12" s="4"/>
      <c r="H12" s="4" t="e">
        <f ca="1">SUM(_xll.OneStop.ReportPlayer.OSRFunctions.OSRRef(H13))</f>
        <v>#NAME?</v>
      </c>
      <c r="I12" s="4"/>
      <c r="J12" s="13"/>
      <c r="K12" s="4"/>
      <c r="L12" s="4" t="e">
        <f t="shared" ref="L12:L13" ca="1" si="0">+D12-H12</f>
        <v>#NAME?</v>
      </c>
      <c r="M12" s="4"/>
      <c r="N12" s="13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3"/>
      <c r="S12" s="4"/>
      <c r="T12" s="4" t="e">
        <f ca="1">SUM(_xll.OneStop.ReportPlayer.OSRFunctions.OSRRef(T13))</f>
        <v>#NAME?</v>
      </c>
      <c r="U12" s="4"/>
      <c r="V12" s="13"/>
      <c r="W12" s="4"/>
      <c r="X12" s="4" t="e">
        <f t="shared" ref="X12:X13" ca="1" si="2">+P12-T12</f>
        <v>#NAME?</v>
      </c>
      <c r="Y12" s="4"/>
      <c r="Z12" s="13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8</v>
      </c>
      <c r="C15" s="10"/>
      <c r="D15" s="4" t="e">
        <f ca="1">SUM(_xll.OneStop.ReportPlayer.OSRFunctions.OSRRef(D16))</f>
        <v>#NAME?</v>
      </c>
      <c r="E15" s="4"/>
      <c r="F15" s="13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3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3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3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3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3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6</v>
      </c>
      <c r="C18" s="29"/>
      <c r="D18" s="20" t="e">
        <f ca="1">D12-D15</f>
        <v>#NAME?</v>
      </c>
      <c r="E18" s="14"/>
      <c r="F18" s="22" t="e">
        <f ca="1">IF(D$12=0,0,D18/D$12)</f>
        <v>#NAME?</v>
      </c>
      <c r="G18" s="14"/>
      <c r="H18" s="20" t="e">
        <f ca="1">H12-H15</f>
        <v>#NAME?</v>
      </c>
      <c r="I18" s="14"/>
      <c r="J18" s="22" t="e">
        <f ca="1">IF(H$12=0,0,H18/H$12)</f>
        <v>#NAME?</v>
      </c>
      <c r="K18" s="16"/>
      <c r="L18" s="20" t="e">
        <f ca="1">+D18-H18</f>
        <v>#NAME?</v>
      </c>
      <c r="M18" s="16"/>
      <c r="N18" s="22" t="e">
        <f ca="1">IF(H18=0,0,L18/H18)</f>
        <v>#NAME?</v>
      </c>
      <c r="O18" s="28"/>
      <c r="P18" s="20" t="e">
        <f ca="1">P12-P15</f>
        <v>#NAME?</v>
      </c>
      <c r="Q18" s="14"/>
      <c r="R18" s="22" t="e">
        <f ca="1">IF(P$12=0,0,P18/P$12)</f>
        <v>#NAME?</v>
      </c>
      <c r="S18" s="14"/>
      <c r="T18" s="20" t="e">
        <f ca="1">T12-T15</f>
        <v>#NAME?</v>
      </c>
      <c r="U18" s="14"/>
      <c r="V18" s="22" t="e">
        <f ca="1">IF(T$12=0,0,T18/T$12)</f>
        <v>#NAME?</v>
      </c>
      <c r="W18" s="16"/>
      <c r="X18" s="20" t="e">
        <f ca="1">+P18-T18</f>
        <v>#NAME?</v>
      </c>
      <c r="Y18" s="16"/>
      <c r="Z18" s="22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9</v>
      </c>
      <c r="C20" s="10"/>
      <c r="D20" s="21" t="e">
        <f ca="1">SUM(_xll.OneStop.ReportPlayer.OSRFunctions.OSRRef(D22))</f>
        <v>#NAME?</v>
      </c>
      <c r="E20" s="21"/>
      <c r="F20" s="30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0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0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0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0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0" t="e">
        <f t="shared" ref="Z20:Z22" ca="1" si="19">IF(T20=0,0,X20/T20)</f>
        <v>#NAME?</v>
      </c>
    </row>
    <row r="21" spans="1:26" s="27" customFormat="1" outlineLevel="1" collapsed="1" x14ac:dyDescent="0.25">
      <c r="A21" s="25"/>
      <c r="B21" s="12" t="e">
        <f ca="1">CONCATENATE("     ",_xll.OneStop.ReportPlayer.OSRFunctions.OSRGet("d_Account","AccountCategory"))</f>
        <v>#NAME?</v>
      </c>
      <c r="C21" s="12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2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6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62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8" t="s">
        <v>0</v>
      </c>
      <c r="C24" s="10"/>
      <c r="D24" s="4" t="e">
        <f ca="1">SUM(_xll.OneStop.ReportPlayer.OSRFunctions.OSRRef(D25))</f>
        <v>#NAME?</v>
      </c>
      <c r="E24" s="4"/>
      <c r="F24" s="13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3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3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3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3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3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3</v>
      </c>
      <c r="C27" s="29"/>
      <c r="D27" s="20" t="e">
        <f ca="1">+D18-D20+D24</f>
        <v>#NAME?</v>
      </c>
      <c r="E27" s="14"/>
      <c r="F27" s="22" t="e">
        <f ca="1">IF(D$12=0,0,D27/D$12)</f>
        <v>#NAME?</v>
      </c>
      <c r="G27" s="14"/>
      <c r="H27" s="20" t="e">
        <f ca="1">+H18-H20+H24</f>
        <v>#NAME?</v>
      </c>
      <c r="I27" s="14"/>
      <c r="J27" s="22" t="e">
        <f ca="1">IF(H$12=0,0,H27/H$12)</f>
        <v>#NAME?</v>
      </c>
      <c r="K27" s="16"/>
      <c r="L27" s="20" t="e">
        <f ca="1">+D27-H27</f>
        <v>#NAME?</v>
      </c>
      <c r="M27" s="16"/>
      <c r="N27" s="22" t="e">
        <f ca="1">IF(H27=0,0,L27/H27)</f>
        <v>#NAME?</v>
      </c>
      <c r="O27" s="28"/>
      <c r="P27" s="20" t="e">
        <f ca="1">+P18-P20+P24</f>
        <v>#NAME?</v>
      </c>
      <c r="Q27" s="14"/>
      <c r="R27" s="22" t="e">
        <f ca="1">IF(P$12=0,0,P27/P$12)</f>
        <v>#NAME?</v>
      </c>
      <c r="S27" s="14"/>
      <c r="T27" s="20" t="e">
        <f ca="1">+T18-T20+T24</f>
        <v>#NAME?</v>
      </c>
      <c r="U27" s="14"/>
      <c r="V27" s="22" t="e">
        <f ca="1">IF(T$12=0,0,T27/T$12)</f>
        <v>#NAME?</v>
      </c>
      <c r="W27" s="16"/>
      <c r="X27" s="20" t="e">
        <f ca="1">+P27-T27</f>
        <v>#NAME?</v>
      </c>
      <c r="Y27" s="16"/>
      <c r="Z27" s="22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3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3" t="e">
        <f ca="1">IF(H$12=0,0,H29/H$12)</f>
        <v>#NAME?</v>
      </c>
      <c r="K29" s="4"/>
      <c r="L29" s="4" t="e">
        <f ca="1">+D29-H29</f>
        <v>#NAME?</v>
      </c>
      <c r="M29" s="4"/>
      <c r="N29" s="13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3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3" t="e">
        <f ca="1">IF(T$12=0,0,T29/T$12)</f>
        <v>#NAME?</v>
      </c>
      <c r="W29" s="4"/>
      <c r="X29" s="4" t="e">
        <f ca="1">+P29-T29</f>
        <v>#NAME?</v>
      </c>
      <c r="Y29" s="4"/>
      <c r="Z29" s="13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4</v>
      </c>
      <c r="C31" s="29"/>
      <c r="D31" s="35" t="e">
        <f ca="1">+D27-D29</f>
        <v>#NAME?</v>
      </c>
      <c r="E31" s="14"/>
      <c r="F31" s="32" t="e">
        <f ca="1">IF(D$12=0,0,D31/D$12)</f>
        <v>#NAME?</v>
      </c>
      <c r="G31" s="14"/>
      <c r="H31" s="35" t="e">
        <f ca="1">+H27-H29</f>
        <v>#NAME?</v>
      </c>
      <c r="I31" s="14"/>
      <c r="J31" s="32" t="e">
        <f ca="1">IF(H$12=0,0,H31/H$12)</f>
        <v>#NAME?</v>
      </c>
      <c r="K31" s="16"/>
      <c r="L31" s="35" t="e">
        <f ca="1">D31-H31</f>
        <v>#NAME?</v>
      </c>
      <c r="M31" s="16"/>
      <c r="N31" s="32" t="e">
        <f ca="1">IF(H31=0,0,L31/H31)</f>
        <v>#NAME?</v>
      </c>
      <c r="O31" s="28"/>
      <c r="P31" s="35" t="e">
        <f ca="1">+P27-P29</f>
        <v>#NAME?</v>
      </c>
      <c r="Q31" s="14"/>
      <c r="R31" s="32" t="e">
        <f ca="1">IF(P$12=0,0,P31/P$12)</f>
        <v>#NAME?</v>
      </c>
      <c r="S31" s="14"/>
      <c r="T31" s="35" t="e">
        <f ca="1">+T27-T29</f>
        <v>#NAME?</v>
      </c>
      <c r="U31" s="14"/>
      <c r="V31" s="32" t="e">
        <f ca="1">IF(T$12=0,0,T31/T$12)</f>
        <v>#NAME?</v>
      </c>
      <c r="W31" s="16"/>
      <c r="X31" s="35" t="e">
        <f ca="1">P31-T31</f>
        <v>#NAME?</v>
      </c>
      <c r="Y31" s="16"/>
      <c r="Z31" s="32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3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3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3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3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3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3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3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3" t="e">
        <f t="shared" ca="1" si="29"/>
        <v>#NAME?</v>
      </c>
      <c r="K34" s="4"/>
      <c r="L34" s="4" t="e">
        <f t="shared" ca="1" si="30"/>
        <v>#NAME?</v>
      </c>
      <c r="M34" s="4"/>
      <c r="N34" s="13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3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3" t="e">
        <f t="shared" ca="1" si="33"/>
        <v>#NAME?</v>
      </c>
      <c r="W34" s="4"/>
      <c r="X34" s="4" t="e">
        <f t="shared" ca="1" si="34"/>
        <v>#NAME?</v>
      </c>
      <c r="Y34" s="4"/>
      <c r="Z34" s="13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5</v>
      </c>
      <c r="C36" s="29"/>
      <c r="D36" s="34" t="e">
        <f ca="1">SUM(D31:D35)</f>
        <v>#NAME?</v>
      </c>
      <c r="E36" s="14"/>
      <c r="F36" s="31" t="e">
        <f ca="1">IF(D$12=0,0,D36/D$12)</f>
        <v>#NAME?</v>
      </c>
      <c r="G36" s="14"/>
      <c r="H36" s="34" t="e">
        <f ca="1">SUM(H31:H35)</f>
        <v>#NAME?</v>
      </c>
      <c r="I36" s="14"/>
      <c r="J36" s="31" t="e">
        <f ca="1">IF(H$12=0,0,H36/H$12)</f>
        <v>#NAME?</v>
      </c>
      <c r="K36" s="16"/>
      <c r="L36" s="34" t="e">
        <f ca="1">+D36-H36</f>
        <v>#NAME?</v>
      </c>
      <c r="M36" s="16"/>
      <c r="N36" s="31" t="e">
        <f ca="1">IF(H36=0,0,L36/H36)</f>
        <v>#NAME?</v>
      </c>
      <c r="O36" s="28"/>
      <c r="P36" s="34" t="e">
        <f ca="1">SUM(P31:P35)</f>
        <v>#NAME?</v>
      </c>
      <c r="Q36" s="14"/>
      <c r="R36" s="31" t="e">
        <f ca="1">IF(P$12=0,0,P36/P$12)</f>
        <v>#NAME?</v>
      </c>
      <c r="S36" s="14"/>
      <c r="T36" s="34" t="e">
        <f ca="1">SUM(T31:T35)</f>
        <v>#NAME?</v>
      </c>
      <c r="U36" s="14"/>
      <c r="V36" s="31" t="e">
        <f ca="1">IF(T$12=0,0,T36/T$12)</f>
        <v>#NAME?</v>
      </c>
      <c r="W36" s="16"/>
      <c r="X36" s="34" t="e">
        <f ca="1">+P36-T36</f>
        <v>#NAME?</v>
      </c>
      <c r="Y36" s="16"/>
      <c r="Z36" s="31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59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56" t="e">
        <f ca="1">_xll.OneStop.ReportPlayer.OSRFunctions.OSRGet("User","UserId")</f>
        <v>#NAME?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54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63" t="s">
        <v>13</v>
      </c>
    </row>
    <row r="3" spans="1:26" x14ac:dyDescent="0.25">
      <c r="D3" s="63" t="s">
        <v>296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61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63" t="e">
        <f ca="1">CONCATENATE("Period ",RIGHT(_xll.OneStop.ReportPlayer.OSRFunctions.OSRGet("Period","PeriodId"),2),", ",_xll.OneStop.ReportPlayer.OSRFunctions.OSRGet("Period","Year"))</f>
        <v>#NAME?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61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5" t="e">
        <f ca="1">_xll.OneStop.ReportPlayer.OSRFunctions.OSRGet("Period","PeriodEnd")</f>
        <v>#NAME?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61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51"/>
      <c r="C6" s="51"/>
      <c r="D6" s="23" t="s">
        <v>302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57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5" t="s">
        <v>294</v>
      </c>
      <c r="E9" s="15"/>
      <c r="F9" s="38"/>
      <c r="G9" s="15"/>
      <c r="H9" s="15"/>
      <c r="I9" s="15"/>
      <c r="J9" s="46"/>
      <c r="K9" s="15"/>
      <c r="L9" s="15"/>
      <c r="M9" s="15"/>
      <c r="N9" s="38"/>
      <c r="P9" s="15" t="s">
        <v>295</v>
      </c>
      <c r="Q9" s="15"/>
      <c r="R9" s="38"/>
      <c r="S9" s="15"/>
      <c r="T9" s="15"/>
      <c r="U9" s="15"/>
      <c r="V9" s="46"/>
      <c r="W9" s="15"/>
      <c r="X9" s="15"/>
      <c r="Y9" s="15"/>
      <c r="Z9" s="38"/>
    </row>
    <row r="10" spans="1:26" x14ac:dyDescent="0.25">
      <c r="A10" s="10"/>
      <c r="B10" s="55"/>
      <c r="C10" s="10"/>
      <c r="D10" s="43" t="s">
        <v>10</v>
      </c>
      <c r="E10" s="33"/>
      <c r="F10" s="40" t="s">
        <v>15</v>
      </c>
      <c r="G10" s="33"/>
      <c r="H10" s="47" t="s">
        <v>11</v>
      </c>
      <c r="I10" s="33"/>
      <c r="J10" s="45" t="s">
        <v>16</v>
      </c>
      <c r="K10" s="10"/>
      <c r="L10" s="43" t="s">
        <v>12</v>
      </c>
      <c r="M10" s="10"/>
      <c r="N10" s="40" t="s">
        <v>17</v>
      </c>
      <c r="O10" s="10"/>
      <c r="P10" s="53" t="s">
        <v>10</v>
      </c>
      <c r="Q10" s="33"/>
      <c r="R10" s="40" t="s">
        <v>15</v>
      </c>
      <c r="S10" s="33"/>
      <c r="T10" s="47" t="s">
        <v>11</v>
      </c>
      <c r="U10" s="33"/>
      <c r="V10" s="45" t="s">
        <v>16</v>
      </c>
      <c r="W10" s="10"/>
      <c r="X10" s="43" t="s">
        <v>12</v>
      </c>
      <c r="Y10" s="10"/>
      <c r="Z10" s="40" t="s">
        <v>17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 t="e">
        <f ca="1">SUM(_xll.OneStop.ReportPlayer.OSRFunctions.OSRRef(D13))</f>
        <v>#NAME?</v>
      </c>
      <c r="E12" s="4"/>
      <c r="F12" s="13"/>
      <c r="G12" s="4"/>
      <c r="H12" s="4" t="e">
        <f ca="1">SUM(_xll.OneStop.ReportPlayer.OSRFunctions.OSRRef(H13))</f>
        <v>#NAME?</v>
      </c>
      <c r="I12" s="4"/>
      <c r="J12" s="13"/>
      <c r="K12" s="4"/>
      <c r="L12" s="4" t="e">
        <f t="shared" ref="L12:L13" ca="1" si="0">+D12-H12</f>
        <v>#NAME?</v>
      </c>
      <c r="M12" s="4"/>
      <c r="N12" s="13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3"/>
      <c r="S12" s="4"/>
      <c r="T12" s="4" t="e">
        <f ca="1">SUM(_xll.OneStop.ReportPlayer.OSRFunctions.OSRRef(T13))</f>
        <v>#NAME?</v>
      </c>
      <c r="U12" s="4"/>
      <c r="V12" s="13"/>
      <c r="W12" s="4"/>
      <c r="X12" s="4" t="e">
        <f t="shared" ref="X12:X13" ca="1" si="2">+P12-T12</f>
        <v>#NAME?</v>
      </c>
      <c r="Y12" s="4"/>
      <c r="Z12" s="13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8</v>
      </c>
      <c r="C15" s="10"/>
      <c r="D15" s="4" t="e">
        <f ca="1">SUM(_xll.OneStop.ReportPlayer.OSRFunctions.OSRRef(D16))</f>
        <v>#NAME?</v>
      </c>
      <c r="E15" s="4"/>
      <c r="F15" s="13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3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3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3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3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3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6</v>
      </c>
      <c r="C18" s="29"/>
      <c r="D18" s="20" t="e">
        <f ca="1">D12-D15</f>
        <v>#NAME?</v>
      </c>
      <c r="E18" s="14"/>
      <c r="F18" s="22" t="e">
        <f ca="1">IF(D$12=0,0,D18/D$12)</f>
        <v>#NAME?</v>
      </c>
      <c r="G18" s="14"/>
      <c r="H18" s="20" t="e">
        <f ca="1">H12-H15</f>
        <v>#NAME?</v>
      </c>
      <c r="I18" s="14"/>
      <c r="J18" s="22" t="e">
        <f ca="1">IF(H$12=0,0,H18/H$12)</f>
        <v>#NAME?</v>
      </c>
      <c r="K18" s="16"/>
      <c r="L18" s="20" t="e">
        <f ca="1">+D18-H18</f>
        <v>#NAME?</v>
      </c>
      <c r="M18" s="16"/>
      <c r="N18" s="22" t="e">
        <f ca="1">IF(H18=0,0,L18/H18)</f>
        <v>#NAME?</v>
      </c>
      <c r="O18" s="28"/>
      <c r="P18" s="20" t="e">
        <f ca="1">P12-P15</f>
        <v>#NAME?</v>
      </c>
      <c r="Q18" s="14"/>
      <c r="R18" s="22" t="e">
        <f ca="1">IF(P$12=0,0,P18/P$12)</f>
        <v>#NAME?</v>
      </c>
      <c r="S18" s="14"/>
      <c r="T18" s="20" t="e">
        <f ca="1">T12-T15</f>
        <v>#NAME?</v>
      </c>
      <c r="U18" s="14"/>
      <c r="V18" s="22" t="e">
        <f ca="1">IF(T$12=0,0,T18/T$12)</f>
        <v>#NAME?</v>
      </c>
      <c r="W18" s="16"/>
      <c r="X18" s="20" t="e">
        <f ca="1">+P18-T18</f>
        <v>#NAME?</v>
      </c>
      <c r="Y18" s="16"/>
      <c r="Z18" s="22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9</v>
      </c>
      <c r="C20" s="10"/>
      <c r="D20" s="21" t="e">
        <f ca="1">SUM(_xll.OneStop.ReportPlayer.OSRFunctions.OSRRef(D22))</f>
        <v>#NAME?</v>
      </c>
      <c r="E20" s="21"/>
      <c r="F20" s="30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0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0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0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0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0" t="e">
        <f t="shared" ref="Z20:Z22" ca="1" si="19">IF(T20=0,0,X20/T20)</f>
        <v>#NAME?</v>
      </c>
    </row>
    <row r="21" spans="1:26" s="27" customFormat="1" outlineLevel="1" collapsed="1" x14ac:dyDescent="0.25">
      <c r="A21" s="25"/>
      <c r="B21" s="12" t="e">
        <f ca="1">CONCATENATE("     ",_xll.OneStop.ReportPlayer.OSRFunctions.OSRGet("d_Account","AccountCategory"))</f>
        <v>#NAME?</v>
      </c>
      <c r="C21" s="12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2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6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62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8" t="s">
        <v>0</v>
      </c>
      <c r="C24" s="10"/>
      <c r="D24" s="4" t="e">
        <f ca="1">SUM(_xll.OneStop.ReportPlayer.OSRFunctions.OSRRef(D25))</f>
        <v>#NAME?</v>
      </c>
      <c r="E24" s="4"/>
      <c r="F24" s="13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3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3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3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3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3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3</v>
      </c>
      <c r="C27" s="29"/>
      <c r="D27" s="20" t="e">
        <f ca="1">+D18-D20+D24</f>
        <v>#NAME?</v>
      </c>
      <c r="E27" s="14"/>
      <c r="F27" s="22" t="e">
        <f ca="1">IF(D$12=0,0,D27/D$12)</f>
        <v>#NAME?</v>
      </c>
      <c r="G27" s="14"/>
      <c r="H27" s="20" t="e">
        <f ca="1">+H18-H20+H24</f>
        <v>#NAME?</v>
      </c>
      <c r="I27" s="14"/>
      <c r="J27" s="22" t="e">
        <f ca="1">IF(H$12=0,0,H27/H$12)</f>
        <v>#NAME?</v>
      </c>
      <c r="K27" s="16"/>
      <c r="L27" s="20" t="e">
        <f ca="1">+D27-H27</f>
        <v>#NAME?</v>
      </c>
      <c r="M27" s="16"/>
      <c r="N27" s="22" t="e">
        <f ca="1">IF(H27=0,0,L27/H27)</f>
        <v>#NAME?</v>
      </c>
      <c r="O27" s="28"/>
      <c r="P27" s="20" t="e">
        <f ca="1">+P18-P20+P24</f>
        <v>#NAME?</v>
      </c>
      <c r="Q27" s="14"/>
      <c r="R27" s="22" t="e">
        <f ca="1">IF(P$12=0,0,P27/P$12)</f>
        <v>#NAME?</v>
      </c>
      <c r="S27" s="14"/>
      <c r="T27" s="20" t="e">
        <f ca="1">+T18-T20+T24</f>
        <v>#NAME?</v>
      </c>
      <c r="U27" s="14"/>
      <c r="V27" s="22" t="e">
        <f ca="1">IF(T$12=0,0,T27/T$12)</f>
        <v>#NAME?</v>
      </c>
      <c r="W27" s="16"/>
      <c r="X27" s="20" t="e">
        <f ca="1">+P27-T27</f>
        <v>#NAME?</v>
      </c>
      <c r="Y27" s="16"/>
      <c r="Z27" s="22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3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3" t="e">
        <f ca="1">IF(H$12=0,0,H29/H$12)</f>
        <v>#NAME?</v>
      </c>
      <c r="K29" s="4"/>
      <c r="L29" s="4" t="e">
        <f ca="1">+D29-H29</f>
        <v>#NAME?</v>
      </c>
      <c r="M29" s="4"/>
      <c r="N29" s="13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3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3" t="e">
        <f ca="1">IF(T$12=0,0,T29/T$12)</f>
        <v>#NAME?</v>
      </c>
      <c r="W29" s="4"/>
      <c r="X29" s="4" t="e">
        <f ca="1">+P29-T29</f>
        <v>#NAME?</v>
      </c>
      <c r="Y29" s="4"/>
      <c r="Z29" s="13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4</v>
      </c>
      <c r="C31" s="29"/>
      <c r="D31" s="35" t="e">
        <f ca="1">+D27-D29</f>
        <v>#NAME?</v>
      </c>
      <c r="E31" s="14"/>
      <c r="F31" s="32" t="e">
        <f ca="1">IF(D$12=0,0,D31/D$12)</f>
        <v>#NAME?</v>
      </c>
      <c r="G31" s="14"/>
      <c r="H31" s="35" t="e">
        <f ca="1">+H27-H29</f>
        <v>#NAME?</v>
      </c>
      <c r="I31" s="14"/>
      <c r="J31" s="32" t="e">
        <f ca="1">IF(H$12=0,0,H31/H$12)</f>
        <v>#NAME?</v>
      </c>
      <c r="K31" s="16"/>
      <c r="L31" s="35" t="e">
        <f ca="1">D31-H31</f>
        <v>#NAME?</v>
      </c>
      <c r="M31" s="16"/>
      <c r="N31" s="32" t="e">
        <f ca="1">IF(H31=0,0,L31/H31)</f>
        <v>#NAME?</v>
      </c>
      <c r="O31" s="28"/>
      <c r="P31" s="35" t="e">
        <f ca="1">+P27-P29</f>
        <v>#NAME?</v>
      </c>
      <c r="Q31" s="14"/>
      <c r="R31" s="32" t="e">
        <f ca="1">IF(P$12=0,0,P31/P$12)</f>
        <v>#NAME?</v>
      </c>
      <c r="S31" s="14"/>
      <c r="T31" s="35" t="e">
        <f ca="1">+T27-T29</f>
        <v>#NAME?</v>
      </c>
      <c r="U31" s="14"/>
      <c r="V31" s="32" t="e">
        <f ca="1">IF(T$12=0,0,T31/T$12)</f>
        <v>#NAME?</v>
      </c>
      <c r="W31" s="16"/>
      <c r="X31" s="35" t="e">
        <f ca="1">P31-T31</f>
        <v>#NAME?</v>
      </c>
      <c r="Y31" s="16"/>
      <c r="Z31" s="32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3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3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3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3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3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3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3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3" t="e">
        <f t="shared" ca="1" si="29"/>
        <v>#NAME?</v>
      </c>
      <c r="K34" s="4"/>
      <c r="L34" s="4" t="e">
        <f t="shared" ca="1" si="30"/>
        <v>#NAME?</v>
      </c>
      <c r="M34" s="4"/>
      <c r="N34" s="13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3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3" t="e">
        <f t="shared" ca="1" si="33"/>
        <v>#NAME?</v>
      </c>
      <c r="W34" s="4"/>
      <c r="X34" s="4" t="e">
        <f t="shared" ca="1" si="34"/>
        <v>#NAME?</v>
      </c>
      <c r="Y34" s="4"/>
      <c r="Z34" s="13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5</v>
      </c>
      <c r="C36" s="29"/>
      <c r="D36" s="34" t="e">
        <f ca="1">SUM(D31:D35)</f>
        <v>#NAME?</v>
      </c>
      <c r="E36" s="14"/>
      <c r="F36" s="31" t="e">
        <f ca="1">IF(D$12=0,0,D36/D$12)</f>
        <v>#NAME?</v>
      </c>
      <c r="G36" s="14"/>
      <c r="H36" s="34" t="e">
        <f ca="1">SUM(H31:H35)</f>
        <v>#NAME?</v>
      </c>
      <c r="I36" s="14"/>
      <c r="J36" s="31" t="e">
        <f ca="1">IF(H$12=0,0,H36/H$12)</f>
        <v>#NAME?</v>
      </c>
      <c r="K36" s="16"/>
      <c r="L36" s="34" t="e">
        <f ca="1">+D36-H36</f>
        <v>#NAME?</v>
      </c>
      <c r="M36" s="16"/>
      <c r="N36" s="31" t="e">
        <f ca="1">IF(H36=0,0,L36/H36)</f>
        <v>#NAME?</v>
      </c>
      <c r="O36" s="28"/>
      <c r="P36" s="34" t="e">
        <f ca="1">SUM(P31:P35)</f>
        <v>#NAME?</v>
      </c>
      <c r="Q36" s="14"/>
      <c r="R36" s="31" t="e">
        <f ca="1">IF(P$12=0,0,P36/P$12)</f>
        <v>#NAME?</v>
      </c>
      <c r="S36" s="14"/>
      <c r="T36" s="34" t="e">
        <f ca="1">SUM(T31:T35)</f>
        <v>#NAME?</v>
      </c>
      <c r="U36" s="14"/>
      <c r="V36" s="31" t="e">
        <f ca="1">IF(T$12=0,0,T36/T$12)</f>
        <v>#NAME?</v>
      </c>
      <c r="W36" s="16"/>
      <c r="X36" s="34" t="e">
        <f ca="1">+P36-T36</f>
        <v>#NAME?</v>
      </c>
      <c r="Y36" s="16"/>
      <c r="Z36" s="31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59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56" t="e">
        <f ca="1">_xll.OneStop.ReportPlayer.OSRFunctions.OSRGet("User","UserId")</f>
        <v>#NAME?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54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63" t="s">
        <v>13</v>
      </c>
    </row>
    <row r="3" spans="1:26" x14ac:dyDescent="0.25">
      <c r="D3" s="63" t="s">
        <v>296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61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63" t="e">
        <f ca="1">CONCATENATE("Period ",RIGHT(_xll.OneStop.ReportPlayer.OSRFunctions.OSRGet("Period","PeriodId"),2),", ",_xll.OneStop.ReportPlayer.OSRFunctions.OSRGet("Period","Year"))</f>
        <v>#NAME?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61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5" t="e">
        <f ca="1">_xll.OneStop.ReportPlayer.OSRFunctions.OSRGet("Period","PeriodEnd")</f>
        <v>#NAME?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61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51"/>
      <c r="C6" s="51"/>
      <c r="D6" s="23" t="s">
        <v>302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57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5" t="s">
        <v>294</v>
      </c>
      <c r="E9" s="15"/>
      <c r="F9" s="38"/>
      <c r="G9" s="15"/>
      <c r="H9" s="15"/>
      <c r="I9" s="15"/>
      <c r="J9" s="46"/>
      <c r="K9" s="15"/>
      <c r="L9" s="15"/>
      <c r="M9" s="15"/>
      <c r="N9" s="38"/>
      <c r="P9" s="15" t="s">
        <v>295</v>
      </c>
      <c r="Q9" s="15"/>
      <c r="R9" s="38"/>
      <c r="S9" s="15"/>
      <c r="T9" s="15"/>
      <c r="U9" s="15"/>
      <c r="V9" s="46"/>
      <c r="W9" s="15"/>
      <c r="X9" s="15"/>
      <c r="Y9" s="15"/>
      <c r="Z9" s="38"/>
    </row>
    <row r="10" spans="1:26" x14ac:dyDescent="0.25">
      <c r="A10" s="10"/>
      <c r="B10" s="55"/>
      <c r="C10" s="10"/>
      <c r="D10" s="43" t="s">
        <v>10</v>
      </c>
      <c r="E10" s="33"/>
      <c r="F10" s="40" t="s">
        <v>15</v>
      </c>
      <c r="G10" s="33"/>
      <c r="H10" s="47" t="s">
        <v>11</v>
      </c>
      <c r="I10" s="33"/>
      <c r="J10" s="45" t="s">
        <v>16</v>
      </c>
      <c r="K10" s="10"/>
      <c r="L10" s="43" t="s">
        <v>12</v>
      </c>
      <c r="M10" s="10"/>
      <c r="N10" s="40" t="s">
        <v>17</v>
      </c>
      <c r="O10" s="10"/>
      <c r="P10" s="53" t="s">
        <v>10</v>
      </c>
      <c r="Q10" s="33"/>
      <c r="R10" s="40" t="s">
        <v>15</v>
      </c>
      <c r="S10" s="33"/>
      <c r="T10" s="47" t="s">
        <v>11</v>
      </c>
      <c r="U10" s="33"/>
      <c r="V10" s="45" t="s">
        <v>16</v>
      </c>
      <c r="W10" s="10"/>
      <c r="X10" s="43" t="s">
        <v>12</v>
      </c>
      <c r="Y10" s="10"/>
      <c r="Z10" s="40" t="s">
        <v>17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 t="e">
        <f ca="1">SUM(_xll.OneStop.ReportPlayer.OSRFunctions.OSRRef(D13))</f>
        <v>#NAME?</v>
      </c>
      <c r="E12" s="4"/>
      <c r="F12" s="13"/>
      <c r="G12" s="4"/>
      <c r="H12" s="4" t="e">
        <f ca="1">SUM(_xll.OneStop.ReportPlayer.OSRFunctions.OSRRef(H13))</f>
        <v>#NAME?</v>
      </c>
      <c r="I12" s="4"/>
      <c r="J12" s="13"/>
      <c r="K12" s="4"/>
      <c r="L12" s="4" t="e">
        <f t="shared" ref="L12:L13" ca="1" si="0">+D12-H12</f>
        <v>#NAME?</v>
      </c>
      <c r="M12" s="4"/>
      <c r="N12" s="13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3"/>
      <c r="S12" s="4"/>
      <c r="T12" s="4" t="e">
        <f ca="1">SUM(_xll.OneStop.ReportPlayer.OSRFunctions.OSRRef(T13))</f>
        <v>#NAME?</v>
      </c>
      <c r="U12" s="4"/>
      <c r="V12" s="13"/>
      <c r="W12" s="4"/>
      <c r="X12" s="4" t="e">
        <f t="shared" ref="X12:X13" ca="1" si="2">+P12-T12</f>
        <v>#NAME?</v>
      </c>
      <c r="Y12" s="4"/>
      <c r="Z12" s="13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8</v>
      </c>
      <c r="C15" s="10"/>
      <c r="D15" s="4" t="e">
        <f ca="1">SUM(_xll.OneStop.ReportPlayer.OSRFunctions.OSRRef(D16))</f>
        <v>#NAME?</v>
      </c>
      <c r="E15" s="4"/>
      <c r="F15" s="13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3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3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3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3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3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6</v>
      </c>
      <c r="C18" s="29"/>
      <c r="D18" s="20" t="e">
        <f ca="1">D12-D15</f>
        <v>#NAME?</v>
      </c>
      <c r="E18" s="14"/>
      <c r="F18" s="22" t="e">
        <f ca="1">IF(D$12=0,0,D18/D$12)</f>
        <v>#NAME?</v>
      </c>
      <c r="G18" s="14"/>
      <c r="H18" s="20" t="e">
        <f ca="1">H12-H15</f>
        <v>#NAME?</v>
      </c>
      <c r="I18" s="14"/>
      <c r="J18" s="22" t="e">
        <f ca="1">IF(H$12=0,0,H18/H$12)</f>
        <v>#NAME?</v>
      </c>
      <c r="K18" s="16"/>
      <c r="L18" s="20" t="e">
        <f ca="1">+D18-H18</f>
        <v>#NAME?</v>
      </c>
      <c r="M18" s="16"/>
      <c r="N18" s="22" t="e">
        <f ca="1">IF(H18=0,0,L18/H18)</f>
        <v>#NAME?</v>
      </c>
      <c r="O18" s="28"/>
      <c r="P18" s="20" t="e">
        <f ca="1">P12-P15</f>
        <v>#NAME?</v>
      </c>
      <c r="Q18" s="14"/>
      <c r="R18" s="22" t="e">
        <f ca="1">IF(P$12=0,0,P18/P$12)</f>
        <v>#NAME?</v>
      </c>
      <c r="S18" s="14"/>
      <c r="T18" s="20" t="e">
        <f ca="1">T12-T15</f>
        <v>#NAME?</v>
      </c>
      <c r="U18" s="14"/>
      <c r="V18" s="22" t="e">
        <f ca="1">IF(T$12=0,0,T18/T$12)</f>
        <v>#NAME?</v>
      </c>
      <c r="W18" s="16"/>
      <c r="X18" s="20" t="e">
        <f ca="1">+P18-T18</f>
        <v>#NAME?</v>
      </c>
      <c r="Y18" s="16"/>
      <c r="Z18" s="22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9</v>
      </c>
      <c r="C20" s="10"/>
      <c r="D20" s="21" t="e">
        <f ca="1">SUM(_xll.OneStop.ReportPlayer.OSRFunctions.OSRRef(D22))</f>
        <v>#NAME?</v>
      </c>
      <c r="E20" s="21"/>
      <c r="F20" s="30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0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0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0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0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0" t="e">
        <f t="shared" ref="Z20:Z22" ca="1" si="19">IF(T20=0,0,X20/T20)</f>
        <v>#NAME?</v>
      </c>
    </row>
    <row r="21" spans="1:26" s="27" customFormat="1" outlineLevel="1" collapsed="1" x14ac:dyDescent="0.25">
      <c r="A21" s="25"/>
      <c r="B21" s="12" t="e">
        <f ca="1">CONCATENATE("     ",_xll.OneStop.ReportPlayer.OSRFunctions.OSRGet("d_Account","AccountCategory"))</f>
        <v>#NAME?</v>
      </c>
      <c r="C21" s="12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2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6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62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8" t="s">
        <v>0</v>
      </c>
      <c r="C24" s="10"/>
      <c r="D24" s="4" t="e">
        <f ca="1">SUM(_xll.OneStop.ReportPlayer.OSRFunctions.OSRRef(D25))</f>
        <v>#NAME?</v>
      </c>
      <c r="E24" s="4"/>
      <c r="F24" s="13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3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3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3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3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3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3</v>
      </c>
      <c r="C27" s="29"/>
      <c r="D27" s="20" t="e">
        <f ca="1">+D18-D20+D24</f>
        <v>#NAME?</v>
      </c>
      <c r="E27" s="14"/>
      <c r="F27" s="22" t="e">
        <f ca="1">IF(D$12=0,0,D27/D$12)</f>
        <v>#NAME?</v>
      </c>
      <c r="G27" s="14"/>
      <c r="H27" s="20" t="e">
        <f ca="1">+H18-H20+H24</f>
        <v>#NAME?</v>
      </c>
      <c r="I27" s="14"/>
      <c r="J27" s="22" t="e">
        <f ca="1">IF(H$12=0,0,H27/H$12)</f>
        <v>#NAME?</v>
      </c>
      <c r="K27" s="16"/>
      <c r="L27" s="20" t="e">
        <f ca="1">+D27-H27</f>
        <v>#NAME?</v>
      </c>
      <c r="M27" s="16"/>
      <c r="N27" s="22" t="e">
        <f ca="1">IF(H27=0,0,L27/H27)</f>
        <v>#NAME?</v>
      </c>
      <c r="O27" s="28"/>
      <c r="P27" s="20" t="e">
        <f ca="1">+P18-P20+P24</f>
        <v>#NAME?</v>
      </c>
      <c r="Q27" s="14"/>
      <c r="R27" s="22" t="e">
        <f ca="1">IF(P$12=0,0,P27/P$12)</f>
        <v>#NAME?</v>
      </c>
      <c r="S27" s="14"/>
      <c r="T27" s="20" t="e">
        <f ca="1">+T18-T20+T24</f>
        <v>#NAME?</v>
      </c>
      <c r="U27" s="14"/>
      <c r="V27" s="22" t="e">
        <f ca="1">IF(T$12=0,0,T27/T$12)</f>
        <v>#NAME?</v>
      </c>
      <c r="W27" s="16"/>
      <c r="X27" s="20" t="e">
        <f ca="1">+P27-T27</f>
        <v>#NAME?</v>
      </c>
      <c r="Y27" s="16"/>
      <c r="Z27" s="22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3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3" t="e">
        <f ca="1">IF(H$12=0,0,H29/H$12)</f>
        <v>#NAME?</v>
      </c>
      <c r="K29" s="4"/>
      <c r="L29" s="4" t="e">
        <f ca="1">+D29-H29</f>
        <v>#NAME?</v>
      </c>
      <c r="M29" s="4"/>
      <c r="N29" s="13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3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3" t="e">
        <f ca="1">IF(T$12=0,0,T29/T$12)</f>
        <v>#NAME?</v>
      </c>
      <c r="W29" s="4"/>
      <c r="X29" s="4" t="e">
        <f ca="1">+P29-T29</f>
        <v>#NAME?</v>
      </c>
      <c r="Y29" s="4"/>
      <c r="Z29" s="13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4</v>
      </c>
      <c r="C31" s="29"/>
      <c r="D31" s="35" t="e">
        <f ca="1">+D27-D29</f>
        <v>#NAME?</v>
      </c>
      <c r="E31" s="14"/>
      <c r="F31" s="32" t="e">
        <f ca="1">IF(D$12=0,0,D31/D$12)</f>
        <v>#NAME?</v>
      </c>
      <c r="G31" s="14"/>
      <c r="H31" s="35" t="e">
        <f ca="1">+H27-H29</f>
        <v>#NAME?</v>
      </c>
      <c r="I31" s="14"/>
      <c r="J31" s="32" t="e">
        <f ca="1">IF(H$12=0,0,H31/H$12)</f>
        <v>#NAME?</v>
      </c>
      <c r="K31" s="16"/>
      <c r="L31" s="35" t="e">
        <f ca="1">D31-H31</f>
        <v>#NAME?</v>
      </c>
      <c r="M31" s="16"/>
      <c r="N31" s="32" t="e">
        <f ca="1">IF(H31=0,0,L31/H31)</f>
        <v>#NAME?</v>
      </c>
      <c r="O31" s="28"/>
      <c r="P31" s="35" t="e">
        <f ca="1">+P27-P29</f>
        <v>#NAME?</v>
      </c>
      <c r="Q31" s="14"/>
      <c r="R31" s="32" t="e">
        <f ca="1">IF(P$12=0,0,P31/P$12)</f>
        <v>#NAME?</v>
      </c>
      <c r="S31" s="14"/>
      <c r="T31" s="35" t="e">
        <f ca="1">+T27-T29</f>
        <v>#NAME?</v>
      </c>
      <c r="U31" s="14"/>
      <c r="V31" s="32" t="e">
        <f ca="1">IF(T$12=0,0,T31/T$12)</f>
        <v>#NAME?</v>
      </c>
      <c r="W31" s="16"/>
      <c r="X31" s="35" t="e">
        <f ca="1">P31-T31</f>
        <v>#NAME?</v>
      </c>
      <c r="Y31" s="16"/>
      <c r="Z31" s="32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3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3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3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3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3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3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3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3" t="e">
        <f t="shared" ca="1" si="29"/>
        <v>#NAME?</v>
      </c>
      <c r="K34" s="4"/>
      <c r="L34" s="4" t="e">
        <f t="shared" ca="1" si="30"/>
        <v>#NAME?</v>
      </c>
      <c r="M34" s="4"/>
      <c r="N34" s="13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3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3" t="e">
        <f t="shared" ca="1" si="33"/>
        <v>#NAME?</v>
      </c>
      <c r="W34" s="4"/>
      <c r="X34" s="4" t="e">
        <f t="shared" ca="1" si="34"/>
        <v>#NAME?</v>
      </c>
      <c r="Y34" s="4"/>
      <c r="Z34" s="13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5</v>
      </c>
      <c r="C36" s="29"/>
      <c r="D36" s="34" t="e">
        <f ca="1">SUM(D31:D35)</f>
        <v>#NAME?</v>
      </c>
      <c r="E36" s="14"/>
      <c r="F36" s="31" t="e">
        <f ca="1">IF(D$12=0,0,D36/D$12)</f>
        <v>#NAME?</v>
      </c>
      <c r="G36" s="14"/>
      <c r="H36" s="34" t="e">
        <f ca="1">SUM(H31:H35)</f>
        <v>#NAME?</v>
      </c>
      <c r="I36" s="14"/>
      <c r="J36" s="31" t="e">
        <f ca="1">IF(H$12=0,0,H36/H$12)</f>
        <v>#NAME?</v>
      </c>
      <c r="K36" s="16"/>
      <c r="L36" s="34" t="e">
        <f ca="1">+D36-H36</f>
        <v>#NAME?</v>
      </c>
      <c r="M36" s="16"/>
      <c r="N36" s="31" t="e">
        <f ca="1">IF(H36=0,0,L36/H36)</f>
        <v>#NAME?</v>
      </c>
      <c r="O36" s="28"/>
      <c r="P36" s="34" t="e">
        <f ca="1">SUM(P31:P35)</f>
        <v>#NAME?</v>
      </c>
      <c r="Q36" s="14"/>
      <c r="R36" s="31" t="e">
        <f ca="1">IF(P$12=0,0,P36/P$12)</f>
        <v>#NAME?</v>
      </c>
      <c r="S36" s="14"/>
      <c r="T36" s="34" t="e">
        <f ca="1">SUM(T31:T35)</f>
        <v>#NAME?</v>
      </c>
      <c r="U36" s="14"/>
      <c r="V36" s="31" t="e">
        <f ca="1">IF(T$12=0,0,T36/T$12)</f>
        <v>#NAME?</v>
      </c>
      <c r="W36" s="16"/>
      <c r="X36" s="34" t="e">
        <f ca="1">+P36-T36</f>
        <v>#NAME?</v>
      </c>
      <c r="Y36" s="16"/>
      <c r="Z36" s="31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59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56" t="e">
        <f ca="1">_xll.OneStop.ReportPlayer.OSRFunctions.OSRGet("User","UserId")</f>
        <v>#NAME?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54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63" t="s">
        <v>13</v>
      </c>
    </row>
    <row r="3" spans="1:26" x14ac:dyDescent="0.25">
      <c r="D3" s="63" t="s">
        <v>296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61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63" t="e">
        <f ca="1">CONCATENATE("Period ",RIGHT(_xll.OneStop.ReportPlayer.OSRFunctions.OSRGet("Period","PeriodId"),2),", ",_xll.OneStop.ReportPlayer.OSRFunctions.OSRGet("Period","Year"))</f>
        <v>#NAME?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61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5" t="e">
        <f ca="1">_xll.OneStop.ReportPlayer.OSRFunctions.OSRGet("Period","PeriodEnd")</f>
        <v>#NAME?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61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51"/>
      <c r="C6" s="51"/>
      <c r="D6" s="23" t="s">
        <v>298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57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5" t="s">
        <v>294</v>
      </c>
      <c r="E9" s="15"/>
      <c r="F9" s="38"/>
      <c r="G9" s="15"/>
      <c r="H9" s="15"/>
      <c r="I9" s="15"/>
      <c r="J9" s="46"/>
      <c r="K9" s="15"/>
      <c r="L9" s="15"/>
      <c r="M9" s="15"/>
      <c r="N9" s="38"/>
      <c r="P9" s="15" t="s">
        <v>295</v>
      </c>
      <c r="Q9" s="15"/>
      <c r="R9" s="38"/>
      <c r="S9" s="15"/>
      <c r="T9" s="15"/>
      <c r="U9" s="15"/>
      <c r="V9" s="46"/>
      <c r="W9" s="15"/>
      <c r="X9" s="15"/>
      <c r="Y9" s="15"/>
      <c r="Z9" s="38"/>
    </row>
    <row r="10" spans="1:26" x14ac:dyDescent="0.25">
      <c r="A10" s="10"/>
      <c r="B10" s="55"/>
      <c r="C10" s="10"/>
      <c r="D10" s="43" t="s">
        <v>10</v>
      </c>
      <c r="E10" s="33"/>
      <c r="F10" s="40" t="s">
        <v>15</v>
      </c>
      <c r="G10" s="33"/>
      <c r="H10" s="47" t="s">
        <v>11</v>
      </c>
      <c r="I10" s="33"/>
      <c r="J10" s="45" t="s">
        <v>16</v>
      </c>
      <c r="K10" s="10"/>
      <c r="L10" s="43" t="s">
        <v>12</v>
      </c>
      <c r="M10" s="10"/>
      <c r="N10" s="40" t="s">
        <v>17</v>
      </c>
      <c r="O10" s="10"/>
      <c r="P10" s="53" t="s">
        <v>10</v>
      </c>
      <c r="Q10" s="33"/>
      <c r="R10" s="40" t="s">
        <v>15</v>
      </c>
      <c r="S10" s="33"/>
      <c r="T10" s="47" t="s">
        <v>11</v>
      </c>
      <c r="U10" s="33"/>
      <c r="V10" s="45" t="s">
        <v>16</v>
      </c>
      <c r="W10" s="10"/>
      <c r="X10" s="43" t="s">
        <v>12</v>
      </c>
      <c r="Y10" s="10"/>
      <c r="Z10" s="40" t="s">
        <v>17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 t="e">
        <f ca="1">SUM(_xll.OneStop.ReportPlayer.OSRFunctions.OSRRef(D13))</f>
        <v>#NAME?</v>
      </c>
      <c r="E12" s="4"/>
      <c r="F12" s="13"/>
      <c r="G12" s="4"/>
      <c r="H12" s="4" t="e">
        <f ca="1">SUM(_xll.OneStop.ReportPlayer.OSRFunctions.OSRRef(H13))</f>
        <v>#NAME?</v>
      </c>
      <c r="I12" s="4"/>
      <c r="J12" s="13"/>
      <c r="K12" s="4"/>
      <c r="L12" s="4" t="e">
        <f t="shared" ref="L12:L13" ca="1" si="0">+D12-H12</f>
        <v>#NAME?</v>
      </c>
      <c r="M12" s="4"/>
      <c r="N12" s="13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3"/>
      <c r="S12" s="4"/>
      <c r="T12" s="4" t="e">
        <f ca="1">SUM(_xll.OneStop.ReportPlayer.OSRFunctions.OSRRef(T13))</f>
        <v>#NAME?</v>
      </c>
      <c r="U12" s="4"/>
      <c r="V12" s="13"/>
      <c r="W12" s="4"/>
      <c r="X12" s="4" t="e">
        <f t="shared" ref="X12:X13" ca="1" si="2">+P12-T12</f>
        <v>#NAME?</v>
      </c>
      <c r="Y12" s="4"/>
      <c r="Z12" s="13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8</v>
      </c>
      <c r="C15" s="10"/>
      <c r="D15" s="4" t="e">
        <f ca="1">SUM(_xll.OneStop.ReportPlayer.OSRFunctions.OSRRef(D16))</f>
        <v>#NAME?</v>
      </c>
      <c r="E15" s="4"/>
      <c r="F15" s="13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3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3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3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3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3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6</v>
      </c>
      <c r="C18" s="29"/>
      <c r="D18" s="20" t="e">
        <f ca="1">D12-D15</f>
        <v>#NAME?</v>
      </c>
      <c r="E18" s="14"/>
      <c r="F18" s="22" t="e">
        <f ca="1">IF(D$12=0,0,D18/D$12)</f>
        <v>#NAME?</v>
      </c>
      <c r="G18" s="14"/>
      <c r="H18" s="20" t="e">
        <f ca="1">H12-H15</f>
        <v>#NAME?</v>
      </c>
      <c r="I18" s="14"/>
      <c r="J18" s="22" t="e">
        <f ca="1">IF(H$12=0,0,H18/H$12)</f>
        <v>#NAME?</v>
      </c>
      <c r="K18" s="16"/>
      <c r="L18" s="20" t="e">
        <f ca="1">+D18-H18</f>
        <v>#NAME?</v>
      </c>
      <c r="M18" s="16"/>
      <c r="N18" s="22" t="e">
        <f ca="1">IF(H18=0,0,L18/H18)</f>
        <v>#NAME?</v>
      </c>
      <c r="O18" s="28"/>
      <c r="P18" s="20" t="e">
        <f ca="1">P12-P15</f>
        <v>#NAME?</v>
      </c>
      <c r="Q18" s="14"/>
      <c r="R18" s="22" t="e">
        <f ca="1">IF(P$12=0,0,P18/P$12)</f>
        <v>#NAME?</v>
      </c>
      <c r="S18" s="14"/>
      <c r="T18" s="20" t="e">
        <f ca="1">T12-T15</f>
        <v>#NAME?</v>
      </c>
      <c r="U18" s="14"/>
      <c r="V18" s="22" t="e">
        <f ca="1">IF(T$12=0,0,T18/T$12)</f>
        <v>#NAME?</v>
      </c>
      <c r="W18" s="16"/>
      <c r="X18" s="20" t="e">
        <f ca="1">+P18-T18</f>
        <v>#NAME?</v>
      </c>
      <c r="Y18" s="16"/>
      <c r="Z18" s="22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9</v>
      </c>
      <c r="C20" s="10"/>
      <c r="D20" s="21" t="e">
        <f ca="1">SUM(_xll.OneStop.ReportPlayer.OSRFunctions.OSRRef(D22))</f>
        <v>#NAME?</v>
      </c>
      <c r="E20" s="21"/>
      <c r="F20" s="30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0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0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0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0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0" t="e">
        <f t="shared" ref="Z20:Z22" ca="1" si="19">IF(T20=0,0,X20/T20)</f>
        <v>#NAME?</v>
      </c>
    </row>
    <row r="21" spans="1:26" s="27" customFormat="1" outlineLevel="1" collapsed="1" x14ac:dyDescent="0.25">
      <c r="A21" s="25"/>
      <c r="B21" s="12" t="e">
        <f ca="1">CONCATENATE("     ",_xll.OneStop.ReportPlayer.OSRFunctions.OSRGet("d_Account","AccountCategory"))</f>
        <v>#NAME?</v>
      </c>
      <c r="C21" s="12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2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6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62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8" t="s">
        <v>0</v>
      </c>
      <c r="C24" s="10"/>
      <c r="D24" s="4" t="e">
        <f ca="1">SUM(_xll.OneStop.ReportPlayer.OSRFunctions.OSRRef(D25))</f>
        <v>#NAME?</v>
      </c>
      <c r="E24" s="4"/>
      <c r="F24" s="13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3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3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3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3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3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3</v>
      </c>
      <c r="C27" s="29"/>
      <c r="D27" s="20" t="e">
        <f ca="1">+D18-D20+D24</f>
        <v>#NAME?</v>
      </c>
      <c r="E27" s="14"/>
      <c r="F27" s="22" t="e">
        <f ca="1">IF(D$12=0,0,D27/D$12)</f>
        <v>#NAME?</v>
      </c>
      <c r="G27" s="14"/>
      <c r="H27" s="20" t="e">
        <f ca="1">+H18-H20+H24</f>
        <v>#NAME?</v>
      </c>
      <c r="I27" s="14"/>
      <c r="J27" s="22" t="e">
        <f ca="1">IF(H$12=0,0,H27/H$12)</f>
        <v>#NAME?</v>
      </c>
      <c r="K27" s="16"/>
      <c r="L27" s="20" t="e">
        <f ca="1">+D27-H27</f>
        <v>#NAME?</v>
      </c>
      <c r="M27" s="16"/>
      <c r="N27" s="22" t="e">
        <f ca="1">IF(H27=0,0,L27/H27)</f>
        <v>#NAME?</v>
      </c>
      <c r="O27" s="28"/>
      <c r="P27" s="20" t="e">
        <f ca="1">+P18-P20+P24</f>
        <v>#NAME?</v>
      </c>
      <c r="Q27" s="14"/>
      <c r="R27" s="22" t="e">
        <f ca="1">IF(P$12=0,0,P27/P$12)</f>
        <v>#NAME?</v>
      </c>
      <c r="S27" s="14"/>
      <c r="T27" s="20" t="e">
        <f ca="1">+T18-T20+T24</f>
        <v>#NAME?</v>
      </c>
      <c r="U27" s="14"/>
      <c r="V27" s="22" t="e">
        <f ca="1">IF(T$12=0,0,T27/T$12)</f>
        <v>#NAME?</v>
      </c>
      <c r="W27" s="16"/>
      <c r="X27" s="20" t="e">
        <f ca="1">+P27-T27</f>
        <v>#NAME?</v>
      </c>
      <c r="Y27" s="16"/>
      <c r="Z27" s="22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3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3" t="e">
        <f ca="1">IF(H$12=0,0,H29/H$12)</f>
        <v>#NAME?</v>
      </c>
      <c r="K29" s="4"/>
      <c r="L29" s="4" t="e">
        <f ca="1">+D29-H29</f>
        <v>#NAME?</v>
      </c>
      <c r="M29" s="4"/>
      <c r="N29" s="13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3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3" t="e">
        <f ca="1">IF(T$12=0,0,T29/T$12)</f>
        <v>#NAME?</v>
      </c>
      <c r="W29" s="4"/>
      <c r="X29" s="4" t="e">
        <f ca="1">+P29-T29</f>
        <v>#NAME?</v>
      </c>
      <c r="Y29" s="4"/>
      <c r="Z29" s="13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4</v>
      </c>
      <c r="C31" s="29"/>
      <c r="D31" s="35" t="e">
        <f ca="1">+D27-D29</f>
        <v>#NAME?</v>
      </c>
      <c r="E31" s="14"/>
      <c r="F31" s="32" t="e">
        <f ca="1">IF(D$12=0,0,D31/D$12)</f>
        <v>#NAME?</v>
      </c>
      <c r="G31" s="14"/>
      <c r="H31" s="35" t="e">
        <f ca="1">+H27-H29</f>
        <v>#NAME?</v>
      </c>
      <c r="I31" s="14"/>
      <c r="J31" s="32" t="e">
        <f ca="1">IF(H$12=0,0,H31/H$12)</f>
        <v>#NAME?</v>
      </c>
      <c r="K31" s="16"/>
      <c r="L31" s="35" t="e">
        <f ca="1">D31-H31</f>
        <v>#NAME?</v>
      </c>
      <c r="M31" s="16"/>
      <c r="N31" s="32" t="e">
        <f ca="1">IF(H31=0,0,L31/H31)</f>
        <v>#NAME?</v>
      </c>
      <c r="O31" s="28"/>
      <c r="P31" s="35" t="e">
        <f ca="1">+P27-P29</f>
        <v>#NAME?</v>
      </c>
      <c r="Q31" s="14"/>
      <c r="R31" s="32" t="e">
        <f ca="1">IF(P$12=0,0,P31/P$12)</f>
        <v>#NAME?</v>
      </c>
      <c r="S31" s="14"/>
      <c r="T31" s="35" t="e">
        <f ca="1">+T27-T29</f>
        <v>#NAME?</v>
      </c>
      <c r="U31" s="14"/>
      <c r="V31" s="32" t="e">
        <f ca="1">IF(T$12=0,0,T31/T$12)</f>
        <v>#NAME?</v>
      </c>
      <c r="W31" s="16"/>
      <c r="X31" s="35" t="e">
        <f ca="1">P31-T31</f>
        <v>#NAME?</v>
      </c>
      <c r="Y31" s="16"/>
      <c r="Z31" s="32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3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3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3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3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3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3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3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3" t="e">
        <f t="shared" ca="1" si="29"/>
        <v>#NAME?</v>
      </c>
      <c r="K34" s="4"/>
      <c r="L34" s="4" t="e">
        <f t="shared" ca="1" si="30"/>
        <v>#NAME?</v>
      </c>
      <c r="M34" s="4"/>
      <c r="N34" s="13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3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3" t="e">
        <f t="shared" ca="1" si="33"/>
        <v>#NAME?</v>
      </c>
      <c r="W34" s="4"/>
      <c r="X34" s="4" t="e">
        <f t="shared" ca="1" si="34"/>
        <v>#NAME?</v>
      </c>
      <c r="Y34" s="4"/>
      <c r="Z34" s="13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5</v>
      </c>
      <c r="C36" s="29"/>
      <c r="D36" s="34" t="e">
        <f ca="1">SUM(D31:D35)</f>
        <v>#NAME?</v>
      </c>
      <c r="E36" s="14"/>
      <c r="F36" s="31" t="e">
        <f ca="1">IF(D$12=0,0,D36/D$12)</f>
        <v>#NAME?</v>
      </c>
      <c r="G36" s="14"/>
      <c r="H36" s="34" t="e">
        <f ca="1">SUM(H31:H35)</f>
        <v>#NAME?</v>
      </c>
      <c r="I36" s="14"/>
      <c r="J36" s="31" t="e">
        <f ca="1">IF(H$12=0,0,H36/H$12)</f>
        <v>#NAME?</v>
      </c>
      <c r="K36" s="16"/>
      <c r="L36" s="34" t="e">
        <f ca="1">+D36-H36</f>
        <v>#NAME?</v>
      </c>
      <c r="M36" s="16"/>
      <c r="N36" s="31" t="e">
        <f ca="1">IF(H36=0,0,L36/H36)</f>
        <v>#NAME?</v>
      </c>
      <c r="O36" s="28"/>
      <c r="P36" s="34" t="e">
        <f ca="1">SUM(P31:P35)</f>
        <v>#NAME?</v>
      </c>
      <c r="Q36" s="14"/>
      <c r="R36" s="31" t="e">
        <f ca="1">IF(P$12=0,0,P36/P$12)</f>
        <v>#NAME?</v>
      </c>
      <c r="S36" s="14"/>
      <c r="T36" s="34" t="e">
        <f ca="1">SUM(T31:T35)</f>
        <v>#NAME?</v>
      </c>
      <c r="U36" s="14"/>
      <c r="V36" s="31" t="e">
        <f ca="1">IF(T$12=0,0,T36/T$12)</f>
        <v>#NAME?</v>
      </c>
      <c r="W36" s="16"/>
      <c r="X36" s="34" t="e">
        <f ca="1">+P36-T36</f>
        <v>#NAME?</v>
      </c>
      <c r="Y36" s="16"/>
      <c r="Z36" s="31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59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56" t="e">
        <f ca="1">_xll.OneStop.ReportPlayer.OSRFunctions.OSRGet("User","UserId")</f>
        <v>#NAME?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54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63" t="s">
        <v>13</v>
      </c>
    </row>
    <row r="3" spans="1:26" x14ac:dyDescent="0.25">
      <c r="D3" s="63" t="s">
        <v>296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61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63" t="e">
        <f ca="1">CONCATENATE("Period ",RIGHT(_xll.OneStop.ReportPlayer.OSRFunctions.OSRGet("Period","PeriodId"),2),", ",_xll.OneStop.ReportPlayer.OSRFunctions.OSRGet("Period","Year"))</f>
        <v>#NAME?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61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5" t="e">
        <f ca="1">_xll.OneStop.ReportPlayer.OSRFunctions.OSRGet("Period","PeriodEnd")</f>
        <v>#NAME?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61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51"/>
      <c r="C6" s="51"/>
      <c r="D6" s="23" t="s">
        <v>298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57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5" t="s">
        <v>294</v>
      </c>
      <c r="E9" s="15"/>
      <c r="F9" s="38"/>
      <c r="G9" s="15"/>
      <c r="H9" s="15"/>
      <c r="I9" s="15"/>
      <c r="J9" s="46"/>
      <c r="K9" s="15"/>
      <c r="L9" s="15"/>
      <c r="M9" s="15"/>
      <c r="N9" s="38"/>
      <c r="P9" s="15" t="s">
        <v>295</v>
      </c>
      <c r="Q9" s="15"/>
      <c r="R9" s="38"/>
      <c r="S9" s="15"/>
      <c r="T9" s="15"/>
      <c r="U9" s="15"/>
      <c r="V9" s="46"/>
      <c r="W9" s="15"/>
      <c r="X9" s="15"/>
      <c r="Y9" s="15"/>
      <c r="Z9" s="38"/>
    </row>
    <row r="10" spans="1:26" x14ac:dyDescent="0.25">
      <c r="A10" s="10"/>
      <c r="B10" s="55"/>
      <c r="C10" s="10"/>
      <c r="D10" s="43" t="s">
        <v>10</v>
      </c>
      <c r="E10" s="33"/>
      <c r="F10" s="40" t="s">
        <v>15</v>
      </c>
      <c r="G10" s="33"/>
      <c r="H10" s="47" t="s">
        <v>11</v>
      </c>
      <c r="I10" s="33"/>
      <c r="J10" s="45" t="s">
        <v>16</v>
      </c>
      <c r="K10" s="10"/>
      <c r="L10" s="43" t="s">
        <v>12</v>
      </c>
      <c r="M10" s="10"/>
      <c r="N10" s="40" t="s">
        <v>17</v>
      </c>
      <c r="O10" s="10"/>
      <c r="P10" s="53" t="s">
        <v>10</v>
      </c>
      <c r="Q10" s="33"/>
      <c r="R10" s="40" t="s">
        <v>15</v>
      </c>
      <c r="S10" s="33"/>
      <c r="T10" s="47" t="s">
        <v>11</v>
      </c>
      <c r="U10" s="33"/>
      <c r="V10" s="45" t="s">
        <v>16</v>
      </c>
      <c r="W10" s="10"/>
      <c r="X10" s="43" t="s">
        <v>12</v>
      </c>
      <c r="Y10" s="10"/>
      <c r="Z10" s="40" t="s">
        <v>17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 t="e">
        <f ca="1">SUM(_xll.OneStop.ReportPlayer.OSRFunctions.OSRRef(D13))</f>
        <v>#NAME?</v>
      </c>
      <c r="E12" s="4"/>
      <c r="F12" s="13"/>
      <c r="G12" s="4"/>
      <c r="H12" s="4" t="e">
        <f ca="1">SUM(_xll.OneStop.ReportPlayer.OSRFunctions.OSRRef(H13))</f>
        <v>#NAME?</v>
      </c>
      <c r="I12" s="4"/>
      <c r="J12" s="13"/>
      <c r="K12" s="4"/>
      <c r="L12" s="4" t="e">
        <f t="shared" ref="L12:L13" ca="1" si="0">+D12-H12</f>
        <v>#NAME?</v>
      </c>
      <c r="M12" s="4"/>
      <c r="N12" s="13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3"/>
      <c r="S12" s="4"/>
      <c r="T12" s="4" t="e">
        <f ca="1">SUM(_xll.OneStop.ReportPlayer.OSRFunctions.OSRRef(T13))</f>
        <v>#NAME?</v>
      </c>
      <c r="U12" s="4"/>
      <c r="V12" s="13"/>
      <c r="W12" s="4"/>
      <c r="X12" s="4" t="e">
        <f t="shared" ref="X12:X13" ca="1" si="2">+P12-T12</f>
        <v>#NAME?</v>
      </c>
      <c r="Y12" s="4"/>
      <c r="Z12" s="13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8</v>
      </c>
      <c r="C15" s="10"/>
      <c r="D15" s="4" t="e">
        <f ca="1">SUM(_xll.OneStop.ReportPlayer.OSRFunctions.OSRRef(D16))</f>
        <v>#NAME?</v>
      </c>
      <c r="E15" s="4"/>
      <c r="F15" s="13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3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3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3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3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3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6</v>
      </c>
      <c r="C18" s="29"/>
      <c r="D18" s="20" t="e">
        <f ca="1">D12-D15</f>
        <v>#NAME?</v>
      </c>
      <c r="E18" s="14"/>
      <c r="F18" s="22" t="e">
        <f ca="1">IF(D$12=0,0,D18/D$12)</f>
        <v>#NAME?</v>
      </c>
      <c r="G18" s="14"/>
      <c r="H18" s="20" t="e">
        <f ca="1">H12-H15</f>
        <v>#NAME?</v>
      </c>
      <c r="I18" s="14"/>
      <c r="J18" s="22" t="e">
        <f ca="1">IF(H$12=0,0,H18/H$12)</f>
        <v>#NAME?</v>
      </c>
      <c r="K18" s="16"/>
      <c r="L18" s="20" t="e">
        <f ca="1">+D18-H18</f>
        <v>#NAME?</v>
      </c>
      <c r="M18" s="16"/>
      <c r="N18" s="22" t="e">
        <f ca="1">IF(H18=0,0,L18/H18)</f>
        <v>#NAME?</v>
      </c>
      <c r="O18" s="28"/>
      <c r="P18" s="20" t="e">
        <f ca="1">P12-P15</f>
        <v>#NAME?</v>
      </c>
      <c r="Q18" s="14"/>
      <c r="R18" s="22" t="e">
        <f ca="1">IF(P$12=0,0,P18/P$12)</f>
        <v>#NAME?</v>
      </c>
      <c r="S18" s="14"/>
      <c r="T18" s="20" t="e">
        <f ca="1">T12-T15</f>
        <v>#NAME?</v>
      </c>
      <c r="U18" s="14"/>
      <c r="V18" s="22" t="e">
        <f ca="1">IF(T$12=0,0,T18/T$12)</f>
        <v>#NAME?</v>
      </c>
      <c r="W18" s="16"/>
      <c r="X18" s="20" t="e">
        <f ca="1">+P18-T18</f>
        <v>#NAME?</v>
      </c>
      <c r="Y18" s="16"/>
      <c r="Z18" s="22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9</v>
      </c>
      <c r="C20" s="10"/>
      <c r="D20" s="21" t="e">
        <f ca="1">SUM(_xll.OneStop.ReportPlayer.OSRFunctions.OSRRef(D22))</f>
        <v>#NAME?</v>
      </c>
      <c r="E20" s="21"/>
      <c r="F20" s="30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0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0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0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0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0" t="e">
        <f t="shared" ref="Z20:Z22" ca="1" si="19">IF(T20=0,0,X20/T20)</f>
        <v>#NAME?</v>
      </c>
    </row>
    <row r="21" spans="1:26" s="27" customFormat="1" outlineLevel="1" collapsed="1" x14ac:dyDescent="0.25">
      <c r="A21" s="25"/>
      <c r="B21" s="12" t="e">
        <f ca="1">CONCATENATE("     ",_xll.OneStop.ReportPlayer.OSRFunctions.OSRGet("d_Account","AccountCategory"))</f>
        <v>#NAME?</v>
      </c>
      <c r="C21" s="12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2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6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62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8" t="s">
        <v>0</v>
      </c>
      <c r="C24" s="10"/>
      <c r="D24" s="4" t="e">
        <f ca="1">SUM(_xll.OneStop.ReportPlayer.OSRFunctions.OSRRef(D25))</f>
        <v>#NAME?</v>
      </c>
      <c r="E24" s="4"/>
      <c r="F24" s="13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3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3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3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3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3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3</v>
      </c>
      <c r="C27" s="29"/>
      <c r="D27" s="20" t="e">
        <f ca="1">+D18-D20+D24</f>
        <v>#NAME?</v>
      </c>
      <c r="E27" s="14"/>
      <c r="F27" s="22" t="e">
        <f ca="1">IF(D$12=0,0,D27/D$12)</f>
        <v>#NAME?</v>
      </c>
      <c r="G27" s="14"/>
      <c r="H27" s="20" t="e">
        <f ca="1">+H18-H20+H24</f>
        <v>#NAME?</v>
      </c>
      <c r="I27" s="14"/>
      <c r="J27" s="22" t="e">
        <f ca="1">IF(H$12=0,0,H27/H$12)</f>
        <v>#NAME?</v>
      </c>
      <c r="K27" s="16"/>
      <c r="L27" s="20" t="e">
        <f ca="1">+D27-H27</f>
        <v>#NAME?</v>
      </c>
      <c r="M27" s="16"/>
      <c r="N27" s="22" t="e">
        <f ca="1">IF(H27=0,0,L27/H27)</f>
        <v>#NAME?</v>
      </c>
      <c r="O27" s="28"/>
      <c r="P27" s="20" t="e">
        <f ca="1">+P18-P20+P24</f>
        <v>#NAME?</v>
      </c>
      <c r="Q27" s="14"/>
      <c r="R27" s="22" t="e">
        <f ca="1">IF(P$12=0,0,P27/P$12)</f>
        <v>#NAME?</v>
      </c>
      <c r="S27" s="14"/>
      <c r="T27" s="20" t="e">
        <f ca="1">+T18-T20+T24</f>
        <v>#NAME?</v>
      </c>
      <c r="U27" s="14"/>
      <c r="V27" s="22" t="e">
        <f ca="1">IF(T$12=0,0,T27/T$12)</f>
        <v>#NAME?</v>
      </c>
      <c r="W27" s="16"/>
      <c r="X27" s="20" t="e">
        <f ca="1">+P27-T27</f>
        <v>#NAME?</v>
      </c>
      <c r="Y27" s="16"/>
      <c r="Z27" s="22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3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3" t="e">
        <f ca="1">IF(H$12=0,0,H29/H$12)</f>
        <v>#NAME?</v>
      </c>
      <c r="K29" s="4"/>
      <c r="L29" s="4" t="e">
        <f ca="1">+D29-H29</f>
        <v>#NAME?</v>
      </c>
      <c r="M29" s="4"/>
      <c r="N29" s="13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3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3" t="e">
        <f ca="1">IF(T$12=0,0,T29/T$12)</f>
        <v>#NAME?</v>
      </c>
      <c r="W29" s="4"/>
      <c r="X29" s="4" t="e">
        <f ca="1">+P29-T29</f>
        <v>#NAME?</v>
      </c>
      <c r="Y29" s="4"/>
      <c r="Z29" s="13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4</v>
      </c>
      <c r="C31" s="29"/>
      <c r="D31" s="35" t="e">
        <f ca="1">+D27-D29</f>
        <v>#NAME?</v>
      </c>
      <c r="E31" s="14"/>
      <c r="F31" s="32" t="e">
        <f ca="1">IF(D$12=0,0,D31/D$12)</f>
        <v>#NAME?</v>
      </c>
      <c r="G31" s="14"/>
      <c r="H31" s="35" t="e">
        <f ca="1">+H27-H29</f>
        <v>#NAME?</v>
      </c>
      <c r="I31" s="14"/>
      <c r="J31" s="32" t="e">
        <f ca="1">IF(H$12=0,0,H31/H$12)</f>
        <v>#NAME?</v>
      </c>
      <c r="K31" s="16"/>
      <c r="L31" s="35" t="e">
        <f ca="1">D31-H31</f>
        <v>#NAME?</v>
      </c>
      <c r="M31" s="16"/>
      <c r="N31" s="32" t="e">
        <f ca="1">IF(H31=0,0,L31/H31)</f>
        <v>#NAME?</v>
      </c>
      <c r="O31" s="28"/>
      <c r="P31" s="35" t="e">
        <f ca="1">+P27-P29</f>
        <v>#NAME?</v>
      </c>
      <c r="Q31" s="14"/>
      <c r="R31" s="32" t="e">
        <f ca="1">IF(P$12=0,0,P31/P$12)</f>
        <v>#NAME?</v>
      </c>
      <c r="S31" s="14"/>
      <c r="T31" s="35" t="e">
        <f ca="1">+T27-T29</f>
        <v>#NAME?</v>
      </c>
      <c r="U31" s="14"/>
      <c r="V31" s="32" t="e">
        <f ca="1">IF(T$12=0,0,T31/T$12)</f>
        <v>#NAME?</v>
      </c>
      <c r="W31" s="16"/>
      <c r="X31" s="35" t="e">
        <f ca="1">P31-T31</f>
        <v>#NAME?</v>
      </c>
      <c r="Y31" s="16"/>
      <c r="Z31" s="32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3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3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3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3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3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3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3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3" t="e">
        <f t="shared" ca="1" si="29"/>
        <v>#NAME?</v>
      </c>
      <c r="K34" s="4"/>
      <c r="L34" s="4" t="e">
        <f t="shared" ca="1" si="30"/>
        <v>#NAME?</v>
      </c>
      <c r="M34" s="4"/>
      <c r="N34" s="13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3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3" t="e">
        <f t="shared" ca="1" si="33"/>
        <v>#NAME?</v>
      </c>
      <c r="W34" s="4"/>
      <c r="X34" s="4" t="e">
        <f t="shared" ca="1" si="34"/>
        <v>#NAME?</v>
      </c>
      <c r="Y34" s="4"/>
      <c r="Z34" s="13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5</v>
      </c>
      <c r="C36" s="29"/>
      <c r="D36" s="34" t="e">
        <f ca="1">SUM(D31:D35)</f>
        <v>#NAME?</v>
      </c>
      <c r="E36" s="14"/>
      <c r="F36" s="31" t="e">
        <f ca="1">IF(D$12=0,0,D36/D$12)</f>
        <v>#NAME?</v>
      </c>
      <c r="G36" s="14"/>
      <c r="H36" s="34" t="e">
        <f ca="1">SUM(H31:H35)</f>
        <v>#NAME?</v>
      </c>
      <c r="I36" s="14"/>
      <c r="J36" s="31" t="e">
        <f ca="1">IF(H$12=0,0,H36/H$12)</f>
        <v>#NAME?</v>
      </c>
      <c r="K36" s="16"/>
      <c r="L36" s="34" t="e">
        <f ca="1">+D36-H36</f>
        <v>#NAME?</v>
      </c>
      <c r="M36" s="16"/>
      <c r="N36" s="31" t="e">
        <f ca="1">IF(H36=0,0,L36/H36)</f>
        <v>#NAME?</v>
      </c>
      <c r="O36" s="28"/>
      <c r="P36" s="34" t="e">
        <f ca="1">SUM(P31:P35)</f>
        <v>#NAME?</v>
      </c>
      <c r="Q36" s="14"/>
      <c r="R36" s="31" t="e">
        <f ca="1">IF(P$12=0,0,P36/P$12)</f>
        <v>#NAME?</v>
      </c>
      <c r="S36" s="14"/>
      <c r="T36" s="34" t="e">
        <f ca="1">SUM(T31:T35)</f>
        <v>#NAME?</v>
      </c>
      <c r="U36" s="14"/>
      <c r="V36" s="31" t="e">
        <f ca="1">IF(T$12=0,0,T36/T$12)</f>
        <v>#NAME?</v>
      </c>
      <c r="W36" s="16"/>
      <c r="X36" s="34" t="e">
        <f ca="1">+P36-T36</f>
        <v>#NAME?</v>
      </c>
      <c r="Y36" s="16"/>
      <c r="Z36" s="31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59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56" t="e">
        <f ca="1">_xll.OneStop.ReportPlayer.OSRFunctions.OSRGet("User","UserId")</f>
        <v>#NAME?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54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63" t="s">
        <v>13</v>
      </c>
    </row>
    <row r="3" spans="1:26" x14ac:dyDescent="0.25">
      <c r="D3" s="63" t="s">
        <v>296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61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63" t="e">
        <f ca="1">CONCATENATE("Period ",RIGHT(_xll.OneStop.ReportPlayer.OSRFunctions.OSRGet("Period","PeriodId"),2),", ",_xll.OneStop.ReportPlayer.OSRFunctions.OSRGet("Period","Year"))</f>
        <v>#NAME?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61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5" t="e">
        <f ca="1">_xll.OneStop.ReportPlayer.OSRFunctions.OSRGet("Period","PeriodEnd")</f>
        <v>#NAME?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61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51"/>
      <c r="C6" s="51"/>
      <c r="D6" s="23" t="s">
        <v>311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57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5" t="s">
        <v>294</v>
      </c>
      <c r="E9" s="15"/>
      <c r="F9" s="38"/>
      <c r="G9" s="15"/>
      <c r="H9" s="15"/>
      <c r="I9" s="15"/>
      <c r="J9" s="46"/>
      <c r="K9" s="15"/>
      <c r="L9" s="15"/>
      <c r="M9" s="15"/>
      <c r="N9" s="38"/>
      <c r="P9" s="15" t="s">
        <v>295</v>
      </c>
      <c r="Q9" s="15"/>
      <c r="R9" s="38"/>
      <c r="S9" s="15"/>
      <c r="T9" s="15"/>
      <c r="U9" s="15"/>
      <c r="V9" s="46"/>
      <c r="W9" s="15"/>
      <c r="X9" s="15"/>
      <c r="Y9" s="15"/>
      <c r="Z9" s="38"/>
    </row>
    <row r="10" spans="1:26" x14ac:dyDescent="0.25">
      <c r="A10" s="10"/>
      <c r="B10" s="55"/>
      <c r="C10" s="10"/>
      <c r="D10" s="43" t="s">
        <v>10</v>
      </c>
      <c r="E10" s="33"/>
      <c r="F10" s="40" t="s">
        <v>15</v>
      </c>
      <c r="G10" s="33"/>
      <c r="H10" s="47" t="s">
        <v>11</v>
      </c>
      <c r="I10" s="33"/>
      <c r="J10" s="45" t="s">
        <v>16</v>
      </c>
      <c r="K10" s="10"/>
      <c r="L10" s="43" t="s">
        <v>12</v>
      </c>
      <c r="M10" s="10"/>
      <c r="N10" s="40" t="s">
        <v>17</v>
      </c>
      <c r="O10" s="10"/>
      <c r="P10" s="53" t="s">
        <v>10</v>
      </c>
      <c r="Q10" s="33"/>
      <c r="R10" s="40" t="s">
        <v>15</v>
      </c>
      <c r="S10" s="33"/>
      <c r="T10" s="47" t="s">
        <v>11</v>
      </c>
      <c r="U10" s="33"/>
      <c r="V10" s="45" t="s">
        <v>16</v>
      </c>
      <c r="W10" s="10"/>
      <c r="X10" s="43" t="s">
        <v>12</v>
      </c>
      <c r="Y10" s="10"/>
      <c r="Z10" s="40" t="s">
        <v>17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 t="e">
        <f ca="1">SUM(_xll.OneStop.ReportPlayer.OSRFunctions.OSRRef(D13))</f>
        <v>#NAME?</v>
      </c>
      <c r="E12" s="4"/>
      <c r="F12" s="13"/>
      <c r="G12" s="4"/>
      <c r="H12" s="4" t="e">
        <f ca="1">SUM(_xll.OneStop.ReportPlayer.OSRFunctions.OSRRef(H13))</f>
        <v>#NAME?</v>
      </c>
      <c r="I12" s="4"/>
      <c r="J12" s="13"/>
      <c r="K12" s="4"/>
      <c r="L12" s="4" t="e">
        <f t="shared" ref="L12:L13" ca="1" si="0">+D12-H12</f>
        <v>#NAME?</v>
      </c>
      <c r="M12" s="4"/>
      <c r="N12" s="13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3"/>
      <c r="S12" s="4"/>
      <c r="T12" s="4" t="e">
        <f ca="1">SUM(_xll.OneStop.ReportPlayer.OSRFunctions.OSRRef(T13))</f>
        <v>#NAME?</v>
      </c>
      <c r="U12" s="4"/>
      <c r="V12" s="13"/>
      <c r="W12" s="4"/>
      <c r="X12" s="4" t="e">
        <f t="shared" ref="X12:X13" ca="1" si="2">+P12-T12</f>
        <v>#NAME?</v>
      </c>
      <c r="Y12" s="4"/>
      <c r="Z12" s="13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8</v>
      </c>
      <c r="C15" s="10"/>
      <c r="D15" s="4" t="e">
        <f ca="1">SUM(_xll.OneStop.ReportPlayer.OSRFunctions.OSRRef(D16))</f>
        <v>#NAME?</v>
      </c>
      <c r="E15" s="4"/>
      <c r="F15" s="13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3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3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3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3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3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6</v>
      </c>
      <c r="C18" s="29"/>
      <c r="D18" s="20" t="e">
        <f ca="1">D12-D15</f>
        <v>#NAME?</v>
      </c>
      <c r="E18" s="14"/>
      <c r="F18" s="22" t="e">
        <f ca="1">IF(D$12=0,0,D18/D$12)</f>
        <v>#NAME?</v>
      </c>
      <c r="G18" s="14"/>
      <c r="H18" s="20" t="e">
        <f ca="1">H12-H15</f>
        <v>#NAME?</v>
      </c>
      <c r="I18" s="14"/>
      <c r="J18" s="22" t="e">
        <f ca="1">IF(H$12=0,0,H18/H$12)</f>
        <v>#NAME?</v>
      </c>
      <c r="K18" s="16"/>
      <c r="L18" s="20" t="e">
        <f ca="1">+D18-H18</f>
        <v>#NAME?</v>
      </c>
      <c r="M18" s="16"/>
      <c r="N18" s="22" t="e">
        <f ca="1">IF(H18=0,0,L18/H18)</f>
        <v>#NAME?</v>
      </c>
      <c r="O18" s="28"/>
      <c r="P18" s="20" t="e">
        <f ca="1">P12-P15</f>
        <v>#NAME?</v>
      </c>
      <c r="Q18" s="14"/>
      <c r="R18" s="22" t="e">
        <f ca="1">IF(P$12=0,0,P18/P$12)</f>
        <v>#NAME?</v>
      </c>
      <c r="S18" s="14"/>
      <c r="T18" s="20" t="e">
        <f ca="1">T12-T15</f>
        <v>#NAME?</v>
      </c>
      <c r="U18" s="14"/>
      <c r="V18" s="22" t="e">
        <f ca="1">IF(T$12=0,0,T18/T$12)</f>
        <v>#NAME?</v>
      </c>
      <c r="W18" s="16"/>
      <c r="X18" s="20" t="e">
        <f ca="1">+P18-T18</f>
        <v>#NAME?</v>
      </c>
      <c r="Y18" s="16"/>
      <c r="Z18" s="22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9</v>
      </c>
      <c r="C20" s="10"/>
      <c r="D20" s="21" t="e">
        <f ca="1">SUM(_xll.OneStop.ReportPlayer.OSRFunctions.OSRRef(D22))</f>
        <v>#NAME?</v>
      </c>
      <c r="E20" s="21"/>
      <c r="F20" s="30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0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0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0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0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0" t="e">
        <f t="shared" ref="Z20:Z22" ca="1" si="19">IF(T20=0,0,X20/T20)</f>
        <v>#NAME?</v>
      </c>
    </row>
    <row r="21" spans="1:26" s="27" customFormat="1" outlineLevel="1" collapsed="1" x14ac:dyDescent="0.25">
      <c r="A21" s="25"/>
      <c r="B21" s="12" t="e">
        <f ca="1">CONCATENATE("     ",_xll.OneStop.ReportPlayer.OSRFunctions.OSRGet("d_Account","AccountCategory"))</f>
        <v>#NAME?</v>
      </c>
      <c r="C21" s="12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2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6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62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8" t="s">
        <v>0</v>
      </c>
      <c r="C24" s="10"/>
      <c r="D24" s="4" t="e">
        <f ca="1">SUM(_xll.OneStop.ReportPlayer.OSRFunctions.OSRRef(D25))</f>
        <v>#NAME?</v>
      </c>
      <c r="E24" s="4"/>
      <c r="F24" s="13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3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3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3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3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3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3</v>
      </c>
      <c r="C27" s="29"/>
      <c r="D27" s="20" t="e">
        <f ca="1">+D18-D20+D24</f>
        <v>#NAME?</v>
      </c>
      <c r="E27" s="14"/>
      <c r="F27" s="22" t="e">
        <f ca="1">IF(D$12=0,0,D27/D$12)</f>
        <v>#NAME?</v>
      </c>
      <c r="G27" s="14"/>
      <c r="H27" s="20" t="e">
        <f ca="1">+H18-H20+H24</f>
        <v>#NAME?</v>
      </c>
      <c r="I27" s="14"/>
      <c r="J27" s="22" t="e">
        <f ca="1">IF(H$12=0,0,H27/H$12)</f>
        <v>#NAME?</v>
      </c>
      <c r="K27" s="16"/>
      <c r="L27" s="20" t="e">
        <f ca="1">+D27-H27</f>
        <v>#NAME?</v>
      </c>
      <c r="M27" s="16"/>
      <c r="N27" s="22" t="e">
        <f ca="1">IF(H27=0,0,L27/H27)</f>
        <v>#NAME?</v>
      </c>
      <c r="O27" s="28"/>
      <c r="P27" s="20" t="e">
        <f ca="1">+P18-P20+P24</f>
        <v>#NAME?</v>
      </c>
      <c r="Q27" s="14"/>
      <c r="R27" s="22" t="e">
        <f ca="1">IF(P$12=0,0,P27/P$12)</f>
        <v>#NAME?</v>
      </c>
      <c r="S27" s="14"/>
      <c r="T27" s="20" t="e">
        <f ca="1">+T18-T20+T24</f>
        <v>#NAME?</v>
      </c>
      <c r="U27" s="14"/>
      <c r="V27" s="22" t="e">
        <f ca="1">IF(T$12=0,0,T27/T$12)</f>
        <v>#NAME?</v>
      </c>
      <c r="W27" s="16"/>
      <c r="X27" s="20" t="e">
        <f ca="1">+P27-T27</f>
        <v>#NAME?</v>
      </c>
      <c r="Y27" s="16"/>
      <c r="Z27" s="22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3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3" t="e">
        <f ca="1">IF(H$12=0,0,H29/H$12)</f>
        <v>#NAME?</v>
      </c>
      <c r="K29" s="4"/>
      <c r="L29" s="4" t="e">
        <f ca="1">+D29-H29</f>
        <v>#NAME?</v>
      </c>
      <c r="M29" s="4"/>
      <c r="N29" s="13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3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3" t="e">
        <f ca="1">IF(T$12=0,0,T29/T$12)</f>
        <v>#NAME?</v>
      </c>
      <c r="W29" s="4"/>
      <c r="X29" s="4" t="e">
        <f ca="1">+P29-T29</f>
        <v>#NAME?</v>
      </c>
      <c r="Y29" s="4"/>
      <c r="Z29" s="13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4</v>
      </c>
      <c r="C31" s="29"/>
      <c r="D31" s="35" t="e">
        <f ca="1">+D27-D29</f>
        <v>#NAME?</v>
      </c>
      <c r="E31" s="14"/>
      <c r="F31" s="32" t="e">
        <f ca="1">IF(D$12=0,0,D31/D$12)</f>
        <v>#NAME?</v>
      </c>
      <c r="G31" s="14"/>
      <c r="H31" s="35" t="e">
        <f ca="1">+H27-H29</f>
        <v>#NAME?</v>
      </c>
      <c r="I31" s="14"/>
      <c r="J31" s="32" t="e">
        <f ca="1">IF(H$12=0,0,H31/H$12)</f>
        <v>#NAME?</v>
      </c>
      <c r="K31" s="16"/>
      <c r="L31" s="35" t="e">
        <f ca="1">D31-H31</f>
        <v>#NAME?</v>
      </c>
      <c r="M31" s="16"/>
      <c r="N31" s="32" t="e">
        <f ca="1">IF(H31=0,0,L31/H31)</f>
        <v>#NAME?</v>
      </c>
      <c r="O31" s="28"/>
      <c r="P31" s="35" t="e">
        <f ca="1">+P27-P29</f>
        <v>#NAME?</v>
      </c>
      <c r="Q31" s="14"/>
      <c r="R31" s="32" t="e">
        <f ca="1">IF(P$12=0,0,P31/P$12)</f>
        <v>#NAME?</v>
      </c>
      <c r="S31" s="14"/>
      <c r="T31" s="35" t="e">
        <f ca="1">+T27-T29</f>
        <v>#NAME?</v>
      </c>
      <c r="U31" s="14"/>
      <c r="V31" s="32" t="e">
        <f ca="1">IF(T$12=0,0,T31/T$12)</f>
        <v>#NAME?</v>
      </c>
      <c r="W31" s="16"/>
      <c r="X31" s="35" t="e">
        <f ca="1">P31-T31</f>
        <v>#NAME?</v>
      </c>
      <c r="Y31" s="16"/>
      <c r="Z31" s="32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3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3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3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3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3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3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3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3" t="e">
        <f t="shared" ca="1" si="29"/>
        <v>#NAME?</v>
      </c>
      <c r="K34" s="4"/>
      <c r="L34" s="4" t="e">
        <f t="shared" ca="1" si="30"/>
        <v>#NAME?</v>
      </c>
      <c r="M34" s="4"/>
      <c r="N34" s="13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3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3" t="e">
        <f t="shared" ca="1" si="33"/>
        <v>#NAME?</v>
      </c>
      <c r="W34" s="4"/>
      <c r="X34" s="4" t="e">
        <f t="shared" ca="1" si="34"/>
        <v>#NAME?</v>
      </c>
      <c r="Y34" s="4"/>
      <c r="Z34" s="13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5</v>
      </c>
      <c r="C36" s="29"/>
      <c r="D36" s="34" t="e">
        <f ca="1">SUM(D31:D35)</f>
        <v>#NAME?</v>
      </c>
      <c r="E36" s="14"/>
      <c r="F36" s="31" t="e">
        <f ca="1">IF(D$12=0,0,D36/D$12)</f>
        <v>#NAME?</v>
      </c>
      <c r="G36" s="14"/>
      <c r="H36" s="34" t="e">
        <f ca="1">SUM(H31:H35)</f>
        <v>#NAME?</v>
      </c>
      <c r="I36" s="14"/>
      <c r="J36" s="31" t="e">
        <f ca="1">IF(H$12=0,0,H36/H$12)</f>
        <v>#NAME?</v>
      </c>
      <c r="K36" s="16"/>
      <c r="L36" s="34" t="e">
        <f ca="1">+D36-H36</f>
        <v>#NAME?</v>
      </c>
      <c r="M36" s="16"/>
      <c r="N36" s="31" t="e">
        <f ca="1">IF(H36=0,0,L36/H36)</f>
        <v>#NAME?</v>
      </c>
      <c r="O36" s="28"/>
      <c r="P36" s="34" t="e">
        <f ca="1">SUM(P31:P35)</f>
        <v>#NAME?</v>
      </c>
      <c r="Q36" s="14"/>
      <c r="R36" s="31" t="e">
        <f ca="1">IF(P$12=0,0,P36/P$12)</f>
        <v>#NAME?</v>
      </c>
      <c r="S36" s="14"/>
      <c r="T36" s="34" t="e">
        <f ca="1">SUM(T31:T35)</f>
        <v>#NAME?</v>
      </c>
      <c r="U36" s="14"/>
      <c r="V36" s="31" t="e">
        <f ca="1">IF(T$12=0,0,T36/T$12)</f>
        <v>#NAME?</v>
      </c>
      <c r="W36" s="16"/>
      <c r="X36" s="34" t="e">
        <f ca="1">+P36-T36</f>
        <v>#NAME?</v>
      </c>
      <c r="Y36" s="16"/>
      <c r="Z36" s="31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59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56" t="e">
        <f ca="1">_xll.OneStop.ReportPlayer.OSRFunctions.OSRGet("User","UserId")</f>
        <v>#NAME?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54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63" t="s">
        <v>13</v>
      </c>
    </row>
    <row r="3" spans="1:26" x14ac:dyDescent="0.25">
      <c r="D3" s="63" t="s">
        <v>296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61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63" t="e">
        <f ca="1">CONCATENATE("Period ",RIGHT(_xll.OneStop.ReportPlayer.OSRFunctions.OSRGet("Period","PeriodId"),2),", ",_xll.OneStop.ReportPlayer.OSRFunctions.OSRGet("Period","Year"))</f>
        <v>#NAME?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61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5" t="e">
        <f ca="1">_xll.OneStop.ReportPlayer.OSRFunctions.OSRGet("Period","PeriodEnd")</f>
        <v>#NAME?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61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51"/>
      <c r="C6" s="51"/>
      <c r="D6" s="23" t="s">
        <v>311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57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5" t="s">
        <v>294</v>
      </c>
      <c r="E9" s="15"/>
      <c r="F9" s="38"/>
      <c r="G9" s="15"/>
      <c r="H9" s="15"/>
      <c r="I9" s="15"/>
      <c r="J9" s="46"/>
      <c r="K9" s="15"/>
      <c r="L9" s="15"/>
      <c r="M9" s="15"/>
      <c r="N9" s="38"/>
      <c r="P9" s="15" t="s">
        <v>295</v>
      </c>
      <c r="Q9" s="15"/>
      <c r="R9" s="38"/>
      <c r="S9" s="15"/>
      <c r="T9" s="15"/>
      <c r="U9" s="15"/>
      <c r="V9" s="46"/>
      <c r="W9" s="15"/>
      <c r="X9" s="15"/>
      <c r="Y9" s="15"/>
      <c r="Z9" s="38"/>
    </row>
    <row r="10" spans="1:26" x14ac:dyDescent="0.25">
      <c r="A10" s="10"/>
      <c r="B10" s="55"/>
      <c r="C10" s="10"/>
      <c r="D10" s="43" t="s">
        <v>10</v>
      </c>
      <c r="E10" s="33"/>
      <c r="F10" s="40" t="s">
        <v>15</v>
      </c>
      <c r="G10" s="33"/>
      <c r="H10" s="47" t="s">
        <v>11</v>
      </c>
      <c r="I10" s="33"/>
      <c r="J10" s="45" t="s">
        <v>16</v>
      </c>
      <c r="K10" s="10"/>
      <c r="L10" s="43" t="s">
        <v>12</v>
      </c>
      <c r="M10" s="10"/>
      <c r="N10" s="40" t="s">
        <v>17</v>
      </c>
      <c r="O10" s="10"/>
      <c r="P10" s="53" t="s">
        <v>10</v>
      </c>
      <c r="Q10" s="33"/>
      <c r="R10" s="40" t="s">
        <v>15</v>
      </c>
      <c r="S10" s="33"/>
      <c r="T10" s="47" t="s">
        <v>11</v>
      </c>
      <c r="U10" s="33"/>
      <c r="V10" s="45" t="s">
        <v>16</v>
      </c>
      <c r="W10" s="10"/>
      <c r="X10" s="43" t="s">
        <v>12</v>
      </c>
      <c r="Y10" s="10"/>
      <c r="Z10" s="40" t="s">
        <v>17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 t="e">
        <f ca="1">SUM(_xll.OneStop.ReportPlayer.OSRFunctions.OSRRef(D13))</f>
        <v>#NAME?</v>
      </c>
      <c r="E12" s="4"/>
      <c r="F12" s="13"/>
      <c r="G12" s="4"/>
      <c r="H12" s="4" t="e">
        <f ca="1">SUM(_xll.OneStop.ReportPlayer.OSRFunctions.OSRRef(H13))</f>
        <v>#NAME?</v>
      </c>
      <c r="I12" s="4"/>
      <c r="J12" s="13"/>
      <c r="K12" s="4"/>
      <c r="L12" s="4" t="e">
        <f t="shared" ref="L12:L13" ca="1" si="0">+D12-H12</f>
        <v>#NAME?</v>
      </c>
      <c r="M12" s="4"/>
      <c r="N12" s="13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3"/>
      <c r="S12" s="4"/>
      <c r="T12" s="4" t="e">
        <f ca="1">SUM(_xll.OneStop.ReportPlayer.OSRFunctions.OSRRef(T13))</f>
        <v>#NAME?</v>
      </c>
      <c r="U12" s="4"/>
      <c r="V12" s="13"/>
      <c r="W12" s="4"/>
      <c r="X12" s="4" t="e">
        <f t="shared" ref="X12:X13" ca="1" si="2">+P12-T12</f>
        <v>#NAME?</v>
      </c>
      <c r="Y12" s="4"/>
      <c r="Z12" s="13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8</v>
      </c>
      <c r="C15" s="10"/>
      <c r="D15" s="4" t="e">
        <f ca="1">SUM(_xll.OneStop.ReportPlayer.OSRFunctions.OSRRef(D16))</f>
        <v>#NAME?</v>
      </c>
      <c r="E15" s="4"/>
      <c r="F15" s="13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3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3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3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3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3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6</v>
      </c>
      <c r="C18" s="29"/>
      <c r="D18" s="20" t="e">
        <f ca="1">D12-D15</f>
        <v>#NAME?</v>
      </c>
      <c r="E18" s="14"/>
      <c r="F18" s="22" t="e">
        <f ca="1">IF(D$12=0,0,D18/D$12)</f>
        <v>#NAME?</v>
      </c>
      <c r="G18" s="14"/>
      <c r="H18" s="20" t="e">
        <f ca="1">H12-H15</f>
        <v>#NAME?</v>
      </c>
      <c r="I18" s="14"/>
      <c r="J18" s="22" t="e">
        <f ca="1">IF(H$12=0,0,H18/H$12)</f>
        <v>#NAME?</v>
      </c>
      <c r="K18" s="16"/>
      <c r="L18" s="20" t="e">
        <f ca="1">+D18-H18</f>
        <v>#NAME?</v>
      </c>
      <c r="M18" s="16"/>
      <c r="N18" s="22" t="e">
        <f ca="1">IF(H18=0,0,L18/H18)</f>
        <v>#NAME?</v>
      </c>
      <c r="O18" s="28"/>
      <c r="P18" s="20" t="e">
        <f ca="1">P12-P15</f>
        <v>#NAME?</v>
      </c>
      <c r="Q18" s="14"/>
      <c r="R18" s="22" t="e">
        <f ca="1">IF(P$12=0,0,P18/P$12)</f>
        <v>#NAME?</v>
      </c>
      <c r="S18" s="14"/>
      <c r="T18" s="20" t="e">
        <f ca="1">T12-T15</f>
        <v>#NAME?</v>
      </c>
      <c r="U18" s="14"/>
      <c r="V18" s="22" t="e">
        <f ca="1">IF(T$12=0,0,T18/T$12)</f>
        <v>#NAME?</v>
      </c>
      <c r="W18" s="16"/>
      <c r="X18" s="20" t="e">
        <f ca="1">+P18-T18</f>
        <v>#NAME?</v>
      </c>
      <c r="Y18" s="16"/>
      <c r="Z18" s="22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9</v>
      </c>
      <c r="C20" s="10"/>
      <c r="D20" s="21" t="e">
        <f ca="1">SUM(_xll.OneStop.ReportPlayer.OSRFunctions.OSRRef(D22))</f>
        <v>#NAME?</v>
      </c>
      <c r="E20" s="21"/>
      <c r="F20" s="30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0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0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0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0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0" t="e">
        <f t="shared" ref="Z20:Z22" ca="1" si="19">IF(T20=0,0,X20/T20)</f>
        <v>#NAME?</v>
      </c>
    </row>
    <row r="21" spans="1:26" s="27" customFormat="1" outlineLevel="1" collapsed="1" x14ac:dyDescent="0.25">
      <c r="A21" s="25"/>
      <c r="B21" s="12" t="e">
        <f ca="1">CONCATENATE("     ",_xll.OneStop.ReportPlayer.OSRFunctions.OSRGet("d_Account","AccountCategory"))</f>
        <v>#NAME?</v>
      </c>
      <c r="C21" s="12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2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6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62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8" t="s">
        <v>0</v>
      </c>
      <c r="C24" s="10"/>
      <c r="D24" s="4" t="e">
        <f ca="1">SUM(_xll.OneStop.ReportPlayer.OSRFunctions.OSRRef(D25))</f>
        <v>#NAME?</v>
      </c>
      <c r="E24" s="4"/>
      <c r="F24" s="13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3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3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3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3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3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3</v>
      </c>
      <c r="C27" s="29"/>
      <c r="D27" s="20" t="e">
        <f ca="1">+D18-D20+D24</f>
        <v>#NAME?</v>
      </c>
      <c r="E27" s="14"/>
      <c r="F27" s="22" t="e">
        <f ca="1">IF(D$12=0,0,D27/D$12)</f>
        <v>#NAME?</v>
      </c>
      <c r="G27" s="14"/>
      <c r="H27" s="20" t="e">
        <f ca="1">+H18-H20+H24</f>
        <v>#NAME?</v>
      </c>
      <c r="I27" s="14"/>
      <c r="J27" s="22" t="e">
        <f ca="1">IF(H$12=0,0,H27/H$12)</f>
        <v>#NAME?</v>
      </c>
      <c r="K27" s="16"/>
      <c r="L27" s="20" t="e">
        <f ca="1">+D27-H27</f>
        <v>#NAME?</v>
      </c>
      <c r="M27" s="16"/>
      <c r="N27" s="22" t="e">
        <f ca="1">IF(H27=0,0,L27/H27)</f>
        <v>#NAME?</v>
      </c>
      <c r="O27" s="28"/>
      <c r="P27" s="20" t="e">
        <f ca="1">+P18-P20+P24</f>
        <v>#NAME?</v>
      </c>
      <c r="Q27" s="14"/>
      <c r="R27" s="22" t="e">
        <f ca="1">IF(P$12=0,0,P27/P$12)</f>
        <v>#NAME?</v>
      </c>
      <c r="S27" s="14"/>
      <c r="T27" s="20" t="e">
        <f ca="1">+T18-T20+T24</f>
        <v>#NAME?</v>
      </c>
      <c r="U27" s="14"/>
      <c r="V27" s="22" t="e">
        <f ca="1">IF(T$12=0,0,T27/T$12)</f>
        <v>#NAME?</v>
      </c>
      <c r="W27" s="16"/>
      <c r="X27" s="20" t="e">
        <f ca="1">+P27-T27</f>
        <v>#NAME?</v>
      </c>
      <c r="Y27" s="16"/>
      <c r="Z27" s="22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3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3" t="e">
        <f ca="1">IF(H$12=0,0,H29/H$12)</f>
        <v>#NAME?</v>
      </c>
      <c r="K29" s="4"/>
      <c r="L29" s="4" t="e">
        <f ca="1">+D29-H29</f>
        <v>#NAME?</v>
      </c>
      <c r="M29" s="4"/>
      <c r="N29" s="13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3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3" t="e">
        <f ca="1">IF(T$12=0,0,T29/T$12)</f>
        <v>#NAME?</v>
      </c>
      <c r="W29" s="4"/>
      <c r="X29" s="4" t="e">
        <f ca="1">+P29-T29</f>
        <v>#NAME?</v>
      </c>
      <c r="Y29" s="4"/>
      <c r="Z29" s="13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4</v>
      </c>
      <c r="C31" s="29"/>
      <c r="D31" s="35" t="e">
        <f ca="1">+D27-D29</f>
        <v>#NAME?</v>
      </c>
      <c r="E31" s="14"/>
      <c r="F31" s="32" t="e">
        <f ca="1">IF(D$12=0,0,D31/D$12)</f>
        <v>#NAME?</v>
      </c>
      <c r="G31" s="14"/>
      <c r="H31" s="35" t="e">
        <f ca="1">+H27-H29</f>
        <v>#NAME?</v>
      </c>
      <c r="I31" s="14"/>
      <c r="J31" s="32" t="e">
        <f ca="1">IF(H$12=0,0,H31/H$12)</f>
        <v>#NAME?</v>
      </c>
      <c r="K31" s="16"/>
      <c r="L31" s="35" t="e">
        <f ca="1">D31-H31</f>
        <v>#NAME?</v>
      </c>
      <c r="M31" s="16"/>
      <c r="N31" s="32" t="e">
        <f ca="1">IF(H31=0,0,L31/H31)</f>
        <v>#NAME?</v>
      </c>
      <c r="O31" s="28"/>
      <c r="P31" s="35" t="e">
        <f ca="1">+P27-P29</f>
        <v>#NAME?</v>
      </c>
      <c r="Q31" s="14"/>
      <c r="R31" s="32" t="e">
        <f ca="1">IF(P$12=0,0,P31/P$12)</f>
        <v>#NAME?</v>
      </c>
      <c r="S31" s="14"/>
      <c r="T31" s="35" t="e">
        <f ca="1">+T27-T29</f>
        <v>#NAME?</v>
      </c>
      <c r="U31" s="14"/>
      <c r="V31" s="32" t="e">
        <f ca="1">IF(T$12=0,0,T31/T$12)</f>
        <v>#NAME?</v>
      </c>
      <c r="W31" s="16"/>
      <c r="X31" s="35" t="e">
        <f ca="1">P31-T31</f>
        <v>#NAME?</v>
      </c>
      <c r="Y31" s="16"/>
      <c r="Z31" s="32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3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3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3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3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3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3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3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3" t="e">
        <f t="shared" ca="1" si="29"/>
        <v>#NAME?</v>
      </c>
      <c r="K34" s="4"/>
      <c r="L34" s="4" t="e">
        <f t="shared" ca="1" si="30"/>
        <v>#NAME?</v>
      </c>
      <c r="M34" s="4"/>
      <c r="N34" s="13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3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3" t="e">
        <f t="shared" ca="1" si="33"/>
        <v>#NAME?</v>
      </c>
      <c r="W34" s="4"/>
      <c r="X34" s="4" t="e">
        <f t="shared" ca="1" si="34"/>
        <v>#NAME?</v>
      </c>
      <c r="Y34" s="4"/>
      <c r="Z34" s="13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5</v>
      </c>
      <c r="C36" s="29"/>
      <c r="D36" s="34" t="e">
        <f ca="1">SUM(D31:D35)</f>
        <v>#NAME?</v>
      </c>
      <c r="E36" s="14"/>
      <c r="F36" s="31" t="e">
        <f ca="1">IF(D$12=0,0,D36/D$12)</f>
        <v>#NAME?</v>
      </c>
      <c r="G36" s="14"/>
      <c r="H36" s="34" t="e">
        <f ca="1">SUM(H31:H35)</f>
        <v>#NAME?</v>
      </c>
      <c r="I36" s="14"/>
      <c r="J36" s="31" t="e">
        <f ca="1">IF(H$12=0,0,H36/H$12)</f>
        <v>#NAME?</v>
      </c>
      <c r="K36" s="16"/>
      <c r="L36" s="34" t="e">
        <f ca="1">+D36-H36</f>
        <v>#NAME?</v>
      </c>
      <c r="M36" s="16"/>
      <c r="N36" s="31" t="e">
        <f ca="1">IF(H36=0,0,L36/H36)</f>
        <v>#NAME?</v>
      </c>
      <c r="O36" s="28"/>
      <c r="P36" s="34" t="e">
        <f ca="1">SUM(P31:P35)</f>
        <v>#NAME?</v>
      </c>
      <c r="Q36" s="14"/>
      <c r="R36" s="31" t="e">
        <f ca="1">IF(P$12=0,0,P36/P$12)</f>
        <v>#NAME?</v>
      </c>
      <c r="S36" s="14"/>
      <c r="T36" s="34" t="e">
        <f ca="1">SUM(T31:T35)</f>
        <v>#NAME?</v>
      </c>
      <c r="U36" s="14"/>
      <c r="V36" s="31" t="e">
        <f ca="1">IF(T$12=0,0,T36/T$12)</f>
        <v>#NAME?</v>
      </c>
      <c r="W36" s="16"/>
      <c r="X36" s="34" t="e">
        <f ca="1">+P36-T36</f>
        <v>#NAME?</v>
      </c>
      <c r="Y36" s="16"/>
      <c r="Z36" s="31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59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56" t="e">
        <f ca="1">_xll.OneStop.ReportPlayer.OSRFunctions.OSRGet("User","UserId")</f>
        <v>#NAME?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54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36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63" t="s">
        <v>13</v>
      </c>
    </row>
    <row r="3" spans="1:26" x14ac:dyDescent="0.25">
      <c r="D3" s="63" t="s">
        <v>296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61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63" t="str">
        <f>CONCATENATE("Period ",RIGHT(202011,2),", ",2020)</f>
        <v>Period 11, 2020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61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4">
        <v>43981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61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51"/>
      <c r="C6" s="51"/>
      <c r="D6" s="23" t="s">
        <v>299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57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5" t="s">
        <v>294</v>
      </c>
      <c r="E9" s="15"/>
      <c r="F9" s="38"/>
      <c r="G9" s="15"/>
      <c r="H9" s="15"/>
      <c r="I9" s="15"/>
      <c r="J9" s="46"/>
      <c r="K9" s="15"/>
      <c r="L9" s="15"/>
      <c r="M9" s="15"/>
      <c r="N9" s="38"/>
      <c r="P9" s="15" t="s">
        <v>295</v>
      </c>
      <c r="Q9" s="15"/>
      <c r="R9" s="38"/>
      <c r="S9" s="15"/>
      <c r="T9" s="15"/>
      <c r="U9" s="15"/>
      <c r="V9" s="46"/>
      <c r="W9" s="15"/>
      <c r="X9" s="15"/>
      <c r="Y9" s="15"/>
      <c r="Z9" s="38"/>
    </row>
    <row r="10" spans="1:26" x14ac:dyDescent="0.25">
      <c r="A10" s="10"/>
      <c r="B10" s="55"/>
      <c r="C10" s="10"/>
      <c r="D10" s="43" t="s">
        <v>10</v>
      </c>
      <c r="E10" s="33"/>
      <c r="F10" s="40" t="s">
        <v>15</v>
      </c>
      <c r="G10" s="33"/>
      <c r="H10" s="47" t="s">
        <v>11</v>
      </c>
      <c r="I10" s="33"/>
      <c r="J10" s="45" t="s">
        <v>16</v>
      </c>
      <c r="K10" s="10"/>
      <c r="L10" s="43" t="s">
        <v>12</v>
      </c>
      <c r="M10" s="10"/>
      <c r="N10" s="40" t="s">
        <v>17</v>
      </c>
      <c r="O10" s="10"/>
      <c r="P10" s="53" t="s">
        <v>10</v>
      </c>
      <c r="Q10" s="33"/>
      <c r="R10" s="40" t="s">
        <v>15</v>
      </c>
      <c r="S10" s="33"/>
      <c r="T10" s="47" t="s">
        <v>11</v>
      </c>
      <c r="U10" s="33"/>
      <c r="V10" s="45" t="s">
        <v>16</v>
      </c>
      <c r="W10" s="10"/>
      <c r="X10" s="43" t="s">
        <v>12</v>
      </c>
      <c r="Y10" s="10"/>
      <c r="Z10" s="40" t="s">
        <v>17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x14ac:dyDescent="0.25">
      <c r="A12" s="10"/>
      <c r="B12" s="28" t="s">
        <v>7</v>
      </c>
      <c r="C12" s="10"/>
      <c r="D12" s="4">
        <f>SUM(0)</f>
        <v>0</v>
      </c>
      <c r="E12" s="4"/>
      <c r="F12" s="13"/>
      <c r="G12" s="4"/>
      <c r="H12" s="4">
        <f>SUM(0)</f>
        <v>0</v>
      </c>
      <c r="I12" s="4"/>
      <c r="J12" s="13"/>
      <c r="K12" s="4"/>
      <c r="L12" s="4">
        <f>+D12-H12</f>
        <v>0</v>
      </c>
      <c r="M12" s="4"/>
      <c r="N12" s="13">
        <f>IF(H12=0,0,L12/H12)</f>
        <v>0</v>
      </c>
      <c r="O12" s="10"/>
      <c r="P12" s="4">
        <f>SUM(0)</f>
        <v>0</v>
      </c>
      <c r="Q12" s="4"/>
      <c r="R12" s="13"/>
      <c r="S12" s="4"/>
      <c r="T12" s="4">
        <f>SUM(0)</f>
        <v>0</v>
      </c>
      <c r="U12" s="4"/>
      <c r="V12" s="13"/>
      <c r="W12" s="4"/>
      <c r="X12" s="4">
        <f>+P12-T12</f>
        <v>0</v>
      </c>
      <c r="Y12" s="4"/>
      <c r="Z12" s="13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8" t="s">
        <v>8</v>
      </c>
      <c r="C14" s="10"/>
      <c r="D14" s="4">
        <f>SUM(0)</f>
        <v>0</v>
      </c>
      <c r="E14" s="4"/>
      <c r="F14" s="13">
        <f>IF(D$12=0,0,D14/D$12)</f>
        <v>0</v>
      </c>
      <c r="G14" s="4"/>
      <c r="H14" s="4">
        <f>SUM(0)</f>
        <v>0</v>
      </c>
      <c r="I14" s="4"/>
      <c r="J14" s="13">
        <f>IF(H$12=0,0,H14/H$12)</f>
        <v>0</v>
      </c>
      <c r="K14" s="4"/>
      <c r="L14" s="4">
        <f>+D14-H14</f>
        <v>0</v>
      </c>
      <c r="M14" s="4"/>
      <c r="N14" s="13">
        <f>IF(H14=0,0,L14/H14)</f>
        <v>0</v>
      </c>
      <c r="O14" s="10"/>
      <c r="P14" s="4">
        <f>SUM(0)</f>
        <v>0</v>
      </c>
      <c r="Q14" s="4"/>
      <c r="R14" s="13">
        <f>IF(P$12=0,0,P14/P$12)</f>
        <v>0</v>
      </c>
      <c r="S14" s="4"/>
      <c r="T14" s="4">
        <f>SUM(0)</f>
        <v>0</v>
      </c>
      <c r="U14" s="4"/>
      <c r="V14" s="13">
        <f>IF(T$12=0,0,T14/T$12)</f>
        <v>0</v>
      </c>
      <c r="W14" s="4"/>
      <c r="X14" s="4">
        <f>+P14-T14</f>
        <v>0</v>
      </c>
      <c r="Y14" s="4"/>
      <c r="Z14" s="13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9" t="s">
        <v>6</v>
      </c>
      <c r="C16" s="29"/>
      <c r="D16" s="20">
        <f>D12-D14</f>
        <v>0</v>
      </c>
      <c r="E16" s="14"/>
      <c r="F16" s="22">
        <f>IF(D$12=0,0,D16/D$12)</f>
        <v>0</v>
      </c>
      <c r="G16" s="14"/>
      <c r="H16" s="20">
        <f>H12-H14</f>
        <v>0</v>
      </c>
      <c r="I16" s="14"/>
      <c r="J16" s="22">
        <f>IF(H$12=0,0,H16/H$12)</f>
        <v>0</v>
      </c>
      <c r="K16" s="16"/>
      <c r="L16" s="20">
        <f>+D16-H16</f>
        <v>0</v>
      </c>
      <c r="M16" s="16"/>
      <c r="N16" s="22">
        <f>IF(H16=0,0,L16/H16)</f>
        <v>0</v>
      </c>
      <c r="O16" s="28"/>
      <c r="P16" s="20">
        <f>P12-P14</f>
        <v>0</v>
      </c>
      <c r="Q16" s="14"/>
      <c r="R16" s="22">
        <f>IF(P$12=0,0,P16/P$12)</f>
        <v>0</v>
      </c>
      <c r="S16" s="14"/>
      <c r="T16" s="20">
        <f>T12-T14</f>
        <v>0</v>
      </c>
      <c r="U16" s="14"/>
      <c r="V16" s="22">
        <f>IF(T$12=0,0,T16/T$12)</f>
        <v>0</v>
      </c>
      <c r="W16" s="16"/>
      <c r="X16" s="20">
        <f>+P16-T16</f>
        <v>0</v>
      </c>
      <c r="Y16" s="16"/>
      <c r="Z16" s="22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8" t="s">
        <v>9</v>
      </c>
      <c r="C18" s="10"/>
      <c r="D18" s="21">
        <f>SUM(0)</f>
        <v>0</v>
      </c>
      <c r="E18" s="21"/>
      <c r="F18" s="30">
        <f>IF(D$12=0,0,D18/D$12)</f>
        <v>0</v>
      </c>
      <c r="G18" s="21"/>
      <c r="H18" s="21">
        <f>SUM(0)</f>
        <v>0</v>
      </c>
      <c r="I18" s="21"/>
      <c r="J18" s="30">
        <f>IF(H$12=0,0,H18/H$12)</f>
        <v>0</v>
      </c>
      <c r="K18" s="4"/>
      <c r="L18" s="21">
        <f>+D18-H18</f>
        <v>0</v>
      </c>
      <c r="M18" s="4"/>
      <c r="N18" s="30">
        <f>IF(H18=0,0,L18/H18)</f>
        <v>0</v>
      </c>
      <c r="O18" s="10"/>
      <c r="P18" s="21">
        <f>SUM(0)</f>
        <v>0</v>
      </c>
      <c r="Q18" s="21"/>
      <c r="R18" s="30">
        <f>IF(P$12=0,0,P18/P$12)</f>
        <v>0</v>
      </c>
      <c r="S18" s="21"/>
      <c r="T18" s="21">
        <f>SUM(0)</f>
        <v>0</v>
      </c>
      <c r="U18" s="21"/>
      <c r="V18" s="30">
        <f>IF(T$12=0,0,T18/T$12)</f>
        <v>0</v>
      </c>
      <c r="W18" s="4"/>
      <c r="X18" s="21">
        <f>+P18-T18</f>
        <v>0</v>
      </c>
      <c r="Y18" s="4"/>
      <c r="Z18" s="30">
        <f>IF(T18=0,0,X18/T18)</f>
        <v>0</v>
      </c>
    </row>
    <row r="19" spans="1:26" s="62" customFormat="1" x14ac:dyDescent="0.25">
      <c r="A19" s="36"/>
      <c r="B19" s="36"/>
      <c r="C19" s="36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0</v>
      </c>
      <c r="C20" s="10"/>
      <c r="D20" s="4">
        <f>SUM(0)</f>
        <v>0</v>
      </c>
      <c r="E20" s="4"/>
      <c r="F20" s="13">
        <f>IF(D$12=0,0,D20/D$12)</f>
        <v>0</v>
      </c>
      <c r="G20" s="4"/>
      <c r="H20" s="4">
        <f>SUM(0)</f>
        <v>0</v>
      </c>
      <c r="I20" s="4"/>
      <c r="J20" s="13">
        <f>IF(H$12=0,0,H20/H$12)</f>
        <v>0</v>
      </c>
      <c r="K20" s="4"/>
      <c r="L20" s="4">
        <f>+D20-H20</f>
        <v>0</v>
      </c>
      <c r="M20" s="4"/>
      <c r="N20" s="13">
        <f>IF(H20=0,0,L20/H20)</f>
        <v>0</v>
      </c>
      <c r="O20" s="10"/>
      <c r="P20" s="4">
        <f>SUM(0)</f>
        <v>0</v>
      </c>
      <c r="Q20" s="4"/>
      <c r="R20" s="13">
        <f>IF(P$12=0,0,P20/P$12)</f>
        <v>0</v>
      </c>
      <c r="S20" s="4"/>
      <c r="T20" s="4">
        <f>SUM(0)</f>
        <v>0</v>
      </c>
      <c r="U20" s="4"/>
      <c r="V20" s="13">
        <f>IF(T$12=0,0,T20/T$12)</f>
        <v>0</v>
      </c>
      <c r="W20" s="4"/>
      <c r="X20" s="4">
        <f>+P20-T20</f>
        <v>0</v>
      </c>
      <c r="Y20" s="4"/>
      <c r="Z20" s="13">
        <f>IF(T20=0,0,X20/T20)</f>
        <v>0</v>
      </c>
    </row>
    <row r="21" spans="1:26" x14ac:dyDescent="0.25">
      <c r="A21" s="9"/>
      <c r="B21" s="10"/>
      <c r="C21" s="10"/>
      <c r="D21" s="3"/>
      <c r="E21" s="3"/>
      <c r="F21" s="8"/>
      <c r="G21" s="3"/>
      <c r="H21" s="3"/>
      <c r="I21" s="3"/>
      <c r="J21" s="8"/>
      <c r="K21" s="3"/>
      <c r="L21" s="3"/>
      <c r="M21" s="3"/>
      <c r="N21" s="8"/>
      <c r="O21" s="10"/>
      <c r="P21" s="3"/>
      <c r="Q21" s="3"/>
      <c r="R21" s="8"/>
      <c r="S21" s="3"/>
      <c r="T21" s="3"/>
      <c r="U21" s="3"/>
      <c r="V21" s="8"/>
      <c r="W21" s="3"/>
      <c r="X21" s="3"/>
      <c r="Y21" s="3"/>
      <c r="Z21" s="8"/>
    </row>
    <row r="22" spans="1:26" s="23" customFormat="1" x14ac:dyDescent="0.25">
      <c r="A22" s="10"/>
      <c r="B22" s="29" t="s">
        <v>3</v>
      </c>
      <c r="C22" s="29"/>
      <c r="D22" s="20">
        <f>+D16-D18+D20</f>
        <v>0</v>
      </c>
      <c r="E22" s="14"/>
      <c r="F22" s="22">
        <f>IF(D$12=0,0,D22/D$12)</f>
        <v>0</v>
      </c>
      <c r="G22" s="14"/>
      <c r="H22" s="20">
        <f>+H16-H18+H20</f>
        <v>0</v>
      </c>
      <c r="I22" s="14"/>
      <c r="J22" s="22">
        <f>IF(H$12=0,0,H22/H$12)</f>
        <v>0</v>
      </c>
      <c r="K22" s="16"/>
      <c r="L22" s="20">
        <f>+D22-H22</f>
        <v>0</v>
      </c>
      <c r="M22" s="16"/>
      <c r="N22" s="22">
        <f>IF(H22=0,0,L22/H22)</f>
        <v>0</v>
      </c>
      <c r="O22" s="28"/>
      <c r="P22" s="20">
        <f>+P16-P18+P20</f>
        <v>0</v>
      </c>
      <c r="Q22" s="14"/>
      <c r="R22" s="22">
        <f>IF(P$12=0,0,P22/P$12)</f>
        <v>0</v>
      </c>
      <c r="S22" s="14"/>
      <c r="T22" s="20">
        <f>+T16-T18+T20</f>
        <v>0</v>
      </c>
      <c r="U22" s="14"/>
      <c r="V22" s="22">
        <f>IF(T$12=0,0,T22/T$12)</f>
        <v>0</v>
      </c>
      <c r="W22" s="16"/>
      <c r="X22" s="20">
        <f>+P22-T22</f>
        <v>0</v>
      </c>
      <c r="Y22" s="16"/>
      <c r="Z22" s="22">
        <f>IF(T22=0,0,X22/T22)</f>
        <v>0</v>
      </c>
    </row>
    <row r="23" spans="1:26" x14ac:dyDescent="0.25">
      <c r="A23" s="9"/>
      <c r="B23" s="10"/>
      <c r="C23" s="9"/>
      <c r="D23" s="3"/>
      <c r="E23" s="3"/>
      <c r="F23" s="8"/>
      <c r="G23" s="3"/>
      <c r="H23" s="3"/>
      <c r="I23" s="3"/>
      <c r="J23" s="8"/>
      <c r="K23" s="3"/>
      <c r="L23" s="3"/>
      <c r="M23" s="3"/>
      <c r="N23" s="8"/>
      <c r="P23" s="3"/>
      <c r="Q23" s="3"/>
      <c r="R23" s="8"/>
      <c r="S23" s="3"/>
      <c r="T23" s="3"/>
      <c r="U23" s="3"/>
      <c r="V23" s="8"/>
      <c r="W23" s="3"/>
      <c r="X23" s="3"/>
      <c r="Y23" s="3"/>
      <c r="Z23" s="8"/>
    </row>
    <row r="24" spans="1:26" s="23" customFormat="1" x14ac:dyDescent="0.25">
      <c r="A24" s="52"/>
      <c r="B24" s="10" t="s">
        <v>14</v>
      </c>
      <c r="C24" s="10"/>
      <c r="D24" s="4"/>
      <c r="E24" s="4"/>
      <c r="F24" s="13">
        <f>IF(D$12=0,0,D24/D$12)</f>
        <v>0</v>
      </c>
      <c r="G24" s="4"/>
      <c r="H24" s="4"/>
      <c r="I24" s="4"/>
      <c r="J24" s="13">
        <f>IF(H$12=0,0,H24/H$12)</f>
        <v>0</v>
      </c>
      <c r="K24" s="4"/>
      <c r="L24" s="4">
        <f>+D24-H24</f>
        <v>0</v>
      </c>
      <c r="M24" s="4"/>
      <c r="N24" s="13">
        <f>IF(H24=0,0,L24/H24)</f>
        <v>0</v>
      </c>
      <c r="O24" s="10"/>
      <c r="P24" s="4"/>
      <c r="Q24" s="4"/>
      <c r="R24" s="13">
        <f>IF(P$12=0,0,P24/P$12)</f>
        <v>0</v>
      </c>
      <c r="S24" s="4"/>
      <c r="T24" s="4"/>
      <c r="U24" s="4"/>
      <c r="V24" s="13">
        <f>IF(T$12=0,0,T24/T$12)</f>
        <v>0</v>
      </c>
      <c r="W24" s="4"/>
      <c r="X24" s="4">
        <f>+P24-T24</f>
        <v>0</v>
      </c>
      <c r="Y24" s="4"/>
      <c r="Z24" s="13">
        <f>IF(T24=0,0,X24/T24)</f>
        <v>0</v>
      </c>
    </row>
    <row r="25" spans="1:26" x14ac:dyDescent="0.25">
      <c r="A25" s="9"/>
      <c r="B25" s="10"/>
      <c r="C25" s="10"/>
      <c r="D25" s="3"/>
      <c r="E25" s="3"/>
      <c r="F25" s="8"/>
      <c r="G25" s="3"/>
      <c r="H25" s="3"/>
      <c r="I25" s="3"/>
      <c r="J25" s="8"/>
      <c r="K25" s="3"/>
      <c r="L25" s="3"/>
      <c r="M25" s="3"/>
      <c r="N25" s="8"/>
      <c r="O25" s="10"/>
      <c r="P25" s="3"/>
      <c r="Q25" s="3"/>
      <c r="R25" s="8"/>
      <c r="S25" s="3"/>
      <c r="T25" s="3"/>
      <c r="U25" s="3"/>
      <c r="V25" s="8"/>
      <c r="W25" s="3"/>
      <c r="X25" s="3"/>
      <c r="Y25" s="3"/>
      <c r="Z25" s="8"/>
    </row>
    <row r="26" spans="1:26" s="23" customFormat="1" ht="15.75" thickBot="1" x14ac:dyDescent="0.3">
      <c r="A26" s="10"/>
      <c r="B26" s="29" t="s">
        <v>4</v>
      </c>
      <c r="C26" s="29"/>
      <c r="D26" s="35">
        <f>+D22-D24</f>
        <v>0</v>
      </c>
      <c r="E26" s="14"/>
      <c r="F26" s="32">
        <f>IF(D$12=0,0,D26/D$12)</f>
        <v>0</v>
      </c>
      <c r="G26" s="14"/>
      <c r="H26" s="35">
        <f>+H22-H24</f>
        <v>0</v>
      </c>
      <c r="I26" s="14"/>
      <c r="J26" s="32">
        <f>IF(H$12=0,0,H26/H$12)</f>
        <v>0</v>
      </c>
      <c r="K26" s="16"/>
      <c r="L26" s="35">
        <f>D26-H26</f>
        <v>0</v>
      </c>
      <c r="M26" s="16"/>
      <c r="N26" s="32">
        <f>IF(H26=0,0,L26/H26)</f>
        <v>0</v>
      </c>
      <c r="O26" s="28"/>
      <c r="P26" s="35">
        <f>+P22-P24</f>
        <v>0</v>
      </c>
      <c r="Q26" s="14"/>
      <c r="R26" s="32">
        <f>IF(P$12=0,0,P26/P$12)</f>
        <v>0</v>
      </c>
      <c r="S26" s="14"/>
      <c r="T26" s="35">
        <f>+T22-T24</f>
        <v>0</v>
      </c>
      <c r="U26" s="14"/>
      <c r="V26" s="32">
        <f>IF(T$12=0,0,T26/T$12)</f>
        <v>0</v>
      </c>
      <c r="W26" s="16"/>
      <c r="X26" s="35">
        <f>P26-T26</f>
        <v>0</v>
      </c>
      <c r="Y26" s="16"/>
      <c r="Z26" s="32">
        <f>IF(T26=0,0,X26/T26)</f>
        <v>0</v>
      </c>
    </row>
    <row r="27" spans="1:26" ht="15.75" thickTop="1" x14ac:dyDescent="0.25">
      <c r="A27" s="9"/>
      <c r="B27" s="9"/>
      <c r="C27" s="9"/>
      <c r="D27" s="3"/>
      <c r="E27" s="3"/>
      <c r="F27" s="8"/>
      <c r="G27" s="3"/>
      <c r="H27" s="3"/>
      <c r="I27" s="3"/>
      <c r="J27" s="8"/>
      <c r="K27" s="3"/>
      <c r="L27" s="3"/>
      <c r="M27" s="3"/>
      <c r="N27" s="8"/>
      <c r="P27" s="3"/>
      <c r="Q27" s="3"/>
      <c r="R27" s="8"/>
      <c r="S27" s="3"/>
      <c r="T27" s="3"/>
      <c r="U27" s="3"/>
      <c r="V27" s="8"/>
      <c r="W27" s="3"/>
      <c r="X27" s="3"/>
      <c r="Y27" s="3"/>
      <c r="Z27" s="8"/>
    </row>
    <row r="28" spans="1:26" s="23" customFormat="1" x14ac:dyDescent="0.25">
      <c r="A28" s="52"/>
      <c r="B28" s="10" t="s">
        <v>2</v>
      </c>
      <c r="C28" s="10"/>
      <c r="D28" s="4">
        <f>--502115.75</f>
        <v>502115.75</v>
      </c>
      <c r="E28" s="4"/>
      <c r="F28" s="13">
        <f t="shared" ref="F28:F29" si="0">IF(D$12=0,0,D28/D$12)</f>
        <v>0</v>
      </c>
      <c r="G28" s="4"/>
      <c r="H28" s="4">
        <f t="shared" ref="H28:H29" si="1">--25000</f>
        <v>25000</v>
      </c>
      <c r="I28" s="4"/>
      <c r="J28" s="13">
        <f t="shared" ref="J28:J29" si="2">IF(H$12=0,0,H28/H$12)</f>
        <v>0</v>
      </c>
      <c r="K28" s="4"/>
      <c r="L28" s="4">
        <f t="shared" ref="L28:L29" si="3">+D28-H28</f>
        <v>477115.75</v>
      </c>
      <c r="M28" s="4"/>
      <c r="N28" s="13">
        <f t="shared" ref="N28:N29" si="4">IF(H28=0,0,L28/H28)</f>
        <v>19.084630000000001</v>
      </c>
      <c r="O28" s="10"/>
      <c r="P28" s="4">
        <f>-359271.52</f>
        <v>-359271.52</v>
      </c>
      <c r="Q28" s="4"/>
      <c r="R28" s="13">
        <f t="shared" ref="R28:R29" si="5">IF(P$12=0,0,P28/P$12)</f>
        <v>0</v>
      </c>
      <c r="S28" s="4"/>
      <c r="T28" s="4">
        <f>--275000</f>
        <v>275000</v>
      </c>
      <c r="U28" s="4"/>
      <c r="V28" s="13">
        <f t="shared" ref="V28:V29" si="6">IF(T$12=0,0,T28/T$12)</f>
        <v>0</v>
      </c>
      <c r="W28" s="4"/>
      <c r="X28" s="4">
        <f t="shared" ref="X28:X29" si="7">+P28-T28</f>
        <v>-634271.52</v>
      </c>
      <c r="Y28" s="4"/>
      <c r="Z28" s="13">
        <f t="shared" ref="Z28:Z29" si="8">IF(T28=0,0,X28/T28)</f>
        <v>-2.3064418909090909</v>
      </c>
    </row>
    <row r="29" spans="1:26" s="23" customFormat="1" x14ac:dyDescent="0.25">
      <c r="A29" s="52"/>
      <c r="B29" s="10" t="s">
        <v>1</v>
      </c>
      <c r="C29" s="10"/>
      <c r="D29" s="4">
        <f>--23915.4</f>
        <v>23915.4</v>
      </c>
      <c r="E29" s="4"/>
      <c r="F29" s="13">
        <f t="shared" si="0"/>
        <v>0</v>
      </c>
      <c r="G29" s="4"/>
      <c r="H29" s="4">
        <f t="shared" si="1"/>
        <v>25000</v>
      </c>
      <c r="I29" s="4"/>
      <c r="J29" s="13">
        <f t="shared" si="2"/>
        <v>0</v>
      </c>
      <c r="K29" s="4"/>
      <c r="L29" s="4">
        <f t="shared" si="3"/>
        <v>-1084.5999999999985</v>
      </c>
      <c r="M29" s="4"/>
      <c r="N29" s="13">
        <f t="shared" si="4"/>
        <v>-4.3383999999999943E-2</v>
      </c>
      <c r="O29" s="10"/>
      <c r="P29" s="4">
        <f>--267586.13</f>
        <v>267586.13</v>
      </c>
      <c r="Q29" s="4"/>
      <c r="R29" s="13">
        <f t="shared" si="5"/>
        <v>0</v>
      </c>
      <c r="S29" s="4"/>
      <c r="T29" s="4">
        <f>--260000</f>
        <v>260000</v>
      </c>
      <c r="U29" s="4"/>
      <c r="V29" s="13">
        <f t="shared" si="6"/>
        <v>0</v>
      </c>
      <c r="W29" s="4"/>
      <c r="X29" s="4">
        <f t="shared" si="7"/>
        <v>7586.1300000000047</v>
      </c>
      <c r="Y29" s="4"/>
      <c r="Z29" s="13">
        <f t="shared" si="8"/>
        <v>2.9177423076923094E-2</v>
      </c>
    </row>
    <row r="30" spans="1:26" x14ac:dyDescent="0.25">
      <c r="A30" s="9"/>
      <c r="B30" s="9"/>
      <c r="C30" s="9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5</v>
      </c>
      <c r="C31" s="29"/>
      <c r="D31" s="34">
        <f>SUM(D26:D30)</f>
        <v>526031.15</v>
      </c>
      <c r="E31" s="14"/>
      <c r="F31" s="31">
        <f>IF(D$12=0,0,D31/D$12)</f>
        <v>0</v>
      </c>
      <c r="G31" s="14"/>
      <c r="H31" s="34">
        <f>SUM(H26:H30)</f>
        <v>50000</v>
      </c>
      <c r="I31" s="14"/>
      <c r="J31" s="31">
        <f>IF(H$12=0,0,H31/H$12)</f>
        <v>0</v>
      </c>
      <c r="K31" s="16"/>
      <c r="L31" s="34">
        <f>+D31-H31</f>
        <v>476031.15</v>
      </c>
      <c r="M31" s="16"/>
      <c r="N31" s="31">
        <f>IF(H31=0,0,L31/H31)</f>
        <v>9.5206230000000005</v>
      </c>
      <c r="O31" s="28"/>
      <c r="P31" s="34">
        <f>SUM(P26:P30)</f>
        <v>-91685.390000000014</v>
      </c>
      <c r="Q31" s="14"/>
      <c r="R31" s="31">
        <f>IF(P$12=0,0,P31/P$12)</f>
        <v>0</v>
      </c>
      <c r="S31" s="14"/>
      <c r="T31" s="34">
        <f>SUM(T26:T30)</f>
        <v>535000</v>
      </c>
      <c r="U31" s="14"/>
      <c r="V31" s="31">
        <f>IF(T$12=0,0,T31/T$12)</f>
        <v>0</v>
      </c>
      <c r="W31" s="16"/>
      <c r="X31" s="34">
        <f>+P31-T31</f>
        <v>-626685.39</v>
      </c>
      <c r="Y31" s="16"/>
      <c r="Z31" s="31">
        <f>IF(T31=0,0,X31/T31)</f>
        <v>-1.1713745607476636</v>
      </c>
    </row>
    <row r="32" spans="1:26" ht="15.75" thickTop="1" x14ac:dyDescent="0.25">
      <c r="A32" s="9"/>
      <c r="C32" s="9"/>
      <c r="D32" s="18"/>
      <c r="E32" s="18"/>
      <c r="G32" s="18"/>
      <c r="H32" s="18"/>
      <c r="I32" s="18"/>
      <c r="J32" s="42"/>
      <c r="K32" s="18"/>
      <c r="L32" s="18"/>
      <c r="M32" s="18"/>
      <c r="P32" s="18"/>
      <c r="Q32" s="18"/>
      <c r="R32" s="42"/>
      <c r="S32" s="18"/>
      <c r="T32" s="18"/>
      <c r="U32" s="18"/>
      <c r="V32" s="42"/>
      <c r="W32" s="18"/>
      <c r="X32" s="18"/>
    </row>
    <row r="33" spans="1:24" x14ac:dyDescent="0.25">
      <c r="A33" s="9"/>
      <c r="B33" s="59">
        <v>43992.370942280089</v>
      </c>
      <c r="D33" s="18"/>
      <c r="E33" s="18"/>
      <c r="G33" s="18"/>
      <c r="H33" s="18"/>
      <c r="I33" s="18"/>
      <c r="J33" s="42"/>
      <c r="K33" s="18"/>
      <c r="L33" s="18"/>
      <c r="M33" s="18"/>
      <c r="P33" s="18"/>
      <c r="Q33" s="18"/>
      <c r="R33" s="42"/>
      <c r="S33" s="18"/>
      <c r="T33" s="18"/>
      <c r="U33" s="18"/>
      <c r="V33" s="42"/>
      <c r="W33" s="18"/>
      <c r="X33" s="18"/>
    </row>
    <row r="34" spans="1:24" x14ac:dyDescent="0.25">
      <c r="A34" s="9"/>
      <c r="B34" s="56" t="s">
        <v>314</v>
      </c>
      <c r="D34" s="18"/>
      <c r="E34" s="18"/>
      <c r="G34" s="18"/>
      <c r="H34" s="18"/>
      <c r="I34" s="18"/>
      <c r="J34" s="42"/>
      <c r="K34" s="18"/>
      <c r="L34" s="18"/>
      <c r="M34" s="18"/>
      <c r="P34" s="18"/>
      <c r="Q34" s="18"/>
      <c r="R34" s="42"/>
      <c r="S34" s="18"/>
      <c r="T34" s="18"/>
      <c r="U34" s="18"/>
      <c r="V34" s="42"/>
      <c r="W34" s="18"/>
      <c r="X34" s="18"/>
    </row>
    <row r="35" spans="1:24" x14ac:dyDescent="0.25">
      <c r="A35" s="9"/>
      <c r="B35" s="54"/>
      <c r="D35" s="18"/>
      <c r="E35" s="18"/>
      <c r="G35" s="18"/>
      <c r="H35" s="18"/>
      <c r="I35" s="18"/>
      <c r="J35" s="42"/>
      <c r="K35" s="18"/>
      <c r="L35" s="18"/>
      <c r="M35" s="18"/>
      <c r="P35" s="18"/>
      <c r="Q35" s="18"/>
      <c r="R35" s="42"/>
      <c r="S35" s="18"/>
      <c r="T35" s="18"/>
      <c r="U35" s="18"/>
      <c r="V35" s="42"/>
      <c r="W35" s="18"/>
      <c r="X35" s="18"/>
    </row>
    <row r="36" spans="1:24" x14ac:dyDescent="0.25">
      <c r="D36" s="18"/>
      <c r="E36" s="18"/>
      <c r="G36" s="18"/>
      <c r="H36" s="18"/>
      <c r="I36" s="18"/>
      <c r="J36" s="42"/>
      <c r="K36" s="18"/>
      <c r="L36" s="18"/>
      <c r="M36" s="18"/>
      <c r="P36" s="18"/>
      <c r="Q36" s="18"/>
      <c r="R36" s="42"/>
      <c r="S36" s="18"/>
      <c r="T36" s="18"/>
      <c r="U36" s="18"/>
      <c r="V36" s="42"/>
      <c r="W36" s="18"/>
      <c r="X36" s="18"/>
    </row>
  </sheetData>
  <pageMargins left="0.25" right="0.25" top="0.75" bottom="0.75" header="0.3" footer="0.3"/>
  <pageSetup scale="55" fitToWidth="2" orientation="landscape"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36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63" t="s">
        <v>13</v>
      </c>
    </row>
    <row r="3" spans="1:26" x14ac:dyDescent="0.25">
      <c r="D3" s="63" t="s">
        <v>296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61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63" t="str">
        <f>CONCATENATE("Period ",RIGHT(202011,2),", ",2020)</f>
        <v>Period 11, 2020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61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4">
        <v>43981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61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51"/>
      <c r="C6" s="51"/>
      <c r="D6" s="23" t="str">
        <f>CONCATENATE("Department ","100", " - ", "Corporate")</f>
        <v>Department 100 - Corporate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57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5" t="s">
        <v>294</v>
      </c>
      <c r="E9" s="15"/>
      <c r="F9" s="38"/>
      <c r="G9" s="15"/>
      <c r="H9" s="15"/>
      <c r="I9" s="15"/>
      <c r="J9" s="46"/>
      <c r="K9" s="15"/>
      <c r="L9" s="15"/>
      <c r="M9" s="15"/>
      <c r="N9" s="38"/>
      <c r="P9" s="15" t="s">
        <v>295</v>
      </c>
      <c r="Q9" s="15"/>
      <c r="R9" s="38"/>
      <c r="S9" s="15"/>
      <c r="T9" s="15"/>
      <c r="U9" s="15"/>
      <c r="V9" s="46"/>
      <c r="W9" s="15"/>
      <c r="X9" s="15"/>
      <c r="Y9" s="15"/>
      <c r="Z9" s="38"/>
    </row>
    <row r="10" spans="1:26" x14ac:dyDescent="0.25">
      <c r="A10" s="10"/>
      <c r="B10" s="55"/>
      <c r="C10" s="10"/>
      <c r="D10" s="43" t="s">
        <v>10</v>
      </c>
      <c r="E10" s="33"/>
      <c r="F10" s="40" t="s">
        <v>15</v>
      </c>
      <c r="G10" s="33"/>
      <c r="H10" s="47" t="s">
        <v>11</v>
      </c>
      <c r="I10" s="33"/>
      <c r="J10" s="45" t="s">
        <v>16</v>
      </c>
      <c r="K10" s="10"/>
      <c r="L10" s="43" t="s">
        <v>12</v>
      </c>
      <c r="M10" s="10"/>
      <c r="N10" s="40" t="s">
        <v>17</v>
      </c>
      <c r="O10" s="10"/>
      <c r="P10" s="53" t="s">
        <v>10</v>
      </c>
      <c r="Q10" s="33"/>
      <c r="R10" s="40" t="s">
        <v>15</v>
      </c>
      <c r="S10" s="33"/>
      <c r="T10" s="47" t="s">
        <v>11</v>
      </c>
      <c r="U10" s="33"/>
      <c r="V10" s="45" t="s">
        <v>16</v>
      </c>
      <c r="W10" s="10"/>
      <c r="X10" s="43" t="s">
        <v>12</v>
      </c>
      <c r="Y10" s="10"/>
      <c r="Z10" s="40" t="s">
        <v>17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x14ac:dyDescent="0.25">
      <c r="A12" s="10"/>
      <c r="B12" s="28" t="s">
        <v>7</v>
      </c>
      <c r="C12" s="10"/>
      <c r="D12" s="4">
        <f>SUM(0)</f>
        <v>0</v>
      </c>
      <c r="E12" s="4"/>
      <c r="F12" s="13"/>
      <c r="G12" s="4"/>
      <c r="H12" s="4">
        <f>SUM(0)</f>
        <v>0</v>
      </c>
      <c r="I12" s="4"/>
      <c r="J12" s="13"/>
      <c r="K12" s="4"/>
      <c r="L12" s="4">
        <f>+D12-H12</f>
        <v>0</v>
      </c>
      <c r="M12" s="4"/>
      <c r="N12" s="13">
        <f>IF(H12=0,0,L12/H12)</f>
        <v>0</v>
      </c>
      <c r="O12" s="10"/>
      <c r="P12" s="4">
        <f>SUM(0)</f>
        <v>0</v>
      </c>
      <c r="Q12" s="4"/>
      <c r="R12" s="13"/>
      <c r="S12" s="4"/>
      <c r="T12" s="4">
        <f>SUM(0)</f>
        <v>0</v>
      </c>
      <c r="U12" s="4"/>
      <c r="V12" s="13"/>
      <c r="W12" s="4"/>
      <c r="X12" s="4">
        <f>+P12-T12</f>
        <v>0</v>
      </c>
      <c r="Y12" s="4"/>
      <c r="Z12" s="13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8" t="s">
        <v>8</v>
      </c>
      <c r="C14" s="10"/>
      <c r="D14" s="4">
        <f>SUM(0)</f>
        <v>0</v>
      </c>
      <c r="E14" s="4"/>
      <c r="F14" s="13">
        <f>IF(D$12=0,0,D14/D$12)</f>
        <v>0</v>
      </c>
      <c r="G14" s="4"/>
      <c r="H14" s="4">
        <f>SUM(0)</f>
        <v>0</v>
      </c>
      <c r="I14" s="4"/>
      <c r="J14" s="13">
        <f>IF(H$12=0,0,H14/H$12)</f>
        <v>0</v>
      </c>
      <c r="K14" s="4"/>
      <c r="L14" s="4">
        <f>+D14-H14</f>
        <v>0</v>
      </c>
      <c r="M14" s="4"/>
      <c r="N14" s="13">
        <f>IF(H14=0,0,L14/H14)</f>
        <v>0</v>
      </c>
      <c r="O14" s="10"/>
      <c r="P14" s="4">
        <f>SUM(0)</f>
        <v>0</v>
      </c>
      <c r="Q14" s="4"/>
      <c r="R14" s="13">
        <f>IF(P$12=0,0,P14/P$12)</f>
        <v>0</v>
      </c>
      <c r="S14" s="4"/>
      <c r="T14" s="4">
        <f>SUM(0)</f>
        <v>0</v>
      </c>
      <c r="U14" s="4"/>
      <c r="V14" s="13">
        <f>IF(T$12=0,0,T14/T$12)</f>
        <v>0</v>
      </c>
      <c r="W14" s="4"/>
      <c r="X14" s="4">
        <f>+P14-T14</f>
        <v>0</v>
      </c>
      <c r="Y14" s="4"/>
      <c r="Z14" s="13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9" t="s">
        <v>6</v>
      </c>
      <c r="C16" s="29"/>
      <c r="D16" s="20">
        <f>D12-D14</f>
        <v>0</v>
      </c>
      <c r="E16" s="14"/>
      <c r="F16" s="22">
        <f>IF(D$12=0,0,D16/D$12)</f>
        <v>0</v>
      </c>
      <c r="G16" s="14"/>
      <c r="H16" s="20">
        <f>H12-H14</f>
        <v>0</v>
      </c>
      <c r="I16" s="14"/>
      <c r="J16" s="22">
        <f>IF(H$12=0,0,H16/H$12)</f>
        <v>0</v>
      </c>
      <c r="K16" s="16"/>
      <c r="L16" s="20">
        <f>+D16-H16</f>
        <v>0</v>
      </c>
      <c r="M16" s="16"/>
      <c r="N16" s="22">
        <f>IF(H16=0,0,L16/H16)</f>
        <v>0</v>
      </c>
      <c r="O16" s="28"/>
      <c r="P16" s="20">
        <f>P12-P14</f>
        <v>0</v>
      </c>
      <c r="Q16" s="14"/>
      <c r="R16" s="22">
        <f>IF(P$12=0,0,P16/P$12)</f>
        <v>0</v>
      </c>
      <c r="S16" s="14"/>
      <c r="T16" s="20">
        <f>T12-T14</f>
        <v>0</v>
      </c>
      <c r="U16" s="14"/>
      <c r="V16" s="22">
        <f>IF(T$12=0,0,T16/T$12)</f>
        <v>0</v>
      </c>
      <c r="W16" s="16"/>
      <c r="X16" s="20">
        <f>+P16-T16</f>
        <v>0</v>
      </c>
      <c r="Y16" s="16"/>
      <c r="Z16" s="22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8" t="s">
        <v>9</v>
      </c>
      <c r="C18" s="10"/>
      <c r="D18" s="21">
        <f>SUM(0)</f>
        <v>0</v>
      </c>
      <c r="E18" s="21"/>
      <c r="F18" s="30">
        <f>IF(D$12=0,0,D18/D$12)</f>
        <v>0</v>
      </c>
      <c r="G18" s="21"/>
      <c r="H18" s="21">
        <f>SUM(0)</f>
        <v>0</v>
      </c>
      <c r="I18" s="21"/>
      <c r="J18" s="30">
        <f>IF(H$12=0,0,H18/H$12)</f>
        <v>0</v>
      </c>
      <c r="K18" s="4"/>
      <c r="L18" s="21">
        <f>+D18-H18</f>
        <v>0</v>
      </c>
      <c r="M18" s="4"/>
      <c r="N18" s="30">
        <f>IF(H18=0,0,L18/H18)</f>
        <v>0</v>
      </c>
      <c r="O18" s="10"/>
      <c r="P18" s="21">
        <f>SUM(0)</f>
        <v>0</v>
      </c>
      <c r="Q18" s="21"/>
      <c r="R18" s="30">
        <f>IF(P$12=0,0,P18/P$12)</f>
        <v>0</v>
      </c>
      <c r="S18" s="21"/>
      <c r="T18" s="21">
        <f>SUM(0)</f>
        <v>0</v>
      </c>
      <c r="U18" s="21"/>
      <c r="V18" s="30">
        <f>IF(T$12=0,0,T18/T$12)</f>
        <v>0</v>
      </c>
      <c r="W18" s="4"/>
      <c r="X18" s="21">
        <f>+P18-T18</f>
        <v>0</v>
      </c>
      <c r="Y18" s="4"/>
      <c r="Z18" s="30">
        <f>IF(T18=0,0,X18/T18)</f>
        <v>0</v>
      </c>
    </row>
    <row r="19" spans="1:26" s="62" customFormat="1" x14ac:dyDescent="0.25">
      <c r="A19" s="36"/>
      <c r="B19" s="36"/>
      <c r="C19" s="36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0</v>
      </c>
      <c r="C20" s="10"/>
      <c r="D20" s="4">
        <f>SUM(0)</f>
        <v>0</v>
      </c>
      <c r="E20" s="4"/>
      <c r="F20" s="13">
        <f>IF(D$12=0,0,D20/D$12)</f>
        <v>0</v>
      </c>
      <c r="G20" s="4"/>
      <c r="H20" s="4">
        <f>SUM(0)</f>
        <v>0</v>
      </c>
      <c r="I20" s="4"/>
      <c r="J20" s="13">
        <f>IF(H$12=0,0,H20/H$12)</f>
        <v>0</v>
      </c>
      <c r="K20" s="4"/>
      <c r="L20" s="4">
        <f>+D20-H20</f>
        <v>0</v>
      </c>
      <c r="M20" s="4"/>
      <c r="N20" s="13">
        <f>IF(H20=0,0,L20/H20)</f>
        <v>0</v>
      </c>
      <c r="O20" s="10"/>
      <c r="P20" s="4">
        <f>SUM(0)</f>
        <v>0</v>
      </c>
      <c r="Q20" s="4"/>
      <c r="R20" s="13">
        <f>IF(P$12=0,0,P20/P$12)</f>
        <v>0</v>
      </c>
      <c r="S20" s="4"/>
      <c r="T20" s="4">
        <f>SUM(0)</f>
        <v>0</v>
      </c>
      <c r="U20" s="4"/>
      <c r="V20" s="13">
        <f>IF(T$12=0,0,T20/T$12)</f>
        <v>0</v>
      </c>
      <c r="W20" s="4"/>
      <c r="X20" s="4">
        <f>+P20-T20</f>
        <v>0</v>
      </c>
      <c r="Y20" s="4"/>
      <c r="Z20" s="13">
        <f>IF(T20=0,0,X20/T20)</f>
        <v>0</v>
      </c>
    </row>
    <row r="21" spans="1:26" x14ac:dyDescent="0.25">
      <c r="A21" s="9"/>
      <c r="B21" s="10"/>
      <c r="C21" s="10"/>
      <c r="D21" s="3"/>
      <c r="E21" s="3"/>
      <c r="F21" s="8"/>
      <c r="G21" s="3"/>
      <c r="H21" s="3"/>
      <c r="I21" s="3"/>
      <c r="J21" s="8"/>
      <c r="K21" s="3"/>
      <c r="L21" s="3"/>
      <c r="M21" s="3"/>
      <c r="N21" s="8"/>
      <c r="O21" s="10"/>
      <c r="P21" s="3"/>
      <c r="Q21" s="3"/>
      <c r="R21" s="8"/>
      <c r="S21" s="3"/>
      <c r="T21" s="3"/>
      <c r="U21" s="3"/>
      <c r="V21" s="8"/>
      <c r="W21" s="3"/>
      <c r="X21" s="3"/>
      <c r="Y21" s="3"/>
      <c r="Z21" s="8"/>
    </row>
    <row r="22" spans="1:26" s="23" customFormat="1" x14ac:dyDescent="0.25">
      <c r="A22" s="10"/>
      <c r="B22" s="29" t="s">
        <v>3</v>
      </c>
      <c r="C22" s="29"/>
      <c r="D22" s="20">
        <f>+D16-D18+D20</f>
        <v>0</v>
      </c>
      <c r="E22" s="14"/>
      <c r="F22" s="22">
        <f>IF(D$12=0,0,D22/D$12)</f>
        <v>0</v>
      </c>
      <c r="G22" s="14"/>
      <c r="H22" s="20">
        <f>+H16-H18+H20</f>
        <v>0</v>
      </c>
      <c r="I22" s="14"/>
      <c r="J22" s="22">
        <f>IF(H$12=0,0,H22/H$12)</f>
        <v>0</v>
      </c>
      <c r="K22" s="16"/>
      <c r="L22" s="20">
        <f>+D22-H22</f>
        <v>0</v>
      </c>
      <c r="M22" s="16"/>
      <c r="N22" s="22">
        <f>IF(H22=0,0,L22/H22)</f>
        <v>0</v>
      </c>
      <c r="O22" s="28"/>
      <c r="P22" s="20">
        <f>+P16-P18+P20</f>
        <v>0</v>
      </c>
      <c r="Q22" s="14"/>
      <c r="R22" s="22">
        <f>IF(P$12=0,0,P22/P$12)</f>
        <v>0</v>
      </c>
      <c r="S22" s="14"/>
      <c r="T22" s="20">
        <f>+T16-T18+T20</f>
        <v>0</v>
      </c>
      <c r="U22" s="14"/>
      <c r="V22" s="22">
        <f>IF(T$12=0,0,T22/T$12)</f>
        <v>0</v>
      </c>
      <c r="W22" s="16"/>
      <c r="X22" s="20">
        <f>+P22-T22</f>
        <v>0</v>
      </c>
      <c r="Y22" s="16"/>
      <c r="Z22" s="22">
        <f>IF(T22=0,0,X22/T22)</f>
        <v>0</v>
      </c>
    </row>
    <row r="23" spans="1:26" x14ac:dyDescent="0.25">
      <c r="A23" s="9"/>
      <c r="B23" s="10"/>
      <c r="C23" s="9"/>
      <c r="D23" s="3"/>
      <c r="E23" s="3"/>
      <c r="F23" s="8"/>
      <c r="G23" s="3"/>
      <c r="H23" s="3"/>
      <c r="I23" s="3"/>
      <c r="J23" s="8"/>
      <c r="K23" s="3"/>
      <c r="L23" s="3"/>
      <c r="M23" s="3"/>
      <c r="N23" s="8"/>
      <c r="P23" s="3"/>
      <c r="Q23" s="3"/>
      <c r="R23" s="8"/>
      <c r="S23" s="3"/>
      <c r="T23" s="3"/>
      <c r="U23" s="3"/>
      <c r="V23" s="8"/>
      <c r="W23" s="3"/>
      <c r="X23" s="3"/>
      <c r="Y23" s="3"/>
      <c r="Z23" s="8"/>
    </row>
    <row r="24" spans="1:26" s="23" customFormat="1" x14ac:dyDescent="0.25">
      <c r="A24" s="52"/>
      <c r="B24" s="10" t="s">
        <v>14</v>
      </c>
      <c r="C24" s="10"/>
      <c r="D24" s="4"/>
      <c r="E24" s="4"/>
      <c r="F24" s="13">
        <f>IF(D$12=0,0,D24/D$12)</f>
        <v>0</v>
      </c>
      <c r="G24" s="4"/>
      <c r="H24" s="4"/>
      <c r="I24" s="4"/>
      <c r="J24" s="13">
        <f>IF(H$12=0,0,H24/H$12)</f>
        <v>0</v>
      </c>
      <c r="K24" s="4"/>
      <c r="L24" s="4">
        <f>+D24-H24</f>
        <v>0</v>
      </c>
      <c r="M24" s="4"/>
      <c r="N24" s="13">
        <f>IF(H24=0,0,L24/H24)</f>
        <v>0</v>
      </c>
      <c r="O24" s="10"/>
      <c r="P24" s="4"/>
      <c r="Q24" s="4"/>
      <c r="R24" s="13">
        <f>IF(P$12=0,0,P24/P$12)</f>
        <v>0</v>
      </c>
      <c r="S24" s="4"/>
      <c r="T24" s="4"/>
      <c r="U24" s="4"/>
      <c r="V24" s="13">
        <f>IF(T$12=0,0,T24/T$12)</f>
        <v>0</v>
      </c>
      <c r="W24" s="4"/>
      <c r="X24" s="4">
        <f>+P24-T24</f>
        <v>0</v>
      </c>
      <c r="Y24" s="4"/>
      <c r="Z24" s="13">
        <f>IF(T24=0,0,X24/T24)</f>
        <v>0</v>
      </c>
    </row>
    <row r="25" spans="1:26" x14ac:dyDescent="0.25">
      <c r="A25" s="9"/>
      <c r="B25" s="10"/>
      <c r="C25" s="10"/>
      <c r="D25" s="3"/>
      <c r="E25" s="3"/>
      <c r="F25" s="8"/>
      <c r="G25" s="3"/>
      <c r="H25" s="3"/>
      <c r="I25" s="3"/>
      <c r="J25" s="8"/>
      <c r="K25" s="3"/>
      <c r="L25" s="3"/>
      <c r="M25" s="3"/>
      <c r="N25" s="8"/>
      <c r="O25" s="10"/>
      <c r="P25" s="3"/>
      <c r="Q25" s="3"/>
      <c r="R25" s="8"/>
      <c r="S25" s="3"/>
      <c r="T25" s="3"/>
      <c r="U25" s="3"/>
      <c r="V25" s="8"/>
      <c r="W25" s="3"/>
      <c r="X25" s="3"/>
      <c r="Y25" s="3"/>
      <c r="Z25" s="8"/>
    </row>
    <row r="26" spans="1:26" s="23" customFormat="1" ht="15.75" thickBot="1" x14ac:dyDescent="0.3">
      <c r="A26" s="10"/>
      <c r="B26" s="29" t="s">
        <v>4</v>
      </c>
      <c r="C26" s="29"/>
      <c r="D26" s="35">
        <f>+D22-D24</f>
        <v>0</v>
      </c>
      <c r="E26" s="14"/>
      <c r="F26" s="32">
        <f>IF(D$12=0,0,D26/D$12)</f>
        <v>0</v>
      </c>
      <c r="G26" s="14"/>
      <c r="H26" s="35">
        <f>+H22-H24</f>
        <v>0</v>
      </c>
      <c r="I26" s="14"/>
      <c r="J26" s="32">
        <f>IF(H$12=0,0,H26/H$12)</f>
        <v>0</v>
      </c>
      <c r="K26" s="16"/>
      <c r="L26" s="35">
        <f>D26-H26</f>
        <v>0</v>
      </c>
      <c r="M26" s="16"/>
      <c r="N26" s="32">
        <f>IF(H26=0,0,L26/H26)</f>
        <v>0</v>
      </c>
      <c r="O26" s="28"/>
      <c r="P26" s="35">
        <f>+P22-P24</f>
        <v>0</v>
      </c>
      <c r="Q26" s="14"/>
      <c r="R26" s="32">
        <f>IF(P$12=0,0,P26/P$12)</f>
        <v>0</v>
      </c>
      <c r="S26" s="14"/>
      <c r="T26" s="35">
        <f>+T22-T24</f>
        <v>0</v>
      </c>
      <c r="U26" s="14"/>
      <c r="V26" s="32">
        <f>IF(T$12=0,0,T26/T$12)</f>
        <v>0</v>
      </c>
      <c r="W26" s="16"/>
      <c r="X26" s="35">
        <f>P26-T26</f>
        <v>0</v>
      </c>
      <c r="Y26" s="16"/>
      <c r="Z26" s="32">
        <f>IF(T26=0,0,X26/T26)</f>
        <v>0</v>
      </c>
    </row>
    <row r="27" spans="1:26" ht="15.75" thickTop="1" x14ac:dyDescent="0.25">
      <c r="A27" s="9"/>
      <c r="B27" s="9"/>
      <c r="C27" s="9"/>
      <c r="D27" s="3"/>
      <c r="E27" s="3"/>
      <c r="F27" s="8"/>
      <c r="G27" s="3"/>
      <c r="H27" s="3"/>
      <c r="I27" s="3"/>
      <c r="J27" s="8"/>
      <c r="K27" s="3"/>
      <c r="L27" s="3"/>
      <c r="M27" s="3"/>
      <c r="N27" s="8"/>
      <c r="P27" s="3"/>
      <c r="Q27" s="3"/>
      <c r="R27" s="8"/>
      <c r="S27" s="3"/>
      <c r="T27" s="3"/>
      <c r="U27" s="3"/>
      <c r="V27" s="8"/>
      <c r="W27" s="3"/>
      <c r="X27" s="3"/>
      <c r="Y27" s="3"/>
      <c r="Z27" s="8"/>
    </row>
    <row r="28" spans="1:26" s="23" customFormat="1" x14ac:dyDescent="0.25">
      <c r="A28" s="52"/>
      <c r="B28" s="10" t="s">
        <v>2</v>
      </c>
      <c r="C28" s="10"/>
      <c r="D28" s="4">
        <f>--502115.75</f>
        <v>502115.75</v>
      </c>
      <c r="E28" s="4"/>
      <c r="F28" s="13">
        <f t="shared" ref="F28:F29" si="0">IF(D$12=0,0,D28/D$12)</f>
        <v>0</v>
      </c>
      <c r="G28" s="4"/>
      <c r="H28" s="4">
        <f t="shared" ref="H28:H29" si="1">--25000</f>
        <v>25000</v>
      </c>
      <c r="I28" s="4"/>
      <c r="J28" s="13">
        <f t="shared" ref="J28:J29" si="2">IF(H$12=0,0,H28/H$12)</f>
        <v>0</v>
      </c>
      <c r="K28" s="4"/>
      <c r="L28" s="4">
        <f t="shared" ref="L28:L29" si="3">+D28-H28</f>
        <v>477115.75</v>
      </c>
      <c r="M28" s="4"/>
      <c r="N28" s="13">
        <f t="shared" ref="N28:N29" si="4">IF(H28=0,0,L28/H28)</f>
        <v>19.084630000000001</v>
      </c>
      <c r="O28" s="10"/>
      <c r="P28" s="4">
        <f>-359271.52</f>
        <v>-359271.52</v>
      </c>
      <c r="Q28" s="4"/>
      <c r="R28" s="13">
        <f t="shared" ref="R28:R29" si="5">IF(P$12=0,0,P28/P$12)</f>
        <v>0</v>
      </c>
      <c r="S28" s="4"/>
      <c r="T28" s="4">
        <f>--275000</f>
        <v>275000</v>
      </c>
      <c r="U28" s="4"/>
      <c r="V28" s="13">
        <f t="shared" ref="V28:V29" si="6">IF(T$12=0,0,T28/T$12)</f>
        <v>0</v>
      </c>
      <c r="W28" s="4"/>
      <c r="X28" s="4">
        <f t="shared" ref="X28:X29" si="7">+P28-T28</f>
        <v>-634271.52</v>
      </c>
      <c r="Y28" s="4"/>
      <c r="Z28" s="13">
        <f t="shared" ref="Z28:Z29" si="8">IF(T28=0,0,X28/T28)</f>
        <v>-2.3064418909090909</v>
      </c>
    </row>
    <row r="29" spans="1:26" s="23" customFormat="1" x14ac:dyDescent="0.25">
      <c r="A29" s="52"/>
      <c r="B29" s="10" t="s">
        <v>1</v>
      </c>
      <c r="C29" s="10"/>
      <c r="D29" s="4">
        <f>--23915.4</f>
        <v>23915.4</v>
      </c>
      <c r="E29" s="4"/>
      <c r="F29" s="13">
        <f t="shared" si="0"/>
        <v>0</v>
      </c>
      <c r="G29" s="4"/>
      <c r="H29" s="4">
        <f t="shared" si="1"/>
        <v>25000</v>
      </c>
      <c r="I29" s="4"/>
      <c r="J29" s="13">
        <f t="shared" si="2"/>
        <v>0</v>
      </c>
      <c r="K29" s="4"/>
      <c r="L29" s="4">
        <f t="shared" si="3"/>
        <v>-1084.5999999999985</v>
      </c>
      <c r="M29" s="4"/>
      <c r="N29" s="13">
        <f t="shared" si="4"/>
        <v>-4.3383999999999943E-2</v>
      </c>
      <c r="O29" s="10"/>
      <c r="P29" s="4">
        <f>--267586.13</f>
        <v>267586.13</v>
      </c>
      <c r="Q29" s="4"/>
      <c r="R29" s="13">
        <f t="shared" si="5"/>
        <v>0</v>
      </c>
      <c r="S29" s="4"/>
      <c r="T29" s="4">
        <f>--260000</f>
        <v>260000</v>
      </c>
      <c r="U29" s="4"/>
      <c r="V29" s="13">
        <f t="shared" si="6"/>
        <v>0</v>
      </c>
      <c r="W29" s="4"/>
      <c r="X29" s="4">
        <f t="shared" si="7"/>
        <v>7586.1300000000047</v>
      </c>
      <c r="Y29" s="4"/>
      <c r="Z29" s="13">
        <f t="shared" si="8"/>
        <v>2.9177423076923094E-2</v>
      </c>
    </row>
    <row r="30" spans="1:26" x14ac:dyDescent="0.25">
      <c r="A30" s="9"/>
      <c r="B30" s="9"/>
      <c r="C30" s="9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5</v>
      </c>
      <c r="C31" s="29"/>
      <c r="D31" s="34">
        <f>SUM(D26:D30)</f>
        <v>526031.15</v>
      </c>
      <c r="E31" s="14"/>
      <c r="F31" s="31">
        <f>IF(D$12=0,0,D31/D$12)</f>
        <v>0</v>
      </c>
      <c r="G31" s="14"/>
      <c r="H31" s="34">
        <f>SUM(H26:H30)</f>
        <v>50000</v>
      </c>
      <c r="I31" s="14"/>
      <c r="J31" s="31">
        <f>IF(H$12=0,0,H31/H$12)</f>
        <v>0</v>
      </c>
      <c r="K31" s="16"/>
      <c r="L31" s="34">
        <f>+D31-H31</f>
        <v>476031.15</v>
      </c>
      <c r="M31" s="16"/>
      <c r="N31" s="31">
        <f>IF(H31=0,0,L31/H31)</f>
        <v>9.5206230000000005</v>
      </c>
      <c r="O31" s="28"/>
      <c r="P31" s="34">
        <f>SUM(P26:P30)</f>
        <v>-91685.390000000014</v>
      </c>
      <c r="Q31" s="14"/>
      <c r="R31" s="31">
        <f>IF(P$12=0,0,P31/P$12)</f>
        <v>0</v>
      </c>
      <c r="S31" s="14"/>
      <c r="T31" s="34">
        <f>SUM(T26:T30)</f>
        <v>535000</v>
      </c>
      <c r="U31" s="14"/>
      <c r="V31" s="31">
        <f>IF(T$12=0,0,T31/T$12)</f>
        <v>0</v>
      </c>
      <c r="W31" s="16"/>
      <c r="X31" s="34">
        <f>+P31-T31</f>
        <v>-626685.39</v>
      </c>
      <c r="Y31" s="16"/>
      <c r="Z31" s="31">
        <f>IF(T31=0,0,X31/T31)</f>
        <v>-1.1713745607476636</v>
      </c>
    </row>
    <row r="32" spans="1:26" ht="15.75" thickTop="1" x14ac:dyDescent="0.25">
      <c r="A32" s="9"/>
      <c r="C32" s="9"/>
      <c r="D32" s="18"/>
      <c r="E32" s="18"/>
      <c r="G32" s="18"/>
      <c r="H32" s="18"/>
      <c r="I32" s="18"/>
      <c r="J32" s="42"/>
      <c r="K32" s="18"/>
      <c r="L32" s="18"/>
      <c r="M32" s="18"/>
      <c r="P32" s="18"/>
      <c r="Q32" s="18"/>
      <c r="R32" s="42"/>
      <c r="S32" s="18"/>
      <c r="T32" s="18"/>
      <c r="U32" s="18"/>
      <c r="V32" s="42"/>
      <c r="W32" s="18"/>
      <c r="X32" s="18"/>
    </row>
    <row r="33" spans="1:24" x14ac:dyDescent="0.25">
      <c r="A33" s="9"/>
      <c r="B33" s="59">
        <v>43992.371294675926</v>
      </c>
      <c r="D33" s="18"/>
      <c r="E33" s="18"/>
      <c r="G33" s="18"/>
      <c r="H33" s="18"/>
      <c r="I33" s="18"/>
      <c r="J33" s="42"/>
      <c r="K33" s="18"/>
      <c r="L33" s="18"/>
      <c r="M33" s="18"/>
      <c r="P33" s="18"/>
      <c r="Q33" s="18"/>
      <c r="R33" s="42"/>
      <c r="S33" s="18"/>
      <c r="T33" s="18"/>
      <c r="U33" s="18"/>
      <c r="V33" s="42"/>
      <c r="W33" s="18"/>
      <c r="X33" s="18"/>
    </row>
    <row r="34" spans="1:24" x14ac:dyDescent="0.25">
      <c r="A34" s="9"/>
      <c r="B34" s="56" t="s">
        <v>314</v>
      </c>
      <c r="D34" s="18"/>
      <c r="E34" s="18"/>
      <c r="G34" s="18"/>
      <c r="H34" s="18"/>
      <c r="I34" s="18"/>
      <c r="J34" s="42"/>
      <c r="K34" s="18"/>
      <c r="L34" s="18"/>
      <c r="M34" s="18"/>
      <c r="P34" s="18"/>
      <c r="Q34" s="18"/>
      <c r="R34" s="42"/>
      <c r="S34" s="18"/>
      <c r="T34" s="18"/>
      <c r="U34" s="18"/>
      <c r="V34" s="42"/>
      <c r="W34" s="18"/>
      <c r="X34" s="18"/>
    </row>
    <row r="35" spans="1:24" x14ac:dyDescent="0.25">
      <c r="A35" s="9"/>
      <c r="B35" s="54"/>
      <c r="D35" s="18"/>
      <c r="E35" s="18"/>
      <c r="G35" s="18"/>
      <c r="H35" s="18"/>
      <c r="I35" s="18"/>
      <c r="J35" s="42"/>
      <c r="K35" s="18"/>
      <c r="L35" s="18"/>
      <c r="M35" s="18"/>
      <c r="P35" s="18"/>
      <c r="Q35" s="18"/>
      <c r="R35" s="42"/>
      <c r="S35" s="18"/>
      <c r="T35" s="18"/>
      <c r="U35" s="18"/>
      <c r="V35" s="42"/>
      <c r="W35" s="18"/>
      <c r="X35" s="18"/>
    </row>
    <row r="36" spans="1:24" x14ac:dyDescent="0.25">
      <c r="D36" s="18"/>
      <c r="E36" s="18"/>
      <c r="G36" s="18"/>
      <c r="H36" s="18"/>
      <c r="I36" s="18"/>
      <c r="J36" s="42"/>
      <c r="K36" s="18"/>
      <c r="L36" s="18"/>
      <c r="M36" s="18"/>
      <c r="P36" s="18"/>
      <c r="Q36" s="18"/>
      <c r="R36" s="42"/>
      <c r="S36" s="18"/>
      <c r="T36" s="18"/>
      <c r="U36" s="18"/>
      <c r="V36" s="42"/>
      <c r="W36" s="18"/>
      <c r="X36" s="18"/>
    </row>
  </sheetData>
  <pageMargins left="0.25" right="0.25" top="0.75" bottom="0.75" header="0.3" footer="0.3"/>
  <pageSetup scale="55" fitToWidth="2" orientation="landscape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63" t="s">
        <v>13</v>
      </c>
    </row>
    <row r="3" spans="1:26" x14ac:dyDescent="0.25">
      <c r="D3" s="63" t="s">
        <v>296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61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63" t="e">
        <f ca="1">CONCATENATE("Period ",RIGHT(_xll.OneStop.ReportPlayer.OSRFunctions.OSRGet("Period","PeriodId"),2),", ",_xll.OneStop.ReportPlayer.OSRFunctions.OSRGet("Period","Year"))</f>
        <v>#NAME?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61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5" t="e">
        <f ca="1">_xll.OneStop.ReportPlayer.OSRFunctions.OSRGet("Period","PeriodEnd")</f>
        <v>#NAME?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61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51"/>
      <c r="C6" s="51"/>
      <c r="D6" s="23" t="s">
        <v>297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57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5" t="s">
        <v>294</v>
      </c>
      <c r="E9" s="15"/>
      <c r="F9" s="38"/>
      <c r="G9" s="15"/>
      <c r="H9" s="15"/>
      <c r="I9" s="15"/>
      <c r="J9" s="46"/>
      <c r="K9" s="15"/>
      <c r="L9" s="15"/>
      <c r="M9" s="15"/>
      <c r="N9" s="38"/>
      <c r="P9" s="15" t="s">
        <v>295</v>
      </c>
      <c r="Q9" s="15"/>
      <c r="R9" s="38"/>
      <c r="S9" s="15"/>
      <c r="T9" s="15"/>
      <c r="U9" s="15"/>
      <c r="V9" s="46"/>
      <c r="W9" s="15"/>
      <c r="X9" s="15"/>
      <c r="Y9" s="15"/>
      <c r="Z9" s="38"/>
    </row>
    <row r="10" spans="1:26" x14ac:dyDescent="0.25">
      <c r="A10" s="10"/>
      <c r="B10" s="55"/>
      <c r="C10" s="10"/>
      <c r="D10" s="43" t="s">
        <v>10</v>
      </c>
      <c r="E10" s="33"/>
      <c r="F10" s="40" t="s">
        <v>15</v>
      </c>
      <c r="G10" s="33"/>
      <c r="H10" s="47" t="s">
        <v>11</v>
      </c>
      <c r="I10" s="33"/>
      <c r="J10" s="45" t="s">
        <v>16</v>
      </c>
      <c r="K10" s="10"/>
      <c r="L10" s="43" t="s">
        <v>12</v>
      </c>
      <c r="M10" s="10"/>
      <c r="N10" s="40" t="s">
        <v>17</v>
      </c>
      <c r="O10" s="10"/>
      <c r="P10" s="53" t="s">
        <v>10</v>
      </c>
      <c r="Q10" s="33"/>
      <c r="R10" s="40" t="s">
        <v>15</v>
      </c>
      <c r="S10" s="33"/>
      <c r="T10" s="47" t="s">
        <v>11</v>
      </c>
      <c r="U10" s="33"/>
      <c r="V10" s="45" t="s">
        <v>16</v>
      </c>
      <c r="W10" s="10"/>
      <c r="X10" s="43" t="s">
        <v>12</v>
      </c>
      <c r="Y10" s="10"/>
      <c r="Z10" s="40" t="s">
        <v>17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 t="e">
        <f ca="1">SUM(_xll.OneStop.ReportPlayer.OSRFunctions.OSRRef(D13))</f>
        <v>#NAME?</v>
      </c>
      <c r="E12" s="4"/>
      <c r="F12" s="13"/>
      <c r="G12" s="4"/>
      <c r="H12" s="4" t="e">
        <f ca="1">SUM(_xll.OneStop.ReportPlayer.OSRFunctions.OSRRef(H13))</f>
        <v>#NAME?</v>
      </c>
      <c r="I12" s="4"/>
      <c r="J12" s="13"/>
      <c r="K12" s="4"/>
      <c r="L12" s="4" t="e">
        <f t="shared" ref="L12:L13" ca="1" si="0">+D12-H12</f>
        <v>#NAME?</v>
      </c>
      <c r="M12" s="4"/>
      <c r="N12" s="13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3"/>
      <c r="S12" s="4"/>
      <c r="T12" s="4" t="e">
        <f ca="1">SUM(_xll.OneStop.ReportPlayer.OSRFunctions.OSRRef(T13))</f>
        <v>#NAME?</v>
      </c>
      <c r="U12" s="4"/>
      <c r="V12" s="13"/>
      <c r="W12" s="4"/>
      <c r="X12" s="4" t="e">
        <f t="shared" ref="X12:X13" ca="1" si="2">+P12-T12</f>
        <v>#NAME?</v>
      </c>
      <c r="Y12" s="4"/>
      <c r="Z12" s="13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8</v>
      </c>
      <c r="C15" s="10"/>
      <c r="D15" s="4" t="e">
        <f ca="1">SUM(_xll.OneStop.ReportPlayer.OSRFunctions.OSRRef(D16))</f>
        <v>#NAME?</v>
      </c>
      <c r="E15" s="4"/>
      <c r="F15" s="13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3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3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3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3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3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6</v>
      </c>
      <c r="C18" s="29"/>
      <c r="D18" s="20" t="e">
        <f ca="1">D12-D15</f>
        <v>#NAME?</v>
      </c>
      <c r="E18" s="14"/>
      <c r="F18" s="22" t="e">
        <f ca="1">IF(D$12=0,0,D18/D$12)</f>
        <v>#NAME?</v>
      </c>
      <c r="G18" s="14"/>
      <c r="H18" s="20" t="e">
        <f ca="1">H12-H15</f>
        <v>#NAME?</v>
      </c>
      <c r="I18" s="14"/>
      <c r="J18" s="22" t="e">
        <f ca="1">IF(H$12=0,0,H18/H$12)</f>
        <v>#NAME?</v>
      </c>
      <c r="K18" s="16"/>
      <c r="L18" s="20" t="e">
        <f ca="1">+D18-H18</f>
        <v>#NAME?</v>
      </c>
      <c r="M18" s="16"/>
      <c r="N18" s="22" t="e">
        <f ca="1">IF(H18=0,0,L18/H18)</f>
        <v>#NAME?</v>
      </c>
      <c r="O18" s="28"/>
      <c r="P18" s="20" t="e">
        <f ca="1">P12-P15</f>
        <v>#NAME?</v>
      </c>
      <c r="Q18" s="14"/>
      <c r="R18" s="22" t="e">
        <f ca="1">IF(P$12=0,0,P18/P$12)</f>
        <v>#NAME?</v>
      </c>
      <c r="S18" s="14"/>
      <c r="T18" s="20" t="e">
        <f ca="1">T12-T15</f>
        <v>#NAME?</v>
      </c>
      <c r="U18" s="14"/>
      <c r="V18" s="22" t="e">
        <f ca="1">IF(T$12=0,0,T18/T$12)</f>
        <v>#NAME?</v>
      </c>
      <c r="W18" s="16"/>
      <c r="X18" s="20" t="e">
        <f ca="1">+P18-T18</f>
        <v>#NAME?</v>
      </c>
      <c r="Y18" s="16"/>
      <c r="Z18" s="22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9</v>
      </c>
      <c r="C20" s="10"/>
      <c r="D20" s="21" t="e">
        <f ca="1">SUM(_xll.OneStop.ReportPlayer.OSRFunctions.OSRRef(D22))</f>
        <v>#NAME?</v>
      </c>
      <c r="E20" s="21"/>
      <c r="F20" s="30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0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0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0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0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0" t="e">
        <f t="shared" ref="Z20:Z22" ca="1" si="19">IF(T20=0,0,X20/T20)</f>
        <v>#NAME?</v>
      </c>
    </row>
    <row r="21" spans="1:26" s="27" customFormat="1" outlineLevel="1" collapsed="1" x14ac:dyDescent="0.25">
      <c r="A21" s="25"/>
      <c r="B21" s="12" t="e">
        <f ca="1">CONCATENATE("     ",_xll.OneStop.ReportPlayer.OSRFunctions.OSRGet("d_Account","AccountCategory"))</f>
        <v>#NAME?</v>
      </c>
      <c r="C21" s="12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2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6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62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8" t="s">
        <v>0</v>
      </c>
      <c r="C24" s="10"/>
      <c r="D24" s="4" t="e">
        <f ca="1">SUM(_xll.OneStop.ReportPlayer.OSRFunctions.OSRRef(D25))</f>
        <v>#NAME?</v>
      </c>
      <c r="E24" s="4"/>
      <c r="F24" s="13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3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3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3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3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3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3</v>
      </c>
      <c r="C27" s="29"/>
      <c r="D27" s="20" t="e">
        <f ca="1">+D18-D20+D24</f>
        <v>#NAME?</v>
      </c>
      <c r="E27" s="14"/>
      <c r="F27" s="22" t="e">
        <f ca="1">IF(D$12=0,0,D27/D$12)</f>
        <v>#NAME?</v>
      </c>
      <c r="G27" s="14"/>
      <c r="H27" s="20" t="e">
        <f ca="1">+H18-H20+H24</f>
        <v>#NAME?</v>
      </c>
      <c r="I27" s="14"/>
      <c r="J27" s="22" t="e">
        <f ca="1">IF(H$12=0,0,H27/H$12)</f>
        <v>#NAME?</v>
      </c>
      <c r="K27" s="16"/>
      <c r="L27" s="20" t="e">
        <f ca="1">+D27-H27</f>
        <v>#NAME?</v>
      </c>
      <c r="M27" s="16"/>
      <c r="N27" s="22" t="e">
        <f ca="1">IF(H27=0,0,L27/H27)</f>
        <v>#NAME?</v>
      </c>
      <c r="O27" s="28"/>
      <c r="P27" s="20" t="e">
        <f ca="1">+P18-P20+P24</f>
        <v>#NAME?</v>
      </c>
      <c r="Q27" s="14"/>
      <c r="R27" s="22" t="e">
        <f ca="1">IF(P$12=0,0,P27/P$12)</f>
        <v>#NAME?</v>
      </c>
      <c r="S27" s="14"/>
      <c r="T27" s="20" t="e">
        <f ca="1">+T18-T20+T24</f>
        <v>#NAME?</v>
      </c>
      <c r="U27" s="14"/>
      <c r="V27" s="22" t="e">
        <f ca="1">IF(T$12=0,0,T27/T$12)</f>
        <v>#NAME?</v>
      </c>
      <c r="W27" s="16"/>
      <c r="X27" s="20" t="e">
        <f ca="1">+P27-T27</f>
        <v>#NAME?</v>
      </c>
      <c r="Y27" s="16"/>
      <c r="Z27" s="22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3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3" t="e">
        <f ca="1">IF(H$12=0,0,H29/H$12)</f>
        <v>#NAME?</v>
      </c>
      <c r="K29" s="4"/>
      <c r="L29" s="4" t="e">
        <f ca="1">+D29-H29</f>
        <v>#NAME?</v>
      </c>
      <c r="M29" s="4"/>
      <c r="N29" s="13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3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3" t="e">
        <f ca="1">IF(T$12=0,0,T29/T$12)</f>
        <v>#NAME?</v>
      </c>
      <c r="W29" s="4"/>
      <c r="X29" s="4" t="e">
        <f ca="1">+P29-T29</f>
        <v>#NAME?</v>
      </c>
      <c r="Y29" s="4"/>
      <c r="Z29" s="13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4</v>
      </c>
      <c r="C31" s="29"/>
      <c r="D31" s="35" t="e">
        <f ca="1">+D27-D29</f>
        <v>#NAME?</v>
      </c>
      <c r="E31" s="14"/>
      <c r="F31" s="32" t="e">
        <f ca="1">IF(D$12=0,0,D31/D$12)</f>
        <v>#NAME?</v>
      </c>
      <c r="G31" s="14"/>
      <c r="H31" s="35" t="e">
        <f ca="1">+H27-H29</f>
        <v>#NAME?</v>
      </c>
      <c r="I31" s="14"/>
      <c r="J31" s="32" t="e">
        <f ca="1">IF(H$12=0,0,H31/H$12)</f>
        <v>#NAME?</v>
      </c>
      <c r="K31" s="16"/>
      <c r="L31" s="35" t="e">
        <f ca="1">D31-H31</f>
        <v>#NAME?</v>
      </c>
      <c r="M31" s="16"/>
      <c r="N31" s="32" t="e">
        <f ca="1">IF(H31=0,0,L31/H31)</f>
        <v>#NAME?</v>
      </c>
      <c r="O31" s="28"/>
      <c r="P31" s="35" t="e">
        <f ca="1">+P27-P29</f>
        <v>#NAME?</v>
      </c>
      <c r="Q31" s="14"/>
      <c r="R31" s="32" t="e">
        <f ca="1">IF(P$12=0,0,P31/P$12)</f>
        <v>#NAME?</v>
      </c>
      <c r="S31" s="14"/>
      <c r="T31" s="35" t="e">
        <f ca="1">+T27-T29</f>
        <v>#NAME?</v>
      </c>
      <c r="U31" s="14"/>
      <c r="V31" s="32" t="e">
        <f ca="1">IF(T$12=0,0,T31/T$12)</f>
        <v>#NAME?</v>
      </c>
      <c r="W31" s="16"/>
      <c r="X31" s="35" t="e">
        <f ca="1">P31-T31</f>
        <v>#NAME?</v>
      </c>
      <c r="Y31" s="16"/>
      <c r="Z31" s="32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3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3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3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3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3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3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3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3" t="e">
        <f t="shared" ca="1" si="29"/>
        <v>#NAME?</v>
      </c>
      <c r="K34" s="4"/>
      <c r="L34" s="4" t="e">
        <f t="shared" ca="1" si="30"/>
        <v>#NAME?</v>
      </c>
      <c r="M34" s="4"/>
      <c r="N34" s="13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3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3" t="e">
        <f t="shared" ca="1" si="33"/>
        <v>#NAME?</v>
      </c>
      <c r="W34" s="4"/>
      <c r="X34" s="4" t="e">
        <f t="shared" ca="1" si="34"/>
        <v>#NAME?</v>
      </c>
      <c r="Y34" s="4"/>
      <c r="Z34" s="13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5</v>
      </c>
      <c r="C36" s="29"/>
      <c r="D36" s="34" t="e">
        <f ca="1">SUM(D31:D35)</f>
        <v>#NAME?</v>
      </c>
      <c r="E36" s="14"/>
      <c r="F36" s="31" t="e">
        <f ca="1">IF(D$12=0,0,D36/D$12)</f>
        <v>#NAME?</v>
      </c>
      <c r="G36" s="14"/>
      <c r="H36" s="34" t="e">
        <f ca="1">SUM(H31:H35)</f>
        <v>#NAME?</v>
      </c>
      <c r="I36" s="14"/>
      <c r="J36" s="31" t="e">
        <f ca="1">IF(H$12=0,0,H36/H$12)</f>
        <v>#NAME?</v>
      </c>
      <c r="K36" s="16"/>
      <c r="L36" s="34" t="e">
        <f ca="1">+D36-H36</f>
        <v>#NAME?</v>
      </c>
      <c r="M36" s="16"/>
      <c r="N36" s="31" t="e">
        <f ca="1">IF(H36=0,0,L36/H36)</f>
        <v>#NAME?</v>
      </c>
      <c r="O36" s="28"/>
      <c r="P36" s="34" t="e">
        <f ca="1">SUM(P31:P35)</f>
        <v>#NAME?</v>
      </c>
      <c r="Q36" s="14"/>
      <c r="R36" s="31" t="e">
        <f ca="1">IF(P$12=0,0,P36/P$12)</f>
        <v>#NAME?</v>
      </c>
      <c r="S36" s="14"/>
      <c r="T36" s="34" t="e">
        <f ca="1">SUM(T31:T35)</f>
        <v>#NAME?</v>
      </c>
      <c r="U36" s="14"/>
      <c r="V36" s="31" t="e">
        <f ca="1">IF(T$12=0,0,T36/T$12)</f>
        <v>#NAME?</v>
      </c>
      <c r="W36" s="16"/>
      <c r="X36" s="34" t="e">
        <f ca="1">+P36-T36</f>
        <v>#NAME?</v>
      </c>
      <c r="Y36" s="16"/>
      <c r="Z36" s="31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59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56" t="e">
        <f ca="1">_xll.OneStop.ReportPlayer.OSRFunctions.OSRGet("User","UserId")</f>
        <v>#NAME?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54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115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63" t="s">
        <v>13</v>
      </c>
    </row>
    <row r="3" spans="1:26" x14ac:dyDescent="0.25">
      <c r="D3" s="63" t="s">
        <v>296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61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63" t="str">
        <f>CONCATENATE("Period ",RIGHT(202011,2),", ",2020)</f>
        <v>Period 11, 2020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61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4">
        <v>43981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61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51"/>
      <c r="C6" s="51"/>
      <c r="D6" s="23" t="s">
        <v>300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57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5" t="s">
        <v>294</v>
      </c>
      <c r="E9" s="15"/>
      <c r="F9" s="38"/>
      <c r="G9" s="15"/>
      <c r="H9" s="15"/>
      <c r="I9" s="15"/>
      <c r="J9" s="46"/>
      <c r="K9" s="15"/>
      <c r="L9" s="15"/>
      <c r="M9" s="15"/>
      <c r="N9" s="38"/>
      <c r="P9" s="15" t="s">
        <v>295</v>
      </c>
      <c r="Q9" s="15"/>
      <c r="R9" s="38"/>
      <c r="S9" s="15"/>
      <c r="T9" s="15"/>
      <c r="U9" s="15"/>
      <c r="V9" s="46"/>
      <c r="W9" s="15"/>
      <c r="X9" s="15"/>
      <c r="Y9" s="15"/>
      <c r="Z9" s="38"/>
    </row>
    <row r="10" spans="1:26" x14ac:dyDescent="0.25">
      <c r="A10" s="10"/>
      <c r="B10" s="55"/>
      <c r="C10" s="10"/>
      <c r="D10" s="43" t="s">
        <v>10</v>
      </c>
      <c r="E10" s="33"/>
      <c r="F10" s="40" t="s">
        <v>15</v>
      </c>
      <c r="G10" s="33"/>
      <c r="H10" s="47" t="s">
        <v>11</v>
      </c>
      <c r="I10" s="33"/>
      <c r="J10" s="45" t="s">
        <v>16</v>
      </c>
      <c r="K10" s="10"/>
      <c r="L10" s="43" t="s">
        <v>12</v>
      </c>
      <c r="M10" s="10"/>
      <c r="N10" s="40" t="s">
        <v>17</v>
      </c>
      <c r="O10" s="10"/>
      <c r="P10" s="53" t="s">
        <v>10</v>
      </c>
      <c r="Q10" s="33"/>
      <c r="R10" s="40" t="s">
        <v>15</v>
      </c>
      <c r="S10" s="33"/>
      <c r="T10" s="47" t="s">
        <v>11</v>
      </c>
      <c r="U10" s="33"/>
      <c r="V10" s="45" t="s">
        <v>16</v>
      </c>
      <c r="W10" s="10"/>
      <c r="X10" s="43" t="s">
        <v>12</v>
      </c>
      <c r="Y10" s="10"/>
      <c r="Z10" s="40" t="s">
        <v>17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0</v>
      </c>
      <c r="E12" s="4"/>
      <c r="F12" s="13"/>
      <c r="G12" s="4"/>
      <c r="H12" s="4">
        <f>SUM(OSRRefH13x_0)</f>
        <v>0</v>
      </c>
      <c r="I12" s="4"/>
      <c r="J12" s="13"/>
      <c r="K12" s="4"/>
      <c r="L12" s="4">
        <f t="shared" ref="L12:L13" si="0">+D12-H12</f>
        <v>0</v>
      </c>
      <c r="M12" s="4"/>
      <c r="N12" s="13">
        <f t="shared" ref="N12:N13" si="1">IF(H12=0,0,L12/H12)</f>
        <v>0</v>
      </c>
      <c r="O12" s="10"/>
      <c r="P12" s="4">
        <f>SUM(OSRRefP13x_0)</f>
        <v>0</v>
      </c>
      <c r="Q12" s="4"/>
      <c r="R12" s="13"/>
      <c r="S12" s="4"/>
      <c r="T12" s="4">
        <f>SUM(OSRRefT13x_0)</f>
        <v>200</v>
      </c>
      <c r="U12" s="4"/>
      <c r="V12" s="13"/>
      <c r="W12" s="4"/>
      <c r="X12" s="4">
        <f t="shared" ref="X12:X13" si="2">+P12-T12</f>
        <v>-200</v>
      </c>
      <c r="Y12" s="4"/>
      <c r="Z12" s="13">
        <f t="shared" ref="Z12:Z13" si="3">IF(T12=0,0,X12/T12)</f>
        <v>-1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>0</f>
        <v>0</v>
      </c>
      <c r="E13" s="2"/>
      <c r="F13" s="19"/>
      <c r="G13" s="2"/>
      <c r="H13" s="2"/>
      <c r="I13" s="2"/>
      <c r="J13" s="19"/>
      <c r="K13" s="2"/>
      <c r="L13" s="2">
        <f t="shared" si="0"/>
        <v>0</v>
      </c>
      <c r="M13" s="2"/>
      <c r="N13" s="19">
        <f t="shared" si="1"/>
        <v>0</v>
      </c>
      <c r="O13" s="11"/>
      <c r="P13" s="2">
        <f>0</f>
        <v>0</v>
      </c>
      <c r="Q13" s="2"/>
      <c r="R13" s="19"/>
      <c r="S13" s="2"/>
      <c r="T13" s="2">
        <v>200</v>
      </c>
      <c r="U13" s="2"/>
      <c r="V13" s="19"/>
      <c r="W13" s="2"/>
      <c r="X13" s="2">
        <f t="shared" si="2"/>
        <v>-200</v>
      </c>
      <c r="Y13" s="2"/>
      <c r="Z13" s="19">
        <f t="shared" si="3"/>
        <v>-1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x14ac:dyDescent="0.25">
      <c r="A15" s="10"/>
      <c r="B15" s="28" t="s">
        <v>8</v>
      </c>
      <c r="C15" s="10"/>
      <c r="D15" s="4">
        <f>SUM(0)</f>
        <v>0</v>
      </c>
      <c r="E15" s="4"/>
      <c r="F15" s="13">
        <f>IF(D$12=0,0,D15/D$12)</f>
        <v>0</v>
      </c>
      <c r="G15" s="4"/>
      <c r="H15" s="4">
        <f>SUM(0)</f>
        <v>0</v>
      </c>
      <c r="I15" s="4"/>
      <c r="J15" s="13">
        <f>IF(H$12=0,0,H15/H$12)</f>
        <v>0</v>
      </c>
      <c r="K15" s="4"/>
      <c r="L15" s="4">
        <f>+D15-H15</f>
        <v>0</v>
      </c>
      <c r="M15" s="4"/>
      <c r="N15" s="13">
        <f>IF(H15=0,0,L15/H15)</f>
        <v>0</v>
      </c>
      <c r="O15" s="10"/>
      <c r="P15" s="4">
        <f>SUM(0)</f>
        <v>0</v>
      </c>
      <c r="Q15" s="4"/>
      <c r="R15" s="13">
        <f>IF(P$12=0,0,P15/P$12)</f>
        <v>0</v>
      </c>
      <c r="S15" s="4"/>
      <c r="T15" s="4">
        <f>SUM(0)</f>
        <v>0</v>
      </c>
      <c r="U15" s="4"/>
      <c r="V15" s="13">
        <f>IF(T$12=0,0,T15/T$12)</f>
        <v>0</v>
      </c>
      <c r="W15" s="4"/>
      <c r="X15" s="4">
        <f>+P15-T15</f>
        <v>0</v>
      </c>
      <c r="Y15" s="4"/>
      <c r="Z15" s="13">
        <f>IF(T15=0,0,X15/T15)</f>
        <v>0</v>
      </c>
    </row>
    <row r="16" spans="1:26" x14ac:dyDescent="0.25">
      <c r="A16" s="9"/>
      <c r="B16" s="10"/>
      <c r="C16" s="10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O16" s="10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3" customFormat="1" x14ac:dyDescent="0.25">
      <c r="A17" s="10"/>
      <c r="B17" s="29" t="s">
        <v>6</v>
      </c>
      <c r="C17" s="29"/>
      <c r="D17" s="20">
        <f>D12-D15</f>
        <v>0</v>
      </c>
      <c r="E17" s="14"/>
      <c r="F17" s="22">
        <f>IF(D$12=0,0,D17/D$12)</f>
        <v>0</v>
      </c>
      <c r="G17" s="14"/>
      <c r="H17" s="20">
        <f>H12-H15</f>
        <v>0</v>
      </c>
      <c r="I17" s="14"/>
      <c r="J17" s="22">
        <f>IF(H$12=0,0,H17/H$12)</f>
        <v>0</v>
      </c>
      <c r="K17" s="16"/>
      <c r="L17" s="20">
        <f>+D17-H17</f>
        <v>0</v>
      </c>
      <c r="M17" s="16"/>
      <c r="N17" s="22">
        <f>IF(H17=0,0,L17/H17)</f>
        <v>0</v>
      </c>
      <c r="O17" s="28"/>
      <c r="P17" s="20">
        <f>P12-P15</f>
        <v>0</v>
      </c>
      <c r="Q17" s="14"/>
      <c r="R17" s="22">
        <f>IF(P$12=0,0,P17/P$12)</f>
        <v>0</v>
      </c>
      <c r="S17" s="14"/>
      <c r="T17" s="20">
        <f>T12-T15</f>
        <v>200</v>
      </c>
      <c r="U17" s="14"/>
      <c r="V17" s="22">
        <f>IF(T$12=0,0,T17/T$12)</f>
        <v>1</v>
      </c>
      <c r="W17" s="16"/>
      <c r="X17" s="20">
        <f>+P17-T17</f>
        <v>-200</v>
      </c>
      <c r="Y17" s="16"/>
      <c r="Z17" s="22">
        <f>IF(T17=0,0,X17/T17)</f>
        <v>-1</v>
      </c>
    </row>
    <row r="18" spans="1:26" x14ac:dyDescent="0.25">
      <c r="A18" s="9"/>
      <c r="B18" s="10"/>
      <c r="C18" s="9"/>
      <c r="D18" s="1"/>
      <c r="E18" s="1"/>
      <c r="F18" s="5"/>
      <c r="G18" s="1"/>
      <c r="H18" s="1"/>
      <c r="I18" s="1"/>
      <c r="J18" s="5"/>
      <c r="K18" s="1"/>
      <c r="L18" s="1"/>
      <c r="M18" s="1"/>
      <c r="N18" s="5"/>
      <c r="O18" s="36"/>
      <c r="P18" s="1"/>
      <c r="Q18" s="1"/>
      <c r="R18" s="5"/>
      <c r="S18" s="1"/>
      <c r="T18" s="1"/>
      <c r="U18" s="1"/>
      <c r="V18" s="5"/>
      <c r="W18" s="1"/>
      <c r="X18" s="1"/>
      <c r="Y18" s="1"/>
      <c r="Z18" s="5"/>
    </row>
    <row r="19" spans="1:26" s="23" customFormat="1" x14ac:dyDescent="0.25">
      <c r="A19" s="10"/>
      <c r="B19" s="28" t="s">
        <v>9</v>
      </c>
      <c r="C19" s="10"/>
      <c r="D19" s="21">
        <f>SUM(OSRRefD22x_0)</f>
        <v>194155.12000000008</v>
      </c>
      <c r="E19" s="21"/>
      <c r="F19" s="30">
        <f t="shared" ref="F19:F31" si="4">IF(D$12=0,0,D19/D$12)</f>
        <v>0</v>
      </c>
      <c r="G19" s="21"/>
      <c r="H19" s="21">
        <f>SUM(OSRRefH22x_0)</f>
        <v>298205.70873287431</v>
      </c>
      <c r="I19" s="21"/>
      <c r="J19" s="30">
        <f t="shared" ref="J19:J31" si="5">IF(H$12=0,0,H19/H$12)</f>
        <v>0</v>
      </c>
      <c r="K19" s="4"/>
      <c r="L19" s="21">
        <f t="shared" ref="L19:L31" si="6">+D19-H19</f>
        <v>-104050.58873287422</v>
      </c>
      <c r="M19" s="4"/>
      <c r="N19" s="30">
        <f t="shared" ref="N19:N31" si="7">IF(H19=0,0,L19/H19)</f>
        <v>-0.34892218923307167</v>
      </c>
      <c r="O19" s="10"/>
      <c r="P19" s="21">
        <f>SUM(OSRRefP22x_0)</f>
        <v>3321539.6799999992</v>
      </c>
      <c r="Q19" s="21"/>
      <c r="R19" s="30">
        <f t="shared" ref="R19:R31" si="8">IF(P$12=0,0,P19/P$12)</f>
        <v>0</v>
      </c>
      <c r="S19" s="21"/>
      <c r="T19" s="21">
        <f>SUM(OSRRefT22x_0)</f>
        <v>4183063.3898273148</v>
      </c>
      <c r="U19" s="21"/>
      <c r="V19" s="30">
        <f t="shared" ref="V19:V31" si="9">IF(T$12=0,0,T19/T$12)</f>
        <v>20915.316949136573</v>
      </c>
      <c r="W19" s="4"/>
      <c r="X19" s="21">
        <f t="shared" ref="X19:X31" si="10">+P19-T19</f>
        <v>-861523.70982731553</v>
      </c>
      <c r="Y19" s="4"/>
      <c r="Z19" s="30">
        <f t="shared" ref="Z19:Z31" si="11">IF(T19=0,0,X19/T19)</f>
        <v>-0.2059552126134242</v>
      </c>
    </row>
    <row r="20" spans="1:26" s="27" customFormat="1" outlineLevel="1" collapsed="1" x14ac:dyDescent="0.25">
      <c r="A20" s="25"/>
      <c r="B20" s="12" t="str">
        <f>CONCATENATE("     ","*Benefits                                         ")</f>
        <v xml:space="preserve">     *Benefits                                         </v>
      </c>
      <c r="C20" s="12"/>
      <c r="D20" s="1">
        <f>SUM(OSRRefD22_0x_0)</f>
        <v>78735.78</v>
      </c>
      <c r="E20" s="1"/>
      <c r="F20" s="5">
        <f t="shared" si="4"/>
        <v>0</v>
      </c>
      <c r="G20" s="1"/>
      <c r="H20" s="1">
        <f>SUM(OSRRefH22_0x_0)</f>
        <v>98067.994575951379</v>
      </c>
      <c r="I20" s="1"/>
      <c r="J20" s="5">
        <f t="shared" si="5"/>
        <v>0</v>
      </c>
      <c r="K20" s="1"/>
      <c r="L20" s="1">
        <f t="shared" si="6"/>
        <v>-19332.214575951381</v>
      </c>
      <c r="M20" s="1"/>
      <c r="N20" s="5">
        <f t="shared" si="7"/>
        <v>-0.19713072200104012</v>
      </c>
      <c r="O20" s="12"/>
      <c r="P20" s="1">
        <f>SUM(OSRRefP22_0x_0)</f>
        <v>949504.83</v>
      </c>
      <c r="Q20" s="1"/>
      <c r="R20" s="5">
        <f t="shared" si="8"/>
        <v>0</v>
      </c>
      <c r="S20" s="1"/>
      <c r="T20" s="1">
        <f>SUM(OSRRefT22_0x_0)</f>
        <v>1120754.438744239</v>
      </c>
      <c r="U20" s="1"/>
      <c r="V20" s="5">
        <f t="shared" si="9"/>
        <v>5603.7721937211954</v>
      </c>
      <c r="W20" s="1"/>
      <c r="X20" s="1">
        <f t="shared" si="10"/>
        <v>-171249.60874423909</v>
      </c>
      <c r="Y20" s="1"/>
      <c r="Z20" s="5">
        <f t="shared" si="11"/>
        <v>-0.15279851038209358</v>
      </c>
    </row>
    <row r="21" spans="1:26" s="24" customFormat="1" hidden="1" outlineLevel="2" x14ac:dyDescent="0.25">
      <c r="A21" s="26"/>
      <c r="B21" s="11" t="str">
        <f>CONCATENATE("          ", "6111", " - ", "F.I.C.A.")</f>
        <v xml:space="preserve">          6111 - F.I.C.A.</v>
      </c>
      <c r="C21" s="11"/>
      <c r="D21" s="7">
        <v>7354.45</v>
      </c>
      <c r="E21" s="2"/>
      <c r="F21" s="6">
        <f t="shared" si="4"/>
        <v>0</v>
      </c>
      <c r="G21" s="2"/>
      <c r="H21" s="7">
        <v>9651.3438577052257</v>
      </c>
      <c r="I21" s="2"/>
      <c r="J21" s="6">
        <f t="shared" si="5"/>
        <v>0</v>
      </c>
      <c r="K21" s="2"/>
      <c r="L21" s="7">
        <f t="shared" si="6"/>
        <v>-2296.8938577052259</v>
      </c>
      <c r="M21" s="2"/>
      <c r="N21" s="6">
        <f t="shared" si="7"/>
        <v>-0.23798694685108363</v>
      </c>
      <c r="O21" s="11"/>
      <c r="P21" s="7">
        <v>105786.9</v>
      </c>
      <c r="Q21" s="2"/>
      <c r="R21" s="6">
        <f t="shared" si="8"/>
        <v>0</v>
      </c>
      <c r="S21" s="2"/>
      <c r="T21" s="7">
        <v>116853.52266159278</v>
      </c>
      <c r="U21" s="2"/>
      <c r="V21" s="6">
        <f t="shared" si="9"/>
        <v>584.26761330796387</v>
      </c>
      <c r="W21" s="2"/>
      <c r="X21" s="7">
        <f t="shared" si="10"/>
        <v>-11066.622661592788</v>
      </c>
      <c r="Y21" s="2"/>
      <c r="Z21" s="6">
        <f t="shared" si="11"/>
        <v>-9.4705083847935606E-2</v>
      </c>
    </row>
    <row r="22" spans="1:26" s="24" customFormat="1" hidden="1" outlineLevel="2" x14ac:dyDescent="0.25">
      <c r="A22" s="26"/>
      <c r="B22" s="11" t="str">
        <f>CONCATENATE("          ", "6112", " - ", "COMPENSATION INSURANCE")</f>
        <v xml:space="preserve">          6112 - COMPENSATION INSURANCE</v>
      </c>
      <c r="C22" s="11"/>
      <c r="D22" s="7">
        <v>894.97</v>
      </c>
      <c r="E22" s="2"/>
      <c r="F22" s="6">
        <f t="shared" si="4"/>
        <v>0</v>
      </c>
      <c r="G22" s="2"/>
      <c r="H22" s="7">
        <v>745.30365238769286</v>
      </c>
      <c r="I22" s="2"/>
      <c r="J22" s="6">
        <f t="shared" si="5"/>
        <v>0</v>
      </c>
      <c r="K22" s="2"/>
      <c r="L22" s="7">
        <f t="shared" si="6"/>
        <v>149.66634761230716</v>
      </c>
      <c r="M22" s="2"/>
      <c r="N22" s="6">
        <f t="shared" si="7"/>
        <v>0.20081257770953947</v>
      </c>
      <c r="O22" s="11"/>
      <c r="P22" s="7">
        <v>7659.82</v>
      </c>
      <c r="Q22" s="2"/>
      <c r="R22" s="6">
        <f t="shared" si="8"/>
        <v>0</v>
      </c>
      <c r="S22" s="2"/>
      <c r="T22" s="7">
        <v>8995.2851400523141</v>
      </c>
      <c r="U22" s="2"/>
      <c r="V22" s="6">
        <f t="shared" si="9"/>
        <v>44.976425700261572</v>
      </c>
      <c r="W22" s="2"/>
      <c r="X22" s="7">
        <f t="shared" si="10"/>
        <v>-1335.4651400523144</v>
      </c>
      <c r="Y22" s="2"/>
      <c r="Z22" s="6">
        <f t="shared" si="11"/>
        <v>-0.14846279125783751</v>
      </c>
    </row>
    <row r="23" spans="1:26" s="24" customFormat="1" hidden="1" outlineLevel="2" x14ac:dyDescent="0.25">
      <c r="A23" s="26"/>
      <c r="B23" s="11" t="str">
        <f>CONCATENATE("          ", "6113", " - ", "GROUP INSURANCE")</f>
        <v xml:space="preserve">          6113 - GROUP INSURANCE</v>
      </c>
      <c r="C23" s="11"/>
      <c r="D23" s="7">
        <v>22589.05</v>
      </c>
      <c r="E23" s="2"/>
      <c r="F23" s="6">
        <f t="shared" si="4"/>
        <v>0</v>
      </c>
      <c r="G23" s="2"/>
      <c r="H23" s="7">
        <v>26690.038461538461</v>
      </c>
      <c r="I23" s="2"/>
      <c r="J23" s="6">
        <f t="shared" si="5"/>
        <v>0</v>
      </c>
      <c r="K23" s="2"/>
      <c r="L23" s="7">
        <f t="shared" si="6"/>
        <v>-4100.9884615384617</v>
      </c>
      <c r="M23" s="2"/>
      <c r="N23" s="6">
        <f t="shared" si="7"/>
        <v>-0.15365239984379075</v>
      </c>
      <c r="O23" s="11"/>
      <c r="P23" s="7">
        <v>253160.80000000002</v>
      </c>
      <c r="Q23" s="2"/>
      <c r="R23" s="6">
        <f t="shared" si="8"/>
        <v>0</v>
      </c>
      <c r="S23" s="2"/>
      <c r="T23" s="7">
        <v>301951.65384615387</v>
      </c>
      <c r="U23" s="2"/>
      <c r="V23" s="6">
        <f t="shared" si="9"/>
        <v>1509.7582692307694</v>
      </c>
      <c r="W23" s="2"/>
      <c r="X23" s="7">
        <f t="shared" si="10"/>
        <v>-48790.853846153856</v>
      </c>
      <c r="Y23" s="2"/>
      <c r="Z23" s="6">
        <f t="shared" si="11"/>
        <v>-0.16158498628728518</v>
      </c>
    </row>
    <row r="24" spans="1:26" s="24" customFormat="1" hidden="1" outlineLevel="2" x14ac:dyDescent="0.25">
      <c r="A24" s="26"/>
      <c r="B24" s="11" t="str">
        <f>CONCATENATE("          ", "6114", " - ", "STATE UNEMPLOYMENT INSURANCE")</f>
        <v xml:space="preserve">          6114 - STATE UNEMPLOYMENT INSURANCE</v>
      </c>
      <c r="C24" s="11"/>
      <c r="D24" s="7">
        <v>379.85</v>
      </c>
      <c r="E24" s="2"/>
      <c r="F24" s="6">
        <f t="shared" si="4"/>
        <v>0</v>
      </c>
      <c r="G24" s="2"/>
      <c r="H24" s="7">
        <v>363.43606512000002</v>
      </c>
      <c r="I24" s="2"/>
      <c r="J24" s="6">
        <f t="shared" si="5"/>
        <v>0</v>
      </c>
      <c r="K24" s="2"/>
      <c r="L24" s="7">
        <f t="shared" si="6"/>
        <v>16.413934879999999</v>
      </c>
      <c r="M24" s="2"/>
      <c r="N24" s="6">
        <f t="shared" si="7"/>
        <v>4.5163197754137074E-2</v>
      </c>
      <c r="O24" s="11"/>
      <c r="P24" s="7">
        <v>4238.08</v>
      </c>
      <c r="Q24" s="2"/>
      <c r="R24" s="6">
        <f t="shared" si="8"/>
        <v>0</v>
      </c>
      <c r="S24" s="2"/>
      <c r="T24" s="7">
        <v>4400.7231960400004</v>
      </c>
      <c r="U24" s="2"/>
      <c r="V24" s="6">
        <f t="shared" si="9"/>
        <v>22.003615980200003</v>
      </c>
      <c r="W24" s="2"/>
      <c r="X24" s="7">
        <f t="shared" si="10"/>
        <v>-162.64319604000048</v>
      </c>
      <c r="Y24" s="2"/>
      <c r="Z24" s="6">
        <f t="shared" si="11"/>
        <v>-3.6958288170988639E-2</v>
      </c>
    </row>
    <row r="25" spans="1:26" s="24" customFormat="1" hidden="1" outlineLevel="2" x14ac:dyDescent="0.25">
      <c r="A25" s="26"/>
      <c r="B25" s="11" t="str">
        <f>CONCATENATE("          ", "6115", " - ", "P.E.R.S.")</f>
        <v xml:space="preserve">          6115 - P.E.R.S.</v>
      </c>
      <c r="C25" s="11"/>
      <c r="D25" s="7">
        <v>6869.17</v>
      </c>
      <c r="E25" s="2"/>
      <c r="F25" s="6">
        <f t="shared" si="4"/>
        <v>0</v>
      </c>
      <c r="G25" s="2"/>
      <c r="H25" s="7">
        <v>8097.1122453538474</v>
      </c>
      <c r="I25" s="2"/>
      <c r="J25" s="6">
        <f t="shared" si="5"/>
        <v>0</v>
      </c>
      <c r="K25" s="2"/>
      <c r="L25" s="7">
        <f t="shared" si="6"/>
        <v>-1227.9422453538473</v>
      </c>
      <c r="M25" s="2"/>
      <c r="N25" s="6">
        <f t="shared" si="7"/>
        <v>-0.15165187392066165</v>
      </c>
      <c r="O25" s="11"/>
      <c r="P25" s="7">
        <v>94454.88</v>
      </c>
      <c r="Q25" s="2"/>
      <c r="R25" s="6">
        <f t="shared" si="8"/>
        <v>0</v>
      </c>
      <c r="S25" s="2"/>
      <c r="T25" s="7">
        <v>97165.346944246194</v>
      </c>
      <c r="U25" s="2"/>
      <c r="V25" s="6">
        <f t="shared" si="9"/>
        <v>485.82673472123099</v>
      </c>
      <c r="W25" s="2"/>
      <c r="X25" s="7">
        <f t="shared" si="10"/>
        <v>-2710.4669442461891</v>
      </c>
      <c r="Y25" s="2"/>
      <c r="Z25" s="6">
        <f t="shared" si="11"/>
        <v>-2.789540746251299E-2</v>
      </c>
    </row>
    <row r="26" spans="1:26" s="24" customFormat="1" hidden="1" outlineLevel="2" x14ac:dyDescent="0.25">
      <c r="A26" s="26"/>
      <c r="B26" s="11" t="str">
        <f>CONCATENATE("          ", "6116", " - ", "EDUCATIONAL BENEFITS")</f>
        <v xml:space="preserve">          6116 - EDUCATIONAL BENEFITS</v>
      </c>
      <c r="C26" s="11"/>
      <c r="D26" s="7"/>
      <c r="E26" s="2"/>
      <c r="F26" s="6">
        <f t="shared" si="4"/>
        <v>0</v>
      </c>
      <c r="G26" s="2"/>
      <c r="H26" s="7">
        <v>500</v>
      </c>
      <c r="I26" s="2"/>
      <c r="J26" s="6">
        <f t="shared" si="5"/>
        <v>0</v>
      </c>
      <c r="K26" s="2"/>
      <c r="L26" s="7">
        <f t="shared" si="6"/>
        <v>-500</v>
      </c>
      <c r="M26" s="2"/>
      <c r="N26" s="6">
        <f t="shared" si="7"/>
        <v>-1</v>
      </c>
      <c r="O26" s="11"/>
      <c r="P26" s="7">
        <v>5070.88</v>
      </c>
      <c r="Q26" s="2"/>
      <c r="R26" s="6">
        <f t="shared" si="8"/>
        <v>0</v>
      </c>
      <c r="S26" s="2"/>
      <c r="T26" s="7">
        <v>5500</v>
      </c>
      <c r="U26" s="2"/>
      <c r="V26" s="6">
        <f t="shared" si="9"/>
        <v>27.5</v>
      </c>
      <c r="W26" s="2"/>
      <c r="X26" s="7">
        <f t="shared" si="10"/>
        <v>-429.11999999999989</v>
      </c>
      <c r="Y26" s="2"/>
      <c r="Z26" s="6">
        <f t="shared" si="11"/>
        <v>-7.8021818181818164E-2</v>
      </c>
    </row>
    <row r="27" spans="1:26" s="24" customFormat="1" hidden="1" outlineLevel="2" x14ac:dyDescent="0.25">
      <c r="A27" s="26"/>
      <c r="B27" s="11" t="str">
        <f>CONCATENATE("          ", "6117", " - ", "RETIREMENT STAFF HOURLY")</f>
        <v xml:space="preserve">          6117 - RETIREMENT STAFF HOURLY</v>
      </c>
      <c r="C27" s="11"/>
      <c r="D27" s="7">
        <v>627.4</v>
      </c>
      <c r="E27" s="2"/>
      <c r="F27" s="6">
        <f t="shared" si="4"/>
        <v>0</v>
      </c>
      <c r="G27" s="2"/>
      <c r="H27" s="7"/>
      <c r="I27" s="2"/>
      <c r="J27" s="6">
        <f t="shared" si="5"/>
        <v>0</v>
      </c>
      <c r="K27" s="2"/>
      <c r="L27" s="7">
        <f t="shared" si="6"/>
        <v>627.4</v>
      </c>
      <c r="M27" s="2"/>
      <c r="N27" s="6">
        <f t="shared" si="7"/>
        <v>0</v>
      </c>
      <c r="O27" s="11"/>
      <c r="P27" s="7">
        <v>9484.66</v>
      </c>
      <c r="Q27" s="2"/>
      <c r="R27" s="6">
        <f t="shared" si="8"/>
        <v>0</v>
      </c>
      <c r="S27" s="2"/>
      <c r="T27" s="7"/>
      <c r="U27" s="2"/>
      <c r="V27" s="6">
        <f t="shared" si="9"/>
        <v>0</v>
      </c>
      <c r="W27" s="2"/>
      <c r="X27" s="7">
        <f t="shared" si="10"/>
        <v>9484.66</v>
      </c>
      <c r="Y27" s="2"/>
      <c r="Z27" s="6">
        <f t="shared" si="11"/>
        <v>0</v>
      </c>
    </row>
    <row r="28" spans="1:26" s="24" customFormat="1" hidden="1" outlineLevel="2" x14ac:dyDescent="0.25">
      <c r="A28" s="26"/>
      <c r="B28" s="11" t="str">
        <f>CONCATENATE("          ", "6118", " - ", "VACATION")</f>
        <v xml:space="preserve">          6118 - VACATION</v>
      </c>
      <c r="C28" s="11"/>
      <c r="D28" s="7">
        <v>5289.6</v>
      </c>
      <c r="E28" s="2"/>
      <c r="F28" s="6">
        <f t="shared" si="4"/>
        <v>0</v>
      </c>
      <c r="G28" s="2"/>
      <c r="H28" s="7">
        <v>6830.8805984615401</v>
      </c>
      <c r="I28" s="2"/>
      <c r="J28" s="6">
        <f t="shared" si="5"/>
        <v>0</v>
      </c>
      <c r="K28" s="2"/>
      <c r="L28" s="7">
        <f t="shared" si="6"/>
        <v>-1541.2805984615397</v>
      </c>
      <c r="M28" s="2"/>
      <c r="N28" s="6">
        <f t="shared" si="7"/>
        <v>-0.22563424674831367</v>
      </c>
      <c r="O28" s="11"/>
      <c r="P28" s="7">
        <v>93063.02</v>
      </c>
      <c r="Q28" s="2"/>
      <c r="R28" s="6">
        <f t="shared" si="8"/>
        <v>0</v>
      </c>
      <c r="S28" s="2"/>
      <c r="T28" s="7">
        <v>82207.161981538491</v>
      </c>
      <c r="U28" s="2"/>
      <c r="V28" s="6">
        <f t="shared" si="9"/>
        <v>411.03580990769245</v>
      </c>
      <c r="W28" s="2"/>
      <c r="X28" s="7">
        <f t="shared" si="10"/>
        <v>10855.858018461513</v>
      </c>
      <c r="Y28" s="2"/>
      <c r="Z28" s="6">
        <f t="shared" si="11"/>
        <v>0.1320548934763062</v>
      </c>
    </row>
    <row r="29" spans="1:26" s="24" customFormat="1" hidden="1" outlineLevel="2" x14ac:dyDescent="0.25">
      <c r="A29" s="26"/>
      <c r="B29" s="11" t="str">
        <f>CONCATENATE("          ", "6119", " - ", "SICK LEAVE")</f>
        <v xml:space="preserve">          6119 - SICK LEAVE</v>
      </c>
      <c r="C29" s="11"/>
      <c r="D29" s="7">
        <v>4151.12</v>
      </c>
      <c r="E29" s="2"/>
      <c r="F29" s="6">
        <f t="shared" si="4"/>
        <v>0</v>
      </c>
      <c r="G29" s="2"/>
      <c r="H29" s="7">
        <v>4839.8796953846158</v>
      </c>
      <c r="I29" s="2"/>
      <c r="J29" s="6">
        <f t="shared" si="5"/>
        <v>0</v>
      </c>
      <c r="K29" s="2"/>
      <c r="L29" s="7">
        <f t="shared" si="6"/>
        <v>-688.75969538461595</v>
      </c>
      <c r="M29" s="2"/>
      <c r="N29" s="6">
        <f t="shared" si="7"/>
        <v>-0.14230925947217818</v>
      </c>
      <c r="O29" s="11"/>
      <c r="P29" s="7">
        <v>36508.6</v>
      </c>
      <c r="Q29" s="2"/>
      <c r="R29" s="6">
        <f t="shared" si="8"/>
        <v>0</v>
      </c>
      <c r="S29" s="2"/>
      <c r="T29" s="7">
        <v>58530.744974615423</v>
      </c>
      <c r="U29" s="2"/>
      <c r="V29" s="6">
        <f t="shared" si="9"/>
        <v>292.65372487307712</v>
      </c>
      <c r="W29" s="2"/>
      <c r="X29" s="7">
        <f t="shared" si="10"/>
        <v>-22022.144974615425</v>
      </c>
      <c r="Y29" s="2"/>
      <c r="Z29" s="6">
        <f t="shared" si="11"/>
        <v>-0.37624918295788568</v>
      </c>
    </row>
    <row r="30" spans="1:26" s="24" customFormat="1" hidden="1" outlineLevel="2" x14ac:dyDescent="0.25">
      <c r="A30" s="26"/>
      <c r="B30" s="11" t="str">
        <f>CONCATENATE("          ", "6120", " - ", "RETIREES HEALTH INSURANCE")</f>
        <v xml:space="preserve">          6120 - RETIREES HEALTH INSURANCE</v>
      </c>
      <c r="C30" s="11"/>
      <c r="D30" s="7">
        <v>30337.670000000002</v>
      </c>
      <c r="E30" s="2"/>
      <c r="F30" s="6">
        <f t="shared" si="4"/>
        <v>0</v>
      </c>
      <c r="G30" s="2"/>
      <c r="H30" s="7">
        <v>39000</v>
      </c>
      <c r="I30" s="2"/>
      <c r="J30" s="6">
        <f t="shared" si="5"/>
        <v>0</v>
      </c>
      <c r="K30" s="2"/>
      <c r="L30" s="7">
        <f t="shared" si="6"/>
        <v>-8662.3299999999981</v>
      </c>
      <c r="M30" s="2"/>
      <c r="N30" s="6">
        <f t="shared" si="7"/>
        <v>-0.22211102564102558</v>
      </c>
      <c r="O30" s="11"/>
      <c r="P30" s="7">
        <v>317995.81</v>
      </c>
      <c r="Q30" s="2"/>
      <c r="R30" s="6">
        <f t="shared" si="8"/>
        <v>0</v>
      </c>
      <c r="S30" s="2"/>
      <c r="T30" s="7">
        <v>430300</v>
      </c>
      <c r="U30" s="2"/>
      <c r="V30" s="6">
        <f t="shared" si="9"/>
        <v>2151.5</v>
      </c>
      <c r="W30" s="2"/>
      <c r="X30" s="7">
        <f t="shared" si="10"/>
        <v>-112304.19</v>
      </c>
      <c r="Y30" s="2"/>
      <c r="Z30" s="6">
        <f t="shared" si="11"/>
        <v>-0.26099044852428538</v>
      </c>
    </row>
    <row r="31" spans="1:26" s="24" customFormat="1" hidden="1" outlineLevel="2" x14ac:dyDescent="0.25">
      <c r="A31" s="26"/>
      <c r="B31" s="11" t="str">
        <f>CONCATENATE("          ", "6156", " - ", "EMPLOYEE MEALS")</f>
        <v xml:space="preserve">          6156 - EMPLOYEE MEALS</v>
      </c>
      <c r="C31" s="11"/>
      <c r="D31" s="7">
        <v>242.5</v>
      </c>
      <c r="E31" s="2"/>
      <c r="F31" s="6">
        <f t="shared" si="4"/>
        <v>0</v>
      </c>
      <c r="G31" s="2"/>
      <c r="H31" s="7">
        <v>1350</v>
      </c>
      <c r="I31" s="2"/>
      <c r="J31" s="6">
        <f t="shared" si="5"/>
        <v>0</v>
      </c>
      <c r="K31" s="2"/>
      <c r="L31" s="7">
        <f t="shared" si="6"/>
        <v>-1107.5</v>
      </c>
      <c r="M31" s="2"/>
      <c r="N31" s="6">
        <f t="shared" si="7"/>
        <v>-0.82037037037037042</v>
      </c>
      <c r="O31" s="11"/>
      <c r="P31" s="7">
        <v>22081.38</v>
      </c>
      <c r="Q31" s="2"/>
      <c r="R31" s="6">
        <f t="shared" si="8"/>
        <v>0</v>
      </c>
      <c r="S31" s="2"/>
      <c r="T31" s="7">
        <v>14850</v>
      </c>
      <c r="U31" s="2"/>
      <c r="V31" s="6">
        <f t="shared" si="9"/>
        <v>74.25</v>
      </c>
      <c r="W31" s="2"/>
      <c r="X31" s="7">
        <f t="shared" si="10"/>
        <v>7231.380000000001</v>
      </c>
      <c r="Y31" s="2"/>
      <c r="Z31" s="6">
        <f t="shared" si="11"/>
        <v>0.48696161616161621</v>
      </c>
    </row>
    <row r="32" spans="1:26" s="27" customFormat="1" outlineLevel="1" collapsed="1" x14ac:dyDescent="0.25">
      <c r="A32" s="25"/>
      <c r="B32" s="12" t="str">
        <f>CONCATENATE("     ","*Payroll                                          ")</f>
        <v xml:space="preserve">     *Payroll                                          </v>
      </c>
      <c r="C32" s="12"/>
      <c r="D32" s="1">
        <f>SUM(OSRRefD22_1x_0)</f>
        <v>79318.179999999993</v>
      </c>
      <c r="E32" s="1"/>
      <c r="F32" s="5">
        <f t="shared" ref="F32:F42" si="12">IF(D$12=0,0,D32/D$12)</f>
        <v>0</v>
      </c>
      <c r="G32" s="1"/>
      <c r="H32" s="1">
        <f>SUM(OSRRefH22_1x_0)</f>
        <v>129774.71415692296</v>
      </c>
      <c r="I32" s="1"/>
      <c r="J32" s="5">
        <f t="shared" ref="J32:J42" si="13">IF(H$12=0,0,H32/H$12)</f>
        <v>0</v>
      </c>
      <c r="K32" s="1"/>
      <c r="L32" s="1">
        <f t="shared" ref="L32:L42" si="14">+D32-H32</f>
        <v>-50456.534156922964</v>
      </c>
      <c r="M32" s="1"/>
      <c r="N32" s="5">
        <f t="shared" ref="N32:N42" si="15">IF(H32=0,0,L32/H32)</f>
        <v>-0.38880096546320392</v>
      </c>
      <c r="O32" s="12"/>
      <c r="P32" s="1">
        <f>SUM(OSRRefP22_1x_0)</f>
        <v>1227632.08</v>
      </c>
      <c r="Q32" s="1"/>
      <c r="R32" s="5">
        <f t="shared" ref="R32:R42" si="16">IF(P$12=0,0,P32/P$12)</f>
        <v>0</v>
      </c>
      <c r="S32" s="1"/>
      <c r="T32" s="1">
        <f>SUM(OSRRefT22_1x_0)</f>
        <v>1571534.9510830757</v>
      </c>
      <c r="U32" s="1"/>
      <c r="V32" s="5">
        <f t="shared" ref="V32:V42" si="17">IF(T$12=0,0,T32/T$12)</f>
        <v>7857.674755415379</v>
      </c>
      <c r="W32" s="1"/>
      <c r="X32" s="1">
        <f t="shared" ref="X32:X42" si="18">+P32-T32</f>
        <v>-343902.87108307565</v>
      </c>
      <c r="Y32" s="1"/>
      <c r="Z32" s="5">
        <f t="shared" ref="Z32:Z42" si="19">IF(T32=0,0,X32/T32)</f>
        <v>-0.21883246748413931</v>
      </c>
    </row>
    <row r="33" spans="1:26" s="24" customFormat="1" hidden="1" outlineLevel="2" x14ac:dyDescent="0.25">
      <c r="A33" s="26"/>
      <c r="B33" s="11" t="str">
        <f>CONCATENATE("          ", "6001", " - ", "ADMINISTRATIVE SALARIES")</f>
        <v xml:space="preserve">          6001 - ADMINISTRATIVE SALARIES</v>
      </c>
      <c r="C33" s="11"/>
      <c r="D33" s="7">
        <v>23351.02</v>
      </c>
      <c r="E33" s="2"/>
      <c r="F33" s="6">
        <f t="shared" si="12"/>
        <v>0</v>
      </c>
      <c r="G33" s="2"/>
      <c r="H33" s="7">
        <v>42696.154864615339</v>
      </c>
      <c r="I33" s="2"/>
      <c r="J33" s="6">
        <f t="shared" si="13"/>
        <v>0</v>
      </c>
      <c r="K33" s="2"/>
      <c r="L33" s="7">
        <f t="shared" si="14"/>
        <v>-19345.134864615338</v>
      </c>
      <c r="M33" s="2"/>
      <c r="N33" s="6">
        <f t="shared" si="15"/>
        <v>-0.45308845552852628</v>
      </c>
      <c r="O33" s="11"/>
      <c r="P33" s="7">
        <v>275310.42000000004</v>
      </c>
      <c r="Q33" s="2"/>
      <c r="R33" s="6">
        <f t="shared" si="16"/>
        <v>0</v>
      </c>
      <c r="S33" s="2"/>
      <c r="T33" s="7">
        <v>512353.85837538424</v>
      </c>
      <c r="U33" s="2"/>
      <c r="V33" s="6">
        <f t="shared" si="17"/>
        <v>2561.7692918769212</v>
      </c>
      <c r="W33" s="2"/>
      <c r="X33" s="7">
        <f t="shared" si="18"/>
        <v>-237043.4383753842</v>
      </c>
      <c r="Y33" s="2"/>
      <c r="Z33" s="6">
        <f t="shared" si="19"/>
        <v>-0.46265571050254595</v>
      </c>
    </row>
    <row r="34" spans="1:26" s="24" customFormat="1" hidden="1" outlineLevel="2" x14ac:dyDescent="0.25">
      <c r="A34" s="26"/>
      <c r="B34" s="11" t="str">
        <f>CONCATENATE("          ", "6002", " - ", "STAFF SALARIES")</f>
        <v xml:space="preserve">          6002 - STAFF SALARIES</v>
      </c>
      <c r="C34" s="11"/>
      <c r="D34" s="7">
        <v>31095.870000000003</v>
      </c>
      <c r="E34" s="2"/>
      <c r="F34" s="6">
        <f t="shared" si="12"/>
        <v>0</v>
      </c>
      <c r="G34" s="2"/>
      <c r="H34" s="7">
        <v>44196.157492307611</v>
      </c>
      <c r="I34" s="2"/>
      <c r="J34" s="6">
        <f t="shared" si="13"/>
        <v>0</v>
      </c>
      <c r="K34" s="2"/>
      <c r="L34" s="7">
        <f t="shared" si="14"/>
        <v>-13100.287492307609</v>
      </c>
      <c r="M34" s="2"/>
      <c r="N34" s="6">
        <f t="shared" si="15"/>
        <v>-0.29641236332791437</v>
      </c>
      <c r="O34" s="11"/>
      <c r="P34" s="7">
        <v>523370.88</v>
      </c>
      <c r="Q34" s="2"/>
      <c r="R34" s="6">
        <f t="shared" si="16"/>
        <v>0</v>
      </c>
      <c r="S34" s="2"/>
      <c r="T34" s="7">
        <v>530353.88990769163</v>
      </c>
      <c r="U34" s="2"/>
      <c r="V34" s="6">
        <f t="shared" si="17"/>
        <v>2651.769449538458</v>
      </c>
      <c r="W34" s="2"/>
      <c r="X34" s="7">
        <f t="shared" si="18"/>
        <v>-6983.0099076916231</v>
      </c>
      <c r="Y34" s="2"/>
      <c r="Z34" s="6">
        <f t="shared" si="19"/>
        <v>-1.3166698765812805E-2</v>
      </c>
    </row>
    <row r="35" spans="1:26" s="24" customFormat="1" hidden="1" outlineLevel="2" x14ac:dyDescent="0.25">
      <c r="A35" s="26"/>
      <c r="B35" s="11" t="str">
        <f>CONCATENATE("          ", "6003", " - ", "STAFF HOURLY-9 MONTH")</f>
        <v xml:space="preserve">          6003 - STAFF HOURLY-9 MONTH</v>
      </c>
      <c r="C35" s="11"/>
      <c r="D35" s="7"/>
      <c r="E35" s="2"/>
      <c r="F35" s="6">
        <f t="shared" si="12"/>
        <v>0</v>
      </c>
      <c r="G35" s="2"/>
      <c r="H35" s="7">
        <v>0</v>
      </c>
      <c r="I35" s="2"/>
      <c r="J35" s="6">
        <f t="shared" si="13"/>
        <v>0</v>
      </c>
      <c r="K35" s="2"/>
      <c r="L35" s="7">
        <f t="shared" si="14"/>
        <v>0</v>
      </c>
      <c r="M35" s="2"/>
      <c r="N35" s="6">
        <f t="shared" si="15"/>
        <v>0</v>
      </c>
      <c r="O35" s="11"/>
      <c r="P35" s="7"/>
      <c r="Q35" s="2"/>
      <c r="R35" s="6">
        <f t="shared" si="16"/>
        <v>0</v>
      </c>
      <c r="S35" s="2"/>
      <c r="T35" s="7">
        <v>0</v>
      </c>
      <c r="U35" s="2"/>
      <c r="V35" s="6">
        <f t="shared" si="17"/>
        <v>0</v>
      </c>
      <c r="W35" s="2"/>
      <c r="X35" s="7">
        <f t="shared" si="18"/>
        <v>0</v>
      </c>
      <c r="Y35" s="2"/>
      <c r="Z35" s="6">
        <f t="shared" si="19"/>
        <v>0</v>
      </c>
    </row>
    <row r="36" spans="1:26" s="24" customFormat="1" hidden="1" outlineLevel="2" x14ac:dyDescent="0.25">
      <c r="A36" s="26"/>
      <c r="B36" s="11" t="str">
        <f>CONCATENATE("          ", "6004", " - ", "STAFF HOURLY")</f>
        <v xml:space="preserve">          6004 - STAFF HOURLY</v>
      </c>
      <c r="C36" s="11"/>
      <c r="D36" s="7">
        <v>17283.11</v>
      </c>
      <c r="E36" s="2"/>
      <c r="F36" s="6">
        <f t="shared" si="12"/>
        <v>0</v>
      </c>
      <c r="G36" s="2"/>
      <c r="H36" s="7">
        <v>22426.787800000002</v>
      </c>
      <c r="I36" s="2"/>
      <c r="J36" s="6">
        <f t="shared" si="13"/>
        <v>0</v>
      </c>
      <c r="K36" s="2"/>
      <c r="L36" s="7">
        <f t="shared" si="14"/>
        <v>-5143.6778000000013</v>
      </c>
      <c r="M36" s="2"/>
      <c r="N36" s="6">
        <f t="shared" si="15"/>
        <v>-0.22935419222185716</v>
      </c>
      <c r="O36" s="11"/>
      <c r="P36" s="7">
        <v>237156.58000000002</v>
      </c>
      <c r="Q36" s="2"/>
      <c r="R36" s="6">
        <f t="shared" si="16"/>
        <v>0</v>
      </c>
      <c r="S36" s="2"/>
      <c r="T36" s="7">
        <v>273733.35080000001</v>
      </c>
      <c r="U36" s="2"/>
      <c r="V36" s="6">
        <f t="shared" si="17"/>
        <v>1368.6667540000001</v>
      </c>
      <c r="W36" s="2"/>
      <c r="X36" s="7">
        <f t="shared" si="18"/>
        <v>-36576.770799999998</v>
      </c>
      <c r="Y36" s="2"/>
      <c r="Z36" s="6">
        <f t="shared" si="19"/>
        <v>-0.13362190136168089</v>
      </c>
    </row>
    <row r="37" spans="1:26" s="24" customFormat="1" hidden="1" outlineLevel="2" x14ac:dyDescent="0.25">
      <c r="A37" s="26"/>
      <c r="B37" s="11" t="str">
        <f>CONCATENATE("          ", "6005", " - ", "TEMPORARY WAGES-HOURLY")</f>
        <v xml:space="preserve">          6005 - TEMPORARY WAGES-HOURLY</v>
      </c>
      <c r="C37" s="11"/>
      <c r="D37" s="7">
        <v>6294.12</v>
      </c>
      <c r="E37" s="2"/>
      <c r="F37" s="6">
        <f t="shared" si="12"/>
        <v>0</v>
      </c>
      <c r="G37" s="2"/>
      <c r="H37" s="7">
        <v>7192</v>
      </c>
      <c r="I37" s="2"/>
      <c r="J37" s="6">
        <f t="shared" si="13"/>
        <v>0</v>
      </c>
      <c r="K37" s="2"/>
      <c r="L37" s="7">
        <f t="shared" si="14"/>
        <v>-897.88000000000011</v>
      </c>
      <c r="M37" s="2"/>
      <c r="N37" s="6">
        <f t="shared" si="15"/>
        <v>-0.12484427141268077</v>
      </c>
      <c r="O37" s="11"/>
      <c r="P37" s="7">
        <v>107584.9</v>
      </c>
      <c r="Q37" s="2"/>
      <c r="R37" s="6">
        <f t="shared" si="16"/>
        <v>0</v>
      </c>
      <c r="S37" s="2"/>
      <c r="T37" s="7">
        <v>88102</v>
      </c>
      <c r="U37" s="2"/>
      <c r="V37" s="6">
        <f t="shared" si="17"/>
        <v>440.51</v>
      </c>
      <c r="W37" s="2"/>
      <c r="X37" s="7">
        <f t="shared" si="18"/>
        <v>19482.899999999994</v>
      </c>
      <c r="Y37" s="2"/>
      <c r="Z37" s="6">
        <f t="shared" si="19"/>
        <v>0.2211402692333885</v>
      </c>
    </row>
    <row r="38" spans="1:26" s="24" customFormat="1" hidden="1" outlineLevel="2" x14ac:dyDescent="0.25">
      <c r="A38" s="26"/>
      <c r="B38" s="11" t="str">
        <f>CONCATENATE("          ", "6006", " - ", "TEMPORARY PART TIME")</f>
        <v xml:space="preserve">          6006 - TEMPORARY PART TIME</v>
      </c>
      <c r="C38" s="11"/>
      <c r="D38" s="7"/>
      <c r="E38" s="2"/>
      <c r="F38" s="6">
        <f t="shared" si="12"/>
        <v>0</v>
      </c>
      <c r="G38" s="2"/>
      <c r="H38" s="7">
        <v>0</v>
      </c>
      <c r="I38" s="2"/>
      <c r="J38" s="6">
        <f t="shared" si="13"/>
        <v>0</v>
      </c>
      <c r="K38" s="2"/>
      <c r="L38" s="7">
        <f t="shared" si="14"/>
        <v>0</v>
      </c>
      <c r="M38" s="2"/>
      <c r="N38" s="6">
        <f t="shared" si="15"/>
        <v>0</v>
      </c>
      <c r="O38" s="11"/>
      <c r="P38" s="7">
        <v>2361.4299999999998</v>
      </c>
      <c r="Q38" s="2"/>
      <c r="R38" s="6">
        <f t="shared" si="16"/>
        <v>0</v>
      </c>
      <c r="S38" s="2"/>
      <c r="T38" s="7">
        <v>0</v>
      </c>
      <c r="U38" s="2"/>
      <c r="V38" s="6">
        <f t="shared" si="17"/>
        <v>0</v>
      </c>
      <c r="W38" s="2"/>
      <c r="X38" s="7">
        <f t="shared" si="18"/>
        <v>2361.4299999999998</v>
      </c>
      <c r="Y38" s="2"/>
      <c r="Z38" s="6">
        <f t="shared" si="19"/>
        <v>0</v>
      </c>
    </row>
    <row r="39" spans="1:26" s="24" customFormat="1" hidden="1" outlineLevel="2" x14ac:dyDescent="0.25">
      <c r="A39" s="26"/>
      <c r="B39" s="11" t="str">
        <f>CONCATENATE("          ", "6007", " - ", "STUDENT HOURLY")</f>
        <v xml:space="preserve">          6007 - STUDENT HOURLY</v>
      </c>
      <c r="C39" s="11"/>
      <c r="D39" s="7"/>
      <c r="E39" s="2"/>
      <c r="F39" s="6">
        <f t="shared" si="12"/>
        <v>0</v>
      </c>
      <c r="G39" s="2"/>
      <c r="H39" s="7">
        <v>6738.55</v>
      </c>
      <c r="I39" s="2"/>
      <c r="J39" s="6">
        <f t="shared" si="13"/>
        <v>0</v>
      </c>
      <c r="K39" s="2"/>
      <c r="L39" s="7">
        <f t="shared" si="14"/>
        <v>-6738.55</v>
      </c>
      <c r="M39" s="2"/>
      <c r="N39" s="6">
        <f t="shared" si="15"/>
        <v>-1</v>
      </c>
      <c r="O39" s="11"/>
      <c r="P39" s="7">
        <v>62823.01</v>
      </c>
      <c r="Q39" s="2"/>
      <c r="R39" s="6">
        <f t="shared" si="16"/>
        <v>0</v>
      </c>
      <c r="S39" s="2"/>
      <c r="T39" s="7">
        <v>88944.524999999994</v>
      </c>
      <c r="U39" s="2"/>
      <c r="V39" s="6">
        <f t="shared" si="17"/>
        <v>444.72262499999999</v>
      </c>
      <c r="W39" s="2"/>
      <c r="X39" s="7">
        <f t="shared" si="18"/>
        <v>-26121.514999999992</v>
      </c>
      <c r="Y39" s="2"/>
      <c r="Z39" s="6">
        <f t="shared" si="19"/>
        <v>-0.293683225583587</v>
      </c>
    </row>
    <row r="40" spans="1:26" s="24" customFormat="1" hidden="1" outlineLevel="2" x14ac:dyDescent="0.25">
      <c r="A40" s="26"/>
      <c r="B40" s="11" t="str">
        <f>CONCATENATE("          ", "6008", " - ", "STUDENT HOURLY-FICA EXEMPT")</f>
        <v xml:space="preserve">          6008 - STUDENT HOURLY-FICA EXEMPT</v>
      </c>
      <c r="C40" s="11"/>
      <c r="D40" s="7">
        <v>1294.06</v>
      </c>
      <c r="E40" s="2"/>
      <c r="F40" s="6">
        <f t="shared" si="12"/>
        <v>0</v>
      </c>
      <c r="G40" s="2"/>
      <c r="H40" s="7">
        <v>6525.0640000000003</v>
      </c>
      <c r="I40" s="2"/>
      <c r="J40" s="6">
        <f t="shared" si="13"/>
        <v>0</v>
      </c>
      <c r="K40" s="2"/>
      <c r="L40" s="7">
        <f t="shared" si="14"/>
        <v>-5231.0040000000008</v>
      </c>
      <c r="M40" s="2"/>
      <c r="N40" s="6">
        <f t="shared" si="15"/>
        <v>-0.80167857357414429</v>
      </c>
      <c r="O40" s="11"/>
      <c r="P40" s="7">
        <v>19024.86</v>
      </c>
      <c r="Q40" s="2"/>
      <c r="R40" s="6">
        <f t="shared" si="16"/>
        <v>0</v>
      </c>
      <c r="S40" s="2"/>
      <c r="T40" s="7">
        <v>78047.327000000005</v>
      </c>
      <c r="U40" s="2"/>
      <c r="V40" s="6">
        <f t="shared" si="17"/>
        <v>390.23663500000004</v>
      </c>
      <c r="W40" s="2"/>
      <c r="X40" s="7">
        <f t="shared" si="18"/>
        <v>-59022.467000000004</v>
      </c>
      <c r="Y40" s="2"/>
      <c r="Z40" s="6">
        <f t="shared" si="19"/>
        <v>-0.75623944174282864</v>
      </c>
    </row>
    <row r="41" spans="1:26" s="24" customFormat="1" hidden="1" outlineLevel="2" x14ac:dyDescent="0.25">
      <c r="A41" s="26"/>
      <c r="B41" s="11" t="str">
        <f>CONCATENATE("          ", "6009", " - ", "TEMPORARY-SEASONAL")</f>
        <v xml:space="preserve">          6009 - TEMPORARY-SEASONAL</v>
      </c>
      <c r="C41" s="11"/>
      <c r="D41" s="7"/>
      <c r="E41" s="2"/>
      <c r="F41" s="6">
        <f t="shared" si="12"/>
        <v>0</v>
      </c>
      <c r="G41" s="2"/>
      <c r="H41" s="7">
        <v>0</v>
      </c>
      <c r="I41" s="2"/>
      <c r="J41" s="6">
        <f t="shared" si="13"/>
        <v>0</v>
      </c>
      <c r="K41" s="2"/>
      <c r="L41" s="7">
        <f t="shared" si="14"/>
        <v>0</v>
      </c>
      <c r="M41" s="2"/>
      <c r="N41" s="6">
        <f t="shared" si="15"/>
        <v>0</v>
      </c>
      <c r="O41" s="11"/>
      <c r="P41" s="7"/>
      <c r="Q41" s="2"/>
      <c r="R41" s="6">
        <f t="shared" si="16"/>
        <v>0</v>
      </c>
      <c r="S41" s="2"/>
      <c r="T41" s="7">
        <v>0</v>
      </c>
      <c r="U41" s="2"/>
      <c r="V41" s="6">
        <f t="shared" si="17"/>
        <v>0</v>
      </c>
      <c r="W41" s="2"/>
      <c r="X41" s="7">
        <f t="shared" si="18"/>
        <v>0</v>
      </c>
      <c r="Y41" s="2"/>
      <c r="Z41" s="6">
        <f t="shared" si="19"/>
        <v>0</v>
      </c>
    </row>
    <row r="42" spans="1:26" s="24" customFormat="1" hidden="1" outlineLevel="2" x14ac:dyDescent="0.25">
      <c r="A42" s="26"/>
      <c r="B42" s="11" t="str">
        <f>CONCATENATE("          ", "6010", " - ", "GRATUITY")</f>
        <v xml:space="preserve">          6010 - GRATUITY</v>
      </c>
      <c r="C42" s="11"/>
      <c r="D42" s="7"/>
      <c r="E42" s="2"/>
      <c r="F42" s="6">
        <f t="shared" si="12"/>
        <v>0</v>
      </c>
      <c r="G42" s="2"/>
      <c r="H42" s="7">
        <v>0</v>
      </c>
      <c r="I42" s="2"/>
      <c r="J42" s="6">
        <f t="shared" si="13"/>
        <v>0</v>
      </c>
      <c r="K42" s="2"/>
      <c r="L42" s="7">
        <f t="shared" si="14"/>
        <v>0</v>
      </c>
      <c r="M42" s="2"/>
      <c r="N42" s="6">
        <f t="shared" si="15"/>
        <v>0</v>
      </c>
      <c r="O42" s="11"/>
      <c r="P42" s="7"/>
      <c r="Q42" s="2"/>
      <c r="R42" s="6">
        <f t="shared" si="16"/>
        <v>0</v>
      </c>
      <c r="S42" s="2"/>
      <c r="T42" s="7">
        <v>0</v>
      </c>
      <c r="U42" s="2"/>
      <c r="V42" s="6">
        <f t="shared" si="17"/>
        <v>0</v>
      </c>
      <c r="W42" s="2"/>
      <c r="X42" s="7">
        <f t="shared" si="18"/>
        <v>0</v>
      </c>
      <c r="Y42" s="2"/>
      <c r="Z42" s="6">
        <f t="shared" si="19"/>
        <v>0</v>
      </c>
    </row>
    <row r="43" spans="1:26" s="27" customFormat="1" outlineLevel="1" collapsed="1" x14ac:dyDescent="0.25">
      <c r="A43" s="25"/>
      <c r="B43" s="12" t="str">
        <f>CONCATENATE("     ","Advertising/Promo                                 ")</f>
        <v xml:space="preserve">     Advertising/Promo                                 </v>
      </c>
      <c r="C43" s="12"/>
      <c r="D43" s="1">
        <f>SUM(OSRRefD22_2x_0)</f>
        <v>173.21</v>
      </c>
      <c r="E43" s="1"/>
      <c r="F43" s="5">
        <f t="shared" ref="F43:F51" si="20">IF(D$12=0,0,D43/D$12)</f>
        <v>0</v>
      </c>
      <c r="G43" s="1"/>
      <c r="H43" s="1">
        <f>SUM(OSRRefH22_2x_0)</f>
        <v>260</v>
      </c>
      <c r="I43" s="1"/>
      <c r="J43" s="5">
        <f t="shared" ref="J43:J51" si="21">IF(H$12=0,0,H43/H$12)</f>
        <v>0</v>
      </c>
      <c r="K43" s="1"/>
      <c r="L43" s="1">
        <f t="shared" ref="L43:L51" si="22">+D43-H43</f>
        <v>-86.789999999999992</v>
      </c>
      <c r="M43" s="1"/>
      <c r="N43" s="5">
        <f t="shared" ref="N43:N51" si="23">IF(H43=0,0,L43/H43)</f>
        <v>-0.33380769230769225</v>
      </c>
      <c r="O43" s="12"/>
      <c r="P43" s="1">
        <f>SUM(OSRRefP22_2x_0)</f>
        <v>-31381.129999999997</v>
      </c>
      <c r="Q43" s="1"/>
      <c r="R43" s="5">
        <f t="shared" ref="R43:R51" si="24">IF(P$12=0,0,P43/P$12)</f>
        <v>0</v>
      </c>
      <c r="S43" s="1"/>
      <c r="T43" s="1">
        <f>SUM(OSRRefT22_2x_0)</f>
        <v>2885</v>
      </c>
      <c r="U43" s="1"/>
      <c r="V43" s="5">
        <f t="shared" ref="V43:V51" si="25">IF(T$12=0,0,T43/T$12)</f>
        <v>14.425000000000001</v>
      </c>
      <c r="W43" s="1"/>
      <c r="X43" s="1">
        <f t="shared" ref="X43:X51" si="26">+P43-T43</f>
        <v>-34266.129999999997</v>
      </c>
      <c r="Y43" s="1"/>
      <c r="Z43" s="5">
        <f t="shared" ref="Z43:Z51" si="27">IF(T43=0,0,X43/T43)</f>
        <v>-11.877341421143846</v>
      </c>
    </row>
    <row r="44" spans="1:26" s="24" customFormat="1" hidden="1" outlineLevel="2" x14ac:dyDescent="0.25">
      <c r="A44" s="26"/>
      <c r="B44" s="11" t="str">
        <f>CONCATENATE("          ", "6362", " - ", "ADVERTISING EXPENSE")</f>
        <v xml:space="preserve">          6362 - ADVERTISING EXPENSE</v>
      </c>
      <c r="C44" s="11"/>
      <c r="D44" s="7">
        <v>173.21</v>
      </c>
      <c r="E44" s="2"/>
      <c r="F44" s="6">
        <f t="shared" si="20"/>
        <v>0</v>
      </c>
      <c r="G44" s="2"/>
      <c r="H44" s="7">
        <v>260</v>
      </c>
      <c r="I44" s="2"/>
      <c r="J44" s="6">
        <f t="shared" si="21"/>
        <v>0</v>
      </c>
      <c r="K44" s="2"/>
      <c r="L44" s="7">
        <f t="shared" si="22"/>
        <v>-86.789999999999992</v>
      </c>
      <c r="M44" s="2"/>
      <c r="N44" s="6">
        <f t="shared" si="23"/>
        <v>-0.33380769230769225</v>
      </c>
      <c r="O44" s="11"/>
      <c r="P44" s="7">
        <v>-31381.129999999997</v>
      </c>
      <c r="Q44" s="2"/>
      <c r="R44" s="6">
        <f t="shared" si="24"/>
        <v>0</v>
      </c>
      <c r="S44" s="2"/>
      <c r="T44" s="7">
        <v>2885</v>
      </c>
      <c r="U44" s="2"/>
      <c r="V44" s="6">
        <f t="shared" si="25"/>
        <v>14.425000000000001</v>
      </c>
      <c r="W44" s="2"/>
      <c r="X44" s="7">
        <f t="shared" si="26"/>
        <v>-34266.129999999997</v>
      </c>
      <c r="Y44" s="2"/>
      <c r="Z44" s="6">
        <f t="shared" si="27"/>
        <v>-11.877341421143846</v>
      </c>
    </row>
    <row r="45" spans="1:26" s="27" customFormat="1" outlineLevel="1" collapsed="1" x14ac:dyDescent="0.25">
      <c r="A45" s="25"/>
      <c r="B45" s="12" t="str">
        <f>CONCATENATE("     ","Bank/card Fees                                    ")</f>
        <v xml:space="preserve">     Bank/card Fees                                    </v>
      </c>
      <c r="C45" s="12"/>
      <c r="D45" s="1">
        <f>SUM(OSRRefD22_3x_0)</f>
        <v>-8.33</v>
      </c>
      <c r="E45" s="1"/>
      <c r="F45" s="5">
        <f t="shared" si="20"/>
        <v>0</v>
      </c>
      <c r="G45" s="1"/>
      <c r="H45" s="1">
        <f>SUM(OSRRefH22_3x_0)</f>
        <v>1000</v>
      </c>
      <c r="I45" s="1"/>
      <c r="J45" s="5">
        <f t="shared" si="21"/>
        <v>0</v>
      </c>
      <c r="K45" s="1"/>
      <c r="L45" s="1">
        <f t="shared" si="22"/>
        <v>-1008.33</v>
      </c>
      <c r="M45" s="1"/>
      <c r="N45" s="5">
        <f t="shared" si="23"/>
        <v>-1.0083299999999999</v>
      </c>
      <c r="O45" s="12"/>
      <c r="P45" s="1">
        <f>SUM(OSRRefP22_3x_0)</f>
        <v>53952</v>
      </c>
      <c r="Q45" s="1"/>
      <c r="R45" s="5">
        <f t="shared" si="24"/>
        <v>0</v>
      </c>
      <c r="S45" s="1"/>
      <c r="T45" s="1">
        <f>SUM(OSRRefT22_3x_0)</f>
        <v>70000</v>
      </c>
      <c r="U45" s="1"/>
      <c r="V45" s="5">
        <f t="shared" si="25"/>
        <v>350</v>
      </c>
      <c r="W45" s="1"/>
      <c r="X45" s="1">
        <f t="shared" si="26"/>
        <v>-16048</v>
      </c>
      <c r="Y45" s="1"/>
      <c r="Z45" s="5">
        <f t="shared" si="27"/>
        <v>-0.22925714285714285</v>
      </c>
    </row>
    <row r="46" spans="1:26" s="24" customFormat="1" hidden="1" outlineLevel="2" x14ac:dyDescent="0.25">
      <c r="A46" s="26"/>
      <c r="B46" s="11" t="str">
        <f>CONCATENATE("          ", "6381", " - ", "BANK/CREDIT CARD FEES")</f>
        <v xml:space="preserve">          6381 - BANK/CREDIT CARD FEES</v>
      </c>
      <c r="C46" s="11"/>
      <c r="D46" s="7">
        <v>-8.33</v>
      </c>
      <c r="E46" s="2"/>
      <c r="F46" s="6">
        <f t="shared" si="20"/>
        <v>0</v>
      </c>
      <c r="G46" s="2"/>
      <c r="H46" s="7">
        <v>1000</v>
      </c>
      <c r="I46" s="2"/>
      <c r="J46" s="6">
        <f t="shared" si="21"/>
        <v>0</v>
      </c>
      <c r="K46" s="2"/>
      <c r="L46" s="7">
        <f t="shared" si="22"/>
        <v>-1008.33</v>
      </c>
      <c r="M46" s="2"/>
      <c r="N46" s="6">
        <f t="shared" si="23"/>
        <v>-1.0083299999999999</v>
      </c>
      <c r="O46" s="11"/>
      <c r="P46" s="7">
        <v>53952</v>
      </c>
      <c r="Q46" s="2"/>
      <c r="R46" s="6">
        <f t="shared" si="24"/>
        <v>0</v>
      </c>
      <c r="S46" s="2"/>
      <c r="T46" s="7">
        <v>70000</v>
      </c>
      <c r="U46" s="2"/>
      <c r="V46" s="6">
        <f t="shared" si="25"/>
        <v>350</v>
      </c>
      <c r="W46" s="2"/>
      <c r="X46" s="7">
        <f t="shared" si="26"/>
        <v>-16048</v>
      </c>
      <c r="Y46" s="2"/>
      <c r="Z46" s="6">
        <f t="shared" si="27"/>
        <v>-0.22925714285714285</v>
      </c>
    </row>
    <row r="47" spans="1:26" s="27" customFormat="1" outlineLevel="1" collapsed="1" x14ac:dyDescent="0.25">
      <c r="A47" s="25"/>
      <c r="B47" s="12" t="str">
        <f>CONCATENATE("     ","Board                                             ")</f>
        <v xml:space="preserve">     Board                                             </v>
      </c>
      <c r="C47" s="12"/>
      <c r="D47" s="1">
        <f>SUM(OSRRefD22_4x_0)</f>
        <v>1240</v>
      </c>
      <c r="E47" s="1"/>
      <c r="F47" s="5">
        <f t="shared" si="20"/>
        <v>0</v>
      </c>
      <c r="G47" s="1"/>
      <c r="H47" s="1">
        <f>SUM(OSRRefH22_4x_0)</f>
        <v>3000</v>
      </c>
      <c r="I47" s="1"/>
      <c r="J47" s="5">
        <f t="shared" si="21"/>
        <v>0</v>
      </c>
      <c r="K47" s="1"/>
      <c r="L47" s="1">
        <f t="shared" si="22"/>
        <v>-1760</v>
      </c>
      <c r="M47" s="1"/>
      <c r="N47" s="5">
        <f t="shared" si="23"/>
        <v>-0.58666666666666667</v>
      </c>
      <c r="O47" s="12"/>
      <c r="P47" s="1">
        <f>SUM(OSRRefP22_4x_0)</f>
        <v>40982.71</v>
      </c>
      <c r="Q47" s="1"/>
      <c r="R47" s="5">
        <f t="shared" si="24"/>
        <v>0</v>
      </c>
      <c r="S47" s="1"/>
      <c r="T47" s="1">
        <f>SUM(OSRRefT22_4x_0)</f>
        <v>54200</v>
      </c>
      <c r="U47" s="1"/>
      <c r="V47" s="5">
        <f t="shared" si="25"/>
        <v>271</v>
      </c>
      <c r="W47" s="1"/>
      <c r="X47" s="1">
        <f t="shared" si="26"/>
        <v>-13217.29</v>
      </c>
      <c r="Y47" s="1"/>
      <c r="Z47" s="5">
        <f t="shared" si="27"/>
        <v>-0.24386143911439115</v>
      </c>
    </row>
    <row r="48" spans="1:26" s="24" customFormat="1" hidden="1" outlineLevel="2" x14ac:dyDescent="0.25">
      <c r="A48" s="26"/>
      <c r="B48" s="11" t="str">
        <f>CONCATENATE("          ", "6397", " - ", "BOARD EXPENSES")</f>
        <v xml:space="preserve">          6397 - BOARD EXPENSES</v>
      </c>
      <c r="C48" s="11"/>
      <c r="D48" s="7">
        <v>1240</v>
      </c>
      <c r="E48" s="2"/>
      <c r="F48" s="6">
        <f t="shared" si="20"/>
        <v>0</v>
      </c>
      <c r="G48" s="2"/>
      <c r="H48" s="7">
        <v>3000</v>
      </c>
      <c r="I48" s="2"/>
      <c r="J48" s="6">
        <f t="shared" si="21"/>
        <v>0</v>
      </c>
      <c r="K48" s="2"/>
      <c r="L48" s="7">
        <f t="shared" si="22"/>
        <v>-1760</v>
      </c>
      <c r="M48" s="2"/>
      <c r="N48" s="6">
        <f t="shared" si="23"/>
        <v>-0.58666666666666667</v>
      </c>
      <c r="O48" s="11"/>
      <c r="P48" s="7">
        <v>40982.71</v>
      </c>
      <c r="Q48" s="2"/>
      <c r="R48" s="6">
        <f t="shared" si="24"/>
        <v>0</v>
      </c>
      <c r="S48" s="2"/>
      <c r="T48" s="7">
        <v>54200</v>
      </c>
      <c r="U48" s="2"/>
      <c r="V48" s="6">
        <f t="shared" si="25"/>
        <v>271</v>
      </c>
      <c r="W48" s="2"/>
      <c r="X48" s="7">
        <f t="shared" si="26"/>
        <v>-13217.29</v>
      </c>
      <c r="Y48" s="2"/>
      <c r="Z48" s="6">
        <f t="shared" si="27"/>
        <v>-0.24386143911439115</v>
      </c>
    </row>
    <row r="49" spans="1:26" s="27" customFormat="1" outlineLevel="1" collapsed="1" x14ac:dyDescent="0.25">
      <c r="A49" s="25"/>
      <c r="B49" s="12" t="str">
        <f>CONCATENATE("     ","Depreciation                                      ")</f>
        <v xml:space="preserve">     Depreciation                                      </v>
      </c>
      <c r="C49" s="12"/>
      <c r="D49" s="1">
        <f>SUM(OSRRefD22_5x_0)</f>
        <v>7607.16</v>
      </c>
      <c r="E49" s="1"/>
      <c r="F49" s="5">
        <f t="shared" si="20"/>
        <v>0</v>
      </c>
      <c r="G49" s="1"/>
      <c r="H49" s="1">
        <f>SUM(OSRRefH22_5x_0)</f>
        <v>8893</v>
      </c>
      <c r="I49" s="1"/>
      <c r="J49" s="5">
        <f t="shared" si="21"/>
        <v>0</v>
      </c>
      <c r="K49" s="1"/>
      <c r="L49" s="1">
        <f t="shared" si="22"/>
        <v>-1285.8400000000001</v>
      </c>
      <c r="M49" s="1"/>
      <c r="N49" s="5">
        <f t="shared" si="23"/>
        <v>-0.14459012706623189</v>
      </c>
      <c r="O49" s="12"/>
      <c r="P49" s="1">
        <f>SUM(OSRRefP22_5x_0)</f>
        <v>92969.19</v>
      </c>
      <c r="Q49" s="1"/>
      <c r="R49" s="5">
        <f t="shared" si="24"/>
        <v>0</v>
      </c>
      <c r="S49" s="1"/>
      <c r="T49" s="1">
        <f>SUM(OSRRefT22_5x_0)</f>
        <v>96206</v>
      </c>
      <c r="U49" s="1"/>
      <c r="V49" s="5">
        <f t="shared" si="25"/>
        <v>481.03</v>
      </c>
      <c r="W49" s="1"/>
      <c r="X49" s="1">
        <f t="shared" si="26"/>
        <v>-3236.8099999999977</v>
      </c>
      <c r="Y49" s="1"/>
      <c r="Z49" s="5">
        <f t="shared" si="27"/>
        <v>-3.3644575182421033E-2</v>
      </c>
    </row>
    <row r="50" spans="1:26" s="24" customFormat="1" hidden="1" outlineLevel="2" x14ac:dyDescent="0.25">
      <c r="A50" s="26"/>
      <c r="B50" s="11" t="str">
        <f>CONCATENATE("          ", "6322", " - ", "EQUIPMENT DEPRECIATION EXPENSE")</f>
        <v xml:space="preserve">          6322 - EQUIPMENT DEPRECIATION EXPENSE</v>
      </c>
      <c r="C50" s="11"/>
      <c r="D50" s="7">
        <v>7607.16</v>
      </c>
      <c r="E50" s="2"/>
      <c r="F50" s="6">
        <f t="shared" si="20"/>
        <v>0</v>
      </c>
      <c r="G50" s="2"/>
      <c r="H50" s="7">
        <v>8593</v>
      </c>
      <c r="I50" s="2"/>
      <c r="J50" s="6">
        <f t="shared" si="21"/>
        <v>0</v>
      </c>
      <c r="K50" s="2"/>
      <c r="L50" s="7">
        <f t="shared" si="22"/>
        <v>-985.84000000000015</v>
      </c>
      <c r="M50" s="2"/>
      <c r="N50" s="6">
        <f t="shared" si="23"/>
        <v>-0.11472593971837544</v>
      </c>
      <c r="O50" s="11"/>
      <c r="P50" s="7">
        <v>92969.19</v>
      </c>
      <c r="Q50" s="2"/>
      <c r="R50" s="6">
        <f t="shared" si="24"/>
        <v>0</v>
      </c>
      <c r="S50" s="2"/>
      <c r="T50" s="7">
        <v>94523</v>
      </c>
      <c r="U50" s="2"/>
      <c r="V50" s="6">
        <f t="shared" si="25"/>
        <v>472.61500000000001</v>
      </c>
      <c r="W50" s="2"/>
      <c r="X50" s="7">
        <f t="shared" si="26"/>
        <v>-1553.8099999999977</v>
      </c>
      <c r="Y50" s="2"/>
      <c r="Z50" s="6">
        <f t="shared" si="27"/>
        <v>-1.6438432973985142E-2</v>
      </c>
    </row>
    <row r="51" spans="1:26" s="24" customFormat="1" hidden="1" outlineLevel="2" x14ac:dyDescent="0.25">
      <c r="A51" s="26"/>
      <c r="B51" s="11" t="str">
        <f>CONCATENATE("          ", "6324", " - ", "FURNITURE + FIXT DEPRECIATION")</f>
        <v xml:space="preserve">          6324 - FURNITURE + FIXT DEPRECIATION</v>
      </c>
      <c r="C51" s="11"/>
      <c r="D51" s="7"/>
      <c r="E51" s="2"/>
      <c r="F51" s="6">
        <f t="shared" si="20"/>
        <v>0</v>
      </c>
      <c r="G51" s="2"/>
      <c r="H51" s="7">
        <v>300</v>
      </c>
      <c r="I51" s="2"/>
      <c r="J51" s="6">
        <f t="shared" si="21"/>
        <v>0</v>
      </c>
      <c r="K51" s="2"/>
      <c r="L51" s="7">
        <f t="shared" si="22"/>
        <v>-300</v>
      </c>
      <c r="M51" s="2"/>
      <c r="N51" s="6">
        <f t="shared" si="23"/>
        <v>-1</v>
      </c>
      <c r="O51" s="11"/>
      <c r="P51" s="7"/>
      <c r="Q51" s="2"/>
      <c r="R51" s="6">
        <f t="shared" si="24"/>
        <v>0</v>
      </c>
      <c r="S51" s="2"/>
      <c r="T51" s="7">
        <v>1683</v>
      </c>
      <c r="U51" s="2"/>
      <c r="V51" s="6">
        <f t="shared" si="25"/>
        <v>8.4149999999999991</v>
      </c>
      <c r="W51" s="2"/>
      <c r="X51" s="7">
        <f t="shared" si="26"/>
        <v>-1683</v>
      </c>
      <c r="Y51" s="2"/>
      <c r="Z51" s="6">
        <f t="shared" si="27"/>
        <v>-1</v>
      </c>
    </row>
    <row r="52" spans="1:26" s="27" customFormat="1" outlineLevel="1" collapsed="1" x14ac:dyDescent="0.25">
      <c r="A52" s="25"/>
      <c r="B52" s="12" t="str">
        <f>CONCATENATE("     ","Donations                                         ")</f>
        <v xml:space="preserve">     Donations                                         </v>
      </c>
      <c r="C52" s="12"/>
      <c r="D52" s="1">
        <f>SUM(OSRRefD22_6x_0)</f>
        <v>0</v>
      </c>
      <c r="E52" s="1"/>
      <c r="F52" s="5">
        <f t="shared" ref="F52:F54" si="28">IF(D$12=0,0,D52/D$12)</f>
        <v>0</v>
      </c>
      <c r="G52" s="1"/>
      <c r="H52" s="1">
        <f>SUM(OSRRefH22_6x_0)</f>
        <v>14390</v>
      </c>
      <c r="I52" s="1"/>
      <c r="J52" s="5">
        <f t="shared" ref="J52:J54" si="29">IF(H$12=0,0,H52/H$12)</f>
        <v>0</v>
      </c>
      <c r="K52" s="1"/>
      <c r="L52" s="1">
        <f t="shared" ref="L52:L54" si="30">+D52-H52</f>
        <v>-14390</v>
      </c>
      <c r="M52" s="1"/>
      <c r="N52" s="5">
        <f t="shared" ref="N52:N54" si="31">IF(H52=0,0,L52/H52)</f>
        <v>-1</v>
      </c>
      <c r="O52" s="12"/>
      <c r="P52" s="1">
        <f>SUM(OSRRefP22_6x_0)</f>
        <v>248773.19</v>
      </c>
      <c r="Q52" s="1"/>
      <c r="R52" s="5">
        <f t="shared" ref="R52:R54" si="32">IF(P$12=0,0,P52/P$12)</f>
        <v>0</v>
      </c>
      <c r="S52" s="1"/>
      <c r="T52" s="1">
        <f>SUM(OSRRefT22_6x_0)</f>
        <v>504689.99999999994</v>
      </c>
      <c r="U52" s="1"/>
      <c r="V52" s="5">
        <f t="shared" ref="V52:V54" si="33">IF(T$12=0,0,T52/T$12)</f>
        <v>2523.4499999999998</v>
      </c>
      <c r="W52" s="1"/>
      <c r="X52" s="1">
        <f t="shared" ref="X52:X54" si="34">+P52-T52</f>
        <v>-255916.80999999994</v>
      </c>
      <c r="Y52" s="1"/>
      <c r="Z52" s="5">
        <f t="shared" ref="Z52:Z54" si="35">IF(T52=0,0,X52/T52)</f>
        <v>-0.50707723553072181</v>
      </c>
    </row>
    <row r="53" spans="1:26" s="24" customFormat="1" hidden="1" outlineLevel="2" x14ac:dyDescent="0.25">
      <c r="A53" s="26"/>
      <c r="B53" s="11" t="str">
        <f>CONCATENATE("          ", "6395", " - ", "DONATION-OFF CAMPUS")</f>
        <v xml:space="preserve">          6395 - DONATION-OFF CAMPUS</v>
      </c>
      <c r="C53" s="11"/>
      <c r="D53" s="7"/>
      <c r="E53" s="2"/>
      <c r="F53" s="6">
        <f t="shared" si="28"/>
        <v>0</v>
      </c>
      <c r="G53" s="2"/>
      <c r="H53" s="7"/>
      <c r="I53" s="2"/>
      <c r="J53" s="6">
        <f t="shared" si="29"/>
        <v>0</v>
      </c>
      <c r="K53" s="2"/>
      <c r="L53" s="7">
        <f t="shared" si="30"/>
        <v>0</v>
      </c>
      <c r="M53" s="2"/>
      <c r="N53" s="6">
        <f t="shared" si="31"/>
        <v>0</v>
      </c>
      <c r="O53" s="11"/>
      <c r="P53" s="7"/>
      <c r="Q53" s="2"/>
      <c r="R53" s="6">
        <f t="shared" si="32"/>
        <v>0</v>
      </c>
      <c r="S53" s="2"/>
      <c r="T53" s="7">
        <v>2300</v>
      </c>
      <c r="U53" s="2"/>
      <c r="V53" s="6">
        <f t="shared" si="33"/>
        <v>11.5</v>
      </c>
      <c r="W53" s="2"/>
      <c r="X53" s="7">
        <f t="shared" si="34"/>
        <v>-2300</v>
      </c>
      <c r="Y53" s="2"/>
      <c r="Z53" s="6">
        <f t="shared" si="35"/>
        <v>-1</v>
      </c>
    </row>
    <row r="54" spans="1:26" s="24" customFormat="1" hidden="1" outlineLevel="2" x14ac:dyDescent="0.25">
      <c r="A54" s="26"/>
      <c r="B54" s="11" t="str">
        <f>CONCATENATE("          ", "6399", " - ", "DONATION-ON CAMPUS")</f>
        <v xml:space="preserve">          6399 - DONATION-ON CAMPUS</v>
      </c>
      <c r="C54" s="11"/>
      <c r="D54" s="7"/>
      <c r="E54" s="2"/>
      <c r="F54" s="6">
        <f t="shared" si="28"/>
        <v>0</v>
      </c>
      <c r="G54" s="2"/>
      <c r="H54" s="7">
        <v>14390</v>
      </c>
      <c r="I54" s="2"/>
      <c r="J54" s="6">
        <f t="shared" si="29"/>
        <v>0</v>
      </c>
      <c r="K54" s="2"/>
      <c r="L54" s="7">
        <f t="shared" si="30"/>
        <v>-14390</v>
      </c>
      <c r="M54" s="2"/>
      <c r="N54" s="6">
        <f t="shared" si="31"/>
        <v>-1</v>
      </c>
      <c r="O54" s="11"/>
      <c r="P54" s="7">
        <v>248773.19</v>
      </c>
      <c r="Q54" s="2"/>
      <c r="R54" s="6">
        <f t="shared" si="32"/>
        <v>0</v>
      </c>
      <c r="S54" s="2"/>
      <c r="T54" s="7">
        <v>502389.99999999994</v>
      </c>
      <c r="U54" s="2"/>
      <c r="V54" s="6">
        <f t="shared" si="33"/>
        <v>2511.9499999999998</v>
      </c>
      <c r="W54" s="2"/>
      <c r="X54" s="7">
        <f t="shared" si="34"/>
        <v>-253616.80999999994</v>
      </c>
      <c r="Y54" s="2"/>
      <c r="Z54" s="6">
        <f t="shared" si="35"/>
        <v>-0.5048205776388861</v>
      </c>
    </row>
    <row r="55" spans="1:26" s="27" customFormat="1" outlineLevel="1" collapsed="1" x14ac:dyDescent="0.25">
      <c r="A55" s="25"/>
      <c r="B55" s="12" t="str">
        <f>CONCATENATE("     ","Employees' Appreciation                           ")</f>
        <v xml:space="preserve">     Employees' Appreciation                           </v>
      </c>
      <c r="C55" s="12"/>
      <c r="D55" s="1">
        <f>SUM(OSRRefD22_7x_0)</f>
        <v>0</v>
      </c>
      <c r="E55" s="1"/>
      <c r="F55" s="5">
        <f t="shared" ref="F55:F68" si="36">IF(D$12=0,0,D55/D$12)</f>
        <v>0</v>
      </c>
      <c r="G55" s="1"/>
      <c r="H55" s="1">
        <f>SUM(OSRRefH22_7x_0)</f>
        <v>908</v>
      </c>
      <c r="I55" s="1"/>
      <c r="J55" s="5">
        <f t="shared" ref="J55:J68" si="37">IF(H$12=0,0,H55/H$12)</f>
        <v>0</v>
      </c>
      <c r="K55" s="1"/>
      <c r="L55" s="1">
        <f t="shared" ref="L55:L68" si="38">+D55-H55</f>
        <v>-908</v>
      </c>
      <c r="M55" s="1"/>
      <c r="N55" s="5">
        <f t="shared" ref="N55:N68" si="39">IF(H55=0,0,L55/H55)</f>
        <v>-1</v>
      </c>
      <c r="O55" s="12"/>
      <c r="P55" s="1">
        <f>SUM(OSRRefP22_7x_0)</f>
        <v>29556.05</v>
      </c>
      <c r="Q55" s="1"/>
      <c r="R55" s="5">
        <f t="shared" ref="R55:R68" si="40">IF(P$12=0,0,P55/P$12)</f>
        <v>0</v>
      </c>
      <c r="S55" s="1"/>
      <c r="T55" s="1">
        <f>SUM(OSRRefT22_7x_0)</f>
        <v>52488</v>
      </c>
      <c r="U55" s="1"/>
      <c r="V55" s="5">
        <f t="shared" ref="V55:V68" si="41">IF(T$12=0,0,T55/T$12)</f>
        <v>262.44</v>
      </c>
      <c r="W55" s="1"/>
      <c r="X55" s="1">
        <f t="shared" ref="X55:X68" si="42">+P55-T55</f>
        <v>-22931.95</v>
      </c>
      <c r="Y55" s="1"/>
      <c r="Z55" s="5">
        <f t="shared" ref="Z55:Z68" si="43">IF(T55=0,0,X55/T55)</f>
        <v>-0.43689891022709954</v>
      </c>
    </row>
    <row r="56" spans="1:26" s="24" customFormat="1" hidden="1" outlineLevel="2" x14ac:dyDescent="0.25">
      <c r="A56" s="26"/>
      <c r="B56" s="11" t="str">
        <f>CONCATENATE("          ", "6277", " - ", "EMPLOYEE APPRECIATION")</f>
        <v xml:space="preserve">          6277 - EMPLOYEE APPRECIATION</v>
      </c>
      <c r="C56" s="11"/>
      <c r="D56" s="7"/>
      <c r="E56" s="2"/>
      <c r="F56" s="6">
        <f t="shared" si="36"/>
        <v>0</v>
      </c>
      <c r="G56" s="2"/>
      <c r="H56" s="7">
        <v>908</v>
      </c>
      <c r="I56" s="2"/>
      <c r="J56" s="6">
        <f t="shared" si="37"/>
        <v>0</v>
      </c>
      <c r="K56" s="2"/>
      <c r="L56" s="7">
        <f t="shared" si="38"/>
        <v>-908</v>
      </c>
      <c r="M56" s="2"/>
      <c r="N56" s="6">
        <f t="shared" si="39"/>
        <v>-1</v>
      </c>
      <c r="O56" s="11"/>
      <c r="P56" s="7">
        <v>29556.05</v>
      </c>
      <c r="Q56" s="2"/>
      <c r="R56" s="6">
        <f t="shared" si="40"/>
        <v>0</v>
      </c>
      <c r="S56" s="2"/>
      <c r="T56" s="7">
        <v>52488</v>
      </c>
      <c r="U56" s="2"/>
      <c r="V56" s="6">
        <f t="shared" si="41"/>
        <v>262.44</v>
      </c>
      <c r="W56" s="2"/>
      <c r="X56" s="7">
        <f t="shared" si="42"/>
        <v>-22931.95</v>
      </c>
      <c r="Y56" s="2"/>
      <c r="Z56" s="6">
        <f t="shared" si="43"/>
        <v>-0.43689891022709954</v>
      </c>
    </row>
    <row r="57" spans="1:26" s="27" customFormat="1" outlineLevel="1" collapsed="1" x14ac:dyDescent="0.25">
      <c r="A57" s="25"/>
      <c r="B57" s="12" t="str">
        <f>CONCATENATE("     ","Equipment Rental                                  ")</f>
        <v xml:space="preserve">     Equipment Rental                                  </v>
      </c>
      <c r="C57" s="12"/>
      <c r="D57" s="1">
        <f>SUM(OSRRefD22_8x_0)</f>
        <v>208.98</v>
      </c>
      <c r="E57" s="1"/>
      <c r="F57" s="5">
        <f t="shared" si="36"/>
        <v>0</v>
      </c>
      <c r="G57" s="1"/>
      <c r="H57" s="1">
        <f>SUM(OSRRefH22_8x_0)</f>
        <v>299</v>
      </c>
      <c r="I57" s="1"/>
      <c r="J57" s="5">
        <f t="shared" si="37"/>
        <v>0</v>
      </c>
      <c r="K57" s="1"/>
      <c r="L57" s="1">
        <f t="shared" si="38"/>
        <v>-90.02000000000001</v>
      </c>
      <c r="M57" s="1"/>
      <c r="N57" s="5">
        <f t="shared" si="39"/>
        <v>-0.30107023411371242</v>
      </c>
      <c r="O57" s="12"/>
      <c r="P57" s="1">
        <f>SUM(OSRRefP22_8x_0)</f>
        <v>2572.56</v>
      </c>
      <c r="Q57" s="1"/>
      <c r="R57" s="5">
        <f t="shared" si="40"/>
        <v>0</v>
      </c>
      <c r="S57" s="1"/>
      <c r="T57" s="1">
        <f>SUM(OSRRefT22_8x_0)</f>
        <v>3199</v>
      </c>
      <c r="U57" s="1"/>
      <c r="V57" s="5">
        <f t="shared" si="41"/>
        <v>15.994999999999999</v>
      </c>
      <c r="W57" s="1"/>
      <c r="X57" s="1">
        <f t="shared" si="42"/>
        <v>-626.44000000000005</v>
      </c>
      <c r="Y57" s="1"/>
      <c r="Z57" s="5">
        <f t="shared" si="43"/>
        <v>-0.19582369490465773</v>
      </c>
    </row>
    <row r="58" spans="1:26" s="24" customFormat="1" hidden="1" outlineLevel="2" x14ac:dyDescent="0.25">
      <c r="A58" s="26"/>
      <c r="B58" s="11" t="str">
        <f>CONCATENATE("          ", "6351", " - ", "EQUIPMENT RENTAL")</f>
        <v xml:space="preserve">          6351 - EQUIPMENT RENTAL</v>
      </c>
      <c r="C58" s="11"/>
      <c r="D58" s="7">
        <v>208.98</v>
      </c>
      <c r="E58" s="2"/>
      <c r="F58" s="6">
        <f t="shared" si="36"/>
        <v>0</v>
      </c>
      <c r="G58" s="2"/>
      <c r="H58" s="7">
        <v>299</v>
      </c>
      <c r="I58" s="2"/>
      <c r="J58" s="6">
        <f t="shared" si="37"/>
        <v>0</v>
      </c>
      <c r="K58" s="2"/>
      <c r="L58" s="7">
        <f t="shared" si="38"/>
        <v>-90.02000000000001</v>
      </c>
      <c r="M58" s="2"/>
      <c r="N58" s="6">
        <f t="shared" si="39"/>
        <v>-0.30107023411371242</v>
      </c>
      <c r="O58" s="11"/>
      <c r="P58" s="7">
        <v>2572.56</v>
      </c>
      <c r="Q58" s="2"/>
      <c r="R58" s="6">
        <f t="shared" si="40"/>
        <v>0</v>
      </c>
      <c r="S58" s="2"/>
      <c r="T58" s="7">
        <v>3199</v>
      </c>
      <c r="U58" s="2"/>
      <c r="V58" s="6">
        <f t="shared" si="41"/>
        <v>15.994999999999999</v>
      </c>
      <c r="W58" s="2"/>
      <c r="X58" s="7">
        <f t="shared" si="42"/>
        <v>-626.44000000000005</v>
      </c>
      <c r="Y58" s="2"/>
      <c r="Z58" s="6">
        <f t="shared" si="43"/>
        <v>-0.19582369490465773</v>
      </c>
    </row>
    <row r="59" spans="1:26" s="27" customFormat="1" outlineLevel="1" collapsed="1" x14ac:dyDescent="0.25">
      <c r="A59" s="25"/>
      <c r="B59" s="12" t="str">
        <f>CONCATENATE("     ","Freight out/Postage                               ")</f>
        <v xml:space="preserve">     Freight out/Postage                               </v>
      </c>
      <c r="C59" s="12"/>
      <c r="D59" s="1">
        <f>SUM(OSRRefD22_9x_0)</f>
        <v>112</v>
      </c>
      <c r="E59" s="1"/>
      <c r="F59" s="5">
        <f t="shared" si="36"/>
        <v>0</v>
      </c>
      <c r="G59" s="1"/>
      <c r="H59" s="1">
        <f>SUM(OSRRefH22_9x_0)</f>
        <v>245</v>
      </c>
      <c r="I59" s="1"/>
      <c r="J59" s="5">
        <f t="shared" si="37"/>
        <v>0</v>
      </c>
      <c r="K59" s="1"/>
      <c r="L59" s="1">
        <f t="shared" si="38"/>
        <v>-133</v>
      </c>
      <c r="M59" s="1"/>
      <c r="N59" s="5">
        <f t="shared" si="39"/>
        <v>-0.54285714285714282</v>
      </c>
      <c r="O59" s="12"/>
      <c r="P59" s="1">
        <f>SUM(OSRRefP22_9x_0)</f>
        <v>2612.66</v>
      </c>
      <c r="Q59" s="1"/>
      <c r="R59" s="5">
        <f t="shared" si="40"/>
        <v>0</v>
      </c>
      <c r="S59" s="1"/>
      <c r="T59" s="1">
        <f>SUM(OSRRefT22_9x_0)</f>
        <v>2600</v>
      </c>
      <c r="U59" s="1"/>
      <c r="V59" s="5">
        <f t="shared" si="41"/>
        <v>13</v>
      </c>
      <c r="W59" s="1"/>
      <c r="X59" s="1">
        <f t="shared" si="42"/>
        <v>12.659999999999854</v>
      </c>
      <c r="Y59" s="1"/>
      <c r="Z59" s="5">
        <f t="shared" si="43"/>
        <v>4.8692307692307134E-3</v>
      </c>
    </row>
    <row r="60" spans="1:26" s="24" customFormat="1" hidden="1" outlineLevel="2" x14ac:dyDescent="0.25">
      <c r="A60" s="26"/>
      <c r="B60" s="11" t="str">
        <f>CONCATENATE("          ", "6307", " - ", "POSTAGE")</f>
        <v xml:space="preserve">          6307 - POSTAGE</v>
      </c>
      <c r="C60" s="11"/>
      <c r="D60" s="7">
        <v>112</v>
      </c>
      <c r="E60" s="2"/>
      <c r="F60" s="6">
        <f t="shared" si="36"/>
        <v>0</v>
      </c>
      <c r="G60" s="2"/>
      <c r="H60" s="7">
        <v>245</v>
      </c>
      <c r="I60" s="2"/>
      <c r="J60" s="6">
        <f t="shared" si="37"/>
        <v>0</v>
      </c>
      <c r="K60" s="2"/>
      <c r="L60" s="7">
        <f t="shared" si="38"/>
        <v>-133</v>
      </c>
      <c r="M60" s="2"/>
      <c r="N60" s="6">
        <f t="shared" si="39"/>
        <v>-0.54285714285714282</v>
      </c>
      <c r="O60" s="11"/>
      <c r="P60" s="7">
        <v>2612.66</v>
      </c>
      <c r="Q60" s="2"/>
      <c r="R60" s="6">
        <f t="shared" si="40"/>
        <v>0</v>
      </c>
      <c r="S60" s="2"/>
      <c r="T60" s="7">
        <v>2600</v>
      </c>
      <c r="U60" s="2"/>
      <c r="V60" s="6">
        <f t="shared" si="41"/>
        <v>13</v>
      </c>
      <c r="W60" s="2"/>
      <c r="X60" s="7">
        <f t="shared" si="42"/>
        <v>12.659999999999854</v>
      </c>
      <c r="Y60" s="2"/>
      <c r="Z60" s="6">
        <f t="shared" si="43"/>
        <v>4.8692307692307134E-3</v>
      </c>
    </row>
    <row r="61" spans="1:26" s="27" customFormat="1" outlineLevel="1" collapsed="1" x14ac:dyDescent="0.25">
      <c r="A61" s="25"/>
      <c r="B61" s="12" t="str">
        <f>CONCATENATE("     ","General                                           ")</f>
        <v xml:space="preserve">     General                                           </v>
      </c>
      <c r="C61" s="12"/>
      <c r="D61" s="1">
        <f>SUM(OSRRefD22_10x_0)</f>
        <v>0</v>
      </c>
      <c r="E61" s="1"/>
      <c r="F61" s="5">
        <f t="shared" si="36"/>
        <v>0</v>
      </c>
      <c r="G61" s="1"/>
      <c r="H61" s="1">
        <f>SUM(OSRRefH22_10x_0)</f>
        <v>-85</v>
      </c>
      <c r="I61" s="1"/>
      <c r="J61" s="5">
        <f t="shared" si="37"/>
        <v>0</v>
      </c>
      <c r="K61" s="1"/>
      <c r="L61" s="1">
        <f t="shared" si="38"/>
        <v>85</v>
      </c>
      <c r="M61" s="1"/>
      <c r="N61" s="5">
        <f t="shared" si="39"/>
        <v>-1</v>
      </c>
      <c r="O61" s="12"/>
      <c r="P61" s="1">
        <f>SUM(OSRRefP22_10x_0)</f>
        <v>14594.69</v>
      </c>
      <c r="Q61" s="1"/>
      <c r="R61" s="5">
        <f t="shared" si="40"/>
        <v>0</v>
      </c>
      <c r="S61" s="1"/>
      <c r="T61" s="1">
        <f>SUM(OSRRefT22_10x_0)</f>
        <v>6175</v>
      </c>
      <c r="U61" s="1"/>
      <c r="V61" s="5">
        <f t="shared" si="41"/>
        <v>30.875</v>
      </c>
      <c r="W61" s="1"/>
      <c r="X61" s="1">
        <f t="shared" si="42"/>
        <v>8419.69</v>
      </c>
      <c r="Y61" s="1"/>
      <c r="Z61" s="5">
        <f t="shared" si="43"/>
        <v>1.3635125506072876</v>
      </c>
    </row>
    <row r="62" spans="1:26" s="24" customFormat="1" hidden="1" outlineLevel="2" x14ac:dyDescent="0.25">
      <c r="A62" s="26"/>
      <c r="B62" s="11" t="str">
        <f>CONCATENATE("          ", "6279", " - ", "GENERAL EXPENSE")</f>
        <v xml:space="preserve">          6279 - GENERAL EXPENSE</v>
      </c>
      <c r="C62" s="11"/>
      <c r="D62" s="7"/>
      <c r="E62" s="2"/>
      <c r="F62" s="6">
        <f t="shared" si="36"/>
        <v>0</v>
      </c>
      <c r="G62" s="2"/>
      <c r="H62" s="7">
        <v>-85</v>
      </c>
      <c r="I62" s="2"/>
      <c r="J62" s="6">
        <f t="shared" si="37"/>
        <v>0</v>
      </c>
      <c r="K62" s="2"/>
      <c r="L62" s="7">
        <f t="shared" si="38"/>
        <v>85</v>
      </c>
      <c r="M62" s="2"/>
      <c r="N62" s="6">
        <f t="shared" si="39"/>
        <v>-1</v>
      </c>
      <c r="O62" s="11"/>
      <c r="P62" s="7">
        <v>14594.69</v>
      </c>
      <c r="Q62" s="2"/>
      <c r="R62" s="6">
        <f t="shared" si="40"/>
        <v>0</v>
      </c>
      <c r="S62" s="2"/>
      <c r="T62" s="7">
        <v>6175</v>
      </c>
      <c r="U62" s="2"/>
      <c r="V62" s="6">
        <f t="shared" si="41"/>
        <v>30.875</v>
      </c>
      <c r="W62" s="2"/>
      <c r="X62" s="7">
        <f t="shared" si="42"/>
        <v>8419.69</v>
      </c>
      <c r="Y62" s="2"/>
      <c r="Z62" s="6">
        <f t="shared" si="43"/>
        <v>1.3635125506072876</v>
      </c>
    </row>
    <row r="63" spans="1:26" s="27" customFormat="1" outlineLevel="1" collapsed="1" x14ac:dyDescent="0.25">
      <c r="A63" s="25"/>
      <c r="B63" s="12" t="str">
        <f>CONCATENATE("     ","Insurance                                         ")</f>
        <v xml:space="preserve">     Insurance                                         </v>
      </c>
      <c r="C63" s="12"/>
      <c r="D63" s="1">
        <f>SUM(OSRRefD22_11x_0)</f>
        <v>747.67</v>
      </c>
      <c r="E63" s="1"/>
      <c r="F63" s="5">
        <f t="shared" si="36"/>
        <v>0</v>
      </c>
      <c r="G63" s="1"/>
      <c r="H63" s="1">
        <f>SUM(OSRRefH22_11x_0)</f>
        <v>380</v>
      </c>
      <c r="I63" s="1"/>
      <c r="J63" s="5">
        <f t="shared" si="37"/>
        <v>0</v>
      </c>
      <c r="K63" s="1"/>
      <c r="L63" s="1">
        <f t="shared" si="38"/>
        <v>367.66999999999996</v>
      </c>
      <c r="M63" s="1"/>
      <c r="N63" s="5">
        <f t="shared" si="39"/>
        <v>0.96755263157894722</v>
      </c>
      <c r="O63" s="12"/>
      <c r="P63" s="1">
        <f>SUM(OSRRefP22_11x_0)</f>
        <v>4684.37</v>
      </c>
      <c r="Q63" s="1"/>
      <c r="R63" s="5">
        <f t="shared" si="40"/>
        <v>0</v>
      </c>
      <c r="S63" s="1"/>
      <c r="T63" s="1">
        <f>SUM(OSRRefT22_11x_0)</f>
        <v>4180</v>
      </c>
      <c r="U63" s="1"/>
      <c r="V63" s="5">
        <f t="shared" si="41"/>
        <v>20.9</v>
      </c>
      <c r="W63" s="1"/>
      <c r="X63" s="1">
        <f t="shared" si="42"/>
        <v>504.36999999999989</v>
      </c>
      <c r="Y63" s="1"/>
      <c r="Z63" s="5">
        <f t="shared" si="43"/>
        <v>0.12066267942583729</v>
      </c>
    </row>
    <row r="64" spans="1:26" s="24" customFormat="1" hidden="1" outlineLevel="2" x14ac:dyDescent="0.25">
      <c r="A64" s="26"/>
      <c r="B64" s="11" t="str">
        <f>CONCATENATE("          ", "6314", " - ", "LIABILITY INSURANCE")</f>
        <v xml:space="preserve">          6314 - LIABILITY INSURANCE</v>
      </c>
      <c r="C64" s="11"/>
      <c r="D64" s="7">
        <v>747.67</v>
      </c>
      <c r="E64" s="2"/>
      <c r="F64" s="6">
        <f t="shared" si="36"/>
        <v>0</v>
      </c>
      <c r="G64" s="2"/>
      <c r="H64" s="7">
        <v>380</v>
      </c>
      <c r="I64" s="2"/>
      <c r="J64" s="6">
        <f t="shared" si="37"/>
        <v>0</v>
      </c>
      <c r="K64" s="2"/>
      <c r="L64" s="7">
        <f t="shared" si="38"/>
        <v>367.66999999999996</v>
      </c>
      <c r="M64" s="2"/>
      <c r="N64" s="6">
        <f t="shared" si="39"/>
        <v>0.96755263157894722</v>
      </c>
      <c r="O64" s="11"/>
      <c r="P64" s="7">
        <v>4684.37</v>
      </c>
      <c r="Q64" s="2"/>
      <c r="R64" s="6">
        <f t="shared" si="40"/>
        <v>0</v>
      </c>
      <c r="S64" s="2"/>
      <c r="T64" s="7">
        <v>4180</v>
      </c>
      <c r="U64" s="2"/>
      <c r="V64" s="6">
        <f t="shared" si="41"/>
        <v>20.9</v>
      </c>
      <c r="W64" s="2"/>
      <c r="X64" s="7">
        <f t="shared" si="42"/>
        <v>504.36999999999989</v>
      </c>
      <c r="Y64" s="2"/>
      <c r="Z64" s="6">
        <f t="shared" si="43"/>
        <v>0.12066267942583729</v>
      </c>
    </row>
    <row r="65" spans="1:26" s="27" customFormat="1" outlineLevel="1" collapsed="1" x14ac:dyDescent="0.25">
      <c r="A65" s="25"/>
      <c r="B65" s="12" t="str">
        <f>CONCATENATE("     ","Interest                                          ")</f>
        <v xml:space="preserve">     Interest                                          </v>
      </c>
      <c r="C65" s="12"/>
      <c r="D65" s="1">
        <f>SUM(OSRRefD22_12x_0)</f>
        <v>0</v>
      </c>
      <c r="E65" s="1"/>
      <c r="F65" s="5">
        <f t="shared" si="36"/>
        <v>0</v>
      </c>
      <c r="G65" s="1"/>
      <c r="H65" s="1">
        <f>SUM(OSRRefH22_12x_0)</f>
        <v>0</v>
      </c>
      <c r="I65" s="1"/>
      <c r="J65" s="5">
        <f t="shared" si="37"/>
        <v>0</v>
      </c>
      <c r="K65" s="1"/>
      <c r="L65" s="1">
        <f t="shared" si="38"/>
        <v>0</v>
      </c>
      <c r="M65" s="1"/>
      <c r="N65" s="5">
        <f t="shared" si="39"/>
        <v>0</v>
      </c>
      <c r="O65" s="12"/>
      <c r="P65" s="1">
        <f>SUM(OSRRefP22_12x_0)</f>
        <v>0</v>
      </c>
      <c r="Q65" s="1"/>
      <c r="R65" s="5">
        <f t="shared" si="40"/>
        <v>0</v>
      </c>
      <c r="S65" s="1"/>
      <c r="T65" s="1">
        <f>SUM(OSRRefT22_12x_0)</f>
        <v>0</v>
      </c>
      <c r="U65" s="1"/>
      <c r="V65" s="5">
        <f t="shared" si="41"/>
        <v>0</v>
      </c>
      <c r="W65" s="1"/>
      <c r="X65" s="1">
        <f t="shared" si="42"/>
        <v>0</v>
      </c>
      <c r="Y65" s="1"/>
      <c r="Z65" s="5">
        <f t="shared" si="43"/>
        <v>0</v>
      </c>
    </row>
    <row r="66" spans="1:26" s="24" customFormat="1" hidden="1" outlineLevel="2" x14ac:dyDescent="0.25">
      <c r="A66" s="26"/>
      <c r="B66" s="11" t="str">
        <f>CONCATENATE("          ", "6401", " - ", "INTEREST EXPENSE")</f>
        <v xml:space="preserve">          6401 - INTEREST EXPENSE</v>
      </c>
      <c r="C66" s="11"/>
      <c r="D66" s="7"/>
      <c r="E66" s="2"/>
      <c r="F66" s="6">
        <f t="shared" si="36"/>
        <v>0</v>
      </c>
      <c r="G66" s="2"/>
      <c r="H66" s="7">
        <v>0</v>
      </c>
      <c r="I66" s="2"/>
      <c r="J66" s="6">
        <f t="shared" si="37"/>
        <v>0</v>
      </c>
      <c r="K66" s="2"/>
      <c r="L66" s="7">
        <f t="shared" si="38"/>
        <v>0</v>
      </c>
      <c r="M66" s="2"/>
      <c r="N66" s="6">
        <f t="shared" si="39"/>
        <v>0</v>
      </c>
      <c r="O66" s="11"/>
      <c r="P66" s="7"/>
      <c r="Q66" s="2"/>
      <c r="R66" s="6">
        <f t="shared" si="40"/>
        <v>0</v>
      </c>
      <c r="S66" s="2"/>
      <c r="T66" s="7">
        <v>0</v>
      </c>
      <c r="U66" s="2"/>
      <c r="V66" s="6">
        <f t="shared" si="41"/>
        <v>0</v>
      </c>
      <c r="W66" s="2"/>
      <c r="X66" s="7">
        <f t="shared" si="42"/>
        <v>0</v>
      </c>
      <c r="Y66" s="2"/>
      <c r="Z66" s="6">
        <f t="shared" si="43"/>
        <v>0</v>
      </c>
    </row>
    <row r="67" spans="1:26" s="24" customFormat="1" hidden="1" outlineLevel="2" x14ac:dyDescent="0.25">
      <c r="A67" s="26"/>
      <c r="B67" s="11" t="str">
        <f>CONCATENATE("          ", "6402", " - ", "INTEREST EXPENSE BOND ISSUANCE")</f>
        <v xml:space="preserve">          6402 - INTEREST EXPENSE BOND ISSUANCE</v>
      </c>
      <c r="C67" s="11"/>
      <c r="D67" s="7"/>
      <c r="E67" s="2"/>
      <c r="F67" s="6">
        <f t="shared" si="36"/>
        <v>0</v>
      </c>
      <c r="G67" s="2"/>
      <c r="H67" s="7">
        <v>0</v>
      </c>
      <c r="I67" s="2"/>
      <c r="J67" s="6">
        <f t="shared" si="37"/>
        <v>0</v>
      </c>
      <c r="K67" s="2"/>
      <c r="L67" s="7">
        <f t="shared" si="38"/>
        <v>0</v>
      </c>
      <c r="M67" s="2"/>
      <c r="N67" s="6">
        <f t="shared" si="39"/>
        <v>0</v>
      </c>
      <c r="O67" s="11"/>
      <c r="P67" s="7"/>
      <c r="Q67" s="2"/>
      <c r="R67" s="6">
        <f t="shared" si="40"/>
        <v>0</v>
      </c>
      <c r="S67" s="2"/>
      <c r="T67" s="7">
        <v>0</v>
      </c>
      <c r="U67" s="2"/>
      <c r="V67" s="6">
        <f t="shared" si="41"/>
        <v>0</v>
      </c>
      <c r="W67" s="2"/>
      <c r="X67" s="7">
        <f t="shared" si="42"/>
        <v>0</v>
      </c>
      <c r="Y67" s="2"/>
      <c r="Z67" s="6">
        <f t="shared" si="43"/>
        <v>0</v>
      </c>
    </row>
    <row r="68" spans="1:26" s="24" customFormat="1" hidden="1" outlineLevel="2" x14ac:dyDescent="0.25">
      <c r="A68" s="26"/>
      <c r="B68" s="11" t="str">
        <f>CONCATENATE("          ", "6403", " - ", "INTEREST EXPENSE LEASE EQUIP")</f>
        <v xml:space="preserve">          6403 - INTEREST EXPENSE LEASE EQUIP</v>
      </c>
      <c r="C68" s="11"/>
      <c r="D68" s="7"/>
      <c r="E68" s="2"/>
      <c r="F68" s="6">
        <f t="shared" si="36"/>
        <v>0</v>
      </c>
      <c r="G68" s="2"/>
      <c r="H68" s="7">
        <v>0</v>
      </c>
      <c r="I68" s="2"/>
      <c r="J68" s="6">
        <f t="shared" si="37"/>
        <v>0</v>
      </c>
      <c r="K68" s="2"/>
      <c r="L68" s="7">
        <f t="shared" si="38"/>
        <v>0</v>
      </c>
      <c r="M68" s="2"/>
      <c r="N68" s="6">
        <f t="shared" si="39"/>
        <v>0</v>
      </c>
      <c r="O68" s="11"/>
      <c r="P68" s="7"/>
      <c r="Q68" s="2"/>
      <c r="R68" s="6">
        <f t="shared" si="40"/>
        <v>0</v>
      </c>
      <c r="S68" s="2"/>
      <c r="T68" s="7">
        <v>0</v>
      </c>
      <c r="U68" s="2"/>
      <c r="V68" s="6">
        <f t="shared" si="41"/>
        <v>0</v>
      </c>
      <c r="W68" s="2"/>
      <c r="X68" s="7">
        <f t="shared" si="42"/>
        <v>0</v>
      </c>
      <c r="Y68" s="2"/>
      <c r="Z68" s="6">
        <f t="shared" si="43"/>
        <v>0</v>
      </c>
    </row>
    <row r="69" spans="1:26" s="27" customFormat="1" outlineLevel="1" collapsed="1" x14ac:dyDescent="0.25">
      <c r="A69" s="25"/>
      <c r="B69" s="12" t="str">
        <f>CONCATENATE("     ","Professional Services                             ")</f>
        <v xml:space="preserve">     Professional Services                             </v>
      </c>
      <c r="C69" s="12"/>
      <c r="D69" s="1">
        <f>SUM(OSRRefD22_13x_0)</f>
        <v>0</v>
      </c>
      <c r="E69" s="1"/>
      <c r="F69" s="5">
        <f t="shared" ref="F69:F73" si="44">IF(D$12=0,0,D69/D$12)</f>
        <v>0</v>
      </c>
      <c r="G69" s="1"/>
      <c r="H69" s="1">
        <f>SUM(OSRRefH22_13x_0)</f>
        <v>1433</v>
      </c>
      <c r="I69" s="1"/>
      <c r="J69" s="5">
        <f t="shared" ref="J69:J73" si="45">IF(H$12=0,0,H69/H$12)</f>
        <v>0</v>
      </c>
      <c r="K69" s="1"/>
      <c r="L69" s="1">
        <f t="shared" ref="L69:L73" si="46">+D69-H69</f>
        <v>-1433</v>
      </c>
      <c r="M69" s="1"/>
      <c r="N69" s="5">
        <f t="shared" ref="N69:N73" si="47">IF(H69=0,0,L69/H69)</f>
        <v>-1</v>
      </c>
      <c r="O69" s="12"/>
      <c r="P69" s="1">
        <f>SUM(OSRRefP22_13x_0)</f>
        <v>201991.25999999998</v>
      </c>
      <c r="Q69" s="1"/>
      <c r="R69" s="5">
        <f t="shared" ref="R69:R73" si="48">IF(P$12=0,0,P69/P$12)</f>
        <v>0</v>
      </c>
      <c r="S69" s="1"/>
      <c r="T69" s="1">
        <f>SUM(OSRRefT22_13x_0)</f>
        <v>198463</v>
      </c>
      <c r="U69" s="1"/>
      <c r="V69" s="5">
        <f t="shared" ref="V69:V73" si="49">IF(T$12=0,0,T69/T$12)</f>
        <v>992.31500000000005</v>
      </c>
      <c r="W69" s="1"/>
      <c r="X69" s="1">
        <f t="shared" ref="X69:X73" si="50">+P69-T69</f>
        <v>3528.2599999999802</v>
      </c>
      <c r="Y69" s="1"/>
      <c r="Z69" s="5">
        <f t="shared" ref="Z69:Z73" si="51">IF(T69=0,0,X69/T69)</f>
        <v>1.7777923340874521E-2</v>
      </c>
    </row>
    <row r="70" spans="1:26" s="24" customFormat="1" hidden="1" outlineLevel="2" x14ac:dyDescent="0.25">
      <c r="A70" s="26"/>
      <c r="B70" s="11" t="str">
        <f>CONCATENATE("          ", "6331", " - ", "INDIRECT COSTS-AUXILIARY ORGAN")</f>
        <v xml:space="preserve">          6331 - INDIRECT COSTS-AUXILIARY ORGAN</v>
      </c>
      <c r="C70" s="11"/>
      <c r="D70" s="7"/>
      <c r="E70" s="2"/>
      <c r="F70" s="6">
        <f t="shared" si="44"/>
        <v>0</v>
      </c>
      <c r="G70" s="2"/>
      <c r="H70" s="7"/>
      <c r="I70" s="2"/>
      <c r="J70" s="6">
        <f t="shared" si="45"/>
        <v>0</v>
      </c>
      <c r="K70" s="2"/>
      <c r="L70" s="7">
        <f t="shared" si="46"/>
        <v>0</v>
      </c>
      <c r="M70" s="2"/>
      <c r="N70" s="6">
        <f t="shared" si="47"/>
        <v>0</v>
      </c>
      <c r="O70" s="11"/>
      <c r="P70" s="7">
        <v>91723</v>
      </c>
      <c r="Q70" s="2"/>
      <c r="R70" s="6">
        <f t="shared" si="48"/>
        <v>0</v>
      </c>
      <c r="S70" s="2"/>
      <c r="T70" s="7">
        <v>98000</v>
      </c>
      <c r="U70" s="2"/>
      <c r="V70" s="6">
        <f t="shared" si="49"/>
        <v>490</v>
      </c>
      <c r="W70" s="2"/>
      <c r="X70" s="7">
        <f t="shared" si="50"/>
        <v>-6277</v>
      </c>
      <c r="Y70" s="2"/>
      <c r="Z70" s="6">
        <f t="shared" si="51"/>
        <v>-6.4051020408163267E-2</v>
      </c>
    </row>
    <row r="71" spans="1:26" s="24" customFormat="1" hidden="1" outlineLevel="2" x14ac:dyDescent="0.25">
      <c r="A71" s="26"/>
      <c r="B71" s="11" t="str">
        <f>CONCATENATE("          ", "6332", " - ", "CONSULTANT FEES")</f>
        <v xml:space="preserve">          6332 - CONSULTANT FEES</v>
      </c>
      <c r="C71" s="11"/>
      <c r="D71" s="7"/>
      <c r="E71" s="2"/>
      <c r="F71" s="6">
        <f t="shared" si="44"/>
        <v>0</v>
      </c>
      <c r="G71" s="2"/>
      <c r="H71" s="7">
        <v>600</v>
      </c>
      <c r="I71" s="2"/>
      <c r="J71" s="6">
        <f t="shared" si="45"/>
        <v>0</v>
      </c>
      <c r="K71" s="2"/>
      <c r="L71" s="7">
        <f t="shared" si="46"/>
        <v>-600</v>
      </c>
      <c r="M71" s="2"/>
      <c r="N71" s="6">
        <f t="shared" si="47"/>
        <v>-1</v>
      </c>
      <c r="O71" s="11"/>
      <c r="P71" s="7">
        <v>36894.74</v>
      </c>
      <c r="Q71" s="2"/>
      <c r="R71" s="6">
        <f t="shared" si="48"/>
        <v>0</v>
      </c>
      <c r="S71" s="2"/>
      <c r="T71" s="7">
        <v>34600</v>
      </c>
      <c r="U71" s="2"/>
      <c r="V71" s="6">
        <f t="shared" si="49"/>
        <v>173</v>
      </c>
      <c r="W71" s="2"/>
      <c r="X71" s="7">
        <f t="shared" si="50"/>
        <v>2294.739999999998</v>
      </c>
      <c r="Y71" s="2"/>
      <c r="Z71" s="6">
        <f t="shared" si="51"/>
        <v>6.6321965317919021E-2</v>
      </c>
    </row>
    <row r="72" spans="1:26" s="24" customFormat="1" hidden="1" outlineLevel="2" x14ac:dyDescent="0.25">
      <c r="A72" s="26"/>
      <c r="B72" s="11" t="str">
        <f>CONCATENATE("          ", "6334", " - ", "LEGAL COUNCIL EXPENSE")</f>
        <v xml:space="preserve">          6334 - LEGAL COUNCIL EXPENSE</v>
      </c>
      <c r="C72" s="11"/>
      <c r="D72" s="7"/>
      <c r="E72" s="2"/>
      <c r="F72" s="6">
        <f t="shared" si="44"/>
        <v>0</v>
      </c>
      <c r="G72" s="2"/>
      <c r="H72" s="7">
        <v>833</v>
      </c>
      <c r="I72" s="2"/>
      <c r="J72" s="6">
        <f t="shared" si="45"/>
        <v>0</v>
      </c>
      <c r="K72" s="2"/>
      <c r="L72" s="7">
        <f t="shared" si="46"/>
        <v>-833</v>
      </c>
      <c r="M72" s="2"/>
      <c r="N72" s="6">
        <f t="shared" si="47"/>
        <v>-1</v>
      </c>
      <c r="O72" s="11"/>
      <c r="P72" s="7">
        <v>39175</v>
      </c>
      <c r="Q72" s="2"/>
      <c r="R72" s="6">
        <f t="shared" si="48"/>
        <v>0</v>
      </c>
      <c r="S72" s="2"/>
      <c r="T72" s="7">
        <v>12363</v>
      </c>
      <c r="U72" s="2"/>
      <c r="V72" s="6">
        <f t="shared" si="49"/>
        <v>61.814999999999998</v>
      </c>
      <c r="W72" s="2"/>
      <c r="X72" s="7">
        <f t="shared" si="50"/>
        <v>26812</v>
      </c>
      <c r="Y72" s="2"/>
      <c r="Z72" s="6">
        <f t="shared" si="51"/>
        <v>2.1687292728302192</v>
      </c>
    </row>
    <row r="73" spans="1:26" s="24" customFormat="1" hidden="1" outlineLevel="2" x14ac:dyDescent="0.25">
      <c r="A73" s="26"/>
      <c r="B73" s="11" t="str">
        <f>CONCATENATE("          ", "6336", " - ", "PROFESSIONAL SERVICES")</f>
        <v xml:space="preserve">          6336 - PROFESSIONAL SERVICES</v>
      </c>
      <c r="C73" s="11"/>
      <c r="D73" s="7"/>
      <c r="E73" s="2"/>
      <c r="F73" s="6">
        <f t="shared" si="44"/>
        <v>0</v>
      </c>
      <c r="G73" s="2"/>
      <c r="H73" s="7">
        <v>0</v>
      </c>
      <c r="I73" s="2"/>
      <c r="J73" s="6">
        <f t="shared" si="45"/>
        <v>0</v>
      </c>
      <c r="K73" s="2"/>
      <c r="L73" s="7">
        <f t="shared" si="46"/>
        <v>0</v>
      </c>
      <c r="M73" s="2"/>
      <c r="N73" s="6">
        <f t="shared" si="47"/>
        <v>0</v>
      </c>
      <c r="O73" s="11"/>
      <c r="P73" s="7">
        <v>34198.519999999997</v>
      </c>
      <c r="Q73" s="2"/>
      <c r="R73" s="6">
        <f t="shared" si="48"/>
        <v>0</v>
      </c>
      <c r="S73" s="2"/>
      <c r="T73" s="7">
        <v>53500</v>
      </c>
      <c r="U73" s="2"/>
      <c r="V73" s="6">
        <f t="shared" si="49"/>
        <v>267.5</v>
      </c>
      <c r="W73" s="2"/>
      <c r="X73" s="7">
        <f t="shared" si="50"/>
        <v>-19301.480000000003</v>
      </c>
      <c r="Y73" s="2"/>
      <c r="Z73" s="6">
        <f t="shared" si="51"/>
        <v>-0.3607753271028038</v>
      </c>
    </row>
    <row r="74" spans="1:26" s="27" customFormat="1" outlineLevel="1" collapsed="1" x14ac:dyDescent="0.25">
      <c r="A74" s="25"/>
      <c r="B74" s="12" t="str">
        <f>CONCATENATE("     ","Repair and Maintenance                            ")</f>
        <v xml:space="preserve">     Repair and Maintenance                            </v>
      </c>
      <c r="C74" s="12"/>
      <c r="D74" s="1">
        <f>SUM(OSRRefD22_14x_0)</f>
        <v>24602.65</v>
      </c>
      <c r="E74" s="1"/>
      <c r="F74" s="5">
        <f t="shared" ref="F74:F78" si="52">IF(D$12=0,0,D74/D$12)</f>
        <v>0</v>
      </c>
      <c r="G74" s="1"/>
      <c r="H74" s="1">
        <f>SUM(OSRRefH22_14x_0)</f>
        <v>30415</v>
      </c>
      <c r="I74" s="1"/>
      <c r="J74" s="5">
        <f t="shared" ref="J74:J78" si="53">IF(H$12=0,0,H74/H$12)</f>
        <v>0</v>
      </c>
      <c r="K74" s="1"/>
      <c r="L74" s="1">
        <f t="shared" ref="L74:L78" si="54">+D74-H74</f>
        <v>-5812.3499999999985</v>
      </c>
      <c r="M74" s="1"/>
      <c r="N74" s="5">
        <f t="shared" ref="N74:N78" si="55">IF(H74=0,0,L74/H74)</f>
        <v>-0.19110143021535422</v>
      </c>
      <c r="O74" s="12"/>
      <c r="P74" s="1">
        <f>SUM(OSRRefP22_14x_0)</f>
        <v>338729.94999999995</v>
      </c>
      <c r="Q74" s="1"/>
      <c r="R74" s="5">
        <f t="shared" ref="R74:R78" si="56">IF(P$12=0,0,P74/P$12)</f>
        <v>0</v>
      </c>
      <c r="S74" s="1"/>
      <c r="T74" s="1">
        <f>SUM(OSRRefT22_14x_0)</f>
        <v>345525</v>
      </c>
      <c r="U74" s="1"/>
      <c r="V74" s="5">
        <f t="shared" ref="V74:V78" si="57">IF(T$12=0,0,T74/T$12)</f>
        <v>1727.625</v>
      </c>
      <c r="W74" s="1"/>
      <c r="X74" s="1">
        <f t="shared" ref="X74:X78" si="58">+P74-T74</f>
        <v>-6795.0500000000466</v>
      </c>
      <c r="Y74" s="1"/>
      <c r="Z74" s="5">
        <f t="shared" ref="Z74:Z78" si="59">IF(T74=0,0,X74/T74)</f>
        <v>-1.9665870776354958E-2</v>
      </c>
    </row>
    <row r="75" spans="1:26" s="24" customFormat="1" hidden="1" outlineLevel="2" x14ac:dyDescent="0.25">
      <c r="A75" s="26"/>
      <c r="B75" s="11" t="str">
        <f>CONCATENATE("          ", "6371", " - ", "COMPUTER SOFTWARE MAINTENANCE")</f>
        <v xml:space="preserve">          6371 - COMPUTER SOFTWARE MAINTENANCE</v>
      </c>
      <c r="C75" s="11"/>
      <c r="D75" s="7">
        <v>11602.17</v>
      </c>
      <c r="E75" s="2"/>
      <c r="F75" s="6">
        <f t="shared" si="52"/>
        <v>0</v>
      </c>
      <c r="G75" s="2"/>
      <c r="H75" s="7">
        <v>13820</v>
      </c>
      <c r="I75" s="2"/>
      <c r="J75" s="6">
        <f t="shared" si="53"/>
        <v>0</v>
      </c>
      <c r="K75" s="2"/>
      <c r="L75" s="7">
        <f t="shared" si="54"/>
        <v>-2217.83</v>
      </c>
      <c r="M75" s="2"/>
      <c r="N75" s="6">
        <f t="shared" si="55"/>
        <v>-0.16047973950795946</v>
      </c>
      <c r="O75" s="11"/>
      <c r="P75" s="7">
        <v>178555.34999999998</v>
      </c>
      <c r="Q75" s="2"/>
      <c r="R75" s="6">
        <f t="shared" si="56"/>
        <v>0</v>
      </c>
      <c r="S75" s="2"/>
      <c r="T75" s="7">
        <v>166600</v>
      </c>
      <c r="U75" s="2"/>
      <c r="V75" s="6">
        <f t="shared" si="57"/>
        <v>833</v>
      </c>
      <c r="W75" s="2"/>
      <c r="X75" s="7">
        <f t="shared" si="58"/>
        <v>11955.349999999977</v>
      </c>
      <c r="Y75" s="2"/>
      <c r="Z75" s="6">
        <f t="shared" si="59"/>
        <v>7.1760804321728558E-2</v>
      </c>
    </row>
    <row r="76" spans="1:26" s="24" customFormat="1" hidden="1" outlineLevel="2" x14ac:dyDescent="0.25">
      <c r="A76" s="26"/>
      <c r="B76" s="11" t="str">
        <f>CONCATENATE("          ", "6372", " - ", "COMPUTER HARDWARE MAINTENANCE")</f>
        <v xml:space="preserve">          6372 - COMPUTER HARDWARE MAINTENANCE</v>
      </c>
      <c r="C76" s="11"/>
      <c r="D76" s="7"/>
      <c r="E76" s="2"/>
      <c r="F76" s="6">
        <f t="shared" si="52"/>
        <v>0</v>
      </c>
      <c r="G76" s="2"/>
      <c r="H76" s="7">
        <v>500</v>
      </c>
      <c r="I76" s="2"/>
      <c r="J76" s="6">
        <f t="shared" si="53"/>
        <v>0</v>
      </c>
      <c r="K76" s="2"/>
      <c r="L76" s="7">
        <f t="shared" si="54"/>
        <v>-500</v>
      </c>
      <c r="M76" s="2"/>
      <c r="N76" s="6">
        <f t="shared" si="55"/>
        <v>-1</v>
      </c>
      <c r="O76" s="11"/>
      <c r="P76" s="7"/>
      <c r="Q76" s="2"/>
      <c r="R76" s="6">
        <f t="shared" si="56"/>
        <v>0</v>
      </c>
      <c r="S76" s="2"/>
      <c r="T76" s="7">
        <v>9000</v>
      </c>
      <c r="U76" s="2"/>
      <c r="V76" s="6">
        <f t="shared" si="57"/>
        <v>45</v>
      </c>
      <c r="W76" s="2"/>
      <c r="X76" s="7">
        <f t="shared" si="58"/>
        <v>-9000</v>
      </c>
      <c r="Y76" s="2"/>
      <c r="Z76" s="6">
        <f t="shared" si="59"/>
        <v>-1</v>
      </c>
    </row>
    <row r="77" spans="1:26" s="24" customFormat="1" hidden="1" outlineLevel="2" x14ac:dyDescent="0.25">
      <c r="A77" s="26"/>
      <c r="B77" s="11" t="str">
        <f>CONCATENATE("          ", "6373", " - ", "MAINTENANCE CONTRACTS")</f>
        <v xml:space="preserve">          6373 - MAINTENANCE CONTRACTS</v>
      </c>
      <c r="C77" s="11"/>
      <c r="D77" s="7">
        <v>13000.48</v>
      </c>
      <c r="E77" s="2"/>
      <c r="F77" s="6">
        <f t="shared" si="52"/>
        <v>0</v>
      </c>
      <c r="G77" s="2"/>
      <c r="H77" s="7">
        <v>16095</v>
      </c>
      <c r="I77" s="2"/>
      <c r="J77" s="6">
        <f t="shared" si="53"/>
        <v>0</v>
      </c>
      <c r="K77" s="2"/>
      <c r="L77" s="7">
        <f t="shared" si="54"/>
        <v>-3094.5200000000004</v>
      </c>
      <c r="M77" s="2"/>
      <c r="N77" s="6">
        <f t="shared" si="55"/>
        <v>-0.19226592109350732</v>
      </c>
      <c r="O77" s="11"/>
      <c r="P77" s="7">
        <v>156547.34</v>
      </c>
      <c r="Q77" s="2"/>
      <c r="R77" s="6">
        <f t="shared" si="56"/>
        <v>0</v>
      </c>
      <c r="S77" s="2"/>
      <c r="T77" s="7">
        <v>169925</v>
      </c>
      <c r="U77" s="2"/>
      <c r="V77" s="6">
        <f t="shared" si="57"/>
        <v>849.625</v>
      </c>
      <c r="W77" s="2"/>
      <c r="X77" s="7">
        <f t="shared" si="58"/>
        <v>-13377.660000000003</v>
      </c>
      <c r="Y77" s="2"/>
      <c r="Z77" s="6">
        <f t="shared" si="59"/>
        <v>-7.8726850080918079E-2</v>
      </c>
    </row>
    <row r="78" spans="1:26" s="24" customFormat="1" hidden="1" outlineLevel="2" x14ac:dyDescent="0.25">
      <c r="A78" s="26"/>
      <c r="B78" s="11" t="str">
        <f>CONCATENATE("          ", "6375", " - ", "OUTSIDE REPAIRS &amp; MAINTENANCE")</f>
        <v xml:space="preserve">          6375 - OUTSIDE REPAIRS &amp; MAINTENANCE</v>
      </c>
      <c r="C78" s="11"/>
      <c r="D78" s="7"/>
      <c r="E78" s="2"/>
      <c r="F78" s="6">
        <f t="shared" si="52"/>
        <v>0</v>
      </c>
      <c r="G78" s="2"/>
      <c r="H78" s="7"/>
      <c r="I78" s="2"/>
      <c r="J78" s="6">
        <f t="shared" si="53"/>
        <v>0</v>
      </c>
      <c r="K78" s="2"/>
      <c r="L78" s="7">
        <f t="shared" si="54"/>
        <v>0</v>
      </c>
      <c r="M78" s="2"/>
      <c r="N78" s="6">
        <f t="shared" si="55"/>
        <v>0</v>
      </c>
      <c r="O78" s="11"/>
      <c r="P78" s="7">
        <v>3627.26</v>
      </c>
      <c r="Q78" s="2"/>
      <c r="R78" s="6">
        <f t="shared" si="56"/>
        <v>0</v>
      </c>
      <c r="S78" s="2"/>
      <c r="T78" s="7"/>
      <c r="U78" s="2"/>
      <c r="V78" s="6">
        <f t="shared" si="57"/>
        <v>0</v>
      </c>
      <c r="W78" s="2"/>
      <c r="X78" s="7">
        <f t="shared" si="58"/>
        <v>3627.26</v>
      </c>
      <c r="Y78" s="2"/>
      <c r="Z78" s="6">
        <f t="shared" si="59"/>
        <v>0</v>
      </c>
    </row>
    <row r="79" spans="1:26" s="27" customFormat="1" outlineLevel="1" collapsed="1" x14ac:dyDescent="0.25">
      <c r="A79" s="25"/>
      <c r="B79" s="12" t="str">
        <f>CONCATENATE("     ","Services                                          ")</f>
        <v xml:space="preserve">     Services                                          </v>
      </c>
      <c r="C79" s="12"/>
      <c r="D79" s="1">
        <f>SUM(OSRRefD22_15x_0)</f>
        <v>512.48</v>
      </c>
      <c r="E79" s="1"/>
      <c r="F79" s="5">
        <f t="shared" ref="F79:F81" si="60">IF(D$12=0,0,D79/D$12)</f>
        <v>0</v>
      </c>
      <c r="G79" s="1"/>
      <c r="H79" s="1">
        <f>SUM(OSRRefH22_15x_0)</f>
        <v>610</v>
      </c>
      <c r="I79" s="1"/>
      <c r="J79" s="5">
        <f t="shared" ref="J79:J81" si="61">IF(H$12=0,0,H79/H$12)</f>
        <v>0</v>
      </c>
      <c r="K79" s="1"/>
      <c r="L79" s="1">
        <f t="shared" ref="L79:L81" si="62">+D79-H79</f>
        <v>-97.519999999999982</v>
      </c>
      <c r="M79" s="1"/>
      <c r="N79" s="5">
        <f t="shared" ref="N79:N81" si="63">IF(H79=0,0,L79/H79)</f>
        <v>-0.15986885245901636</v>
      </c>
      <c r="O79" s="12"/>
      <c r="P79" s="1">
        <f>SUM(OSRRefP22_15x_0)</f>
        <v>11051.39</v>
      </c>
      <c r="Q79" s="1"/>
      <c r="R79" s="5">
        <f t="shared" ref="R79:R81" si="64">IF(P$12=0,0,P79/P$12)</f>
        <v>0</v>
      </c>
      <c r="S79" s="1"/>
      <c r="T79" s="1">
        <f>SUM(OSRRefT22_15x_0)</f>
        <v>6710</v>
      </c>
      <c r="U79" s="1"/>
      <c r="V79" s="5">
        <f t="shared" ref="V79:V81" si="65">IF(T$12=0,0,T79/T$12)</f>
        <v>33.549999999999997</v>
      </c>
      <c r="W79" s="1"/>
      <c r="X79" s="1">
        <f t="shared" ref="X79:X81" si="66">+P79-T79</f>
        <v>4341.3899999999994</v>
      </c>
      <c r="Y79" s="1"/>
      <c r="Z79" s="5">
        <f t="shared" ref="Z79:Z81" si="67">IF(T79=0,0,X79/T79)</f>
        <v>0.64700298062593131</v>
      </c>
    </row>
    <row r="80" spans="1:26" s="24" customFormat="1" hidden="1" outlineLevel="2" x14ac:dyDescent="0.25">
      <c r="A80" s="26"/>
      <c r="B80" s="11" t="str">
        <f>CONCATENATE("          ", "6281", " - ", "STORAGE FEE")</f>
        <v xml:space="preserve">          6281 - STORAGE FEE</v>
      </c>
      <c r="C80" s="11"/>
      <c r="D80" s="7">
        <v>512.48</v>
      </c>
      <c r="E80" s="2"/>
      <c r="F80" s="6">
        <f t="shared" si="60"/>
        <v>0</v>
      </c>
      <c r="G80" s="2"/>
      <c r="H80" s="7">
        <v>600</v>
      </c>
      <c r="I80" s="2"/>
      <c r="J80" s="6">
        <f t="shared" si="61"/>
        <v>0</v>
      </c>
      <c r="K80" s="2"/>
      <c r="L80" s="7">
        <f t="shared" si="62"/>
        <v>-87.519999999999982</v>
      </c>
      <c r="M80" s="2"/>
      <c r="N80" s="6">
        <f t="shared" si="63"/>
        <v>-0.14586666666666664</v>
      </c>
      <c r="O80" s="11"/>
      <c r="P80" s="7">
        <v>10967.41</v>
      </c>
      <c r="Q80" s="2"/>
      <c r="R80" s="6">
        <f t="shared" si="64"/>
        <v>0</v>
      </c>
      <c r="S80" s="2"/>
      <c r="T80" s="7">
        <v>6600</v>
      </c>
      <c r="U80" s="2"/>
      <c r="V80" s="6">
        <f t="shared" si="65"/>
        <v>33</v>
      </c>
      <c r="W80" s="2"/>
      <c r="X80" s="7">
        <f t="shared" si="66"/>
        <v>4367.41</v>
      </c>
      <c r="Y80" s="2"/>
      <c r="Z80" s="6">
        <f t="shared" si="67"/>
        <v>0.66172878787878786</v>
      </c>
    </row>
    <row r="81" spans="1:26" s="24" customFormat="1" hidden="1" outlineLevel="2" x14ac:dyDescent="0.25">
      <c r="A81" s="26"/>
      <c r="B81" s="11" t="str">
        <f>CONCATENATE("          ", "6286", " - ", "LAUNDRY EXPENSE")</f>
        <v xml:space="preserve">          6286 - LAUNDRY EXPENSE</v>
      </c>
      <c r="C81" s="11"/>
      <c r="D81" s="7"/>
      <c r="E81" s="2"/>
      <c r="F81" s="6">
        <f t="shared" si="60"/>
        <v>0</v>
      </c>
      <c r="G81" s="2"/>
      <c r="H81" s="7">
        <v>10</v>
      </c>
      <c r="I81" s="2"/>
      <c r="J81" s="6">
        <f t="shared" si="61"/>
        <v>0</v>
      </c>
      <c r="K81" s="2"/>
      <c r="L81" s="7">
        <f t="shared" si="62"/>
        <v>-10</v>
      </c>
      <c r="M81" s="2"/>
      <c r="N81" s="6">
        <f t="shared" si="63"/>
        <v>-1</v>
      </c>
      <c r="O81" s="11"/>
      <c r="P81" s="7">
        <v>83.98</v>
      </c>
      <c r="Q81" s="2"/>
      <c r="R81" s="6">
        <f t="shared" si="64"/>
        <v>0</v>
      </c>
      <c r="S81" s="2"/>
      <c r="T81" s="7">
        <v>110</v>
      </c>
      <c r="U81" s="2"/>
      <c r="V81" s="6">
        <f t="shared" si="65"/>
        <v>0.55000000000000004</v>
      </c>
      <c r="W81" s="2"/>
      <c r="X81" s="7">
        <f t="shared" si="66"/>
        <v>-26.019999999999996</v>
      </c>
      <c r="Y81" s="2"/>
      <c r="Z81" s="6">
        <f t="shared" si="67"/>
        <v>-0.2365454545454545</v>
      </c>
    </row>
    <row r="82" spans="1:26" s="27" customFormat="1" outlineLevel="1" collapsed="1" x14ac:dyDescent="0.25">
      <c r="A82" s="25"/>
      <c r="B82" s="12" t="str">
        <f>CONCATENATE("     ","Subscriptions &amp; Dues                              ")</f>
        <v xml:space="preserve">     Subscriptions &amp; Dues                              </v>
      </c>
      <c r="C82" s="12"/>
      <c r="D82" s="1">
        <f>SUM(OSRRefD22_16x_0)</f>
        <v>0</v>
      </c>
      <c r="E82" s="1"/>
      <c r="F82" s="5">
        <f t="shared" ref="F82:F84" si="68">IF(D$12=0,0,D82/D$12)</f>
        <v>0</v>
      </c>
      <c r="G82" s="1"/>
      <c r="H82" s="1">
        <f>SUM(OSRRefH22_16x_0)</f>
        <v>100</v>
      </c>
      <c r="I82" s="1"/>
      <c r="J82" s="5">
        <f t="shared" ref="J82:J84" si="69">IF(H$12=0,0,H82/H$12)</f>
        <v>0</v>
      </c>
      <c r="K82" s="1"/>
      <c r="L82" s="1">
        <f t="shared" ref="L82:L84" si="70">+D82-H82</f>
        <v>-100</v>
      </c>
      <c r="M82" s="1"/>
      <c r="N82" s="5">
        <f t="shared" ref="N82:N84" si="71">IF(H82=0,0,L82/H82)</f>
        <v>-1</v>
      </c>
      <c r="O82" s="12"/>
      <c r="P82" s="1">
        <f>SUM(OSRRefP22_16x_0)</f>
        <v>8639</v>
      </c>
      <c r="Q82" s="1"/>
      <c r="R82" s="5">
        <f t="shared" ref="R82:R84" si="72">IF(P$12=0,0,P82/P$12)</f>
        <v>0</v>
      </c>
      <c r="S82" s="1"/>
      <c r="T82" s="1">
        <f>SUM(OSRRefT22_16x_0)</f>
        <v>9559</v>
      </c>
      <c r="U82" s="1"/>
      <c r="V82" s="5">
        <f t="shared" ref="V82:V84" si="73">IF(T$12=0,0,T82/T$12)</f>
        <v>47.795000000000002</v>
      </c>
      <c r="W82" s="1"/>
      <c r="X82" s="1">
        <f t="shared" ref="X82:X84" si="74">+P82-T82</f>
        <v>-920</v>
      </c>
      <c r="Y82" s="1"/>
      <c r="Z82" s="5">
        <f t="shared" ref="Z82:Z84" si="75">IF(T82=0,0,X82/T82)</f>
        <v>-9.6244377026885652E-2</v>
      </c>
    </row>
    <row r="83" spans="1:26" s="24" customFormat="1" hidden="1" outlineLevel="2" x14ac:dyDescent="0.25">
      <c r="A83" s="26"/>
      <c r="B83" s="11" t="str">
        <f>CONCATENATE("          ", "6258", " - ", "MEMBERSHIP DUES")</f>
        <v xml:space="preserve">          6258 - MEMBERSHIP DUES</v>
      </c>
      <c r="C83" s="11"/>
      <c r="D83" s="7"/>
      <c r="E83" s="2"/>
      <c r="F83" s="6">
        <f t="shared" si="68"/>
        <v>0</v>
      </c>
      <c r="G83" s="2"/>
      <c r="H83" s="7"/>
      <c r="I83" s="2"/>
      <c r="J83" s="6">
        <f t="shared" si="69"/>
        <v>0</v>
      </c>
      <c r="K83" s="2"/>
      <c r="L83" s="7">
        <f t="shared" si="70"/>
        <v>0</v>
      </c>
      <c r="M83" s="2"/>
      <c r="N83" s="6">
        <f t="shared" si="71"/>
        <v>0</v>
      </c>
      <c r="O83" s="11"/>
      <c r="P83" s="7">
        <v>8639</v>
      </c>
      <c r="Q83" s="2"/>
      <c r="R83" s="6">
        <f t="shared" si="72"/>
        <v>0</v>
      </c>
      <c r="S83" s="2"/>
      <c r="T83" s="7">
        <v>8359</v>
      </c>
      <c r="U83" s="2"/>
      <c r="V83" s="6">
        <f t="shared" si="73"/>
        <v>41.795000000000002</v>
      </c>
      <c r="W83" s="2"/>
      <c r="X83" s="7">
        <f t="shared" si="74"/>
        <v>280</v>
      </c>
      <c r="Y83" s="2"/>
      <c r="Z83" s="6">
        <f t="shared" si="75"/>
        <v>3.3496829764325879E-2</v>
      </c>
    </row>
    <row r="84" spans="1:26" s="24" customFormat="1" hidden="1" outlineLevel="2" x14ac:dyDescent="0.25">
      <c r="A84" s="26"/>
      <c r="B84" s="11" t="str">
        <f>CONCATENATE("          ", "6275", " - ", "SUBSCRIPTIONS")</f>
        <v xml:space="preserve">          6275 - SUBSCRIPTIONS</v>
      </c>
      <c r="C84" s="11"/>
      <c r="D84" s="7"/>
      <c r="E84" s="2"/>
      <c r="F84" s="6">
        <f t="shared" si="68"/>
        <v>0</v>
      </c>
      <c r="G84" s="2"/>
      <c r="H84" s="7">
        <v>100</v>
      </c>
      <c r="I84" s="2"/>
      <c r="J84" s="6">
        <f t="shared" si="69"/>
        <v>0</v>
      </c>
      <c r="K84" s="2"/>
      <c r="L84" s="7">
        <f t="shared" si="70"/>
        <v>-100</v>
      </c>
      <c r="M84" s="2"/>
      <c r="N84" s="6">
        <f t="shared" si="71"/>
        <v>-1</v>
      </c>
      <c r="O84" s="11"/>
      <c r="P84" s="7"/>
      <c r="Q84" s="2"/>
      <c r="R84" s="6">
        <f t="shared" si="72"/>
        <v>0</v>
      </c>
      <c r="S84" s="2"/>
      <c r="T84" s="7">
        <v>1200</v>
      </c>
      <c r="U84" s="2"/>
      <c r="V84" s="6">
        <f t="shared" si="73"/>
        <v>6</v>
      </c>
      <c r="W84" s="2"/>
      <c r="X84" s="7">
        <f t="shared" si="74"/>
        <v>-1200</v>
      </c>
      <c r="Y84" s="2"/>
      <c r="Z84" s="6">
        <f t="shared" si="75"/>
        <v>-1</v>
      </c>
    </row>
    <row r="85" spans="1:26" s="27" customFormat="1" outlineLevel="1" collapsed="1" x14ac:dyDescent="0.25">
      <c r="A85" s="25"/>
      <c r="B85" s="12" t="str">
        <f>CONCATENATE("     ","Supplies                                          ")</f>
        <v xml:space="preserve">     Supplies                                          </v>
      </c>
      <c r="C85" s="12"/>
      <c r="D85" s="1">
        <f>SUM(OSRRefD22_17x_0)</f>
        <v>-672.93000000000006</v>
      </c>
      <c r="E85" s="1"/>
      <c r="F85" s="5">
        <f t="shared" ref="F85:F91" si="76">IF(D$12=0,0,D85/D$12)</f>
        <v>0</v>
      </c>
      <c r="G85" s="1"/>
      <c r="H85" s="1">
        <f>SUM(OSRRefH22_17x_0)</f>
        <v>3602</v>
      </c>
      <c r="I85" s="1"/>
      <c r="J85" s="5">
        <f t="shared" ref="J85:J91" si="77">IF(H$12=0,0,H85/H$12)</f>
        <v>0</v>
      </c>
      <c r="K85" s="1"/>
      <c r="L85" s="1">
        <f t="shared" ref="L85:L91" si="78">+D85-H85</f>
        <v>-4274.93</v>
      </c>
      <c r="M85" s="1"/>
      <c r="N85" s="5">
        <f t="shared" ref="N85:N91" si="79">IF(H85=0,0,L85/H85)</f>
        <v>-1.1868212104386453</v>
      </c>
      <c r="O85" s="12"/>
      <c r="P85" s="1">
        <f>SUM(OSRRefP22_17x_0)</f>
        <v>62835.09</v>
      </c>
      <c r="Q85" s="1"/>
      <c r="R85" s="5">
        <f t="shared" ref="R85:R91" si="80">IF(P$12=0,0,P85/P$12)</f>
        <v>0</v>
      </c>
      <c r="S85" s="1"/>
      <c r="T85" s="1">
        <f>SUM(OSRRefT22_17x_0)</f>
        <v>44222</v>
      </c>
      <c r="U85" s="1"/>
      <c r="V85" s="5">
        <f t="shared" ref="V85:V91" si="81">IF(T$12=0,0,T85/T$12)</f>
        <v>221.11</v>
      </c>
      <c r="W85" s="1"/>
      <c r="X85" s="1">
        <f t="shared" ref="X85:X91" si="82">+P85-T85</f>
        <v>18613.089999999997</v>
      </c>
      <c r="Y85" s="1"/>
      <c r="Z85" s="5">
        <f t="shared" ref="Z85:Z91" si="83">IF(T85=0,0,X85/T85)</f>
        <v>0.42090113518158373</v>
      </c>
    </row>
    <row r="86" spans="1:26" s="24" customFormat="1" hidden="1" outlineLevel="2" x14ac:dyDescent="0.25">
      <c r="A86" s="26"/>
      <c r="B86" s="11" t="str">
        <f>CONCATENATE("          ", "6234", " - ", "EXPENDABLE SUPPLIES &amp; EQUIPMEN")</f>
        <v xml:space="preserve">          6234 - EXPENDABLE SUPPLIES &amp; EQUIPMEN</v>
      </c>
      <c r="C86" s="11"/>
      <c r="D86" s="7">
        <v>-1550</v>
      </c>
      <c r="E86" s="2"/>
      <c r="F86" s="6">
        <f t="shared" si="76"/>
        <v>0</v>
      </c>
      <c r="G86" s="2"/>
      <c r="H86" s="7">
        <v>500</v>
      </c>
      <c r="I86" s="2"/>
      <c r="J86" s="6">
        <f t="shared" si="77"/>
        <v>0</v>
      </c>
      <c r="K86" s="2"/>
      <c r="L86" s="7">
        <f t="shared" si="78"/>
        <v>-2050</v>
      </c>
      <c r="M86" s="2"/>
      <c r="N86" s="6">
        <f t="shared" si="79"/>
        <v>-4.0999999999999996</v>
      </c>
      <c r="O86" s="11"/>
      <c r="P86" s="7">
        <v>1223.6099999999999</v>
      </c>
      <c r="Q86" s="2"/>
      <c r="R86" s="6">
        <f t="shared" si="80"/>
        <v>0</v>
      </c>
      <c r="S86" s="2"/>
      <c r="T86" s="7">
        <v>7300</v>
      </c>
      <c r="U86" s="2"/>
      <c r="V86" s="6">
        <f t="shared" si="81"/>
        <v>36.5</v>
      </c>
      <c r="W86" s="2"/>
      <c r="X86" s="7">
        <f t="shared" si="82"/>
        <v>-6076.39</v>
      </c>
      <c r="Y86" s="2"/>
      <c r="Z86" s="6">
        <f t="shared" si="83"/>
        <v>-0.83238219178082196</v>
      </c>
    </row>
    <row r="87" spans="1:26" s="24" customFormat="1" hidden="1" outlineLevel="2" x14ac:dyDescent="0.25">
      <c r="A87" s="26"/>
      <c r="B87" s="11" t="str">
        <f>CONCATENATE("          ", "6235", " - ", "COVID-19 EXPENSES")</f>
        <v xml:space="preserve">          6235 - COVID-19 EXPENSES</v>
      </c>
      <c r="C87" s="11"/>
      <c r="D87" s="7">
        <v>480</v>
      </c>
      <c r="E87" s="2"/>
      <c r="F87" s="6">
        <f t="shared" si="76"/>
        <v>0</v>
      </c>
      <c r="G87" s="2"/>
      <c r="H87" s="7"/>
      <c r="I87" s="2"/>
      <c r="J87" s="6">
        <f t="shared" si="77"/>
        <v>0</v>
      </c>
      <c r="K87" s="2"/>
      <c r="L87" s="7">
        <f t="shared" si="78"/>
        <v>480</v>
      </c>
      <c r="M87" s="2"/>
      <c r="N87" s="6">
        <f t="shared" si="79"/>
        <v>0</v>
      </c>
      <c r="O87" s="11"/>
      <c r="P87" s="7">
        <v>5440</v>
      </c>
      <c r="Q87" s="2"/>
      <c r="R87" s="6">
        <f t="shared" si="80"/>
        <v>0</v>
      </c>
      <c r="S87" s="2"/>
      <c r="T87" s="7"/>
      <c r="U87" s="2"/>
      <c r="V87" s="6">
        <f t="shared" si="81"/>
        <v>0</v>
      </c>
      <c r="W87" s="2"/>
      <c r="X87" s="7">
        <f t="shared" si="82"/>
        <v>5440</v>
      </c>
      <c r="Y87" s="2"/>
      <c r="Z87" s="6">
        <f t="shared" si="83"/>
        <v>0</v>
      </c>
    </row>
    <row r="88" spans="1:26" s="24" customFormat="1" hidden="1" outlineLevel="2" x14ac:dyDescent="0.25">
      <c r="A88" s="26"/>
      <c r="B88" s="11" t="str">
        <f>CONCATENATE("          ", "6241", " - ", "OFFICE EXPENSE")</f>
        <v xml:space="preserve">          6241 - OFFICE EXPENSE</v>
      </c>
      <c r="C88" s="11"/>
      <c r="D88" s="7">
        <v>397.07</v>
      </c>
      <c r="E88" s="2"/>
      <c r="F88" s="6">
        <f t="shared" si="76"/>
        <v>0</v>
      </c>
      <c r="G88" s="2"/>
      <c r="H88" s="7">
        <v>2685</v>
      </c>
      <c r="I88" s="2"/>
      <c r="J88" s="6">
        <f t="shared" si="77"/>
        <v>0</v>
      </c>
      <c r="K88" s="2"/>
      <c r="L88" s="7">
        <f t="shared" si="78"/>
        <v>-2287.9299999999998</v>
      </c>
      <c r="M88" s="2"/>
      <c r="N88" s="6">
        <f t="shared" si="79"/>
        <v>-0.85211545623836116</v>
      </c>
      <c r="O88" s="11"/>
      <c r="P88" s="7">
        <v>50891.939999999995</v>
      </c>
      <c r="Q88" s="2"/>
      <c r="R88" s="6">
        <f t="shared" si="80"/>
        <v>0</v>
      </c>
      <c r="S88" s="2"/>
      <c r="T88" s="7">
        <v>31635</v>
      </c>
      <c r="U88" s="2"/>
      <c r="V88" s="6">
        <f t="shared" si="81"/>
        <v>158.17500000000001</v>
      </c>
      <c r="W88" s="2"/>
      <c r="X88" s="7">
        <f t="shared" si="82"/>
        <v>19256.939999999995</v>
      </c>
      <c r="Y88" s="2"/>
      <c r="Z88" s="6">
        <f t="shared" si="83"/>
        <v>0.60872261735419619</v>
      </c>
    </row>
    <row r="89" spans="1:26" s="24" customFormat="1" hidden="1" outlineLevel="2" x14ac:dyDescent="0.25">
      <c r="A89" s="26"/>
      <c r="B89" s="11" t="str">
        <f>CONCATENATE("          ", "6244", " - ", "SAFETY SUPPLY EXPENSE")</f>
        <v xml:space="preserve">          6244 - SAFETY SUPPLY EXPENSE</v>
      </c>
      <c r="C89" s="11"/>
      <c r="D89" s="7"/>
      <c r="E89" s="2"/>
      <c r="F89" s="6">
        <f t="shared" si="76"/>
        <v>0</v>
      </c>
      <c r="G89" s="2"/>
      <c r="H89" s="7">
        <v>417</v>
      </c>
      <c r="I89" s="2"/>
      <c r="J89" s="6">
        <f t="shared" si="77"/>
        <v>0</v>
      </c>
      <c r="K89" s="2"/>
      <c r="L89" s="7">
        <f t="shared" si="78"/>
        <v>-417</v>
      </c>
      <c r="M89" s="2"/>
      <c r="N89" s="6">
        <f t="shared" si="79"/>
        <v>-1</v>
      </c>
      <c r="O89" s="11"/>
      <c r="P89" s="7">
        <v>2034.69</v>
      </c>
      <c r="Q89" s="2"/>
      <c r="R89" s="6">
        <f t="shared" si="80"/>
        <v>0</v>
      </c>
      <c r="S89" s="2"/>
      <c r="T89" s="7">
        <v>4587</v>
      </c>
      <c r="U89" s="2"/>
      <c r="V89" s="6">
        <f t="shared" si="81"/>
        <v>22.934999999999999</v>
      </c>
      <c r="W89" s="2"/>
      <c r="X89" s="7">
        <f t="shared" si="82"/>
        <v>-2552.31</v>
      </c>
      <c r="Y89" s="2"/>
      <c r="Z89" s="6">
        <f t="shared" si="83"/>
        <v>-0.5564224983649444</v>
      </c>
    </row>
    <row r="90" spans="1:26" s="24" customFormat="1" hidden="1" outlineLevel="2" x14ac:dyDescent="0.25">
      <c r="A90" s="26"/>
      <c r="B90" s="11" t="str">
        <f>CONCATENATE("          ", "6245", " - ", "PRINTING")</f>
        <v xml:space="preserve">          6245 - PRINTING</v>
      </c>
      <c r="C90" s="11"/>
      <c r="D90" s="7"/>
      <c r="E90" s="2"/>
      <c r="F90" s="6">
        <f t="shared" si="76"/>
        <v>0</v>
      </c>
      <c r="G90" s="2"/>
      <c r="H90" s="7"/>
      <c r="I90" s="2"/>
      <c r="J90" s="6">
        <f t="shared" si="77"/>
        <v>0</v>
      </c>
      <c r="K90" s="2"/>
      <c r="L90" s="7">
        <f t="shared" si="78"/>
        <v>0</v>
      </c>
      <c r="M90" s="2"/>
      <c r="N90" s="6">
        <f t="shared" si="79"/>
        <v>0</v>
      </c>
      <c r="O90" s="11"/>
      <c r="P90" s="7">
        <v>3244.85</v>
      </c>
      <c r="Q90" s="2"/>
      <c r="R90" s="6">
        <f t="shared" si="80"/>
        <v>0</v>
      </c>
      <c r="S90" s="2"/>
      <c r="T90" s="7"/>
      <c r="U90" s="2"/>
      <c r="V90" s="6">
        <f t="shared" si="81"/>
        <v>0</v>
      </c>
      <c r="W90" s="2"/>
      <c r="X90" s="7">
        <f t="shared" si="82"/>
        <v>3244.85</v>
      </c>
      <c r="Y90" s="2"/>
      <c r="Z90" s="6">
        <f t="shared" si="83"/>
        <v>0</v>
      </c>
    </row>
    <row r="91" spans="1:26" s="24" customFormat="1" hidden="1" outlineLevel="2" x14ac:dyDescent="0.25">
      <c r="A91" s="26"/>
      <c r="B91" s="11" t="str">
        <f>CONCATENATE("          ", "6248", " - ", "UNIFORMS")</f>
        <v xml:space="preserve">          6248 - UNIFORMS</v>
      </c>
      <c r="C91" s="11"/>
      <c r="D91" s="7"/>
      <c r="E91" s="2"/>
      <c r="F91" s="6">
        <f t="shared" si="76"/>
        <v>0</v>
      </c>
      <c r="G91" s="2"/>
      <c r="H91" s="7"/>
      <c r="I91" s="2"/>
      <c r="J91" s="6">
        <f t="shared" si="77"/>
        <v>0</v>
      </c>
      <c r="K91" s="2"/>
      <c r="L91" s="7">
        <f t="shared" si="78"/>
        <v>0</v>
      </c>
      <c r="M91" s="2"/>
      <c r="N91" s="6">
        <f t="shared" si="79"/>
        <v>0</v>
      </c>
      <c r="O91" s="11"/>
      <c r="P91" s="7"/>
      <c r="Q91" s="2"/>
      <c r="R91" s="6">
        <f t="shared" si="80"/>
        <v>0</v>
      </c>
      <c r="S91" s="2"/>
      <c r="T91" s="7">
        <v>700</v>
      </c>
      <c r="U91" s="2"/>
      <c r="V91" s="6">
        <f t="shared" si="81"/>
        <v>3.5</v>
      </c>
      <c r="W91" s="2"/>
      <c r="X91" s="7">
        <f t="shared" si="82"/>
        <v>-700</v>
      </c>
      <c r="Y91" s="2"/>
      <c r="Z91" s="6">
        <f t="shared" si="83"/>
        <v>-1</v>
      </c>
    </row>
    <row r="92" spans="1:26" s="27" customFormat="1" outlineLevel="1" collapsed="1" x14ac:dyDescent="0.25">
      <c r="A92" s="25"/>
      <c r="B92" s="12" t="str">
        <f>CONCATENATE("     ","Telephone/Data Lines                              ")</f>
        <v xml:space="preserve">     Telephone/Data Lines                              </v>
      </c>
      <c r="C92" s="12"/>
      <c r="D92" s="1">
        <f>SUM(OSRRefD22_18x_0)</f>
        <v>1675.27</v>
      </c>
      <c r="E92" s="1"/>
      <c r="F92" s="5">
        <f t="shared" ref="F92:F94" si="84">IF(D$12=0,0,D92/D$12)</f>
        <v>0</v>
      </c>
      <c r="G92" s="1"/>
      <c r="H92" s="1">
        <f>SUM(OSRRefH22_18x_0)</f>
        <v>1630</v>
      </c>
      <c r="I92" s="1"/>
      <c r="J92" s="5">
        <f t="shared" ref="J92:J94" si="85">IF(H$12=0,0,H92/H$12)</f>
        <v>0</v>
      </c>
      <c r="K92" s="1"/>
      <c r="L92" s="1">
        <f t="shared" ref="L92:L94" si="86">+D92-H92</f>
        <v>45.269999999999982</v>
      </c>
      <c r="M92" s="1"/>
      <c r="N92" s="5">
        <f t="shared" ref="N92:N94" si="87">IF(H92=0,0,L92/H92)</f>
        <v>2.7773006134969313E-2</v>
      </c>
      <c r="O92" s="12"/>
      <c r="P92" s="1">
        <f>SUM(OSRRefP22_18x_0)</f>
        <v>26985.8</v>
      </c>
      <c r="Q92" s="1"/>
      <c r="R92" s="5">
        <f t="shared" ref="R92:R94" si="88">IF(P$12=0,0,P92/P$12)</f>
        <v>0</v>
      </c>
      <c r="S92" s="1"/>
      <c r="T92" s="1">
        <f>SUM(OSRRefT22_18x_0)</f>
        <v>18730</v>
      </c>
      <c r="U92" s="1"/>
      <c r="V92" s="5">
        <f t="shared" ref="V92:V94" si="89">IF(T$12=0,0,T92/T$12)</f>
        <v>93.65</v>
      </c>
      <c r="W92" s="1"/>
      <c r="X92" s="1">
        <f t="shared" ref="X92:X94" si="90">+P92-T92</f>
        <v>8255.7999999999993</v>
      </c>
      <c r="Y92" s="1"/>
      <c r="Z92" s="5">
        <f t="shared" ref="Z92:Z94" si="91">IF(T92=0,0,X92/T92)</f>
        <v>0.44077949813134004</v>
      </c>
    </row>
    <row r="93" spans="1:26" s="24" customFormat="1" hidden="1" outlineLevel="2" x14ac:dyDescent="0.25">
      <c r="A93" s="26"/>
      <c r="B93" s="11" t="str">
        <f>CONCATENATE("          ", "6303", " - ", "DATA PHONE LINES")</f>
        <v xml:space="preserve">          6303 - DATA PHONE LINES</v>
      </c>
      <c r="C93" s="11"/>
      <c r="D93" s="7">
        <v>78.989999999999995</v>
      </c>
      <c r="E93" s="2"/>
      <c r="F93" s="6">
        <f t="shared" si="84"/>
        <v>0</v>
      </c>
      <c r="G93" s="2"/>
      <c r="H93" s="7">
        <v>200</v>
      </c>
      <c r="I93" s="2"/>
      <c r="J93" s="6">
        <f t="shared" si="85"/>
        <v>0</v>
      </c>
      <c r="K93" s="2"/>
      <c r="L93" s="7">
        <f t="shared" si="86"/>
        <v>-121.01</v>
      </c>
      <c r="M93" s="2"/>
      <c r="N93" s="6">
        <f t="shared" si="87"/>
        <v>-0.60504999999999998</v>
      </c>
      <c r="O93" s="11"/>
      <c r="P93" s="7">
        <v>1680.98</v>
      </c>
      <c r="Q93" s="2"/>
      <c r="R93" s="6">
        <f t="shared" si="88"/>
        <v>0</v>
      </c>
      <c r="S93" s="2"/>
      <c r="T93" s="7">
        <v>2400</v>
      </c>
      <c r="U93" s="2"/>
      <c r="V93" s="6">
        <f t="shared" si="89"/>
        <v>12</v>
      </c>
      <c r="W93" s="2"/>
      <c r="X93" s="7">
        <f t="shared" si="90"/>
        <v>-719.02</v>
      </c>
      <c r="Y93" s="2"/>
      <c r="Z93" s="6">
        <f t="shared" si="91"/>
        <v>-0.29959166666666665</v>
      </c>
    </row>
    <row r="94" spans="1:26" s="24" customFormat="1" hidden="1" outlineLevel="2" x14ac:dyDescent="0.25">
      <c r="A94" s="26"/>
      <c r="B94" s="11" t="str">
        <f>CONCATENATE("          ", "6309", " - ", "TELEPHONE")</f>
        <v xml:space="preserve">          6309 - TELEPHONE</v>
      </c>
      <c r="C94" s="11"/>
      <c r="D94" s="7">
        <v>1596.28</v>
      </c>
      <c r="E94" s="2"/>
      <c r="F94" s="6">
        <f t="shared" si="84"/>
        <v>0</v>
      </c>
      <c r="G94" s="2"/>
      <c r="H94" s="7">
        <v>1430</v>
      </c>
      <c r="I94" s="2"/>
      <c r="J94" s="6">
        <f t="shared" si="85"/>
        <v>0</v>
      </c>
      <c r="K94" s="2"/>
      <c r="L94" s="7">
        <f t="shared" si="86"/>
        <v>166.27999999999997</v>
      </c>
      <c r="M94" s="2"/>
      <c r="N94" s="6">
        <f t="shared" si="87"/>
        <v>0.11627972027972026</v>
      </c>
      <c r="O94" s="11"/>
      <c r="P94" s="7">
        <v>25304.82</v>
      </c>
      <c r="Q94" s="2"/>
      <c r="R94" s="6">
        <f t="shared" si="88"/>
        <v>0</v>
      </c>
      <c r="S94" s="2"/>
      <c r="T94" s="7">
        <v>16330</v>
      </c>
      <c r="U94" s="2"/>
      <c r="V94" s="6">
        <f t="shared" si="89"/>
        <v>81.650000000000006</v>
      </c>
      <c r="W94" s="2"/>
      <c r="X94" s="7">
        <f t="shared" si="90"/>
        <v>8974.82</v>
      </c>
      <c r="Y94" s="2"/>
      <c r="Z94" s="6">
        <f t="shared" si="91"/>
        <v>0.54959093692590322</v>
      </c>
    </row>
    <row r="95" spans="1:26" s="27" customFormat="1" outlineLevel="1" collapsed="1" x14ac:dyDescent="0.25">
      <c r="A95" s="25"/>
      <c r="B95" s="12" t="str">
        <f>CONCATENATE("     ","Training                                          ")</f>
        <v xml:space="preserve">     Training                                          </v>
      </c>
      <c r="C95" s="12"/>
      <c r="D95" s="1">
        <f>SUM(OSRRefD22_19x_0)</f>
        <v>-97</v>
      </c>
      <c r="E95" s="1"/>
      <c r="F95" s="5">
        <f t="shared" ref="F95:F99" si="92">IF(D$12=0,0,D95/D$12)</f>
        <v>0</v>
      </c>
      <c r="G95" s="1"/>
      <c r="H95" s="1">
        <f>SUM(OSRRefH22_19x_0)</f>
        <v>1783</v>
      </c>
      <c r="I95" s="1"/>
      <c r="J95" s="5">
        <f t="shared" ref="J95:J99" si="93">IF(H$12=0,0,H95/H$12)</f>
        <v>0</v>
      </c>
      <c r="K95" s="1"/>
      <c r="L95" s="1">
        <f t="shared" ref="L95:L99" si="94">+D95-H95</f>
        <v>-1880</v>
      </c>
      <c r="M95" s="1"/>
      <c r="N95" s="5">
        <f t="shared" ref="N95:N99" si="95">IF(H95=0,0,L95/H95)</f>
        <v>-1.0544026920919798</v>
      </c>
      <c r="O95" s="12"/>
      <c r="P95" s="1">
        <f>SUM(OSRRefP22_19x_0)</f>
        <v>21993.54</v>
      </c>
      <c r="Q95" s="1"/>
      <c r="R95" s="5">
        <f t="shared" ref="R95:R99" si="96">IF(P$12=0,0,P95/P$12)</f>
        <v>0</v>
      </c>
      <c r="S95" s="1"/>
      <c r="T95" s="1">
        <f>SUM(OSRRefT22_19x_0)</f>
        <v>33313</v>
      </c>
      <c r="U95" s="1"/>
      <c r="V95" s="5">
        <f t="shared" ref="V95:V99" si="97">IF(T$12=0,0,T95/T$12)</f>
        <v>166.565</v>
      </c>
      <c r="W95" s="1"/>
      <c r="X95" s="1">
        <f t="shared" ref="X95:X99" si="98">+P95-T95</f>
        <v>-11319.46</v>
      </c>
      <c r="Y95" s="1"/>
      <c r="Z95" s="5">
        <f t="shared" ref="Z95:Z99" si="99">IF(T95=0,0,X95/T95)</f>
        <v>-0.33979107255425806</v>
      </c>
    </row>
    <row r="96" spans="1:26" s="24" customFormat="1" hidden="1" outlineLevel="2" x14ac:dyDescent="0.25">
      <c r="A96" s="26"/>
      <c r="B96" s="11" t="str">
        <f>CONCATENATE("          ", "6376", " - ", "TRAINING")</f>
        <v xml:space="preserve">          6376 - TRAINING</v>
      </c>
      <c r="C96" s="11"/>
      <c r="D96" s="7">
        <v>-97</v>
      </c>
      <c r="E96" s="2"/>
      <c r="F96" s="6">
        <f t="shared" si="92"/>
        <v>0</v>
      </c>
      <c r="G96" s="2"/>
      <c r="H96" s="7">
        <v>1783</v>
      </c>
      <c r="I96" s="2"/>
      <c r="J96" s="6">
        <f t="shared" si="93"/>
        <v>0</v>
      </c>
      <c r="K96" s="2"/>
      <c r="L96" s="7">
        <f t="shared" si="94"/>
        <v>-1880</v>
      </c>
      <c r="M96" s="2"/>
      <c r="N96" s="6">
        <f t="shared" si="95"/>
        <v>-1.0544026920919798</v>
      </c>
      <c r="O96" s="11"/>
      <c r="P96" s="7">
        <v>21993.54</v>
      </c>
      <c r="Q96" s="2"/>
      <c r="R96" s="6">
        <f t="shared" si="96"/>
        <v>0</v>
      </c>
      <c r="S96" s="2"/>
      <c r="T96" s="7">
        <v>33313</v>
      </c>
      <c r="U96" s="2"/>
      <c r="V96" s="6">
        <f t="shared" si="97"/>
        <v>166.565</v>
      </c>
      <c r="W96" s="2"/>
      <c r="X96" s="7">
        <f t="shared" si="98"/>
        <v>-11319.46</v>
      </c>
      <c r="Y96" s="2"/>
      <c r="Z96" s="6">
        <f t="shared" si="99"/>
        <v>-0.33979107255425806</v>
      </c>
    </row>
    <row r="97" spans="1:26" s="27" customFormat="1" outlineLevel="1" collapsed="1" x14ac:dyDescent="0.25">
      <c r="A97" s="25"/>
      <c r="B97" s="12" t="str">
        <f>CONCATENATE("     ","Travel                                            ")</f>
        <v xml:space="preserve">     Travel                                            </v>
      </c>
      <c r="C97" s="12"/>
      <c r="D97" s="1">
        <f>SUM(OSRRefD22_20x_0)</f>
        <v>0</v>
      </c>
      <c r="E97" s="1"/>
      <c r="F97" s="5">
        <f t="shared" si="92"/>
        <v>0</v>
      </c>
      <c r="G97" s="1"/>
      <c r="H97" s="1">
        <f>SUM(OSRRefH22_20x_0)</f>
        <v>1500</v>
      </c>
      <c r="I97" s="1"/>
      <c r="J97" s="5">
        <f t="shared" si="93"/>
        <v>0</v>
      </c>
      <c r="K97" s="1"/>
      <c r="L97" s="1">
        <f t="shared" si="94"/>
        <v>-1500</v>
      </c>
      <c r="M97" s="1"/>
      <c r="N97" s="5">
        <f t="shared" si="95"/>
        <v>-1</v>
      </c>
      <c r="O97" s="12"/>
      <c r="P97" s="1">
        <f>SUM(OSRRefP22_20x_0)</f>
        <v>12860.449999999999</v>
      </c>
      <c r="Q97" s="1"/>
      <c r="R97" s="5">
        <f t="shared" si="96"/>
        <v>0</v>
      </c>
      <c r="S97" s="1"/>
      <c r="T97" s="1">
        <f>SUM(OSRRefT22_20x_0)</f>
        <v>37629</v>
      </c>
      <c r="U97" s="1"/>
      <c r="V97" s="5">
        <f t="shared" si="97"/>
        <v>188.14500000000001</v>
      </c>
      <c r="W97" s="1"/>
      <c r="X97" s="1">
        <f t="shared" si="98"/>
        <v>-24768.550000000003</v>
      </c>
      <c r="Y97" s="1"/>
      <c r="Z97" s="5">
        <f t="shared" si="99"/>
        <v>-0.65823035424805343</v>
      </c>
    </row>
    <row r="98" spans="1:26" s="24" customFormat="1" hidden="1" outlineLevel="2" x14ac:dyDescent="0.25">
      <c r="A98" s="26"/>
      <c r="B98" s="11" t="str">
        <f>CONCATENATE("          ", "6292", " - ", "TRAVEL/CONFERENCE")</f>
        <v xml:space="preserve">          6292 - TRAVEL/CONFERENCE</v>
      </c>
      <c r="C98" s="11"/>
      <c r="D98" s="7"/>
      <c r="E98" s="2"/>
      <c r="F98" s="6">
        <f t="shared" si="92"/>
        <v>0</v>
      </c>
      <c r="G98" s="2"/>
      <c r="H98" s="7">
        <v>1500</v>
      </c>
      <c r="I98" s="2"/>
      <c r="J98" s="6">
        <f t="shared" si="93"/>
        <v>0</v>
      </c>
      <c r="K98" s="2"/>
      <c r="L98" s="7">
        <f t="shared" si="94"/>
        <v>-1500</v>
      </c>
      <c r="M98" s="2"/>
      <c r="N98" s="6">
        <f t="shared" si="95"/>
        <v>-1</v>
      </c>
      <c r="O98" s="11"/>
      <c r="P98" s="7">
        <v>12836.55</v>
      </c>
      <c r="Q98" s="2"/>
      <c r="R98" s="6">
        <f t="shared" si="96"/>
        <v>0</v>
      </c>
      <c r="S98" s="2"/>
      <c r="T98" s="7">
        <v>36379</v>
      </c>
      <c r="U98" s="2"/>
      <c r="V98" s="6">
        <f t="shared" si="97"/>
        <v>181.89500000000001</v>
      </c>
      <c r="W98" s="2"/>
      <c r="X98" s="7">
        <f t="shared" si="98"/>
        <v>-23542.45</v>
      </c>
      <c r="Y98" s="2"/>
      <c r="Z98" s="6">
        <f t="shared" si="99"/>
        <v>-0.64714395667830349</v>
      </c>
    </row>
    <row r="99" spans="1:26" s="24" customFormat="1" hidden="1" outlineLevel="2" x14ac:dyDescent="0.25">
      <c r="A99" s="26"/>
      <c r="B99" s="11" t="str">
        <f>CONCATENATE("          ", "6294", " - ", "TRAVEL OPERATIONAL")</f>
        <v xml:space="preserve">          6294 - TRAVEL OPERATIONAL</v>
      </c>
      <c r="C99" s="11"/>
      <c r="D99" s="7"/>
      <c r="E99" s="2"/>
      <c r="F99" s="6">
        <f t="shared" si="92"/>
        <v>0</v>
      </c>
      <c r="G99" s="2"/>
      <c r="H99" s="7"/>
      <c r="I99" s="2"/>
      <c r="J99" s="6">
        <f t="shared" si="93"/>
        <v>0</v>
      </c>
      <c r="K99" s="2"/>
      <c r="L99" s="7">
        <f t="shared" si="94"/>
        <v>0</v>
      </c>
      <c r="M99" s="2"/>
      <c r="N99" s="6">
        <f t="shared" si="95"/>
        <v>0</v>
      </c>
      <c r="O99" s="11"/>
      <c r="P99" s="7">
        <v>23.9</v>
      </c>
      <c r="Q99" s="2"/>
      <c r="R99" s="6">
        <f t="shared" si="96"/>
        <v>0</v>
      </c>
      <c r="S99" s="2"/>
      <c r="T99" s="7">
        <v>1250</v>
      </c>
      <c r="U99" s="2"/>
      <c r="V99" s="6">
        <f t="shared" si="97"/>
        <v>6.25</v>
      </c>
      <c r="W99" s="2"/>
      <c r="X99" s="7">
        <f t="shared" si="98"/>
        <v>-1226.0999999999999</v>
      </c>
      <c r="Y99" s="2"/>
      <c r="Z99" s="6">
        <f t="shared" si="99"/>
        <v>-0.98087999999999997</v>
      </c>
    </row>
    <row r="100" spans="1:26" s="62" customFormat="1" x14ac:dyDescent="0.25">
      <c r="A100" s="36"/>
      <c r="B100" s="36"/>
      <c r="C100" s="36"/>
      <c r="D100" s="1"/>
      <c r="E100" s="1"/>
      <c r="F100" s="5"/>
      <c r="G100" s="1"/>
      <c r="H100" s="1"/>
      <c r="I100" s="1"/>
      <c r="J100" s="5"/>
      <c r="K100" s="1"/>
      <c r="L100" s="1"/>
      <c r="M100" s="1"/>
      <c r="N100" s="5"/>
      <c r="O100" s="36"/>
      <c r="P100" s="1"/>
      <c r="Q100" s="1"/>
      <c r="R100" s="5"/>
      <c r="S100" s="1"/>
      <c r="T100" s="1"/>
      <c r="U100" s="1"/>
      <c r="V100" s="5"/>
      <c r="W100" s="1"/>
      <c r="X100" s="1"/>
      <c r="Y100" s="1"/>
      <c r="Z100" s="5"/>
    </row>
    <row r="101" spans="1:26" s="23" customFormat="1" x14ac:dyDescent="0.25">
      <c r="A101" s="10"/>
      <c r="B101" s="28" t="s">
        <v>0</v>
      </c>
      <c r="C101" s="10"/>
      <c r="D101" s="4">
        <f>SUM(0)</f>
        <v>0</v>
      </c>
      <c r="E101" s="4"/>
      <c r="F101" s="13">
        <f>IF(D$12=0,0,D101/D$12)</f>
        <v>0</v>
      </c>
      <c r="G101" s="4"/>
      <c r="H101" s="4">
        <f>SUM(0)</f>
        <v>0</v>
      </c>
      <c r="I101" s="4"/>
      <c r="J101" s="13">
        <f>IF(H$12=0,0,H101/H$12)</f>
        <v>0</v>
      </c>
      <c r="K101" s="4"/>
      <c r="L101" s="4">
        <f>+D101-H101</f>
        <v>0</v>
      </c>
      <c r="M101" s="4"/>
      <c r="N101" s="13">
        <f>IF(H101=0,0,L101/H101)</f>
        <v>0</v>
      </c>
      <c r="O101" s="10"/>
      <c r="P101" s="4">
        <f>SUM(0)</f>
        <v>0</v>
      </c>
      <c r="Q101" s="4"/>
      <c r="R101" s="13">
        <f>IF(P$12=0,0,P101/P$12)</f>
        <v>0</v>
      </c>
      <c r="S101" s="4"/>
      <c r="T101" s="4">
        <f>SUM(0)</f>
        <v>0</v>
      </c>
      <c r="U101" s="4"/>
      <c r="V101" s="13">
        <f>IF(T$12=0,0,T101/T$12)</f>
        <v>0</v>
      </c>
      <c r="W101" s="4"/>
      <c r="X101" s="4">
        <f>+P101-T101</f>
        <v>0</v>
      </c>
      <c r="Y101" s="4"/>
      <c r="Z101" s="13">
        <f>IF(T101=0,0,X101/T101)</f>
        <v>0</v>
      </c>
    </row>
    <row r="102" spans="1:26" x14ac:dyDescent="0.25">
      <c r="A102" s="9"/>
      <c r="B102" s="10"/>
      <c r="C102" s="10"/>
      <c r="D102" s="3"/>
      <c r="E102" s="3"/>
      <c r="F102" s="8"/>
      <c r="G102" s="3"/>
      <c r="H102" s="3"/>
      <c r="I102" s="3"/>
      <c r="J102" s="8"/>
      <c r="K102" s="3"/>
      <c r="L102" s="3"/>
      <c r="M102" s="3"/>
      <c r="N102" s="8"/>
      <c r="O102" s="10"/>
      <c r="P102" s="3"/>
      <c r="Q102" s="3"/>
      <c r="R102" s="8"/>
      <c r="S102" s="3"/>
      <c r="T102" s="3"/>
      <c r="U102" s="3"/>
      <c r="V102" s="8"/>
      <c r="W102" s="3"/>
      <c r="X102" s="3"/>
      <c r="Y102" s="3"/>
      <c r="Z102" s="8"/>
    </row>
    <row r="103" spans="1:26" s="23" customFormat="1" x14ac:dyDescent="0.25">
      <c r="A103" s="10"/>
      <c r="B103" s="29" t="s">
        <v>3</v>
      </c>
      <c r="C103" s="29"/>
      <c r="D103" s="20">
        <f>+D17-D19+D101</f>
        <v>-194155.12000000008</v>
      </c>
      <c r="E103" s="14"/>
      <c r="F103" s="22">
        <f>IF(D$12=0,0,D103/D$12)</f>
        <v>0</v>
      </c>
      <c r="G103" s="14"/>
      <c r="H103" s="20">
        <f>+H17-H19+H101</f>
        <v>-298205.70873287431</v>
      </c>
      <c r="I103" s="14"/>
      <c r="J103" s="22">
        <f>IF(H$12=0,0,H103/H$12)</f>
        <v>0</v>
      </c>
      <c r="K103" s="16"/>
      <c r="L103" s="20">
        <f>+D103-H103</f>
        <v>104050.58873287422</v>
      </c>
      <c r="M103" s="16"/>
      <c r="N103" s="22">
        <f>IF(H103=0,0,L103/H103)</f>
        <v>-0.34892218923307167</v>
      </c>
      <c r="O103" s="28"/>
      <c r="P103" s="20">
        <f>+P17-P19+P101</f>
        <v>-3321539.6799999992</v>
      </c>
      <c r="Q103" s="14"/>
      <c r="R103" s="22">
        <f>IF(P$12=0,0,P103/P$12)</f>
        <v>0</v>
      </c>
      <c r="S103" s="14"/>
      <c r="T103" s="20">
        <f>+T17-T19+T101</f>
        <v>-4182863.3898273148</v>
      </c>
      <c r="U103" s="14"/>
      <c r="V103" s="22">
        <f>IF(T$12=0,0,T103/T$12)</f>
        <v>-20914.316949136573</v>
      </c>
      <c r="W103" s="16"/>
      <c r="X103" s="20">
        <f>+P103-T103</f>
        <v>861323.70982731553</v>
      </c>
      <c r="Y103" s="16"/>
      <c r="Z103" s="22">
        <f>IF(T103=0,0,X103/T103)</f>
        <v>-0.20591724604777839</v>
      </c>
    </row>
    <row r="104" spans="1:26" x14ac:dyDescent="0.25">
      <c r="A104" s="9"/>
      <c r="B104" s="10"/>
      <c r="C104" s="9"/>
      <c r="D104" s="3"/>
      <c r="E104" s="3"/>
      <c r="F104" s="8"/>
      <c r="G104" s="3"/>
      <c r="H104" s="3"/>
      <c r="I104" s="3"/>
      <c r="J104" s="8"/>
      <c r="K104" s="3"/>
      <c r="L104" s="3"/>
      <c r="M104" s="3"/>
      <c r="N104" s="8"/>
      <c r="P104" s="3"/>
      <c r="Q104" s="3"/>
      <c r="R104" s="8"/>
      <c r="S104" s="3"/>
      <c r="T104" s="3"/>
      <c r="U104" s="3"/>
      <c r="V104" s="8"/>
      <c r="W104" s="3"/>
      <c r="X104" s="3"/>
      <c r="Y104" s="3"/>
      <c r="Z104" s="8"/>
    </row>
    <row r="105" spans="1:26" s="23" customFormat="1" x14ac:dyDescent="0.25">
      <c r="A105" s="52"/>
      <c r="B105" s="10" t="s">
        <v>14</v>
      </c>
      <c r="C105" s="10"/>
      <c r="D105" s="4"/>
      <c r="E105" s="4"/>
      <c r="F105" s="13">
        <f>IF(D$12=0,0,D105/D$12)</f>
        <v>0</v>
      </c>
      <c r="G105" s="4"/>
      <c r="H105" s="4"/>
      <c r="I105" s="4"/>
      <c r="J105" s="13">
        <f>IF(H$12=0,0,H105/H$12)</f>
        <v>0</v>
      </c>
      <c r="K105" s="4"/>
      <c r="L105" s="4">
        <f>+D105-H105</f>
        <v>0</v>
      </c>
      <c r="M105" s="4"/>
      <c r="N105" s="13">
        <f>IF(H105=0,0,L105/H105)</f>
        <v>0</v>
      </c>
      <c r="O105" s="10"/>
      <c r="P105" s="4"/>
      <c r="Q105" s="4"/>
      <c r="R105" s="13">
        <f>IF(P$12=0,0,P105/P$12)</f>
        <v>0</v>
      </c>
      <c r="S105" s="4"/>
      <c r="T105" s="4"/>
      <c r="U105" s="4"/>
      <c r="V105" s="13">
        <f>IF(T$12=0,0,T105/T$12)</f>
        <v>0</v>
      </c>
      <c r="W105" s="4"/>
      <c r="X105" s="4">
        <f>+P105-T105</f>
        <v>0</v>
      </c>
      <c r="Y105" s="4"/>
      <c r="Z105" s="13">
        <f>IF(T105=0,0,X105/T105)</f>
        <v>0</v>
      </c>
    </row>
    <row r="106" spans="1:26" x14ac:dyDescent="0.25">
      <c r="A106" s="9"/>
      <c r="B106" s="10"/>
      <c r="C106" s="10"/>
      <c r="D106" s="3"/>
      <c r="E106" s="3"/>
      <c r="F106" s="8"/>
      <c r="G106" s="3"/>
      <c r="H106" s="3"/>
      <c r="I106" s="3"/>
      <c r="J106" s="8"/>
      <c r="K106" s="3"/>
      <c r="L106" s="3"/>
      <c r="M106" s="3"/>
      <c r="N106" s="8"/>
      <c r="O106" s="10"/>
      <c r="P106" s="3"/>
      <c r="Q106" s="3"/>
      <c r="R106" s="8"/>
      <c r="S106" s="3"/>
      <c r="T106" s="3"/>
      <c r="U106" s="3"/>
      <c r="V106" s="8"/>
      <c r="W106" s="3"/>
      <c r="X106" s="3"/>
      <c r="Y106" s="3"/>
      <c r="Z106" s="8"/>
    </row>
    <row r="107" spans="1:26" s="23" customFormat="1" ht="15.75" thickBot="1" x14ac:dyDescent="0.3">
      <c r="A107" s="10"/>
      <c r="B107" s="29" t="s">
        <v>4</v>
      </c>
      <c r="C107" s="29"/>
      <c r="D107" s="35">
        <f>+D103-D105</f>
        <v>-194155.12000000008</v>
      </c>
      <c r="E107" s="14"/>
      <c r="F107" s="32">
        <f>IF(D$12=0,0,D107/D$12)</f>
        <v>0</v>
      </c>
      <c r="G107" s="14"/>
      <c r="H107" s="35">
        <f>+H103-H105</f>
        <v>-298205.70873287431</v>
      </c>
      <c r="I107" s="14"/>
      <c r="J107" s="32">
        <f>IF(H$12=0,0,H107/H$12)</f>
        <v>0</v>
      </c>
      <c r="K107" s="16"/>
      <c r="L107" s="35">
        <f>D107-H107</f>
        <v>104050.58873287422</v>
      </c>
      <c r="M107" s="16"/>
      <c r="N107" s="32">
        <f>IF(H107=0,0,L107/H107)</f>
        <v>-0.34892218923307167</v>
      </c>
      <c r="O107" s="28"/>
      <c r="P107" s="35">
        <f>+P103-P105</f>
        <v>-3321539.6799999992</v>
      </c>
      <c r="Q107" s="14"/>
      <c r="R107" s="32">
        <f>IF(P$12=0,0,P107/P$12)</f>
        <v>0</v>
      </c>
      <c r="S107" s="14"/>
      <c r="T107" s="35">
        <f>+T103-T105</f>
        <v>-4182863.3898273148</v>
      </c>
      <c r="U107" s="14"/>
      <c r="V107" s="32">
        <f>IF(T$12=0,0,T107/T$12)</f>
        <v>-20914.316949136573</v>
      </c>
      <c r="W107" s="16"/>
      <c r="X107" s="35">
        <f>P107-T107</f>
        <v>861323.70982731553</v>
      </c>
      <c r="Y107" s="16"/>
      <c r="Z107" s="32">
        <f>IF(T107=0,0,X107/T107)</f>
        <v>-0.20591724604777839</v>
      </c>
    </row>
    <row r="108" spans="1:26" ht="15.75" thickTop="1" x14ac:dyDescent="0.25">
      <c r="A108" s="9"/>
      <c r="B108" s="9"/>
      <c r="C108" s="9"/>
      <c r="D108" s="3"/>
      <c r="E108" s="3"/>
      <c r="F108" s="8"/>
      <c r="G108" s="3"/>
      <c r="H108" s="3"/>
      <c r="I108" s="3"/>
      <c r="J108" s="8"/>
      <c r="K108" s="3"/>
      <c r="L108" s="3"/>
      <c r="M108" s="3"/>
      <c r="N108" s="8"/>
      <c r="P108" s="3"/>
      <c r="Q108" s="3"/>
      <c r="R108" s="8"/>
      <c r="S108" s="3"/>
      <c r="T108" s="3"/>
      <c r="U108" s="3"/>
      <c r="V108" s="8"/>
      <c r="W108" s="3"/>
      <c r="X108" s="3"/>
      <c r="Y108" s="3"/>
      <c r="Z108" s="8"/>
    </row>
    <row r="109" spans="1:26" x14ac:dyDescent="0.25">
      <c r="A109" s="9"/>
      <c r="B109" s="9"/>
      <c r="C109" s="9"/>
      <c r="D109" s="3"/>
      <c r="E109" s="3"/>
      <c r="F109" s="8"/>
      <c r="G109" s="3"/>
      <c r="H109" s="3"/>
      <c r="I109" s="3"/>
      <c r="J109" s="8"/>
      <c r="K109" s="3"/>
      <c r="L109" s="3"/>
      <c r="M109" s="3"/>
      <c r="N109" s="8"/>
      <c r="P109" s="3"/>
      <c r="Q109" s="3"/>
      <c r="R109" s="8"/>
      <c r="S109" s="3"/>
      <c r="T109" s="3"/>
      <c r="U109" s="3"/>
      <c r="V109" s="8"/>
      <c r="W109" s="3"/>
      <c r="X109" s="3"/>
      <c r="Y109" s="3"/>
      <c r="Z109" s="8"/>
    </row>
    <row r="110" spans="1:26" s="23" customFormat="1" ht="15.75" thickBot="1" x14ac:dyDescent="0.3">
      <c r="A110" s="10"/>
      <c r="B110" s="29" t="s">
        <v>5</v>
      </c>
      <c r="C110" s="29"/>
      <c r="D110" s="34">
        <f>SUM(D107:D109)</f>
        <v>-194155.12000000008</v>
      </c>
      <c r="E110" s="14"/>
      <c r="F110" s="31">
        <f>IF(D$12=0,0,D110/D$12)</f>
        <v>0</v>
      </c>
      <c r="G110" s="14"/>
      <c r="H110" s="34">
        <f>SUM(H107:H109)</f>
        <v>-298205.70873287431</v>
      </c>
      <c r="I110" s="14"/>
      <c r="J110" s="31">
        <f>IF(H$12=0,0,H110/H$12)</f>
        <v>0</v>
      </c>
      <c r="K110" s="16"/>
      <c r="L110" s="34">
        <f>+D110-H110</f>
        <v>104050.58873287422</v>
      </c>
      <c r="M110" s="16"/>
      <c r="N110" s="31">
        <f>IF(H110=0,0,L110/H110)</f>
        <v>-0.34892218923307167</v>
      </c>
      <c r="O110" s="28"/>
      <c r="P110" s="34">
        <f>SUM(P107:P109)</f>
        <v>-3321539.6799999992</v>
      </c>
      <c r="Q110" s="14"/>
      <c r="R110" s="31">
        <f>IF(P$12=0,0,P110/P$12)</f>
        <v>0</v>
      </c>
      <c r="S110" s="14"/>
      <c r="T110" s="34">
        <f>SUM(T107:T109)</f>
        <v>-4182863.3898273148</v>
      </c>
      <c r="U110" s="14"/>
      <c r="V110" s="31">
        <f>IF(T$12=0,0,T110/T$12)</f>
        <v>-20914.316949136573</v>
      </c>
      <c r="W110" s="16"/>
      <c r="X110" s="34">
        <f>+P110-T110</f>
        <v>861323.70982731553</v>
      </c>
      <c r="Y110" s="16"/>
      <c r="Z110" s="31">
        <f>IF(T110=0,0,X110/T110)</f>
        <v>-0.20591724604777839</v>
      </c>
    </row>
    <row r="111" spans="1:26" ht="15.75" thickTop="1" x14ac:dyDescent="0.25">
      <c r="A111" s="9"/>
      <c r="C111" s="9"/>
      <c r="D111" s="18"/>
      <c r="E111" s="18"/>
      <c r="G111" s="18"/>
      <c r="H111" s="18"/>
      <c r="I111" s="18"/>
      <c r="J111" s="42"/>
      <c r="K111" s="18"/>
      <c r="L111" s="18"/>
      <c r="M111" s="18"/>
      <c r="P111" s="18"/>
      <c r="Q111" s="18"/>
      <c r="R111" s="42"/>
      <c r="S111" s="18"/>
      <c r="T111" s="18"/>
      <c r="U111" s="18"/>
      <c r="V111" s="42"/>
      <c r="W111" s="18"/>
      <c r="X111" s="18"/>
    </row>
    <row r="112" spans="1:26" x14ac:dyDescent="0.25">
      <c r="A112" s="9"/>
      <c r="B112" s="59">
        <v>43992.370953240737</v>
      </c>
      <c r="D112" s="18"/>
      <c r="E112" s="18"/>
      <c r="G112" s="18"/>
      <c r="H112" s="18"/>
      <c r="I112" s="18"/>
      <c r="J112" s="42"/>
      <c r="K112" s="18"/>
      <c r="L112" s="18"/>
      <c r="M112" s="18"/>
      <c r="P112" s="18"/>
      <c r="Q112" s="18"/>
      <c r="R112" s="42"/>
      <c r="S112" s="18"/>
      <c r="T112" s="18"/>
      <c r="U112" s="18"/>
      <c r="V112" s="42"/>
      <c r="W112" s="18"/>
      <c r="X112" s="18"/>
    </row>
    <row r="113" spans="1:24" x14ac:dyDescent="0.25">
      <c r="A113" s="9"/>
      <c r="B113" s="56" t="s">
        <v>314</v>
      </c>
      <c r="D113" s="18"/>
      <c r="E113" s="18"/>
      <c r="G113" s="18"/>
      <c r="H113" s="18"/>
      <c r="I113" s="18"/>
      <c r="J113" s="42"/>
      <c r="K113" s="18"/>
      <c r="L113" s="18"/>
      <c r="M113" s="18"/>
      <c r="P113" s="18"/>
      <c r="Q113" s="18"/>
      <c r="R113" s="42"/>
      <c r="S113" s="18"/>
      <c r="T113" s="18"/>
      <c r="U113" s="18"/>
      <c r="V113" s="42"/>
      <c r="W113" s="18"/>
      <c r="X113" s="18"/>
    </row>
    <row r="114" spans="1:24" x14ac:dyDescent="0.25">
      <c r="A114" s="9"/>
      <c r="B114" s="54"/>
      <c r="D114" s="18"/>
      <c r="E114" s="18"/>
      <c r="G114" s="18"/>
      <c r="H114" s="18"/>
      <c r="I114" s="18"/>
      <c r="J114" s="42"/>
      <c r="K114" s="18"/>
      <c r="L114" s="18"/>
      <c r="M114" s="18"/>
      <c r="P114" s="18"/>
      <c r="Q114" s="18"/>
      <c r="R114" s="42"/>
      <c r="S114" s="18"/>
      <c r="T114" s="18"/>
      <c r="U114" s="18"/>
      <c r="V114" s="42"/>
      <c r="W114" s="18"/>
      <c r="X114" s="18"/>
    </row>
    <row r="115" spans="1:24" x14ac:dyDescent="0.25">
      <c r="D115" s="18"/>
      <c r="E115" s="18"/>
      <c r="G115" s="18"/>
      <c r="H115" s="18"/>
      <c r="I115" s="18"/>
      <c r="J115" s="42"/>
      <c r="K115" s="18"/>
      <c r="L115" s="18"/>
      <c r="M115" s="18"/>
      <c r="P115" s="18"/>
      <c r="Q115" s="18"/>
      <c r="R115" s="42"/>
      <c r="S115" s="18"/>
      <c r="T115" s="18"/>
      <c r="U115" s="18"/>
      <c r="V115" s="42"/>
      <c r="W115" s="18"/>
      <c r="X115" s="18"/>
    </row>
  </sheetData>
  <pageMargins left="0.25" right="0.25" top="0.75" bottom="0.75" header="0.3" footer="0.3"/>
  <pageSetup scale="55" fitToWidth="2" orientation="landscape"/>
  <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5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63" t="s">
        <v>13</v>
      </c>
    </row>
    <row r="3" spans="1:26" x14ac:dyDescent="0.25">
      <c r="D3" s="63" t="s">
        <v>296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61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63" t="str">
        <f>CONCATENATE("Period ",RIGHT(202011,2),", ",2020)</f>
        <v>Period 11, 2020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61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4">
        <v>43981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61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51"/>
      <c r="C6" s="51"/>
      <c r="D6" s="23" t="str">
        <f>CONCATENATE("Department ","200", " - ", "Corporate Expense")</f>
        <v>Department 200 - Corporate Expense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57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5" t="s">
        <v>294</v>
      </c>
      <c r="E9" s="15"/>
      <c r="F9" s="38"/>
      <c r="G9" s="15"/>
      <c r="H9" s="15"/>
      <c r="I9" s="15"/>
      <c r="J9" s="46"/>
      <c r="K9" s="15"/>
      <c r="L9" s="15"/>
      <c r="M9" s="15"/>
      <c r="N9" s="38"/>
      <c r="P9" s="15" t="s">
        <v>295</v>
      </c>
      <c r="Q9" s="15"/>
      <c r="R9" s="38"/>
      <c r="S9" s="15"/>
      <c r="T9" s="15"/>
      <c r="U9" s="15"/>
      <c r="V9" s="46"/>
      <c r="W9" s="15"/>
      <c r="X9" s="15"/>
      <c r="Y9" s="15"/>
      <c r="Z9" s="38"/>
    </row>
    <row r="10" spans="1:26" x14ac:dyDescent="0.25">
      <c r="A10" s="10"/>
      <c r="B10" s="55"/>
      <c r="C10" s="10"/>
      <c r="D10" s="43" t="s">
        <v>10</v>
      </c>
      <c r="E10" s="33"/>
      <c r="F10" s="40" t="s">
        <v>15</v>
      </c>
      <c r="G10" s="33"/>
      <c r="H10" s="47" t="s">
        <v>11</v>
      </c>
      <c r="I10" s="33"/>
      <c r="J10" s="45" t="s">
        <v>16</v>
      </c>
      <c r="K10" s="10"/>
      <c r="L10" s="43" t="s">
        <v>12</v>
      </c>
      <c r="M10" s="10"/>
      <c r="N10" s="40" t="s">
        <v>17</v>
      </c>
      <c r="O10" s="10"/>
      <c r="P10" s="53" t="s">
        <v>10</v>
      </c>
      <c r="Q10" s="33"/>
      <c r="R10" s="40" t="s">
        <v>15</v>
      </c>
      <c r="S10" s="33"/>
      <c r="T10" s="47" t="s">
        <v>11</v>
      </c>
      <c r="U10" s="33"/>
      <c r="V10" s="45" t="s">
        <v>16</v>
      </c>
      <c r="W10" s="10"/>
      <c r="X10" s="43" t="s">
        <v>12</v>
      </c>
      <c r="Y10" s="10"/>
      <c r="Z10" s="40" t="s">
        <v>17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x14ac:dyDescent="0.25">
      <c r="A12" s="10"/>
      <c r="B12" s="28" t="s">
        <v>7</v>
      </c>
      <c r="C12" s="10"/>
      <c r="D12" s="4">
        <f>SUM(0)</f>
        <v>0</v>
      </c>
      <c r="E12" s="4"/>
      <c r="F12" s="13"/>
      <c r="G12" s="4"/>
      <c r="H12" s="4">
        <f>SUM(0)</f>
        <v>0</v>
      </c>
      <c r="I12" s="4"/>
      <c r="J12" s="13"/>
      <c r="K12" s="4"/>
      <c r="L12" s="4">
        <f>+D12-H12</f>
        <v>0</v>
      </c>
      <c r="M12" s="4"/>
      <c r="N12" s="13">
        <f>IF(H12=0,0,L12/H12)</f>
        <v>0</v>
      </c>
      <c r="O12" s="10"/>
      <c r="P12" s="4">
        <f>SUM(0)</f>
        <v>0</v>
      </c>
      <c r="Q12" s="4"/>
      <c r="R12" s="13"/>
      <c r="S12" s="4"/>
      <c r="T12" s="4">
        <f>SUM(0)</f>
        <v>0</v>
      </c>
      <c r="U12" s="4"/>
      <c r="V12" s="13"/>
      <c r="W12" s="4"/>
      <c r="X12" s="4">
        <f>+P12-T12</f>
        <v>0</v>
      </c>
      <c r="Y12" s="4"/>
      <c r="Z12" s="13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8" t="s">
        <v>8</v>
      </c>
      <c r="C14" s="10"/>
      <c r="D14" s="4">
        <f>SUM(0)</f>
        <v>0</v>
      </c>
      <c r="E14" s="4"/>
      <c r="F14" s="13">
        <f>IF(D$12=0,0,D14/D$12)</f>
        <v>0</v>
      </c>
      <c r="G14" s="4"/>
      <c r="H14" s="4">
        <f>SUM(0)</f>
        <v>0</v>
      </c>
      <c r="I14" s="4"/>
      <c r="J14" s="13">
        <f>IF(H$12=0,0,H14/H$12)</f>
        <v>0</v>
      </c>
      <c r="K14" s="4"/>
      <c r="L14" s="4">
        <f>+D14-H14</f>
        <v>0</v>
      </c>
      <c r="M14" s="4"/>
      <c r="N14" s="13">
        <f>IF(H14=0,0,L14/H14)</f>
        <v>0</v>
      </c>
      <c r="O14" s="10"/>
      <c r="P14" s="4">
        <f>SUM(0)</f>
        <v>0</v>
      </c>
      <c r="Q14" s="4"/>
      <c r="R14" s="13">
        <f>IF(P$12=0,0,P14/P$12)</f>
        <v>0</v>
      </c>
      <c r="S14" s="4"/>
      <c r="T14" s="4">
        <f>SUM(0)</f>
        <v>0</v>
      </c>
      <c r="U14" s="4"/>
      <c r="V14" s="13">
        <f>IF(T$12=0,0,T14/T$12)</f>
        <v>0</v>
      </c>
      <c r="W14" s="4"/>
      <c r="X14" s="4">
        <f>+P14-T14</f>
        <v>0</v>
      </c>
      <c r="Y14" s="4"/>
      <c r="Z14" s="13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9" t="s">
        <v>6</v>
      </c>
      <c r="C16" s="29"/>
      <c r="D16" s="20">
        <f>D12-D14</f>
        <v>0</v>
      </c>
      <c r="E16" s="14"/>
      <c r="F16" s="22">
        <f>IF(D$12=0,0,D16/D$12)</f>
        <v>0</v>
      </c>
      <c r="G16" s="14"/>
      <c r="H16" s="20">
        <f>H12-H14</f>
        <v>0</v>
      </c>
      <c r="I16" s="14"/>
      <c r="J16" s="22">
        <f>IF(H$12=0,0,H16/H$12)</f>
        <v>0</v>
      </c>
      <c r="K16" s="16"/>
      <c r="L16" s="20">
        <f>+D16-H16</f>
        <v>0</v>
      </c>
      <c r="M16" s="16"/>
      <c r="N16" s="22">
        <f>IF(H16=0,0,L16/H16)</f>
        <v>0</v>
      </c>
      <c r="O16" s="28"/>
      <c r="P16" s="20">
        <f>P12-P14</f>
        <v>0</v>
      </c>
      <c r="Q16" s="14"/>
      <c r="R16" s="22">
        <f>IF(P$12=0,0,P16/P$12)</f>
        <v>0</v>
      </c>
      <c r="S16" s="14"/>
      <c r="T16" s="20">
        <f>T12-T14</f>
        <v>0</v>
      </c>
      <c r="U16" s="14"/>
      <c r="V16" s="22">
        <f>IF(T$12=0,0,T16/T$12)</f>
        <v>0</v>
      </c>
      <c r="W16" s="16"/>
      <c r="X16" s="20">
        <f>+P16-T16</f>
        <v>0</v>
      </c>
      <c r="Y16" s="16"/>
      <c r="Z16" s="22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8" t="s">
        <v>9</v>
      </c>
      <c r="C18" s="10"/>
      <c r="D18" s="21">
        <f>SUM(OSRRefD22x_0)</f>
        <v>31569.34</v>
      </c>
      <c r="E18" s="21"/>
      <c r="F18" s="30">
        <f t="shared" ref="F18:F29" si="0">IF(D$12=0,0,D18/D$12)</f>
        <v>0</v>
      </c>
      <c r="G18" s="21"/>
      <c r="H18" s="21">
        <f>SUM(OSRRefH22x_0)</f>
        <v>43000</v>
      </c>
      <c r="I18" s="21"/>
      <c r="J18" s="30">
        <f t="shared" ref="J18:J29" si="1">IF(H$12=0,0,H18/H$12)</f>
        <v>0</v>
      </c>
      <c r="K18" s="4"/>
      <c r="L18" s="21">
        <f t="shared" ref="L18:L29" si="2">+D18-H18</f>
        <v>-11430.66</v>
      </c>
      <c r="M18" s="4"/>
      <c r="N18" s="30">
        <f t="shared" ref="N18:N29" si="3">IF(H18=0,0,L18/H18)</f>
        <v>-0.26582930232558138</v>
      </c>
      <c r="O18" s="10"/>
      <c r="P18" s="21">
        <f>SUM(OSRRefP22x_0)</f>
        <v>577293.94999999995</v>
      </c>
      <c r="Q18" s="21"/>
      <c r="R18" s="30">
        <f t="shared" ref="R18:R29" si="4">IF(P$12=0,0,P18/P$12)</f>
        <v>0</v>
      </c>
      <c r="S18" s="21"/>
      <c r="T18" s="21">
        <f>SUM(OSRRefT22x_0)</f>
        <v>730000</v>
      </c>
      <c r="U18" s="21"/>
      <c r="V18" s="30">
        <f t="shared" ref="V18:V29" si="5">IF(T$12=0,0,T18/T$12)</f>
        <v>0</v>
      </c>
      <c r="W18" s="4"/>
      <c r="X18" s="21">
        <f t="shared" ref="X18:X29" si="6">+P18-T18</f>
        <v>-152706.05000000005</v>
      </c>
      <c r="Y18" s="4"/>
      <c r="Z18" s="30">
        <f t="shared" ref="Z18:Z29" si="7">IF(T18=0,0,X18/T18)</f>
        <v>-0.20918636986301375</v>
      </c>
    </row>
    <row r="19" spans="1:26" s="27" customFormat="1" outlineLevel="1" collapsed="1" x14ac:dyDescent="0.25">
      <c r="A19" s="25"/>
      <c r="B19" s="12" t="str">
        <f>CONCATENATE("     ","*Benefits                                         ")</f>
        <v xml:space="preserve">     *Benefits                                         </v>
      </c>
      <c r="C19" s="12"/>
      <c r="D19" s="1">
        <f>SUM(OSRRefD22_0x_0)</f>
        <v>30337.670000000002</v>
      </c>
      <c r="E19" s="1"/>
      <c r="F19" s="5">
        <f t="shared" si="0"/>
        <v>0</v>
      </c>
      <c r="G19" s="1"/>
      <c r="H19" s="1">
        <f>SUM(OSRRefH22_0x_0)</f>
        <v>39000</v>
      </c>
      <c r="I19" s="1"/>
      <c r="J19" s="5">
        <f t="shared" si="1"/>
        <v>0</v>
      </c>
      <c r="K19" s="1"/>
      <c r="L19" s="1">
        <f t="shared" si="2"/>
        <v>-8662.3299999999981</v>
      </c>
      <c r="M19" s="1"/>
      <c r="N19" s="5">
        <f t="shared" si="3"/>
        <v>-0.22211102564102558</v>
      </c>
      <c r="O19" s="12"/>
      <c r="P19" s="1">
        <f>SUM(OSRRefP22_0x_0)</f>
        <v>317995.81</v>
      </c>
      <c r="Q19" s="1"/>
      <c r="R19" s="5">
        <f t="shared" si="4"/>
        <v>0</v>
      </c>
      <c r="S19" s="1"/>
      <c r="T19" s="1">
        <f>SUM(OSRRefT22_0x_0)</f>
        <v>430300</v>
      </c>
      <c r="U19" s="1"/>
      <c r="V19" s="5">
        <f t="shared" si="5"/>
        <v>0</v>
      </c>
      <c r="W19" s="1"/>
      <c r="X19" s="1">
        <f t="shared" si="6"/>
        <v>-112304.19</v>
      </c>
      <c r="Y19" s="1"/>
      <c r="Z19" s="5">
        <f t="shared" si="7"/>
        <v>-0.26099044852428538</v>
      </c>
    </row>
    <row r="20" spans="1:26" s="24" customFormat="1" hidden="1" outlineLevel="2" x14ac:dyDescent="0.25">
      <c r="A20" s="26"/>
      <c r="B20" s="11" t="str">
        <f>CONCATENATE("          ", "6120", " - ", "RETIREES HEALTH INSURANCE")</f>
        <v xml:space="preserve">          6120 - RETIREES HEALTH INSURANCE</v>
      </c>
      <c r="C20" s="11"/>
      <c r="D20" s="7">
        <v>30337.670000000002</v>
      </c>
      <c r="E20" s="2"/>
      <c r="F20" s="6">
        <f t="shared" si="0"/>
        <v>0</v>
      </c>
      <c r="G20" s="2"/>
      <c r="H20" s="7">
        <v>39000</v>
      </c>
      <c r="I20" s="2"/>
      <c r="J20" s="6">
        <f t="shared" si="1"/>
        <v>0</v>
      </c>
      <c r="K20" s="2"/>
      <c r="L20" s="7">
        <f t="shared" si="2"/>
        <v>-8662.3299999999981</v>
      </c>
      <c r="M20" s="2"/>
      <c r="N20" s="6">
        <f t="shared" si="3"/>
        <v>-0.22211102564102558</v>
      </c>
      <c r="O20" s="11"/>
      <c r="P20" s="7">
        <v>317995.81</v>
      </c>
      <c r="Q20" s="2"/>
      <c r="R20" s="6">
        <f t="shared" si="4"/>
        <v>0</v>
      </c>
      <c r="S20" s="2"/>
      <c r="T20" s="7">
        <v>430300</v>
      </c>
      <c r="U20" s="2"/>
      <c r="V20" s="6">
        <f t="shared" si="5"/>
        <v>0</v>
      </c>
      <c r="W20" s="2"/>
      <c r="X20" s="7">
        <f t="shared" si="6"/>
        <v>-112304.19</v>
      </c>
      <c r="Y20" s="2"/>
      <c r="Z20" s="6">
        <f t="shared" si="7"/>
        <v>-0.26099044852428538</v>
      </c>
    </row>
    <row r="21" spans="1:26" s="27" customFormat="1" outlineLevel="1" collapsed="1" x14ac:dyDescent="0.25">
      <c r="A21" s="25"/>
      <c r="B21" s="12" t="str">
        <f>CONCATENATE("     ","Bank/card Fees                                    ")</f>
        <v xml:space="preserve">     Bank/card Fees                                    </v>
      </c>
      <c r="C21" s="12"/>
      <c r="D21" s="1">
        <f>SUM(OSRRefD22_1x_0)</f>
        <v>-8.33</v>
      </c>
      <c r="E21" s="1"/>
      <c r="F21" s="5">
        <f t="shared" si="0"/>
        <v>0</v>
      </c>
      <c r="G21" s="1"/>
      <c r="H21" s="1">
        <f>SUM(OSRRefH22_1x_0)</f>
        <v>1000</v>
      </c>
      <c r="I21" s="1"/>
      <c r="J21" s="5">
        <f t="shared" si="1"/>
        <v>0</v>
      </c>
      <c r="K21" s="1"/>
      <c r="L21" s="1">
        <f t="shared" si="2"/>
        <v>-1008.33</v>
      </c>
      <c r="M21" s="1"/>
      <c r="N21" s="5">
        <f t="shared" si="3"/>
        <v>-1.0083299999999999</v>
      </c>
      <c r="O21" s="12"/>
      <c r="P21" s="1">
        <f>SUM(OSRRefP22_1x_0)</f>
        <v>53952</v>
      </c>
      <c r="Q21" s="1"/>
      <c r="R21" s="5">
        <f t="shared" si="4"/>
        <v>0</v>
      </c>
      <c r="S21" s="1"/>
      <c r="T21" s="1">
        <f>SUM(OSRRefT22_1x_0)</f>
        <v>70000</v>
      </c>
      <c r="U21" s="1"/>
      <c r="V21" s="5">
        <f t="shared" si="5"/>
        <v>0</v>
      </c>
      <c r="W21" s="1"/>
      <c r="X21" s="1">
        <f t="shared" si="6"/>
        <v>-16048</v>
      </c>
      <c r="Y21" s="1"/>
      <c r="Z21" s="5">
        <f t="shared" si="7"/>
        <v>-0.22925714285714285</v>
      </c>
    </row>
    <row r="22" spans="1:26" s="24" customFormat="1" hidden="1" outlineLevel="2" x14ac:dyDescent="0.25">
      <c r="A22" s="26"/>
      <c r="B22" s="11" t="str">
        <f>CONCATENATE("          ", "6381", " - ", "BANK/CREDIT CARD FEES")</f>
        <v xml:space="preserve">          6381 - BANK/CREDIT CARD FEES</v>
      </c>
      <c r="C22" s="11"/>
      <c r="D22" s="7">
        <v>-8.33</v>
      </c>
      <c r="E22" s="2"/>
      <c r="F22" s="6">
        <f t="shared" si="0"/>
        <v>0</v>
      </c>
      <c r="G22" s="2"/>
      <c r="H22" s="7">
        <v>1000</v>
      </c>
      <c r="I22" s="2"/>
      <c r="J22" s="6">
        <f t="shared" si="1"/>
        <v>0</v>
      </c>
      <c r="K22" s="2"/>
      <c r="L22" s="7">
        <f t="shared" si="2"/>
        <v>-1008.33</v>
      </c>
      <c r="M22" s="2"/>
      <c r="N22" s="6">
        <f t="shared" si="3"/>
        <v>-1.0083299999999999</v>
      </c>
      <c r="O22" s="11"/>
      <c r="P22" s="7">
        <v>53952</v>
      </c>
      <c r="Q22" s="2"/>
      <c r="R22" s="6">
        <f t="shared" si="4"/>
        <v>0</v>
      </c>
      <c r="S22" s="2"/>
      <c r="T22" s="7">
        <v>70000</v>
      </c>
      <c r="U22" s="2"/>
      <c r="V22" s="6">
        <f t="shared" si="5"/>
        <v>0</v>
      </c>
      <c r="W22" s="2"/>
      <c r="X22" s="7">
        <f t="shared" si="6"/>
        <v>-16048</v>
      </c>
      <c r="Y22" s="2"/>
      <c r="Z22" s="6">
        <f t="shared" si="7"/>
        <v>-0.22925714285714285</v>
      </c>
    </row>
    <row r="23" spans="1:26" s="27" customFormat="1" outlineLevel="1" collapsed="1" x14ac:dyDescent="0.25">
      <c r="A23" s="25"/>
      <c r="B23" s="12" t="str">
        <f>CONCATENATE("     ","Board                                             ")</f>
        <v xml:space="preserve">     Board                                             </v>
      </c>
      <c r="C23" s="12"/>
      <c r="D23" s="1">
        <f>SUM(OSRRefD22_2x_0)</f>
        <v>1240</v>
      </c>
      <c r="E23" s="1"/>
      <c r="F23" s="5">
        <f t="shared" si="0"/>
        <v>0</v>
      </c>
      <c r="G23" s="1"/>
      <c r="H23" s="1">
        <f>SUM(OSRRefH22_2x_0)</f>
        <v>3000</v>
      </c>
      <c r="I23" s="1"/>
      <c r="J23" s="5">
        <f t="shared" si="1"/>
        <v>0</v>
      </c>
      <c r="K23" s="1"/>
      <c r="L23" s="1">
        <f t="shared" si="2"/>
        <v>-1760</v>
      </c>
      <c r="M23" s="1"/>
      <c r="N23" s="5">
        <f t="shared" si="3"/>
        <v>-0.58666666666666667</v>
      </c>
      <c r="O23" s="12"/>
      <c r="P23" s="1">
        <f>SUM(OSRRefP22_2x_0)</f>
        <v>40982.71</v>
      </c>
      <c r="Q23" s="1"/>
      <c r="R23" s="5">
        <f t="shared" si="4"/>
        <v>0</v>
      </c>
      <c r="S23" s="1"/>
      <c r="T23" s="1">
        <f>SUM(OSRRefT22_2x_0)</f>
        <v>54200</v>
      </c>
      <c r="U23" s="1"/>
      <c r="V23" s="5">
        <f t="shared" si="5"/>
        <v>0</v>
      </c>
      <c r="W23" s="1"/>
      <c r="X23" s="1">
        <f t="shared" si="6"/>
        <v>-13217.29</v>
      </c>
      <c r="Y23" s="1"/>
      <c r="Z23" s="5">
        <f t="shared" si="7"/>
        <v>-0.24386143911439115</v>
      </c>
    </row>
    <row r="24" spans="1:26" s="24" customFormat="1" hidden="1" outlineLevel="2" x14ac:dyDescent="0.25">
      <c r="A24" s="26"/>
      <c r="B24" s="11" t="str">
        <f>CONCATENATE("          ", "6397", " - ", "BOARD EXPENSES")</f>
        <v xml:space="preserve">          6397 - BOARD EXPENSES</v>
      </c>
      <c r="C24" s="11"/>
      <c r="D24" s="7">
        <v>1240</v>
      </c>
      <c r="E24" s="2"/>
      <c r="F24" s="6">
        <f t="shared" si="0"/>
        <v>0</v>
      </c>
      <c r="G24" s="2"/>
      <c r="H24" s="7">
        <v>3000</v>
      </c>
      <c r="I24" s="2"/>
      <c r="J24" s="6">
        <f t="shared" si="1"/>
        <v>0</v>
      </c>
      <c r="K24" s="2"/>
      <c r="L24" s="7">
        <f t="shared" si="2"/>
        <v>-1760</v>
      </c>
      <c r="M24" s="2"/>
      <c r="N24" s="6">
        <f t="shared" si="3"/>
        <v>-0.58666666666666667</v>
      </c>
      <c r="O24" s="11"/>
      <c r="P24" s="7">
        <v>40982.71</v>
      </c>
      <c r="Q24" s="2"/>
      <c r="R24" s="6">
        <f t="shared" si="4"/>
        <v>0</v>
      </c>
      <c r="S24" s="2"/>
      <c r="T24" s="7">
        <v>54200</v>
      </c>
      <c r="U24" s="2"/>
      <c r="V24" s="6">
        <f t="shared" si="5"/>
        <v>0</v>
      </c>
      <c r="W24" s="2"/>
      <c r="X24" s="7">
        <f t="shared" si="6"/>
        <v>-13217.29</v>
      </c>
      <c r="Y24" s="2"/>
      <c r="Z24" s="6">
        <f t="shared" si="7"/>
        <v>-0.24386143911439115</v>
      </c>
    </row>
    <row r="25" spans="1:26" s="27" customFormat="1" outlineLevel="1" collapsed="1" x14ac:dyDescent="0.25">
      <c r="A25" s="25"/>
      <c r="B25" s="12" t="str">
        <f>CONCATENATE("     ","Donations                                         ")</f>
        <v xml:space="preserve">     Donations                                         </v>
      </c>
      <c r="C25" s="12"/>
      <c r="D25" s="1">
        <f>SUM(OSRRefD22_3x_0)</f>
        <v>0</v>
      </c>
      <c r="E25" s="1"/>
      <c r="F25" s="5">
        <f t="shared" si="0"/>
        <v>0</v>
      </c>
      <c r="G25" s="1"/>
      <c r="H25" s="1">
        <f>SUM(OSRRefH22_3x_0)</f>
        <v>0</v>
      </c>
      <c r="I25" s="1"/>
      <c r="J25" s="5">
        <f t="shared" si="1"/>
        <v>0</v>
      </c>
      <c r="K25" s="1"/>
      <c r="L25" s="1">
        <f t="shared" si="2"/>
        <v>0</v>
      </c>
      <c r="M25" s="1"/>
      <c r="N25" s="5">
        <f t="shared" si="3"/>
        <v>0</v>
      </c>
      <c r="O25" s="12"/>
      <c r="P25" s="1">
        <f>SUM(OSRRefP22_3x_0)</f>
        <v>103128.19</v>
      </c>
      <c r="Q25" s="1"/>
      <c r="R25" s="5">
        <f t="shared" si="4"/>
        <v>0</v>
      </c>
      <c r="S25" s="1"/>
      <c r="T25" s="1">
        <f>SUM(OSRRefT22_3x_0)</f>
        <v>97500</v>
      </c>
      <c r="U25" s="1"/>
      <c r="V25" s="5">
        <f t="shared" si="5"/>
        <v>0</v>
      </c>
      <c r="W25" s="1"/>
      <c r="X25" s="1">
        <f t="shared" si="6"/>
        <v>5628.1900000000023</v>
      </c>
      <c r="Y25" s="1"/>
      <c r="Z25" s="5">
        <f t="shared" si="7"/>
        <v>5.7725025641025662E-2</v>
      </c>
    </row>
    <row r="26" spans="1:26" s="24" customFormat="1" hidden="1" outlineLevel="2" x14ac:dyDescent="0.25">
      <c r="A26" s="26"/>
      <c r="B26" s="11" t="str">
        <f>CONCATENATE("          ", "6399", " - ", "DONATION-ON CAMPUS")</f>
        <v xml:space="preserve">          6399 - DONATION-ON CAMPUS</v>
      </c>
      <c r="C26" s="11"/>
      <c r="D26" s="7"/>
      <c r="E26" s="2"/>
      <c r="F26" s="6">
        <f t="shared" si="0"/>
        <v>0</v>
      </c>
      <c r="G26" s="2"/>
      <c r="H26" s="7"/>
      <c r="I26" s="2"/>
      <c r="J26" s="6">
        <f t="shared" si="1"/>
        <v>0</v>
      </c>
      <c r="K26" s="2"/>
      <c r="L26" s="7">
        <f t="shared" si="2"/>
        <v>0</v>
      </c>
      <c r="M26" s="2"/>
      <c r="N26" s="6">
        <f t="shared" si="3"/>
        <v>0</v>
      </c>
      <c r="O26" s="11"/>
      <c r="P26" s="7">
        <v>103128.19</v>
      </c>
      <c r="Q26" s="2"/>
      <c r="R26" s="6">
        <f t="shared" si="4"/>
        <v>0</v>
      </c>
      <c r="S26" s="2"/>
      <c r="T26" s="7">
        <v>97500</v>
      </c>
      <c r="U26" s="2"/>
      <c r="V26" s="6">
        <f t="shared" si="5"/>
        <v>0</v>
      </c>
      <c r="W26" s="2"/>
      <c r="X26" s="7">
        <f t="shared" si="6"/>
        <v>5628.1900000000023</v>
      </c>
      <c r="Y26" s="2"/>
      <c r="Z26" s="6">
        <f t="shared" si="7"/>
        <v>5.7725025641025662E-2</v>
      </c>
    </row>
    <row r="27" spans="1:26" s="27" customFormat="1" outlineLevel="1" collapsed="1" x14ac:dyDescent="0.25">
      <c r="A27" s="25"/>
      <c r="B27" s="12" t="str">
        <f>CONCATENATE("     ","Professional Services                             ")</f>
        <v xml:space="preserve">     Professional Services                             </v>
      </c>
      <c r="C27" s="12"/>
      <c r="D27" s="1">
        <f>SUM(OSRRefD22_4x_0)</f>
        <v>0</v>
      </c>
      <c r="E27" s="1"/>
      <c r="F27" s="5">
        <f t="shared" si="0"/>
        <v>0</v>
      </c>
      <c r="G27" s="1"/>
      <c r="H27" s="1">
        <f>SUM(OSRRefH22_4x_0)</f>
        <v>0</v>
      </c>
      <c r="I27" s="1"/>
      <c r="J27" s="5">
        <f t="shared" si="1"/>
        <v>0</v>
      </c>
      <c r="K27" s="1"/>
      <c r="L27" s="1">
        <f t="shared" si="2"/>
        <v>0</v>
      </c>
      <c r="M27" s="1"/>
      <c r="N27" s="5">
        <f t="shared" si="3"/>
        <v>0</v>
      </c>
      <c r="O27" s="12"/>
      <c r="P27" s="1">
        <f>SUM(OSRRefP22_4x_0)</f>
        <v>61235.24</v>
      </c>
      <c r="Q27" s="1"/>
      <c r="R27" s="5">
        <f t="shared" si="4"/>
        <v>0</v>
      </c>
      <c r="S27" s="1"/>
      <c r="T27" s="1">
        <f>SUM(OSRRefT22_4x_0)</f>
        <v>78000</v>
      </c>
      <c r="U27" s="1"/>
      <c r="V27" s="5">
        <f t="shared" si="5"/>
        <v>0</v>
      </c>
      <c r="W27" s="1"/>
      <c r="X27" s="1">
        <f t="shared" si="6"/>
        <v>-16764.760000000002</v>
      </c>
      <c r="Y27" s="1"/>
      <c r="Z27" s="5">
        <f t="shared" si="7"/>
        <v>-0.21493282051282053</v>
      </c>
    </row>
    <row r="28" spans="1:26" s="24" customFormat="1" hidden="1" outlineLevel="2" x14ac:dyDescent="0.25">
      <c r="A28" s="26"/>
      <c r="B28" s="11" t="str">
        <f>CONCATENATE("          ", "6331", " - ", "INDIRECT COSTS-AUXILIARY ORGAN")</f>
        <v xml:space="preserve">          6331 - INDIRECT COSTS-AUXILIARY ORGAN</v>
      </c>
      <c r="C28" s="11"/>
      <c r="D28" s="7"/>
      <c r="E28" s="2"/>
      <c r="F28" s="6">
        <f t="shared" si="0"/>
        <v>0</v>
      </c>
      <c r="G28" s="2"/>
      <c r="H28" s="7"/>
      <c r="I28" s="2"/>
      <c r="J28" s="6">
        <f t="shared" si="1"/>
        <v>0</v>
      </c>
      <c r="K28" s="2"/>
      <c r="L28" s="7">
        <f t="shared" si="2"/>
        <v>0</v>
      </c>
      <c r="M28" s="2"/>
      <c r="N28" s="6">
        <f t="shared" si="3"/>
        <v>0</v>
      </c>
      <c r="O28" s="11"/>
      <c r="P28" s="7">
        <v>46173</v>
      </c>
      <c r="Q28" s="2"/>
      <c r="R28" s="6">
        <f t="shared" si="4"/>
        <v>0</v>
      </c>
      <c r="S28" s="2"/>
      <c r="T28" s="7">
        <v>50000</v>
      </c>
      <c r="U28" s="2"/>
      <c r="V28" s="6">
        <f t="shared" si="5"/>
        <v>0</v>
      </c>
      <c r="W28" s="2"/>
      <c r="X28" s="7">
        <f t="shared" si="6"/>
        <v>-3827</v>
      </c>
      <c r="Y28" s="2"/>
      <c r="Z28" s="6">
        <f t="shared" si="7"/>
        <v>-7.6539999999999997E-2</v>
      </c>
    </row>
    <row r="29" spans="1:26" s="24" customFormat="1" hidden="1" outlineLevel="2" x14ac:dyDescent="0.25">
      <c r="A29" s="26"/>
      <c r="B29" s="11" t="str">
        <f>CONCATENATE("          ", "6332", " - ", "CONSULTANT FEES")</f>
        <v xml:space="preserve">          6332 - CONSULTANT FEES</v>
      </c>
      <c r="C29" s="11"/>
      <c r="D29" s="7"/>
      <c r="E29" s="2"/>
      <c r="F29" s="6">
        <f t="shared" si="0"/>
        <v>0</v>
      </c>
      <c r="G29" s="2"/>
      <c r="H29" s="7">
        <v>0</v>
      </c>
      <c r="I29" s="2"/>
      <c r="J29" s="6">
        <f t="shared" si="1"/>
        <v>0</v>
      </c>
      <c r="K29" s="2"/>
      <c r="L29" s="7">
        <f t="shared" si="2"/>
        <v>0</v>
      </c>
      <c r="M29" s="2"/>
      <c r="N29" s="6">
        <f t="shared" si="3"/>
        <v>0</v>
      </c>
      <c r="O29" s="11"/>
      <c r="P29" s="7">
        <v>15062.24</v>
      </c>
      <c r="Q29" s="2"/>
      <c r="R29" s="6">
        <f t="shared" si="4"/>
        <v>0</v>
      </c>
      <c r="S29" s="2"/>
      <c r="T29" s="7">
        <v>28000</v>
      </c>
      <c r="U29" s="2"/>
      <c r="V29" s="6">
        <f t="shared" si="5"/>
        <v>0</v>
      </c>
      <c r="W29" s="2"/>
      <c r="X29" s="7">
        <f t="shared" si="6"/>
        <v>-12937.76</v>
      </c>
      <c r="Y29" s="2"/>
      <c r="Z29" s="6">
        <f t="shared" si="7"/>
        <v>-0.46206285714285716</v>
      </c>
    </row>
    <row r="30" spans="1:26" s="62" customFormat="1" x14ac:dyDescent="0.25">
      <c r="A30" s="36"/>
      <c r="B30" s="36"/>
      <c r="C30" s="36"/>
      <c r="D30" s="1"/>
      <c r="E30" s="1"/>
      <c r="F30" s="5"/>
      <c r="G30" s="1"/>
      <c r="H30" s="1"/>
      <c r="I30" s="1"/>
      <c r="J30" s="5"/>
      <c r="K30" s="1"/>
      <c r="L30" s="1"/>
      <c r="M30" s="1"/>
      <c r="N30" s="5"/>
      <c r="O30" s="36"/>
      <c r="P30" s="1"/>
      <c r="Q30" s="1"/>
      <c r="R30" s="5"/>
      <c r="S30" s="1"/>
      <c r="T30" s="1"/>
      <c r="U30" s="1"/>
      <c r="V30" s="5"/>
      <c r="W30" s="1"/>
      <c r="X30" s="1"/>
      <c r="Y30" s="1"/>
      <c r="Z30" s="5"/>
    </row>
    <row r="31" spans="1:26" s="23" customFormat="1" x14ac:dyDescent="0.25">
      <c r="A31" s="10"/>
      <c r="B31" s="28" t="s">
        <v>0</v>
      </c>
      <c r="C31" s="10"/>
      <c r="D31" s="4">
        <f>SUM(0)</f>
        <v>0</v>
      </c>
      <c r="E31" s="4"/>
      <c r="F31" s="13">
        <f>IF(D$12=0,0,D31/D$12)</f>
        <v>0</v>
      </c>
      <c r="G31" s="4"/>
      <c r="H31" s="4">
        <f>SUM(0)</f>
        <v>0</v>
      </c>
      <c r="I31" s="4"/>
      <c r="J31" s="13">
        <f>IF(H$12=0,0,H31/H$12)</f>
        <v>0</v>
      </c>
      <c r="K31" s="4"/>
      <c r="L31" s="4">
        <f>+D31-H31</f>
        <v>0</v>
      </c>
      <c r="M31" s="4"/>
      <c r="N31" s="13">
        <f>IF(H31=0,0,L31/H31)</f>
        <v>0</v>
      </c>
      <c r="O31" s="10"/>
      <c r="P31" s="4">
        <f>SUM(0)</f>
        <v>0</v>
      </c>
      <c r="Q31" s="4"/>
      <c r="R31" s="13">
        <f>IF(P$12=0,0,P31/P$12)</f>
        <v>0</v>
      </c>
      <c r="S31" s="4"/>
      <c r="T31" s="4">
        <f>SUM(0)</f>
        <v>0</v>
      </c>
      <c r="U31" s="4"/>
      <c r="V31" s="13">
        <f>IF(T$12=0,0,T31/T$12)</f>
        <v>0</v>
      </c>
      <c r="W31" s="4"/>
      <c r="X31" s="4">
        <f>+P31-T31</f>
        <v>0</v>
      </c>
      <c r="Y31" s="4"/>
      <c r="Z31" s="13">
        <f>IF(T31=0,0,X31/T31)</f>
        <v>0</v>
      </c>
    </row>
    <row r="32" spans="1:26" x14ac:dyDescent="0.25">
      <c r="A32" s="9"/>
      <c r="B32" s="10"/>
      <c r="C32" s="10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O32" s="10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10"/>
      <c r="B33" s="29" t="s">
        <v>3</v>
      </c>
      <c r="C33" s="29"/>
      <c r="D33" s="20">
        <f>+D16-D18+D31</f>
        <v>-31569.34</v>
      </c>
      <c r="E33" s="14"/>
      <c r="F33" s="22">
        <f>IF(D$12=0,0,D33/D$12)</f>
        <v>0</v>
      </c>
      <c r="G33" s="14"/>
      <c r="H33" s="20">
        <f>+H16-H18+H31</f>
        <v>-43000</v>
      </c>
      <c r="I33" s="14"/>
      <c r="J33" s="22">
        <f>IF(H$12=0,0,H33/H$12)</f>
        <v>0</v>
      </c>
      <c r="K33" s="16"/>
      <c r="L33" s="20">
        <f>+D33-H33</f>
        <v>11430.66</v>
      </c>
      <c r="M33" s="16"/>
      <c r="N33" s="22">
        <f>IF(H33=0,0,L33/H33)</f>
        <v>-0.26582930232558138</v>
      </c>
      <c r="O33" s="28"/>
      <c r="P33" s="20">
        <f>+P16-P18+P31</f>
        <v>-577293.94999999995</v>
      </c>
      <c r="Q33" s="14"/>
      <c r="R33" s="22">
        <f>IF(P$12=0,0,P33/P$12)</f>
        <v>0</v>
      </c>
      <c r="S33" s="14"/>
      <c r="T33" s="20">
        <f>+T16-T18+T31</f>
        <v>-730000</v>
      </c>
      <c r="U33" s="14"/>
      <c r="V33" s="22">
        <f>IF(T$12=0,0,T33/T$12)</f>
        <v>0</v>
      </c>
      <c r="W33" s="16"/>
      <c r="X33" s="20">
        <f>+P33-T33</f>
        <v>152706.05000000005</v>
      </c>
      <c r="Y33" s="16"/>
      <c r="Z33" s="22">
        <f>IF(T33=0,0,X33/T33)</f>
        <v>-0.20918636986301375</v>
      </c>
    </row>
    <row r="34" spans="1:26" x14ac:dyDescent="0.25">
      <c r="A34" s="9"/>
      <c r="B34" s="10"/>
      <c r="C34" s="9"/>
      <c r="D34" s="3"/>
      <c r="E34" s="3"/>
      <c r="F34" s="8"/>
      <c r="G34" s="3"/>
      <c r="H34" s="3"/>
      <c r="I34" s="3"/>
      <c r="J34" s="8"/>
      <c r="K34" s="3"/>
      <c r="L34" s="3"/>
      <c r="M34" s="3"/>
      <c r="N34" s="8"/>
      <c r="P34" s="3"/>
      <c r="Q34" s="3"/>
      <c r="R34" s="8"/>
      <c r="S34" s="3"/>
      <c r="T34" s="3"/>
      <c r="U34" s="3"/>
      <c r="V34" s="8"/>
      <c r="W34" s="3"/>
      <c r="X34" s="3"/>
      <c r="Y34" s="3"/>
      <c r="Z34" s="8"/>
    </row>
    <row r="35" spans="1:26" s="23" customFormat="1" x14ac:dyDescent="0.25">
      <c r="A35" s="52"/>
      <c r="B35" s="10" t="s">
        <v>14</v>
      </c>
      <c r="C35" s="10"/>
      <c r="D35" s="4"/>
      <c r="E35" s="4"/>
      <c r="F35" s="13">
        <f>IF(D$12=0,0,D35/D$12)</f>
        <v>0</v>
      </c>
      <c r="G35" s="4"/>
      <c r="H35" s="4"/>
      <c r="I35" s="4"/>
      <c r="J35" s="13">
        <f>IF(H$12=0,0,H35/H$12)</f>
        <v>0</v>
      </c>
      <c r="K35" s="4"/>
      <c r="L35" s="4">
        <f>+D35-H35</f>
        <v>0</v>
      </c>
      <c r="M35" s="4"/>
      <c r="N35" s="13">
        <f>IF(H35=0,0,L35/H35)</f>
        <v>0</v>
      </c>
      <c r="O35" s="10"/>
      <c r="P35" s="4"/>
      <c r="Q35" s="4"/>
      <c r="R35" s="13">
        <f>IF(P$12=0,0,P35/P$12)</f>
        <v>0</v>
      </c>
      <c r="S35" s="4"/>
      <c r="T35" s="4"/>
      <c r="U35" s="4"/>
      <c r="V35" s="13">
        <f>IF(T$12=0,0,T35/T$12)</f>
        <v>0</v>
      </c>
      <c r="W35" s="4"/>
      <c r="X35" s="4">
        <f>+P35-T35</f>
        <v>0</v>
      </c>
      <c r="Y35" s="4"/>
      <c r="Z35" s="13">
        <f>IF(T35=0,0,X35/T35)</f>
        <v>0</v>
      </c>
    </row>
    <row r="36" spans="1:26" x14ac:dyDescent="0.25">
      <c r="A36" s="9"/>
      <c r="B36" s="10"/>
      <c r="C36" s="10"/>
      <c r="D36" s="3"/>
      <c r="E36" s="3"/>
      <c r="F36" s="8"/>
      <c r="G36" s="3"/>
      <c r="H36" s="3"/>
      <c r="I36" s="3"/>
      <c r="J36" s="8"/>
      <c r="K36" s="3"/>
      <c r="L36" s="3"/>
      <c r="M36" s="3"/>
      <c r="N36" s="8"/>
      <c r="O36" s="10"/>
      <c r="P36" s="3"/>
      <c r="Q36" s="3"/>
      <c r="R36" s="8"/>
      <c r="S36" s="3"/>
      <c r="T36" s="3"/>
      <c r="U36" s="3"/>
      <c r="V36" s="8"/>
      <c r="W36" s="3"/>
      <c r="X36" s="3"/>
      <c r="Y36" s="3"/>
      <c r="Z36" s="8"/>
    </row>
    <row r="37" spans="1:26" s="23" customFormat="1" ht="15.75" thickBot="1" x14ac:dyDescent="0.3">
      <c r="A37" s="10"/>
      <c r="B37" s="29" t="s">
        <v>4</v>
      </c>
      <c r="C37" s="29"/>
      <c r="D37" s="35">
        <f>+D33-D35</f>
        <v>-31569.34</v>
      </c>
      <c r="E37" s="14"/>
      <c r="F37" s="32">
        <f>IF(D$12=0,0,D37/D$12)</f>
        <v>0</v>
      </c>
      <c r="G37" s="14"/>
      <c r="H37" s="35">
        <f>+H33-H35</f>
        <v>-43000</v>
      </c>
      <c r="I37" s="14"/>
      <c r="J37" s="32">
        <f>IF(H$12=0,0,H37/H$12)</f>
        <v>0</v>
      </c>
      <c r="K37" s="16"/>
      <c r="L37" s="35">
        <f>D37-H37</f>
        <v>11430.66</v>
      </c>
      <c r="M37" s="16"/>
      <c r="N37" s="32">
        <f>IF(H37=0,0,L37/H37)</f>
        <v>-0.26582930232558138</v>
      </c>
      <c r="O37" s="28"/>
      <c r="P37" s="35">
        <f>+P33-P35</f>
        <v>-577293.94999999995</v>
      </c>
      <c r="Q37" s="14"/>
      <c r="R37" s="32">
        <f>IF(P$12=0,0,P37/P$12)</f>
        <v>0</v>
      </c>
      <c r="S37" s="14"/>
      <c r="T37" s="35">
        <f>+T33-T35</f>
        <v>-730000</v>
      </c>
      <c r="U37" s="14"/>
      <c r="V37" s="32">
        <f>IF(T$12=0,0,T37/T$12)</f>
        <v>0</v>
      </c>
      <c r="W37" s="16"/>
      <c r="X37" s="35">
        <f>P37-T37</f>
        <v>152706.05000000005</v>
      </c>
      <c r="Y37" s="16"/>
      <c r="Z37" s="32">
        <f>IF(T37=0,0,X37/T37)</f>
        <v>-0.20918636986301375</v>
      </c>
    </row>
    <row r="38" spans="1:26" ht="15.75" thickTop="1" x14ac:dyDescent="0.25">
      <c r="A38" s="9"/>
      <c r="B38" s="9"/>
      <c r="C38" s="9"/>
      <c r="D38" s="3"/>
      <c r="E38" s="3"/>
      <c r="F38" s="8"/>
      <c r="G38" s="3"/>
      <c r="H38" s="3"/>
      <c r="I38" s="3"/>
      <c r="J38" s="8"/>
      <c r="K38" s="3"/>
      <c r="L38" s="3"/>
      <c r="M38" s="3"/>
      <c r="N38" s="8"/>
      <c r="P38" s="3"/>
      <c r="Q38" s="3"/>
      <c r="R38" s="8"/>
      <c r="S38" s="3"/>
      <c r="T38" s="3"/>
      <c r="U38" s="3"/>
      <c r="V38" s="8"/>
      <c r="W38" s="3"/>
      <c r="X38" s="3"/>
      <c r="Y38" s="3"/>
      <c r="Z38" s="8"/>
    </row>
    <row r="39" spans="1:26" x14ac:dyDescent="0.25">
      <c r="A39" s="9"/>
      <c r="B39" s="9"/>
      <c r="C39" s="9"/>
      <c r="D39" s="3"/>
      <c r="E39" s="3"/>
      <c r="F39" s="8"/>
      <c r="G39" s="3"/>
      <c r="H39" s="3"/>
      <c r="I39" s="3"/>
      <c r="J39" s="8"/>
      <c r="K39" s="3"/>
      <c r="L39" s="3"/>
      <c r="M39" s="3"/>
      <c r="N39" s="8"/>
      <c r="P39" s="3"/>
      <c r="Q39" s="3"/>
      <c r="R39" s="8"/>
      <c r="S39" s="3"/>
      <c r="T39" s="3"/>
      <c r="U39" s="3"/>
      <c r="V39" s="8"/>
      <c r="W39" s="3"/>
      <c r="X39" s="3"/>
      <c r="Y39" s="3"/>
      <c r="Z39" s="8"/>
    </row>
    <row r="40" spans="1:26" s="23" customFormat="1" ht="15.75" thickBot="1" x14ac:dyDescent="0.3">
      <c r="A40" s="10"/>
      <c r="B40" s="29" t="s">
        <v>5</v>
      </c>
      <c r="C40" s="29"/>
      <c r="D40" s="34">
        <f>SUM(D37:D39)</f>
        <v>-31569.34</v>
      </c>
      <c r="E40" s="14"/>
      <c r="F40" s="31">
        <f>IF(D$12=0,0,D40/D$12)</f>
        <v>0</v>
      </c>
      <c r="G40" s="14"/>
      <c r="H40" s="34">
        <f>SUM(H37:H39)</f>
        <v>-43000</v>
      </c>
      <c r="I40" s="14"/>
      <c r="J40" s="31">
        <f>IF(H$12=0,0,H40/H$12)</f>
        <v>0</v>
      </c>
      <c r="K40" s="16"/>
      <c r="L40" s="34">
        <f>+D40-H40</f>
        <v>11430.66</v>
      </c>
      <c r="M40" s="16"/>
      <c r="N40" s="31">
        <f>IF(H40=0,0,L40/H40)</f>
        <v>-0.26582930232558138</v>
      </c>
      <c r="O40" s="28"/>
      <c r="P40" s="34">
        <f>SUM(P37:P39)</f>
        <v>-577293.94999999995</v>
      </c>
      <c r="Q40" s="14"/>
      <c r="R40" s="31">
        <f>IF(P$12=0,0,P40/P$12)</f>
        <v>0</v>
      </c>
      <c r="S40" s="14"/>
      <c r="T40" s="34">
        <f>SUM(T37:T39)</f>
        <v>-730000</v>
      </c>
      <c r="U40" s="14"/>
      <c r="V40" s="31">
        <f>IF(T$12=0,0,T40/T$12)</f>
        <v>0</v>
      </c>
      <c r="W40" s="16"/>
      <c r="X40" s="34">
        <f>+P40-T40</f>
        <v>152706.05000000005</v>
      </c>
      <c r="Y40" s="16"/>
      <c r="Z40" s="31">
        <f>IF(T40=0,0,X40/T40)</f>
        <v>-0.20918636986301375</v>
      </c>
    </row>
    <row r="41" spans="1:26" ht="15.75" thickTop="1" x14ac:dyDescent="0.25">
      <c r="A41" s="9"/>
      <c r="C41" s="9"/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  <row r="42" spans="1:26" x14ac:dyDescent="0.25">
      <c r="A42" s="9"/>
      <c r="B42" s="59">
        <v>43992.371308796297</v>
      </c>
      <c r="D42" s="18"/>
      <c r="E42" s="18"/>
      <c r="G42" s="18"/>
      <c r="H42" s="18"/>
      <c r="I42" s="18"/>
      <c r="J42" s="42"/>
      <c r="K42" s="18"/>
      <c r="L42" s="18"/>
      <c r="M42" s="18"/>
      <c r="P42" s="18"/>
      <c r="Q42" s="18"/>
      <c r="R42" s="42"/>
      <c r="S42" s="18"/>
      <c r="T42" s="18"/>
      <c r="U42" s="18"/>
      <c r="V42" s="42"/>
      <c r="W42" s="18"/>
      <c r="X42" s="18"/>
    </row>
    <row r="43" spans="1:26" x14ac:dyDescent="0.25">
      <c r="A43" s="9"/>
      <c r="B43" s="56" t="s">
        <v>314</v>
      </c>
      <c r="D43" s="18"/>
      <c r="E43" s="18"/>
      <c r="G43" s="18"/>
      <c r="H43" s="18"/>
      <c r="I43" s="18"/>
      <c r="J43" s="42"/>
      <c r="K43" s="18"/>
      <c r="L43" s="18"/>
      <c r="M43" s="18"/>
      <c r="P43" s="18"/>
      <c r="Q43" s="18"/>
      <c r="R43" s="42"/>
      <c r="S43" s="18"/>
      <c r="T43" s="18"/>
      <c r="U43" s="18"/>
      <c r="V43" s="42"/>
      <c r="W43" s="18"/>
      <c r="X43" s="18"/>
    </row>
    <row r="44" spans="1:26" x14ac:dyDescent="0.25">
      <c r="A44" s="9"/>
      <c r="B44" s="54"/>
      <c r="D44" s="18"/>
      <c r="E44" s="18"/>
      <c r="G44" s="18"/>
      <c r="H44" s="18"/>
      <c r="I44" s="18"/>
      <c r="J44" s="42"/>
      <c r="K44" s="18"/>
      <c r="L44" s="18"/>
      <c r="M44" s="18"/>
      <c r="P44" s="18"/>
      <c r="Q44" s="18"/>
      <c r="R44" s="42"/>
      <c r="S44" s="18"/>
      <c r="T44" s="18"/>
      <c r="U44" s="18"/>
      <c r="V44" s="42"/>
      <c r="W44" s="18"/>
      <c r="X44" s="18"/>
    </row>
    <row r="45" spans="1:26" x14ac:dyDescent="0.25">
      <c r="D45" s="18"/>
      <c r="E45" s="18"/>
      <c r="G45" s="18"/>
      <c r="H45" s="18"/>
      <c r="I45" s="18"/>
      <c r="J45" s="42"/>
      <c r="K45" s="18"/>
      <c r="L45" s="18"/>
      <c r="M45" s="18"/>
      <c r="P45" s="18"/>
      <c r="Q45" s="18"/>
      <c r="R45" s="42"/>
      <c r="S45" s="18"/>
      <c r="T45" s="18"/>
      <c r="U45" s="18"/>
      <c r="V45" s="42"/>
      <c r="W45" s="18"/>
      <c r="X45" s="18"/>
    </row>
  </sheetData>
  <pageMargins left="0.25" right="0.25" top="0.75" bottom="0.75" header="0.3" footer="0.3"/>
  <pageSetup scale="55" fitToWidth="2" orientation="landscape"/>
  <drawing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94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63" t="s">
        <v>13</v>
      </c>
    </row>
    <row r="3" spans="1:26" x14ac:dyDescent="0.25">
      <c r="D3" s="63" t="s">
        <v>296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61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63" t="str">
        <f>CONCATENATE("Period ",RIGHT(202011,2),", ",2020)</f>
        <v>Period 11, 2020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61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4">
        <v>43981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61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51"/>
      <c r="C6" s="51"/>
      <c r="D6" s="23" t="str">
        <f>CONCATENATE("Department ","201", " - ", "General Manager")</f>
        <v>Department 201 - General Manager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57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5" t="s">
        <v>294</v>
      </c>
      <c r="E9" s="15"/>
      <c r="F9" s="38"/>
      <c r="G9" s="15"/>
      <c r="H9" s="15"/>
      <c r="I9" s="15"/>
      <c r="J9" s="46"/>
      <c r="K9" s="15"/>
      <c r="L9" s="15"/>
      <c r="M9" s="15"/>
      <c r="N9" s="38"/>
      <c r="P9" s="15" t="s">
        <v>295</v>
      </c>
      <c r="Q9" s="15"/>
      <c r="R9" s="38"/>
      <c r="S9" s="15"/>
      <c r="T9" s="15"/>
      <c r="U9" s="15"/>
      <c r="V9" s="46"/>
      <c r="W9" s="15"/>
      <c r="X9" s="15"/>
      <c r="Y9" s="15"/>
      <c r="Z9" s="38"/>
    </row>
    <row r="10" spans="1:26" x14ac:dyDescent="0.25">
      <c r="A10" s="10"/>
      <c r="B10" s="55"/>
      <c r="C10" s="10"/>
      <c r="D10" s="43" t="s">
        <v>10</v>
      </c>
      <c r="E10" s="33"/>
      <c r="F10" s="40" t="s">
        <v>15</v>
      </c>
      <c r="G10" s="33"/>
      <c r="H10" s="47" t="s">
        <v>11</v>
      </c>
      <c r="I10" s="33"/>
      <c r="J10" s="45" t="s">
        <v>16</v>
      </c>
      <c r="K10" s="10"/>
      <c r="L10" s="43" t="s">
        <v>12</v>
      </c>
      <c r="M10" s="10"/>
      <c r="N10" s="40" t="s">
        <v>17</v>
      </c>
      <c r="O10" s="10"/>
      <c r="P10" s="53" t="s">
        <v>10</v>
      </c>
      <c r="Q10" s="33"/>
      <c r="R10" s="40" t="s">
        <v>15</v>
      </c>
      <c r="S10" s="33"/>
      <c r="T10" s="47" t="s">
        <v>11</v>
      </c>
      <c r="U10" s="33"/>
      <c r="V10" s="45" t="s">
        <v>16</v>
      </c>
      <c r="W10" s="10"/>
      <c r="X10" s="43" t="s">
        <v>12</v>
      </c>
      <c r="Y10" s="10"/>
      <c r="Z10" s="40" t="s">
        <v>17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x14ac:dyDescent="0.25">
      <c r="A12" s="10"/>
      <c r="B12" s="28" t="s">
        <v>7</v>
      </c>
      <c r="C12" s="10"/>
      <c r="D12" s="4">
        <f>SUM(0)</f>
        <v>0</v>
      </c>
      <c r="E12" s="4"/>
      <c r="F12" s="13"/>
      <c r="G12" s="4"/>
      <c r="H12" s="4">
        <f>SUM(0)</f>
        <v>0</v>
      </c>
      <c r="I12" s="4"/>
      <c r="J12" s="13"/>
      <c r="K12" s="4"/>
      <c r="L12" s="4">
        <f>+D12-H12</f>
        <v>0</v>
      </c>
      <c r="M12" s="4"/>
      <c r="N12" s="13">
        <f>IF(H12=0,0,L12/H12)</f>
        <v>0</v>
      </c>
      <c r="O12" s="10"/>
      <c r="P12" s="4">
        <f>SUM(0)</f>
        <v>0</v>
      </c>
      <c r="Q12" s="4"/>
      <c r="R12" s="13"/>
      <c r="S12" s="4"/>
      <c r="T12" s="4">
        <f>SUM(0)</f>
        <v>0</v>
      </c>
      <c r="U12" s="4"/>
      <c r="V12" s="13"/>
      <c r="W12" s="4"/>
      <c r="X12" s="4">
        <f>+P12-T12</f>
        <v>0</v>
      </c>
      <c r="Y12" s="4"/>
      <c r="Z12" s="13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8" t="s">
        <v>8</v>
      </c>
      <c r="C14" s="10"/>
      <c r="D14" s="4">
        <f>SUM(0)</f>
        <v>0</v>
      </c>
      <c r="E14" s="4"/>
      <c r="F14" s="13">
        <f>IF(D$12=0,0,D14/D$12)</f>
        <v>0</v>
      </c>
      <c r="G14" s="4"/>
      <c r="H14" s="4">
        <f>SUM(0)</f>
        <v>0</v>
      </c>
      <c r="I14" s="4"/>
      <c r="J14" s="13">
        <f>IF(H$12=0,0,H14/H$12)</f>
        <v>0</v>
      </c>
      <c r="K14" s="4"/>
      <c r="L14" s="4">
        <f>+D14-H14</f>
        <v>0</v>
      </c>
      <c r="M14" s="4"/>
      <c r="N14" s="13">
        <f>IF(H14=0,0,L14/H14)</f>
        <v>0</v>
      </c>
      <c r="O14" s="10"/>
      <c r="P14" s="4">
        <f>SUM(0)</f>
        <v>0</v>
      </c>
      <c r="Q14" s="4"/>
      <c r="R14" s="13">
        <f>IF(P$12=0,0,P14/P$12)</f>
        <v>0</v>
      </c>
      <c r="S14" s="4"/>
      <c r="T14" s="4">
        <f>SUM(0)</f>
        <v>0</v>
      </c>
      <c r="U14" s="4"/>
      <c r="V14" s="13">
        <f>IF(T$12=0,0,T14/T$12)</f>
        <v>0</v>
      </c>
      <c r="W14" s="4"/>
      <c r="X14" s="4">
        <f>+P14-T14</f>
        <v>0</v>
      </c>
      <c r="Y14" s="4"/>
      <c r="Z14" s="13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9" t="s">
        <v>6</v>
      </c>
      <c r="C16" s="29"/>
      <c r="D16" s="20">
        <f>D12-D14</f>
        <v>0</v>
      </c>
      <c r="E16" s="14"/>
      <c r="F16" s="22">
        <f>IF(D$12=0,0,D16/D$12)</f>
        <v>0</v>
      </c>
      <c r="G16" s="14"/>
      <c r="H16" s="20">
        <f>H12-H14</f>
        <v>0</v>
      </c>
      <c r="I16" s="14"/>
      <c r="J16" s="22">
        <f>IF(H$12=0,0,H16/H$12)</f>
        <v>0</v>
      </c>
      <c r="K16" s="16"/>
      <c r="L16" s="20">
        <f>+D16-H16</f>
        <v>0</v>
      </c>
      <c r="M16" s="16"/>
      <c r="N16" s="22">
        <f>IF(H16=0,0,L16/H16)</f>
        <v>0</v>
      </c>
      <c r="O16" s="28"/>
      <c r="P16" s="20">
        <f>P12-P14</f>
        <v>0</v>
      </c>
      <c r="Q16" s="14"/>
      <c r="R16" s="22">
        <f>IF(P$12=0,0,P16/P$12)</f>
        <v>0</v>
      </c>
      <c r="S16" s="14"/>
      <c r="T16" s="20">
        <f>T12-T14</f>
        <v>0</v>
      </c>
      <c r="U16" s="14"/>
      <c r="V16" s="22">
        <f>IF(T$12=0,0,T16/T$12)</f>
        <v>0</v>
      </c>
      <c r="W16" s="16"/>
      <c r="X16" s="20">
        <f>+P16-T16</f>
        <v>0</v>
      </c>
      <c r="Y16" s="16"/>
      <c r="Z16" s="22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8" t="s">
        <v>9</v>
      </c>
      <c r="C18" s="10"/>
      <c r="D18" s="21">
        <f>SUM(OSRRefD22x_0)</f>
        <v>28280.820000000003</v>
      </c>
      <c r="E18" s="21"/>
      <c r="F18" s="30">
        <f t="shared" ref="F18:F28" si="0">IF(D$12=0,0,D18/D$12)</f>
        <v>0</v>
      </c>
      <c r="G18" s="21"/>
      <c r="H18" s="21">
        <f>SUM(OSRRefH22x_0)</f>
        <v>69986.394416923053</v>
      </c>
      <c r="I18" s="21"/>
      <c r="J18" s="30">
        <f t="shared" ref="J18:J28" si="1">IF(H$12=0,0,H18/H$12)</f>
        <v>0</v>
      </c>
      <c r="K18" s="4"/>
      <c r="L18" s="21">
        <f t="shared" ref="L18:L28" si="2">+D18-H18</f>
        <v>-41705.574416923046</v>
      </c>
      <c r="M18" s="4"/>
      <c r="N18" s="30">
        <f t="shared" ref="N18:N28" si="3">IF(H18=0,0,L18/H18)</f>
        <v>-0.59590974452083556</v>
      </c>
      <c r="O18" s="10"/>
      <c r="P18" s="21">
        <f>SUM(OSRRefP22x_0)</f>
        <v>629962.5299999998</v>
      </c>
      <c r="Q18" s="21"/>
      <c r="R18" s="30">
        <f t="shared" ref="R18:R28" si="4">IF(P$12=0,0,P18/P$12)</f>
        <v>0</v>
      </c>
      <c r="S18" s="21"/>
      <c r="T18" s="21">
        <f>SUM(OSRRefT22x_0)</f>
        <v>1145591.7330030766</v>
      </c>
      <c r="U18" s="21"/>
      <c r="V18" s="30">
        <f t="shared" ref="V18:V28" si="5">IF(T$12=0,0,T18/T$12)</f>
        <v>0</v>
      </c>
      <c r="W18" s="4"/>
      <c r="X18" s="21">
        <f t="shared" ref="X18:X28" si="6">+P18-T18</f>
        <v>-515629.20300307684</v>
      </c>
      <c r="Y18" s="4"/>
      <c r="Z18" s="30">
        <f t="shared" ref="Z18:Z28" si="7">IF(T18=0,0,X18/T18)</f>
        <v>-0.45009857189820701</v>
      </c>
    </row>
    <row r="19" spans="1:26" s="27" customFormat="1" outlineLevel="1" collapsed="1" x14ac:dyDescent="0.25">
      <c r="A19" s="25"/>
      <c r="B19" s="12" t="str">
        <f>CONCATENATE("     ","*Benefits                                         ")</f>
        <v xml:space="preserve">     *Benefits                                         </v>
      </c>
      <c r="C19" s="12"/>
      <c r="D19" s="1">
        <f>SUM(OSRRefD22_0x_0)</f>
        <v>9959.89</v>
      </c>
      <c r="E19" s="1"/>
      <c r="F19" s="5">
        <f t="shared" si="0"/>
        <v>0</v>
      </c>
      <c r="G19" s="1"/>
      <c r="H19" s="1">
        <f>SUM(OSRRefH22_0x_0)</f>
        <v>13117.425186153856</v>
      </c>
      <c r="I19" s="1"/>
      <c r="J19" s="5">
        <f t="shared" si="1"/>
        <v>0</v>
      </c>
      <c r="K19" s="1"/>
      <c r="L19" s="1">
        <f t="shared" si="2"/>
        <v>-3157.5351861538566</v>
      </c>
      <c r="M19" s="1"/>
      <c r="N19" s="5">
        <f t="shared" si="3"/>
        <v>-0.24071303181410966</v>
      </c>
      <c r="O19" s="12"/>
      <c r="P19" s="1">
        <f>SUM(OSRRefP22_0x_0)</f>
        <v>151469.58000000002</v>
      </c>
      <c r="Q19" s="1"/>
      <c r="R19" s="5">
        <f t="shared" si="4"/>
        <v>0</v>
      </c>
      <c r="S19" s="1"/>
      <c r="T19" s="1">
        <f>SUM(OSRRefT22_0x_0)</f>
        <v>152670.10223384621</v>
      </c>
      <c r="U19" s="1"/>
      <c r="V19" s="5">
        <f t="shared" si="5"/>
        <v>0</v>
      </c>
      <c r="W19" s="1"/>
      <c r="X19" s="1">
        <f t="shared" si="6"/>
        <v>-1200.5222338461899</v>
      </c>
      <c r="Y19" s="1"/>
      <c r="Z19" s="5">
        <f t="shared" si="7"/>
        <v>-7.8635057963565048E-3</v>
      </c>
    </row>
    <row r="20" spans="1:26" s="24" customFormat="1" hidden="1" outlineLevel="2" x14ac:dyDescent="0.25">
      <c r="A20" s="26"/>
      <c r="B20" s="11" t="str">
        <f>CONCATENATE("          ", "6111", " - ", "F.I.C.A.")</f>
        <v xml:space="preserve">          6111 - F.I.C.A.</v>
      </c>
      <c r="C20" s="11"/>
      <c r="D20" s="7">
        <v>1447.18</v>
      </c>
      <c r="E20" s="2"/>
      <c r="F20" s="6">
        <f t="shared" si="0"/>
        <v>0</v>
      </c>
      <c r="G20" s="2"/>
      <c r="H20" s="7">
        <v>2387.8184169230799</v>
      </c>
      <c r="I20" s="2"/>
      <c r="J20" s="6">
        <f t="shared" si="1"/>
        <v>0</v>
      </c>
      <c r="K20" s="2"/>
      <c r="L20" s="7">
        <f t="shared" si="2"/>
        <v>-940.63841692307983</v>
      </c>
      <c r="M20" s="2"/>
      <c r="N20" s="6">
        <f t="shared" si="3"/>
        <v>-0.39393213916792613</v>
      </c>
      <c r="O20" s="11"/>
      <c r="P20" s="7">
        <v>20898.060000000001</v>
      </c>
      <c r="Q20" s="2"/>
      <c r="R20" s="6">
        <f t="shared" si="4"/>
        <v>0</v>
      </c>
      <c r="S20" s="2"/>
      <c r="T20" s="7">
        <v>28653.821003076959</v>
      </c>
      <c r="U20" s="2"/>
      <c r="V20" s="6">
        <f t="shared" si="5"/>
        <v>0</v>
      </c>
      <c r="W20" s="2"/>
      <c r="X20" s="7">
        <f t="shared" si="6"/>
        <v>-7755.7610030769574</v>
      </c>
      <c r="Y20" s="2"/>
      <c r="Z20" s="6">
        <f t="shared" si="7"/>
        <v>-0.2706710913788466</v>
      </c>
    </row>
    <row r="21" spans="1:26" s="24" customFormat="1" hidden="1" outlineLevel="2" x14ac:dyDescent="0.25">
      <c r="A21" s="26"/>
      <c r="B21" s="11" t="str">
        <f>CONCATENATE("          ", "6112", " - ", "COMPENSATION INSURANCE")</f>
        <v xml:space="preserve">          6112 - COMPENSATION INSURANCE</v>
      </c>
      <c r="C21" s="11"/>
      <c r="D21" s="7">
        <v>96.48</v>
      </c>
      <c r="E21" s="2"/>
      <c r="F21" s="6">
        <f t="shared" si="0"/>
        <v>0</v>
      </c>
      <c r="G21" s="2"/>
      <c r="H21" s="7">
        <v>106.08366153846201</v>
      </c>
      <c r="I21" s="2"/>
      <c r="J21" s="6">
        <f t="shared" si="1"/>
        <v>0</v>
      </c>
      <c r="K21" s="2"/>
      <c r="L21" s="7">
        <f t="shared" si="2"/>
        <v>-9.6036615384620063</v>
      </c>
      <c r="M21" s="2"/>
      <c r="N21" s="6">
        <f t="shared" si="3"/>
        <v>-9.052912954913489E-2</v>
      </c>
      <c r="O21" s="11"/>
      <c r="P21" s="7">
        <v>1219.03</v>
      </c>
      <c r="Q21" s="2"/>
      <c r="R21" s="6">
        <f t="shared" si="4"/>
        <v>0</v>
      </c>
      <c r="S21" s="2"/>
      <c r="T21" s="7">
        <v>1273.003938461542</v>
      </c>
      <c r="U21" s="2"/>
      <c r="V21" s="6">
        <f t="shared" si="5"/>
        <v>0</v>
      </c>
      <c r="W21" s="2"/>
      <c r="X21" s="7">
        <f t="shared" si="6"/>
        <v>-53.973938461542048</v>
      </c>
      <c r="Y21" s="2"/>
      <c r="Z21" s="6">
        <f t="shared" si="7"/>
        <v>-4.2398877828116494E-2</v>
      </c>
    </row>
    <row r="22" spans="1:26" s="24" customFormat="1" hidden="1" outlineLevel="2" x14ac:dyDescent="0.25">
      <c r="A22" s="26"/>
      <c r="B22" s="11" t="str">
        <f>CONCATENATE("          ", "6113", " - ", "GROUP INSURANCE")</f>
        <v xml:space="preserve">          6113 - GROUP INSURANCE</v>
      </c>
      <c r="C22" s="11"/>
      <c r="D22" s="7">
        <v>3965.44</v>
      </c>
      <c r="E22" s="2"/>
      <c r="F22" s="6">
        <f t="shared" si="0"/>
        <v>0</v>
      </c>
      <c r="G22" s="2"/>
      <c r="H22" s="7">
        <v>4739</v>
      </c>
      <c r="I22" s="2"/>
      <c r="J22" s="6">
        <f t="shared" si="1"/>
        <v>0</v>
      </c>
      <c r="K22" s="2"/>
      <c r="L22" s="7">
        <f t="shared" si="2"/>
        <v>-773.56</v>
      </c>
      <c r="M22" s="2"/>
      <c r="N22" s="6">
        <f t="shared" si="3"/>
        <v>-0.16323274952521627</v>
      </c>
      <c r="O22" s="11"/>
      <c r="P22" s="7">
        <v>44967.06</v>
      </c>
      <c r="Q22" s="2"/>
      <c r="R22" s="6">
        <f t="shared" si="4"/>
        <v>0</v>
      </c>
      <c r="S22" s="2"/>
      <c r="T22" s="7">
        <v>52129</v>
      </c>
      <c r="U22" s="2"/>
      <c r="V22" s="6">
        <f t="shared" si="5"/>
        <v>0</v>
      </c>
      <c r="W22" s="2"/>
      <c r="X22" s="7">
        <f t="shared" si="6"/>
        <v>-7161.9400000000023</v>
      </c>
      <c r="Y22" s="2"/>
      <c r="Z22" s="6">
        <f t="shared" si="7"/>
        <v>-0.13738878551286238</v>
      </c>
    </row>
    <row r="23" spans="1:26" s="24" customFormat="1" hidden="1" outlineLevel="2" x14ac:dyDescent="0.25">
      <c r="A23" s="26"/>
      <c r="B23" s="11" t="str">
        <f>CONCATENATE("          ", "6114", " - ", "STATE UNEMPLOYMENT INSURANCE")</f>
        <v xml:space="preserve">          6114 - STATE UNEMPLOYMENT INSURANCE</v>
      </c>
      <c r="C23" s="11"/>
      <c r="D23" s="7">
        <v>73.78</v>
      </c>
      <c r="E23" s="2"/>
      <c r="F23" s="6">
        <f t="shared" si="0"/>
        <v>0</v>
      </c>
      <c r="G23" s="2"/>
      <c r="H23" s="7">
        <v>81.122799999999998</v>
      </c>
      <c r="I23" s="2"/>
      <c r="J23" s="6">
        <f t="shared" si="1"/>
        <v>0</v>
      </c>
      <c r="K23" s="2"/>
      <c r="L23" s="7">
        <f t="shared" si="2"/>
        <v>-7.3427999999999969</v>
      </c>
      <c r="M23" s="2"/>
      <c r="N23" s="6">
        <f t="shared" si="3"/>
        <v>-9.0514627207147647E-2</v>
      </c>
      <c r="O23" s="11"/>
      <c r="P23" s="7">
        <v>1088.8900000000001</v>
      </c>
      <c r="Q23" s="2"/>
      <c r="R23" s="6">
        <f t="shared" si="4"/>
        <v>0</v>
      </c>
      <c r="S23" s="2"/>
      <c r="T23" s="7">
        <v>973.47360000000003</v>
      </c>
      <c r="U23" s="2"/>
      <c r="V23" s="6">
        <f t="shared" si="5"/>
        <v>0</v>
      </c>
      <c r="W23" s="2"/>
      <c r="X23" s="7">
        <f t="shared" si="6"/>
        <v>115.41640000000007</v>
      </c>
      <c r="Y23" s="2"/>
      <c r="Z23" s="6">
        <f t="shared" si="7"/>
        <v>0.1185614073150007</v>
      </c>
    </row>
    <row r="24" spans="1:26" s="24" customFormat="1" hidden="1" outlineLevel="2" x14ac:dyDescent="0.25">
      <c r="A24" s="26"/>
      <c r="B24" s="11" t="str">
        <f>CONCATENATE("          ", "6115", " - ", "P.E.R.S.")</f>
        <v xml:space="preserve">          6115 - P.E.R.S.</v>
      </c>
      <c r="C24" s="11"/>
      <c r="D24" s="7">
        <v>1898.57</v>
      </c>
      <c r="E24" s="2"/>
      <c r="F24" s="6">
        <f t="shared" si="0"/>
        <v>0</v>
      </c>
      <c r="G24" s="2"/>
      <c r="H24" s="7">
        <v>2683.2926153846201</v>
      </c>
      <c r="I24" s="2"/>
      <c r="J24" s="6">
        <f t="shared" si="1"/>
        <v>0</v>
      </c>
      <c r="K24" s="2"/>
      <c r="L24" s="7">
        <f t="shared" si="2"/>
        <v>-784.72261538462021</v>
      </c>
      <c r="M24" s="2"/>
      <c r="N24" s="6">
        <f t="shared" si="3"/>
        <v>-0.29244764841725579</v>
      </c>
      <c r="O24" s="11"/>
      <c r="P24" s="7">
        <v>30150.710000000003</v>
      </c>
      <c r="Q24" s="2"/>
      <c r="R24" s="6">
        <f t="shared" si="4"/>
        <v>0</v>
      </c>
      <c r="S24" s="2"/>
      <c r="T24" s="7">
        <v>32199.51138461542</v>
      </c>
      <c r="U24" s="2"/>
      <c r="V24" s="6">
        <f t="shared" si="5"/>
        <v>0</v>
      </c>
      <c r="W24" s="2"/>
      <c r="X24" s="7">
        <f t="shared" si="6"/>
        <v>-2048.8013846154172</v>
      </c>
      <c r="Y24" s="2"/>
      <c r="Z24" s="6">
        <f t="shared" si="7"/>
        <v>-6.3628337714289426E-2</v>
      </c>
    </row>
    <row r="25" spans="1:26" s="24" customFormat="1" hidden="1" outlineLevel="2" x14ac:dyDescent="0.25">
      <c r="A25" s="26"/>
      <c r="B25" s="11" t="str">
        <f>CONCATENATE("          ", "6116", " - ", "EDUCATIONAL BENEFITS")</f>
        <v xml:space="preserve">          6116 - EDUCATIONAL BENEFITS</v>
      </c>
      <c r="C25" s="11"/>
      <c r="D25" s="7"/>
      <c r="E25" s="2"/>
      <c r="F25" s="6">
        <f t="shared" si="0"/>
        <v>0</v>
      </c>
      <c r="G25" s="2"/>
      <c r="H25" s="7">
        <v>0</v>
      </c>
      <c r="I25" s="2"/>
      <c r="J25" s="6">
        <f t="shared" si="1"/>
        <v>0</v>
      </c>
      <c r="K25" s="2"/>
      <c r="L25" s="7">
        <f t="shared" si="2"/>
        <v>0</v>
      </c>
      <c r="M25" s="2"/>
      <c r="N25" s="6">
        <f t="shared" si="3"/>
        <v>0</v>
      </c>
      <c r="O25" s="11"/>
      <c r="P25" s="7"/>
      <c r="Q25" s="2"/>
      <c r="R25" s="6">
        <f t="shared" si="4"/>
        <v>0</v>
      </c>
      <c r="S25" s="2"/>
      <c r="T25" s="7">
        <v>0</v>
      </c>
      <c r="U25" s="2"/>
      <c r="V25" s="6">
        <f t="shared" si="5"/>
        <v>0</v>
      </c>
      <c r="W25" s="2"/>
      <c r="X25" s="7">
        <f t="shared" si="6"/>
        <v>0</v>
      </c>
      <c r="Y25" s="2"/>
      <c r="Z25" s="6">
        <f t="shared" si="7"/>
        <v>0</v>
      </c>
    </row>
    <row r="26" spans="1:26" s="24" customFormat="1" hidden="1" outlineLevel="2" x14ac:dyDescent="0.25">
      <c r="A26" s="26"/>
      <c r="B26" s="11" t="str">
        <f>CONCATENATE("          ", "6118", " - ", "VACATION")</f>
        <v xml:space="preserve">          6118 - VACATION</v>
      </c>
      <c r="C26" s="11"/>
      <c r="D26" s="7">
        <v>1621.64</v>
      </c>
      <c r="E26" s="2"/>
      <c r="F26" s="6">
        <f t="shared" si="0"/>
        <v>0</v>
      </c>
      <c r="G26" s="2"/>
      <c r="H26" s="7">
        <v>2447.1215384615398</v>
      </c>
      <c r="I26" s="2"/>
      <c r="J26" s="6">
        <f t="shared" si="1"/>
        <v>0</v>
      </c>
      <c r="K26" s="2"/>
      <c r="L26" s="7">
        <f t="shared" si="2"/>
        <v>-825.48153846153969</v>
      </c>
      <c r="M26" s="2"/>
      <c r="N26" s="6">
        <f t="shared" si="3"/>
        <v>-0.33732756035505485</v>
      </c>
      <c r="O26" s="11"/>
      <c r="P26" s="7">
        <v>25428.2</v>
      </c>
      <c r="Q26" s="2"/>
      <c r="R26" s="6">
        <f t="shared" si="4"/>
        <v>0</v>
      </c>
      <c r="S26" s="2"/>
      <c r="T26" s="7">
        <v>29365.458461538463</v>
      </c>
      <c r="U26" s="2"/>
      <c r="V26" s="6">
        <f t="shared" si="5"/>
        <v>0</v>
      </c>
      <c r="W26" s="2"/>
      <c r="X26" s="7">
        <f t="shared" si="6"/>
        <v>-3937.2584615384621</v>
      </c>
      <c r="Y26" s="2"/>
      <c r="Z26" s="6">
        <f t="shared" si="7"/>
        <v>-0.13407788155922387</v>
      </c>
    </row>
    <row r="27" spans="1:26" s="24" customFormat="1" hidden="1" outlineLevel="2" x14ac:dyDescent="0.25">
      <c r="A27" s="26"/>
      <c r="B27" s="11" t="str">
        <f>CONCATENATE("          ", "6119", " - ", "SICK LEAVE")</f>
        <v xml:space="preserve">          6119 - SICK LEAVE</v>
      </c>
      <c r="C27" s="11"/>
      <c r="D27" s="7">
        <v>856.8</v>
      </c>
      <c r="E27" s="2"/>
      <c r="F27" s="6">
        <f t="shared" si="0"/>
        <v>0</v>
      </c>
      <c r="G27" s="2"/>
      <c r="H27" s="7">
        <v>672.98615384615402</v>
      </c>
      <c r="I27" s="2"/>
      <c r="J27" s="6">
        <f t="shared" si="1"/>
        <v>0</v>
      </c>
      <c r="K27" s="2"/>
      <c r="L27" s="7">
        <f t="shared" si="2"/>
        <v>183.81384615384593</v>
      </c>
      <c r="M27" s="2"/>
      <c r="N27" s="6">
        <f t="shared" si="3"/>
        <v>0.27313169090231554</v>
      </c>
      <c r="O27" s="11"/>
      <c r="P27" s="7">
        <v>25112</v>
      </c>
      <c r="Q27" s="2"/>
      <c r="R27" s="6">
        <f t="shared" si="4"/>
        <v>0</v>
      </c>
      <c r="S27" s="2"/>
      <c r="T27" s="7">
        <v>8075.8338461538451</v>
      </c>
      <c r="U27" s="2"/>
      <c r="V27" s="6">
        <f t="shared" si="5"/>
        <v>0</v>
      </c>
      <c r="W27" s="2"/>
      <c r="X27" s="7">
        <f t="shared" si="6"/>
        <v>17036.166153846156</v>
      </c>
      <c r="Y27" s="2"/>
      <c r="Z27" s="6">
        <f t="shared" si="7"/>
        <v>2.1095241034409979</v>
      </c>
    </row>
    <row r="28" spans="1:26" s="24" customFormat="1" hidden="1" outlineLevel="2" x14ac:dyDescent="0.25">
      <c r="A28" s="26"/>
      <c r="B28" s="11" t="str">
        <f>CONCATENATE("          ", "6156", " - ", "EMPLOYEE MEALS")</f>
        <v xml:space="preserve">          6156 - EMPLOYEE MEALS</v>
      </c>
      <c r="C28" s="11"/>
      <c r="D28" s="7"/>
      <c r="E28" s="2"/>
      <c r="F28" s="6">
        <f t="shared" si="0"/>
        <v>0</v>
      </c>
      <c r="G28" s="2"/>
      <c r="H28" s="7"/>
      <c r="I28" s="2"/>
      <c r="J28" s="6">
        <f t="shared" si="1"/>
        <v>0</v>
      </c>
      <c r="K28" s="2"/>
      <c r="L28" s="7">
        <f t="shared" si="2"/>
        <v>0</v>
      </c>
      <c r="M28" s="2"/>
      <c r="N28" s="6">
        <f t="shared" si="3"/>
        <v>0</v>
      </c>
      <c r="O28" s="11"/>
      <c r="P28" s="7">
        <v>2605.63</v>
      </c>
      <c r="Q28" s="2"/>
      <c r="R28" s="6">
        <f t="shared" si="4"/>
        <v>0</v>
      </c>
      <c r="S28" s="2"/>
      <c r="T28" s="7"/>
      <c r="U28" s="2"/>
      <c r="V28" s="6">
        <f t="shared" si="5"/>
        <v>0</v>
      </c>
      <c r="W28" s="2"/>
      <c r="X28" s="7">
        <f t="shared" si="6"/>
        <v>2605.63</v>
      </c>
      <c r="Y28" s="2"/>
      <c r="Z28" s="6">
        <f t="shared" si="7"/>
        <v>0</v>
      </c>
    </row>
    <row r="29" spans="1:26" s="27" customFormat="1" outlineLevel="1" collapsed="1" x14ac:dyDescent="0.25">
      <c r="A29" s="25"/>
      <c r="B29" s="12" t="str">
        <f>CONCATENATE("     ","*Payroll                                          ")</f>
        <v xml:space="preserve">     *Payroll                                          </v>
      </c>
      <c r="C29" s="12"/>
      <c r="D29" s="1">
        <f>SUM(OSRRefD22_1x_0)</f>
        <v>15659.76</v>
      </c>
      <c r="E29" s="1"/>
      <c r="F29" s="5">
        <f t="shared" ref="F29:F39" si="8">IF(D$12=0,0,D29/D$12)</f>
        <v>0</v>
      </c>
      <c r="G29" s="1"/>
      <c r="H29" s="1">
        <f>SUM(OSRRefH22_1x_0)</f>
        <v>28080.969230769191</v>
      </c>
      <c r="I29" s="1"/>
      <c r="J29" s="5">
        <f t="shared" ref="J29:J39" si="9">IF(H$12=0,0,H29/H$12)</f>
        <v>0</v>
      </c>
      <c r="K29" s="1"/>
      <c r="L29" s="1">
        <f t="shared" ref="L29:L39" si="10">+D29-H29</f>
        <v>-12421.209230769191</v>
      </c>
      <c r="M29" s="1"/>
      <c r="N29" s="5">
        <f t="shared" ref="N29:N39" si="11">IF(H29=0,0,L29/H29)</f>
        <v>-0.44233548809130441</v>
      </c>
      <c r="O29" s="12"/>
      <c r="P29" s="1">
        <f>SUM(OSRRefP22_1x_0)</f>
        <v>182366.61999999997</v>
      </c>
      <c r="Q29" s="1"/>
      <c r="R29" s="5">
        <f t="shared" ref="R29:R39" si="12">IF(P$12=0,0,P29/P$12)</f>
        <v>0</v>
      </c>
      <c r="S29" s="1"/>
      <c r="T29" s="1">
        <f>SUM(OSRRefT22_1x_0)</f>
        <v>336971.63076923043</v>
      </c>
      <c r="U29" s="1"/>
      <c r="V29" s="5">
        <f t="shared" ref="V29:V39" si="13">IF(T$12=0,0,T29/T$12)</f>
        <v>0</v>
      </c>
      <c r="W29" s="1"/>
      <c r="X29" s="1">
        <f t="shared" ref="X29:X39" si="14">+P29-T29</f>
        <v>-154605.01076923046</v>
      </c>
      <c r="Y29" s="1"/>
      <c r="Z29" s="5">
        <f t="shared" ref="Z29:Z39" si="15">IF(T29=0,0,X29/T29)</f>
        <v>-0.45880720111750062</v>
      </c>
    </row>
    <row r="30" spans="1:26" s="24" customFormat="1" hidden="1" outlineLevel="2" x14ac:dyDescent="0.25">
      <c r="A30" s="26"/>
      <c r="B30" s="11" t="str">
        <f>CONCATENATE("          ", "6001", " - ", "ADMINISTRATIVE SALARIES")</f>
        <v xml:space="preserve">          6001 - ADMINISTRATIVE SALARIES</v>
      </c>
      <c r="C30" s="11"/>
      <c r="D30" s="7">
        <v>13456.34</v>
      </c>
      <c r="E30" s="2"/>
      <c r="F30" s="6">
        <f t="shared" si="8"/>
        <v>0</v>
      </c>
      <c r="G30" s="2"/>
      <c r="H30" s="7">
        <v>23674.1538461538</v>
      </c>
      <c r="I30" s="2"/>
      <c r="J30" s="6">
        <f t="shared" si="9"/>
        <v>0</v>
      </c>
      <c r="K30" s="2"/>
      <c r="L30" s="7">
        <f t="shared" si="10"/>
        <v>-10217.8138461538</v>
      </c>
      <c r="M30" s="2"/>
      <c r="N30" s="6">
        <f t="shared" si="11"/>
        <v>-0.43160207171728876</v>
      </c>
      <c r="O30" s="11"/>
      <c r="P30" s="7">
        <v>172360.8</v>
      </c>
      <c r="Q30" s="2"/>
      <c r="R30" s="6">
        <f t="shared" si="12"/>
        <v>0</v>
      </c>
      <c r="S30" s="2"/>
      <c r="T30" s="7">
        <v>284089.84615384578</v>
      </c>
      <c r="U30" s="2"/>
      <c r="V30" s="6">
        <f t="shared" si="13"/>
        <v>0</v>
      </c>
      <c r="W30" s="2"/>
      <c r="X30" s="7">
        <f t="shared" si="14"/>
        <v>-111729.04615384579</v>
      </c>
      <c r="Y30" s="2"/>
      <c r="Z30" s="6">
        <f t="shared" si="15"/>
        <v>-0.39328771396264595</v>
      </c>
    </row>
    <row r="31" spans="1:26" s="24" customFormat="1" hidden="1" outlineLevel="2" x14ac:dyDescent="0.25">
      <c r="A31" s="26"/>
      <c r="B31" s="11" t="str">
        <f>CONCATENATE("          ", "6002", " - ", "STAFF SALARIES")</f>
        <v xml:space="preserve">          6002 - STAFF SALARIES</v>
      </c>
      <c r="C31" s="11"/>
      <c r="D31" s="7">
        <v>2203.42</v>
      </c>
      <c r="E31" s="2"/>
      <c r="F31" s="6">
        <f t="shared" si="8"/>
        <v>0</v>
      </c>
      <c r="G31" s="2"/>
      <c r="H31" s="7">
        <v>4406.81538461539</v>
      </c>
      <c r="I31" s="2"/>
      <c r="J31" s="6">
        <f t="shared" si="9"/>
        <v>0</v>
      </c>
      <c r="K31" s="2"/>
      <c r="L31" s="7">
        <f t="shared" si="10"/>
        <v>-2203.39538461539</v>
      </c>
      <c r="M31" s="2"/>
      <c r="N31" s="6">
        <f t="shared" si="11"/>
        <v>-0.49999720712323281</v>
      </c>
      <c r="O31" s="11"/>
      <c r="P31" s="7">
        <v>47985.539999999994</v>
      </c>
      <c r="Q31" s="2"/>
      <c r="R31" s="6">
        <f t="shared" si="12"/>
        <v>0</v>
      </c>
      <c r="S31" s="2"/>
      <c r="T31" s="7">
        <v>52881.784615384655</v>
      </c>
      <c r="U31" s="2"/>
      <c r="V31" s="6">
        <f t="shared" si="13"/>
        <v>0</v>
      </c>
      <c r="W31" s="2"/>
      <c r="X31" s="7">
        <f t="shared" si="14"/>
        <v>-4896.2446153846613</v>
      </c>
      <c r="Y31" s="2"/>
      <c r="Z31" s="6">
        <f t="shared" si="15"/>
        <v>-9.2588490554840683E-2</v>
      </c>
    </row>
    <row r="32" spans="1:26" s="24" customFormat="1" hidden="1" outlineLevel="2" x14ac:dyDescent="0.25">
      <c r="A32" s="26"/>
      <c r="B32" s="11" t="str">
        <f>CONCATENATE("          ", "6003", " - ", "STAFF HOURLY-9 MONTH")</f>
        <v xml:space="preserve">          6003 - STAFF HOURLY-9 MONTH</v>
      </c>
      <c r="C32" s="11"/>
      <c r="D32" s="7"/>
      <c r="E32" s="2"/>
      <c r="F32" s="6">
        <f t="shared" si="8"/>
        <v>0</v>
      </c>
      <c r="G32" s="2"/>
      <c r="H32" s="7">
        <v>0</v>
      </c>
      <c r="I32" s="2"/>
      <c r="J32" s="6">
        <f t="shared" si="9"/>
        <v>0</v>
      </c>
      <c r="K32" s="2"/>
      <c r="L32" s="7">
        <f t="shared" si="10"/>
        <v>0</v>
      </c>
      <c r="M32" s="2"/>
      <c r="N32" s="6">
        <f t="shared" si="11"/>
        <v>0</v>
      </c>
      <c r="O32" s="11"/>
      <c r="P32" s="7"/>
      <c r="Q32" s="2"/>
      <c r="R32" s="6">
        <f t="shared" si="12"/>
        <v>0</v>
      </c>
      <c r="S32" s="2"/>
      <c r="T32" s="7">
        <v>0</v>
      </c>
      <c r="U32" s="2"/>
      <c r="V32" s="6">
        <f t="shared" si="13"/>
        <v>0</v>
      </c>
      <c r="W32" s="2"/>
      <c r="X32" s="7">
        <f t="shared" si="14"/>
        <v>0</v>
      </c>
      <c r="Y32" s="2"/>
      <c r="Z32" s="6">
        <f t="shared" si="15"/>
        <v>0</v>
      </c>
    </row>
    <row r="33" spans="1:26" s="24" customFormat="1" hidden="1" outlineLevel="2" x14ac:dyDescent="0.25">
      <c r="A33" s="26"/>
      <c r="B33" s="11" t="str">
        <f>CONCATENATE("          ", "6004", " - ", "STAFF HOURLY")</f>
        <v xml:space="preserve">          6004 - STAFF HOURLY</v>
      </c>
      <c r="C33" s="11"/>
      <c r="D33" s="7"/>
      <c r="E33" s="2"/>
      <c r="F33" s="6">
        <f t="shared" si="8"/>
        <v>0</v>
      </c>
      <c r="G33" s="2"/>
      <c r="H33" s="7">
        <v>0</v>
      </c>
      <c r="I33" s="2"/>
      <c r="J33" s="6">
        <f t="shared" si="9"/>
        <v>0</v>
      </c>
      <c r="K33" s="2"/>
      <c r="L33" s="7">
        <f t="shared" si="10"/>
        <v>0</v>
      </c>
      <c r="M33" s="2"/>
      <c r="N33" s="6">
        <f t="shared" si="11"/>
        <v>0</v>
      </c>
      <c r="O33" s="11"/>
      <c r="P33" s="7"/>
      <c r="Q33" s="2"/>
      <c r="R33" s="6">
        <f t="shared" si="12"/>
        <v>0</v>
      </c>
      <c r="S33" s="2"/>
      <c r="T33" s="7">
        <v>0</v>
      </c>
      <c r="U33" s="2"/>
      <c r="V33" s="6">
        <f t="shared" si="13"/>
        <v>0</v>
      </c>
      <c r="W33" s="2"/>
      <c r="X33" s="7">
        <f t="shared" si="14"/>
        <v>0</v>
      </c>
      <c r="Y33" s="2"/>
      <c r="Z33" s="6">
        <f t="shared" si="15"/>
        <v>0</v>
      </c>
    </row>
    <row r="34" spans="1:26" s="24" customFormat="1" hidden="1" outlineLevel="2" x14ac:dyDescent="0.25">
      <c r="A34" s="26"/>
      <c r="B34" s="11" t="str">
        <f>CONCATENATE("          ", "6005", " - ", "TEMPORARY WAGES-HOURLY")</f>
        <v xml:space="preserve">          6005 - TEMPORARY WAGES-HOURLY</v>
      </c>
      <c r="C34" s="11"/>
      <c r="D34" s="7"/>
      <c r="E34" s="2"/>
      <c r="F34" s="6">
        <f t="shared" si="8"/>
        <v>0</v>
      </c>
      <c r="G34" s="2"/>
      <c r="H34" s="7">
        <v>0</v>
      </c>
      <c r="I34" s="2"/>
      <c r="J34" s="6">
        <f t="shared" si="9"/>
        <v>0</v>
      </c>
      <c r="K34" s="2"/>
      <c r="L34" s="7">
        <f t="shared" si="10"/>
        <v>0</v>
      </c>
      <c r="M34" s="2"/>
      <c r="N34" s="6">
        <f t="shared" si="11"/>
        <v>0</v>
      </c>
      <c r="O34" s="11"/>
      <c r="P34" s="7"/>
      <c r="Q34" s="2"/>
      <c r="R34" s="6">
        <f t="shared" si="12"/>
        <v>0</v>
      </c>
      <c r="S34" s="2"/>
      <c r="T34" s="7">
        <v>0</v>
      </c>
      <c r="U34" s="2"/>
      <c r="V34" s="6">
        <f t="shared" si="13"/>
        <v>0</v>
      </c>
      <c r="W34" s="2"/>
      <c r="X34" s="7">
        <f t="shared" si="14"/>
        <v>0</v>
      </c>
      <c r="Y34" s="2"/>
      <c r="Z34" s="6">
        <f t="shared" si="15"/>
        <v>0</v>
      </c>
    </row>
    <row r="35" spans="1:26" s="24" customFormat="1" hidden="1" outlineLevel="2" x14ac:dyDescent="0.25">
      <c r="A35" s="26"/>
      <c r="B35" s="11" t="str">
        <f>CONCATENATE("          ", "6006", " - ", "TEMPORARY PART TIME")</f>
        <v xml:space="preserve">          6006 - TEMPORARY PART TIME</v>
      </c>
      <c r="C35" s="11"/>
      <c r="D35" s="7"/>
      <c r="E35" s="2"/>
      <c r="F35" s="6">
        <f t="shared" si="8"/>
        <v>0</v>
      </c>
      <c r="G35" s="2"/>
      <c r="H35" s="7">
        <v>0</v>
      </c>
      <c r="I35" s="2"/>
      <c r="J35" s="6">
        <f t="shared" si="9"/>
        <v>0</v>
      </c>
      <c r="K35" s="2"/>
      <c r="L35" s="7">
        <f t="shared" si="10"/>
        <v>0</v>
      </c>
      <c r="M35" s="2"/>
      <c r="N35" s="6">
        <f t="shared" si="11"/>
        <v>0</v>
      </c>
      <c r="O35" s="11"/>
      <c r="P35" s="7"/>
      <c r="Q35" s="2"/>
      <c r="R35" s="6">
        <f t="shared" si="12"/>
        <v>0</v>
      </c>
      <c r="S35" s="2"/>
      <c r="T35" s="7">
        <v>0</v>
      </c>
      <c r="U35" s="2"/>
      <c r="V35" s="6">
        <f t="shared" si="13"/>
        <v>0</v>
      </c>
      <c r="W35" s="2"/>
      <c r="X35" s="7">
        <f t="shared" si="14"/>
        <v>0</v>
      </c>
      <c r="Y35" s="2"/>
      <c r="Z35" s="6">
        <f t="shared" si="15"/>
        <v>0</v>
      </c>
    </row>
    <row r="36" spans="1:26" s="24" customFormat="1" hidden="1" outlineLevel="2" x14ac:dyDescent="0.25">
      <c r="A36" s="26"/>
      <c r="B36" s="11" t="str">
        <f>CONCATENATE("          ", "6007", " - ", "STUDENT HOURLY")</f>
        <v xml:space="preserve">          6007 - STUDENT HOURLY</v>
      </c>
      <c r="C36" s="11"/>
      <c r="D36" s="7"/>
      <c r="E36" s="2"/>
      <c r="F36" s="6">
        <f t="shared" si="8"/>
        <v>0</v>
      </c>
      <c r="G36" s="2"/>
      <c r="H36" s="7">
        <v>0</v>
      </c>
      <c r="I36" s="2"/>
      <c r="J36" s="6">
        <f t="shared" si="9"/>
        <v>0</v>
      </c>
      <c r="K36" s="2"/>
      <c r="L36" s="7">
        <f t="shared" si="10"/>
        <v>0</v>
      </c>
      <c r="M36" s="2"/>
      <c r="N36" s="6">
        <f t="shared" si="11"/>
        <v>0</v>
      </c>
      <c r="O36" s="11"/>
      <c r="P36" s="7">
        <v>-37979.72</v>
      </c>
      <c r="Q36" s="2"/>
      <c r="R36" s="6">
        <f t="shared" si="12"/>
        <v>0</v>
      </c>
      <c r="S36" s="2"/>
      <c r="T36" s="7">
        <v>0</v>
      </c>
      <c r="U36" s="2"/>
      <c r="V36" s="6">
        <f t="shared" si="13"/>
        <v>0</v>
      </c>
      <c r="W36" s="2"/>
      <c r="X36" s="7">
        <f t="shared" si="14"/>
        <v>-37979.72</v>
      </c>
      <c r="Y36" s="2"/>
      <c r="Z36" s="6">
        <f t="shared" si="15"/>
        <v>0</v>
      </c>
    </row>
    <row r="37" spans="1:26" s="24" customFormat="1" hidden="1" outlineLevel="2" x14ac:dyDescent="0.25">
      <c r="A37" s="26"/>
      <c r="B37" s="11" t="str">
        <f>CONCATENATE("          ", "6008", " - ", "STUDENT HOURLY-FICA EXEMPT")</f>
        <v xml:space="preserve">          6008 - STUDENT HOURLY-FICA EXEMPT</v>
      </c>
      <c r="C37" s="11"/>
      <c r="D37" s="7"/>
      <c r="E37" s="2"/>
      <c r="F37" s="6">
        <f t="shared" si="8"/>
        <v>0</v>
      </c>
      <c r="G37" s="2"/>
      <c r="H37" s="7">
        <v>0</v>
      </c>
      <c r="I37" s="2"/>
      <c r="J37" s="6">
        <f t="shared" si="9"/>
        <v>0</v>
      </c>
      <c r="K37" s="2"/>
      <c r="L37" s="7">
        <f t="shared" si="10"/>
        <v>0</v>
      </c>
      <c r="M37" s="2"/>
      <c r="N37" s="6">
        <f t="shared" si="11"/>
        <v>0</v>
      </c>
      <c r="O37" s="11"/>
      <c r="P37" s="7"/>
      <c r="Q37" s="2"/>
      <c r="R37" s="6">
        <f t="shared" si="12"/>
        <v>0</v>
      </c>
      <c r="S37" s="2"/>
      <c r="T37" s="7">
        <v>0</v>
      </c>
      <c r="U37" s="2"/>
      <c r="V37" s="6">
        <f t="shared" si="13"/>
        <v>0</v>
      </c>
      <c r="W37" s="2"/>
      <c r="X37" s="7">
        <f t="shared" si="14"/>
        <v>0</v>
      </c>
      <c r="Y37" s="2"/>
      <c r="Z37" s="6">
        <f t="shared" si="15"/>
        <v>0</v>
      </c>
    </row>
    <row r="38" spans="1:26" s="24" customFormat="1" hidden="1" outlineLevel="2" x14ac:dyDescent="0.25">
      <c r="A38" s="26"/>
      <c r="B38" s="11" t="str">
        <f>CONCATENATE("          ", "6009", " - ", "TEMPORARY-SEASONAL")</f>
        <v xml:space="preserve">          6009 - TEMPORARY-SEASONAL</v>
      </c>
      <c r="C38" s="11"/>
      <c r="D38" s="7"/>
      <c r="E38" s="2"/>
      <c r="F38" s="6">
        <f t="shared" si="8"/>
        <v>0</v>
      </c>
      <c r="G38" s="2"/>
      <c r="H38" s="7">
        <v>0</v>
      </c>
      <c r="I38" s="2"/>
      <c r="J38" s="6">
        <f t="shared" si="9"/>
        <v>0</v>
      </c>
      <c r="K38" s="2"/>
      <c r="L38" s="7">
        <f t="shared" si="10"/>
        <v>0</v>
      </c>
      <c r="M38" s="2"/>
      <c r="N38" s="6">
        <f t="shared" si="11"/>
        <v>0</v>
      </c>
      <c r="O38" s="11"/>
      <c r="P38" s="7"/>
      <c r="Q38" s="2"/>
      <c r="R38" s="6">
        <f t="shared" si="12"/>
        <v>0</v>
      </c>
      <c r="S38" s="2"/>
      <c r="T38" s="7">
        <v>0</v>
      </c>
      <c r="U38" s="2"/>
      <c r="V38" s="6">
        <f t="shared" si="13"/>
        <v>0</v>
      </c>
      <c r="W38" s="2"/>
      <c r="X38" s="7">
        <f t="shared" si="14"/>
        <v>0</v>
      </c>
      <c r="Y38" s="2"/>
      <c r="Z38" s="6">
        <f t="shared" si="15"/>
        <v>0</v>
      </c>
    </row>
    <row r="39" spans="1:26" s="24" customFormat="1" hidden="1" outlineLevel="2" x14ac:dyDescent="0.25">
      <c r="A39" s="26"/>
      <c r="B39" s="11" t="str">
        <f>CONCATENATE("          ", "6010", " - ", "GRATUITY")</f>
        <v xml:space="preserve">          6010 - GRATUITY</v>
      </c>
      <c r="C39" s="11"/>
      <c r="D39" s="7"/>
      <c r="E39" s="2"/>
      <c r="F39" s="6">
        <f t="shared" si="8"/>
        <v>0</v>
      </c>
      <c r="G39" s="2"/>
      <c r="H39" s="7">
        <v>0</v>
      </c>
      <c r="I39" s="2"/>
      <c r="J39" s="6">
        <f t="shared" si="9"/>
        <v>0</v>
      </c>
      <c r="K39" s="2"/>
      <c r="L39" s="7">
        <f t="shared" si="10"/>
        <v>0</v>
      </c>
      <c r="M39" s="2"/>
      <c r="N39" s="6">
        <f t="shared" si="11"/>
        <v>0</v>
      </c>
      <c r="O39" s="11"/>
      <c r="P39" s="7"/>
      <c r="Q39" s="2"/>
      <c r="R39" s="6">
        <f t="shared" si="12"/>
        <v>0</v>
      </c>
      <c r="S39" s="2"/>
      <c r="T39" s="7">
        <v>0</v>
      </c>
      <c r="U39" s="2"/>
      <c r="V39" s="6">
        <f t="shared" si="13"/>
        <v>0</v>
      </c>
      <c r="W39" s="2"/>
      <c r="X39" s="7">
        <f t="shared" si="14"/>
        <v>0</v>
      </c>
      <c r="Y39" s="2"/>
      <c r="Z39" s="6">
        <f t="shared" si="15"/>
        <v>0</v>
      </c>
    </row>
    <row r="40" spans="1:26" s="27" customFormat="1" outlineLevel="1" collapsed="1" x14ac:dyDescent="0.25">
      <c r="A40" s="25"/>
      <c r="B40" s="12" t="str">
        <f>CONCATENATE("     ","Advertising/Promo                                 ")</f>
        <v xml:space="preserve">     Advertising/Promo                                 </v>
      </c>
      <c r="C40" s="12"/>
      <c r="D40" s="1">
        <f>SUM(OSRRefD22_2x_0)</f>
        <v>0</v>
      </c>
      <c r="E40" s="1"/>
      <c r="F40" s="5">
        <f t="shared" ref="F40:F46" si="16">IF(D$12=0,0,D40/D$12)</f>
        <v>0</v>
      </c>
      <c r="G40" s="1"/>
      <c r="H40" s="1">
        <f>SUM(OSRRefH22_2x_0)</f>
        <v>9000</v>
      </c>
      <c r="I40" s="1"/>
      <c r="J40" s="5">
        <f t="shared" ref="J40:J46" si="17">IF(H$12=0,0,H40/H$12)</f>
        <v>0</v>
      </c>
      <c r="K40" s="1"/>
      <c r="L40" s="1">
        <f t="shared" ref="L40:L46" si="18">+D40-H40</f>
        <v>-9000</v>
      </c>
      <c r="M40" s="1"/>
      <c r="N40" s="5">
        <f t="shared" ref="N40:N46" si="19">IF(H40=0,0,L40/H40)</f>
        <v>-1</v>
      </c>
      <c r="O40" s="12"/>
      <c r="P40" s="1">
        <f>SUM(OSRRefP22_2x_0)</f>
        <v>12880.83</v>
      </c>
      <c r="Q40" s="1"/>
      <c r="R40" s="5">
        <f t="shared" ref="R40:R46" si="20">IF(P$12=0,0,P40/P$12)</f>
        <v>0</v>
      </c>
      <c r="S40" s="1"/>
      <c r="T40" s="1">
        <f>SUM(OSRRefT22_2x_0)</f>
        <v>99000</v>
      </c>
      <c r="U40" s="1"/>
      <c r="V40" s="5">
        <f t="shared" ref="V40:V46" si="21">IF(T$12=0,0,T40/T$12)</f>
        <v>0</v>
      </c>
      <c r="W40" s="1"/>
      <c r="X40" s="1">
        <f t="shared" ref="X40:X46" si="22">+P40-T40</f>
        <v>-86119.17</v>
      </c>
      <c r="Y40" s="1"/>
      <c r="Z40" s="5">
        <f t="shared" ref="Z40:Z46" si="23">IF(T40=0,0,X40/T40)</f>
        <v>-0.86989060606060609</v>
      </c>
    </row>
    <row r="41" spans="1:26" s="24" customFormat="1" hidden="1" outlineLevel="2" x14ac:dyDescent="0.25">
      <c r="A41" s="26"/>
      <c r="B41" s="11" t="str">
        <f>CONCATENATE("          ", "6362", " - ", "ADVERTISING EXPENSE")</f>
        <v xml:space="preserve">          6362 - ADVERTISING EXPENSE</v>
      </c>
      <c r="C41" s="11"/>
      <c r="D41" s="7"/>
      <c r="E41" s="2"/>
      <c r="F41" s="6">
        <f t="shared" si="16"/>
        <v>0</v>
      </c>
      <c r="G41" s="2"/>
      <c r="H41" s="7">
        <v>9000</v>
      </c>
      <c r="I41" s="2"/>
      <c r="J41" s="6">
        <f t="shared" si="17"/>
        <v>0</v>
      </c>
      <c r="K41" s="2"/>
      <c r="L41" s="7">
        <f t="shared" si="18"/>
        <v>-9000</v>
      </c>
      <c r="M41" s="2"/>
      <c r="N41" s="6">
        <f t="shared" si="19"/>
        <v>-1</v>
      </c>
      <c r="O41" s="11"/>
      <c r="P41" s="7">
        <v>12880.83</v>
      </c>
      <c r="Q41" s="2"/>
      <c r="R41" s="6">
        <f t="shared" si="20"/>
        <v>0</v>
      </c>
      <c r="S41" s="2"/>
      <c r="T41" s="7">
        <v>99000</v>
      </c>
      <c r="U41" s="2"/>
      <c r="V41" s="6">
        <f t="shared" si="21"/>
        <v>0</v>
      </c>
      <c r="W41" s="2"/>
      <c r="X41" s="7">
        <f t="shared" si="22"/>
        <v>-86119.17</v>
      </c>
      <c r="Y41" s="2"/>
      <c r="Z41" s="6">
        <f t="shared" si="23"/>
        <v>-0.86989060606060609</v>
      </c>
    </row>
    <row r="42" spans="1:26" s="27" customFormat="1" outlineLevel="1" collapsed="1" x14ac:dyDescent="0.25">
      <c r="A42" s="25"/>
      <c r="B42" s="12" t="str">
        <f>CONCATENATE("     ","Depreciation                                      ")</f>
        <v xml:space="preserve">     Depreciation                                      </v>
      </c>
      <c r="C42" s="12"/>
      <c r="D42" s="1">
        <f>SUM(OSRRefD22_3x_0)</f>
        <v>314.87</v>
      </c>
      <c r="E42" s="1"/>
      <c r="F42" s="5">
        <f t="shared" si="16"/>
        <v>0</v>
      </c>
      <c r="G42" s="1"/>
      <c r="H42" s="1">
        <f>SUM(OSRRefH22_3x_0)</f>
        <v>345</v>
      </c>
      <c r="I42" s="1"/>
      <c r="J42" s="5">
        <f t="shared" si="17"/>
        <v>0</v>
      </c>
      <c r="K42" s="1"/>
      <c r="L42" s="1">
        <f t="shared" si="18"/>
        <v>-30.129999999999995</v>
      </c>
      <c r="M42" s="1"/>
      <c r="N42" s="5">
        <f t="shared" si="19"/>
        <v>-8.7333333333333318E-2</v>
      </c>
      <c r="O42" s="12"/>
      <c r="P42" s="1">
        <f>SUM(OSRRefP22_3x_0)</f>
        <v>3736.84</v>
      </c>
      <c r="Q42" s="1"/>
      <c r="R42" s="5">
        <f t="shared" si="20"/>
        <v>0</v>
      </c>
      <c r="S42" s="1"/>
      <c r="T42" s="1">
        <f>SUM(OSRRefT22_3x_0)</f>
        <v>3795</v>
      </c>
      <c r="U42" s="1"/>
      <c r="V42" s="5">
        <f t="shared" si="21"/>
        <v>0</v>
      </c>
      <c r="W42" s="1"/>
      <c r="X42" s="1">
        <f t="shared" si="22"/>
        <v>-58.159999999999854</v>
      </c>
      <c r="Y42" s="1"/>
      <c r="Z42" s="5">
        <f t="shared" si="23"/>
        <v>-1.5325428194993374E-2</v>
      </c>
    </row>
    <row r="43" spans="1:26" s="24" customFormat="1" hidden="1" outlineLevel="2" x14ac:dyDescent="0.25">
      <c r="A43" s="26"/>
      <c r="B43" s="11" t="str">
        <f>CONCATENATE("          ", "6322", " - ", "EQUIPMENT DEPRECIATION EXPENSE")</f>
        <v xml:space="preserve">          6322 - EQUIPMENT DEPRECIATION EXPENSE</v>
      </c>
      <c r="C43" s="11"/>
      <c r="D43" s="7">
        <v>314.87</v>
      </c>
      <c r="E43" s="2"/>
      <c r="F43" s="6">
        <f t="shared" si="16"/>
        <v>0</v>
      </c>
      <c r="G43" s="2"/>
      <c r="H43" s="7">
        <v>345</v>
      </c>
      <c r="I43" s="2"/>
      <c r="J43" s="6">
        <f t="shared" si="17"/>
        <v>0</v>
      </c>
      <c r="K43" s="2"/>
      <c r="L43" s="7">
        <f t="shared" si="18"/>
        <v>-30.129999999999995</v>
      </c>
      <c r="M43" s="2"/>
      <c r="N43" s="6">
        <f t="shared" si="19"/>
        <v>-8.7333333333333318E-2</v>
      </c>
      <c r="O43" s="11"/>
      <c r="P43" s="7">
        <v>3736.84</v>
      </c>
      <c r="Q43" s="2"/>
      <c r="R43" s="6">
        <f t="shared" si="20"/>
        <v>0</v>
      </c>
      <c r="S43" s="2"/>
      <c r="T43" s="7">
        <v>3795</v>
      </c>
      <c r="U43" s="2"/>
      <c r="V43" s="6">
        <f t="shared" si="21"/>
        <v>0</v>
      </c>
      <c r="W43" s="2"/>
      <c r="X43" s="7">
        <f t="shared" si="22"/>
        <v>-58.159999999999854</v>
      </c>
      <c r="Y43" s="2"/>
      <c r="Z43" s="6">
        <f t="shared" si="23"/>
        <v>-1.5325428194993374E-2</v>
      </c>
    </row>
    <row r="44" spans="1:26" s="27" customFormat="1" outlineLevel="1" collapsed="1" x14ac:dyDescent="0.25">
      <c r="A44" s="25"/>
      <c r="B44" s="12" t="str">
        <f>CONCATENATE("     ","Donations                                         ")</f>
        <v xml:space="preserve">     Donations                                         </v>
      </c>
      <c r="C44" s="12"/>
      <c r="D44" s="1">
        <f>SUM(OSRRefD22_4x_0)</f>
        <v>0</v>
      </c>
      <c r="E44" s="1"/>
      <c r="F44" s="5">
        <f t="shared" si="16"/>
        <v>0</v>
      </c>
      <c r="G44" s="1"/>
      <c r="H44" s="1">
        <f>SUM(OSRRefH22_4x_0)</f>
        <v>14390</v>
      </c>
      <c r="I44" s="1"/>
      <c r="J44" s="5">
        <f t="shared" si="17"/>
        <v>0</v>
      </c>
      <c r="K44" s="1"/>
      <c r="L44" s="1">
        <f t="shared" si="18"/>
        <v>-14390</v>
      </c>
      <c r="M44" s="1"/>
      <c r="N44" s="5">
        <f t="shared" si="19"/>
        <v>-1</v>
      </c>
      <c r="O44" s="12"/>
      <c r="P44" s="1">
        <f>SUM(OSRRefP22_4x_0)</f>
        <v>145645</v>
      </c>
      <c r="Q44" s="1"/>
      <c r="R44" s="5">
        <f t="shared" si="20"/>
        <v>0</v>
      </c>
      <c r="S44" s="1"/>
      <c r="T44" s="1">
        <f>SUM(OSRRefT22_4x_0)</f>
        <v>407190</v>
      </c>
      <c r="U44" s="1"/>
      <c r="V44" s="5">
        <f t="shared" si="21"/>
        <v>0</v>
      </c>
      <c r="W44" s="1"/>
      <c r="X44" s="1">
        <f t="shared" si="22"/>
        <v>-261545</v>
      </c>
      <c r="Y44" s="1"/>
      <c r="Z44" s="5">
        <f t="shared" si="23"/>
        <v>-0.64231685453964982</v>
      </c>
    </row>
    <row r="45" spans="1:26" s="24" customFormat="1" hidden="1" outlineLevel="2" x14ac:dyDescent="0.25">
      <c r="A45" s="26"/>
      <c r="B45" s="11" t="str">
        <f>CONCATENATE("          ", "6395", " - ", "DONATION-OFF CAMPUS")</f>
        <v xml:space="preserve">          6395 - DONATION-OFF CAMPUS</v>
      </c>
      <c r="C45" s="11"/>
      <c r="D45" s="7"/>
      <c r="E45" s="2"/>
      <c r="F45" s="6">
        <f t="shared" si="16"/>
        <v>0</v>
      </c>
      <c r="G45" s="2"/>
      <c r="H45" s="7"/>
      <c r="I45" s="2"/>
      <c r="J45" s="6">
        <f t="shared" si="17"/>
        <v>0</v>
      </c>
      <c r="K45" s="2"/>
      <c r="L45" s="7">
        <f t="shared" si="18"/>
        <v>0</v>
      </c>
      <c r="M45" s="2"/>
      <c r="N45" s="6">
        <f t="shared" si="19"/>
        <v>0</v>
      </c>
      <c r="O45" s="11"/>
      <c r="P45" s="7"/>
      <c r="Q45" s="2"/>
      <c r="R45" s="6">
        <f t="shared" si="20"/>
        <v>0</v>
      </c>
      <c r="S45" s="2"/>
      <c r="T45" s="7">
        <v>2300</v>
      </c>
      <c r="U45" s="2"/>
      <c r="V45" s="6">
        <f t="shared" si="21"/>
        <v>0</v>
      </c>
      <c r="W45" s="2"/>
      <c r="X45" s="7">
        <f t="shared" si="22"/>
        <v>-2300</v>
      </c>
      <c r="Y45" s="2"/>
      <c r="Z45" s="6">
        <f t="shared" si="23"/>
        <v>-1</v>
      </c>
    </row>
    <row r="46" spans="1:26" s="24" customFormat="1" hidden="1" outlineLevel="2" x14ac:dyDescent="0.25">
      <c r="A46" s="26"/>
      <c r="B46" s="11" t="str">
        <f>CONCATENATE("          ", "6399", " - ", "DONATION-ON CAMPUS")</f>
        <v xml:space="preserve">          6399 - DONATION-ON CAMPUS</v>
      </c>
      <c r="C46" s="11"/>
      <c r="D46" s="7"/>
      <c r="E46" s="2"/>
      <c r="F46" s="6">
        <f t="shared" si="16"/>
        <v>0</v>
      </c>
      <c r="G46" s="2"/>
      <c r="H46" s="7">
        <v>14390</v>
      </c>
      <c r="I46" s="2"/>
      <c r="J46" s="6">
        <f t="shared" si="17"/>
        <v>0</v>
      </c>
      <c r="K46" s="2"/>
      <c r="L46" s="7">
        <f t="shared" si="18"/>
        <v>-14390</v>
      </c>
      <c r="M46" s="2"/>
      <c r="N46" s="6">
        <f t="shared" si="19"/>
        <v>-1</v>
      </c>
      <c r="O46" s="11"/>
      <c r="P46" s="7">
        <v>145645</v>
      </c>
      <c r="Q46" s="2"/>
      <c r="R46" s="6">
        <f t="shared" si="20"/>
        <v>0</v>
      </c>
      <c r="S46" s="2"/>
      <c r="T46" s="7">
        <v>404890</v>
      </c>
      <c r="U46" s="2"/>
      <c r="V46" s="6">
        <f t="shared" si="21"/>
        <v>0</v>
      </c>
      <c r="W46" s="2"/>
      <c r="X46" s="7">
        <f t="shared" si="22"/>
        <v>-259245</v>
      </c>
      <c r="Y46" s="2"/>
      <c r="Z46" s="6">
        <f t="shared" si="23"/>
        <v>-0.64028501568327201</v>
      </c>
    </row>
    <row r="47" spans="1:26" s="27" customFormat="1" outlineLevel="1" collapsed="1" x14ac:dyDescent="0.25">
      <c r="A47" s="25"/>
      <c r="B47" s="12" t="str">
        <f>CONCATENATE("     ","Employees' Appreciation                           ")</f>
        <v xml:space="preserve">     Employees' Appreciation                           </v>
      </c>
      <c r="C47" s="12"/>
      <c r="D47" s="1">
        <f>SUM(OSRRefD22_5x_0)</f>
        <v>0</v>
      </c>
      <c r="E47" s="1"/>
      <c r="F47" s="5">
        <f t="shared" ref="F47:F60" si="24">IF(D$12=0,0,D47/D$12)</f>
        <v>0</v>
      </c>
      <c r="G47" s="1"/>
      <c r="H47" s="1">
        <f>SUM(OSRRefH22_5x_0)</f>
        <v>0</v>
      </c>
      <c r="I47" s="1"/>
      <c r="J47" s="5">
        <f t="shared" ref="J47:J60" si="25">IF(H$12=0,0,H47/H$12)</f>
        <v>0</v>
      </c>
      <c r="K47" s="1"/>
      <c r="L47" s="1">
        <f t="shared" ref="L47:L60" si="26">+D47-H47</f>
        <v>0</v>
      </c>
      <c r="M47" s="1"/>
      <c r="N47" s="5">
        <f t="shared" ref="N47:N60" si="27">IF(H47=0,0,L47/H47)</f>
        <v>0</v>
      </c>
      <c r="O47" s="12"/>
      <c r="P47" s="1">
        <f>SUM(OSRRefP22_5x_0)</f>
        <v>0</v>
      </c>
      <c r="Q47" s="1"/>
      <c r="R47" s="5">
        <f t="shared" ref="R47:R60" si="28">IF(P$12=0,0,P47/P$12)</f>
        <v>0</v>
      </c>
      <c r="S47" s="1"/>
      <c r="T47" s="1">
        <f>SUM(OSRRefT22_5x_0)</f>
        <v>5000</v>
      </c>
      <c r="U47" s="1"/>
      <c r="V47" s="5">
        <f t="shared" ref="V47:V60" si="29">IF(T$12=0,0,T47/T$12)</f>
        <v>0</v>
      </c>
      <c r="W47" s="1"/>
      <c r="X47" s="1">
        <f t="shared" ref="X47:X60" si="30">+P47-T47</f>
        <v>-5000</v>
      </c>
      <c r="Y47" s="1"/>
      <c r="Z47" s="5">
        <f t="shared" ref="Z47:Z60" si="31">IF(T47=0,0,X47/T47)</f>
        <v>-1</v>
      </c>
    </row>
    <row r="48" spans="1:26" s="24" customFormat="1" hidden="1" outlineLevel="2" x14ac:dyDescent="0.25">
      <c r="A48" s="26"/>
      <c r="B48" s="11" t="str">
        <f>CONCATENATE("          ", "6277", " - ", "EMPLOYEE APPRECIATION")</f>
        <v xml:space="preserve">          6277 - EMPLOYEE APPRECIATION</v>
      </c>
      <c r="C48" s="11"/>
      <c r="D48" s="7"/>
      <c r="E48" s="2"/>
      <c r="F48" s="6">
        <f t="shared" si="24"/>
        <v>0</v>
      </c>
      <c r="G48" s="2"/>
      <c r="H48" s="7"/>
      <c r="I48" s="2"/>
      <c r="J48" s="6">
        <f t="shared" si="25"/>
        <v>0</v>
      </c>
      <c r="K48" s="2"/>
      <c r="L48" s="7">
        <f t="shared" si="26"/>
        <v>0</v>
      </c>
      <c r="M48" s="2"/>
      <c r="N48" s="6">
        <f t="shared" si="27"/>
        <v>0</v>
      </c>
      <c r="O48" s="11"/>
      <c r="P48" s="7"/>
      <c r="Q48" s="2"/>
      <c r="R48" s="6">
        <f t="shared" si="28"/>
        <v>0</v>
      </c>
      <c r="S48" s="2"/>
      <c r="T48" s="7">
        <v>5000</v>
      </c>
      <c r="U48" s="2"/>
      <c r="V48" s="6">
        <f t="shared" si="29"/>
        <v>0</v>
      </c>
      <c r="W48" s="2"/>
      <c r="X48" s="7">
        <f t="shared" si="30"/>
        <v>-5000</v>
      </c>
      <c r="Y48" s="2"/>
      <c r="Z48" s="6">
        <f t="shared" si="31"/>
        <v>-1</v>
      </c>
    </row>
    <row r="49" spans="1:26" s="27" customFormat="1" outlineLevel="1" collapsed="1" x14ac:dyDescent="0.25">
      <c r="A49" s="25"/>
      <c r="B49" s="12" t="str">
        <f>CONCATENATE("     ","Equipment Rental                                  ")</f>
        <v xml:space="preserve">     Equipment Rental                                  </v>
      </c>
      <c r="C49" s="12"/>
      <c r="D49" s="1">
        <f>SUM(OSRRefD22_6x_0)</f>
        <v>117.72</v>
      </c>
      <c r="E49" s="1"/>
      <c r="F49" s="5">
        <f t="shared" si="24"/>
        <v>0</v>
      </c>
      <c r="G49" s="1"/>
      <c r="H49" s="1">
        <f>SUM(OSRRefH22_6x_0)</f>
        <v>118</v>
      </c>
      <c r="I49" s="1"/>
      <c r="J49" s="5">
        <f t="shared" si="25"/>
        <v>0</v>
      </c>
      <c r="K49" s="1"/>
      <c r="L49" s="1">
        <f t="shared" si="26"/>
        <v>-0.28000000000000114</v>
      </c>
      <c r="M49" s="1"/>
      <c r="N49" s="5">
        <f t="shared" si="27"/>
        <v>-2.3728813559322128E-3</v>
      </c>
      <c r="O49" s="12"/>
      <c r="P49" s="1">
        <f>SUM(OSRRefP22_6x_0)</f>
        <v>1294.92</v>
      </c>
      <c r="Q49" s="1"/>
      <c r="R49" s="5">
        <f t="shared" si="28"/>
        <v>0</v>
      </c>
      <c r="S49" s="1"/>
      <c r="T49" s="1">
        <f>SUM(OSRRefT22_6x_0)</f>
        <v>1298</v>
      </c>
      <c r="U49" s="1"/>
      <c r="V49" s="5">
        <f t="shared" si="29"/>
        <v>0</v>
      </c>
      <c r="W49" s="1"/>
      <c r="X49" s="1">
        <f t="shared" si="30"/>
        <v>-3.0799999999999272</v>
      </c>
      <c r="Y49" s="1"/>
      <c r="Z49" s="5">
        <f t="shared" si="31"/>
        <v>-2.3728813559321473E-3</v>
      </c>
    </row>
    <row r="50" spans="1:26" s="24" customFormat="1" hidden="1" outlineLevel="2" x14ac:dyDescent="0.25">
      <c r="A50" s="26"/>
      <c r="B50" s="11" t="str">
        <f>CONCATENATE("          ", "6351", " - ", "EQUIPMENT RENTAL")</f>
        <v xml:space="preserve">          6351 - EQUIPMENT RENTAL</v>
      </c>
      <c r="C50" s="11"/>
      <c r="D50" s="7">
        <v>117.72</v>
      </c>
      <c r="E50" s="2"/>
      <c r="F50" s="6">
        <f t="shared" si="24"/>
        <v>0</v>
      </c>
      <c r="G50" s="2"/>
      <c r="H50" s="7">
        <v>118</v>
      </c>
      <c r="I50" s="2"/>
      <c r="J50" s="6">
        <f t="shared" si="25"/>
        <v>0</v>
      </c>
      <c r="K50" s="2"/>
      <c r="L50" s="7">
        <f t="shared" si="26"/>
        <v>-0.28000000000000114</v>
      </c>
      <c r="M50" s="2"/>
      <c r="N50" s="6">
        <f t="shared" si="27"/>
        <v>-2.3728813559322128E-3</v>
      </c>
      <c r="O50" s="11"/>
      <c r="P50" s="7">
        <v>1294.92</v>
      </c>
      <c r="Q50" s="2"/>
      <c r="R50" s="6">
        <f t="shared" si="28"/>
        <v>0</v>
      </c>
      <c r="S50" s="2"/>
      <c r="T50" s="7">
        <v>1298</v>
      </c>
      <c r="U50" s="2"/>
      <c r="V50" s="6">
        <f t="shared" si="29"/>
        <v>0</v>
      </c>
      <c r="W50" s="2"/>
      <c r="X50" s="7">
        <f t="shared" si="30"/>
        <v>-3.0799999999999272</v>
      </c>
      <c r="Y50" s="2"/>
      <c r="Z50" s="6">
        <f t="shared" si="31"/>
        <v>-2.3728813559321473E-3</v>
      </c>
    </row>
    <row r="51" spans="1:26" s="27" customFormat="1" outlineLevel="1" collapsed="1" x14ac:dyDescent="0.25">
      <c r="A51" s="25"/>
      <c r="B51" s="12" t="str">
        <f>CONCATENATE("     ","Freight out/Postage                               ")</f>
        <v xml:space="preserve">     Freight out/Postage                               </v>
      </c>
      <c r="C51" s="12"/>
      <c r="D51" s="1">
        <f>SUM(OSRRefD22_7x_0)</f>
        <v>0</v>
      </c>
      <c r="E51" s="1"/>
      <c r="F51" s="5">
        <f t="shared" si="24"/>
        <v>0</v>
      </c>
      <c r="G51" s="1"/>
      <c r="H51" s="1">
        <f>SUM(OSRRefH22_7x_0)</f>
        <v>0</v>
      </c>
      <c r="I51" s="1"/>
      <c r="J51" s="5">
        <f t="shared" si="25"/>
        <v>0</v>
      </c>
      <c r="K51" s="1"/>
      <c r="L51" s="1">
        <f t="shared" si="26"/>
        <v>0</v>
      </c>
      <c r="M51" s="1"/>
      <c r="N51" s="5">
        <f t="shared" si="27"/>
        <v>0</v>
      </c>
      <c r="O51" s="12"/>
      <c r="P51" s="1">
        <f>SUM(OSRRefP22_7x_0)</f>
        <v>171.76</v>
      </c>
      <c r="Q51" s="1"/>
      <c r="R51" s="5">
        <f t="shared" si="28"/>
        <v>0</v>
      </c>
      <c r="S51" s="1"/>
      <c r="T51" s="1">
        <f>SUM(OSRRefT22_7x_0)</f>
        <v>0</v>
      </c>
      <c r="U51" s="1"/>
      <c r="V51" s="5">
        <f t="shared" si="29"/>
        <v>0</v>
      </c>
      <c r="W51" s="1"/>
      <c r="X51" s="1">
        <f t="shared" si="30"/>
        <v>171.76</v>
      </c>
      <c r="Y51" s="1"/>
      <c r="Z51" s="5">
        <f t="shared" si="31"/>
        <v>0</v>
      </c>
    </row>
    <row r="52" spans="1:26" s="24" customFormat="1" hidden="1" outlineLevel="2" x14ac:dyDescent="0.25">
      <c r="A52" s="26"/>
      <c r="B52" s="11" t="str">
        <f>CONCATENATE("          ", "6307", " - ", "POSTAGE")</f>
        <v xml:space="preserve">          6307 - POSTAGE</v>
      </c>
      <c r="C52" s="11"/>
      <c r="D52" s="7"/>
      <c r="E52" s="2"/>
      <c r="F52" s="6">
        <f t="shared" si="24"/>
        <v>0</v>
      </c>
      <c r="G52" s="2"/>
      <c r="H52" s="7"/>
      <c r="I52" s="2"/>
      <c r="J52" s="6">
        <f t="shared" si="25"/>
        <v>0</v>
      </c>
      <c r="K52" s="2"/>
      <c r="L52" s="7">
        <f t="shared" si="26"/>
        <v>0</v>
      </c>
      <c r="M52" s="2"/>
      <c r="N52" s="6">
        <f t="shared" si="27"/>
        <v>0</v>
      </c>
      <c r="O52" s="11"/>
      <c r="P52" s="7">
        <v>171.76</v>
      </c>
      <c r="Q52" s="2"/>
      <c r="R52" s="6">
        <f t="shared" si="28"/>
        <v>0</v>
      </c>
      <c r="S52" s="2"/>
      <c r="T52" s="7"/>
      <c r="U52" s="2"/>
      <c r="V52" s="6">
        <f t="shared" si="29"/>
        <v>0</v>
      </c>
      <c r="W52" s="2"/>
      <c r="X52" s="7">
        <f t="shared" si="30"/>
        <v>171.76</v>
      </c>
      <c r="Y52" s="2"/>
      <c r="Z52" s="6">
        <f t="shared" si="31"/>
        <v>0</v>
      </c>
    </row>
    <row r="53" spans="1:26" s="27" customFormat="1" outlineLevel="1" collapsed="1" x14ac:dyDescent="0.25">
      <c r="A53" s="25"/>
      <c r="B53" s="12" t="str">
        <f>CONCATENATE("     ","General                                           ")</f>
        <v xml:space="preserve">     General                                           </v>
      </c>
      <c r="C53" s="12"/>
      <c r="D53" s="1">
        <f>SUM(OSRRefD22_8x_0)</f>
        <v>0</v>
      </c>
      <c r="E53" s="1"/>
      <c r="F53" s="5">
        <f t="shared" si="24"/>
        <v>0</v>
      </c>
      <c r="G53" s="1"/>
      <c r="H53" s="1">
        <f>SUM(OSRRefH22_8x_0)</f>
        <v>0</v>
      </c>
      <c r="I53" s="1"/>
      <c r="J53" s="5">
        <f t="shared" si="25"/>
        <v>0</v>
      </c>
      <c r="K53" s="1"/>
      <c r="L53" s="1">
        <f t="shared" si="26"/>
        <v>0</v>
      </c>
      <c r="M53" s="1"/>
      <c r="N53" s="5">
        <f t="shared" si="27"/>
        <v>0</v>
      </c>
      <c r="O53" s="12"/>
      <c r="P53" s="1">
        <f>SUM(OSRRefP22_8x_0)</f>
        <v>13430.41</v>
      </c>
      <c r="Q53" s="1"/>
      <c r="R53" s="5">
        <f t="shared" si="28"/>
        <v>0</v>
      </c>
      <c r="S53" s="1"/>
      <c r="T53" s="1">
        <f>SUM(OSRRefT22_8x_0)</f>
        <v>7500</v>
      </c>
      <c r="U53" s="1"/>
      <c r="V53" s="5">
        <f t="shared" si="29"/>
        <v>0</v>
      </c>
      <c r="W53" s="1"/>
      <c r="X53" s="1">
        <f t="shared" si="30"/>
        <v>5930.41</v>
      </c>
      <c r="Y53" s="1"/>
      <c r="Z53" s="5">
        <f t="shared" si="31"/>
        <v>0.79072133333333328</v>
      </c>
    </row>
    <row r="54" spans="1:26" s="24" customFormat="1" hidden="1" outlineLevel="2" x14ac:dyDescent="0.25">
      <c r="A54" s="26"/>
      <c r="B54" s="11" t="str">
        <f>CONCATENATE("          ", "6279", " - ", "GENERAL EXPENSE")</f>
        <v xml:space="preserve">          6279 - GENERAL EXPENSE</v>
      </c>
      <c r="C54" s="11"/>
      <c r="D54" s="7"/>
      <c r="E54" s="2"/>
      <c r="F54" s="6">
        <f t="shared" si="24"/>
        <v>0</v>
      </c>
      <c r="G54" s="2"/>
      <c r="H54" s="7">
        <v>0</v>
      </c>
      <c r="I54" s="2"/>
      <c r="J54" s="6">
        <f t="shared" si="25"/>
        <v>0</v>
      </c>
      <c r="K54" s="2"/>
      <c r="L54" s="7">
        <f t="shared" si="26"/>
        <v>0</v>
      </c>
      <c r="M54" s="2"/>
      <c r="N54" s="6">
        <f t="shared" si="27"/>
        <v>0</v>
      </c>
      <c r="O54" s="11"/>
      <c r="P54" s="7">
        <v>13430.41</v>
      </c>
      <c r="Q54" s="2"/>
      <c r="R54" s="6">
        <f t="shared" si="28"/>
        <v>0</v>
      </c>
      <c r="S54" s="2"/>
      <c r="T54" s="7">
        <v>7500</v>
      </c>
      <c r="U54" s="2"/>
      <c r="V54" s="6">
        <f t="shared" si="29"/>
        <v>0</v>
      </c>
      <c r="W54" s="2"/>
      <c r="X54" s="7">
        <f t="shared" si="30"/>
        <v>5930.41</v>
      </c>
      <c r="Y54" s="2"/>
      <c r="Z54" s="6">
        <f t="shared" si="31"/>
        <v>0.79072133333333328</v>
      </c>
    </row>
    <row r="55" spans="1:26" s="27" customFormat="1" outlineLevel="1" collapsed="1" x14ac:dyDescent="0.25">
      <c r="A55" s="25"/>
      <c r="B55" s="12" t="str">
        <f>CONCATENATE("     ","Insurance                                         ")</f>
        <v xml:space="preserve">     Insurance                                         </v>
      </c>
      <c r="C55" s="12"/>
      <c r="D55" s="1">
        <f>SUM(OSRRefD22_9x_0)</f>
        <v>469.13</v>
      </c>
      <c r="E55" s="1"/>
      <c r="F55" s="5">
        <f t="shared" si="24"/>
        <v>0</v>
      </c>
      <c r="G55" s="1"/>
      <c r="H55" s="1">
        <f>SUM(OSRRefH22_9x_0)</f>
        <v>110</v>
      </c>
      <c r="I55" s="1"/>
      <c r="J55" s="5">
        <f t="shared" si="25"/>
        <v>0</v>
      </c>
      <c r="K55" s="1"/>
      <c r="L55" s="1">
        <f t="shared" si="26"/>
        <v>359.13</v>
      </c>
      <c r="M55" s="1"/>
      <c r="N55" s="5">
        <f t="shared" si="27"/>
        <v>3.2648181818181818</v>
      </c>
      <c r="O55" s="12"/>
      <c r="P55" s="1">
        <f>SUM(OSRRefP22_9x_0)</f>
        <v>1620.43</v>
      </c>
      <c r="Q55" s="1"/>
      <c r="R55" s="5">
        <f t="shared" si="28"/>
        <v>0</v>
      </c>
      <c r="S55" s="1"/>
      <c r="T55" s="1">
        <f>SUM(OSRRefT22_9x_0)</f>
        <v>1210</v>
      </c>
      <c r="U55" s="1"/>
      <c r="V55" s="5">
        <f t="shared" si="29"/>
        <v>0</v>
      </c>
      <c r="W55" s="1"/>
      <c r="X55" s="1">
        <f t="shared" si="30"/>
        <v>410.43000000000006</v>
      </c>
      <c r="Y55" s="1"/>
      <c r="Z55" s="5">
        <f t="shared" si="31"/>
        <v>0.33919834710743807</v>
      </c>
    </row>
    <row r="56" spans="1:26" s="24" customFormat="1" hidden="1" outlineLevel="2" x14ac:dyDescent="0.25">
      <c r="A56" s="26"/>
      <c r="B56" s="11" t="str">
        <f>CONCATENATE("          ", "6314", " - ", "LIABILITY INSURANCE")</f>
        <v xml:space="preserve">          6314 - LIABILITY INSURANCE</v>
      </c>
      <c r="C56" s="11"/>
      <c r="D56" s="7">
        <v>469.13</v>
      </c>
      <c r="E56" s="2"/>
      <c r="F56" s="6">
        <f t="shared" si="24"/>
        <v>0</v>
      </c>
      <c r="G56" s="2"/>
      <c r="H56" s="7">
        <v>110</v>
      </c>
      <c r="I56" s="2"/>
      <c r="J56" s="6">
        <f t="shared" si="25"/>
        <v>0</v>
      </c>
      <c r="K56" s="2"/>
      <c r="L56" s="7">
        <f t="shared" si="26"/>
        <v>359.13</v>
      </c>
      <c r="M56" s="2"/>
      <c r="N56" s="6">
        <f t="shared" si="27"/>
        <v>3.2648181818181818</v>
      </c>
      <c r="O56" s="11"/>
      <c r="P56" s="7">
        <v>1620.43</v>
      </c>
      <c r="Q56" s="2"/>
      <c r="R56" s="6">
        <f t="shared" si="28"/>
        <v>0</v>
      </c>
      <c r="S56" s="2"/>
      <c r="T56" s="7">
        <v>1210</v>
      </c>
      <c r="U56" s="2"/>
      <c r="V56" s="6">
        <f t="shared" si="29"/>
        <v>0</v>
      </c>
      <c r="W56" s="2"/>
      <c r="X56" s="7">
        <f t="shared" si="30"/>
        <v>410.43000000000006</v>
      </c>
      <c r="Y56" s="2"/>
      <c r="Z56" s="6">
        <f t="shared" si="31"/>
        <v>0.33919834710743807</v>
      </c>
    </row>
    <row r="57" spans="1:26" s="27" customFormat="1" outlineLevel="1" collapsed="1" x14ac:dyDescent="0.25">
      <c r="A57" s="25"/>
      <c r="B57" s="12" t="str">
        <f>CONCATENATE("     ","Professional Services                             ")</f>
        <v xml:space="preserve">     Professional Services                             </v>
      </c>
      <c r="C57" s="12"/>
      <c r="D57" s="1">
        <f>SUM(OSRRefD22_10x_0)</f>
        <v>0</v>
      </c>
      <c r="E57" s="1"/>
      <c r="F57" s="5">
        <f t="shared" si="24"/>
        <v>0</v>
      </c>
      <c r="G57" s="1"/>
      <c r="H57" s="1">
        <f>SUM(OSRRefH22_10x_0)</f>
        <v>0</v>
      </c>
      <c r="I57" s="1"/>
      <c r="J57" s="5">
        <f t="shared" si="25"/>
        <v>0</v>
      </c>
      <c r="K57" s="1"/>
      <c r="L57" s="1">
        <f t="shared" si="26"/>
        <v>0</v>
      </c>
      <c r="M57" s="1"/>
      <c r="N57" s="5">
        <f t="shared" si="27"/>
        <v>0</v>
      </c>
      <c r="O57" s="12"/>
      <c r="P57" s="1">
        <f>SUM(OSRRefP22_10x_0)</f>
        <v>51735</v>
      </c>
      <c r="Q57" s="1"/>
      <c r="R57" s="5">
        <f t="shared" si="28"/>
        <v>0</v>
      </c>
      <c r="S57" s="1"/>
      <c r="T57" s="1">
        <f>SUM(OSRRefT22_10x_0)</f>
        <v>56200</v>
      </c>
      <c r="U57" s="1"/>
      <c r="V57" s="5">
        <f t="shared" si="29"/>
        <v>0</v>
      </c>
      <c r="W57" s="1"/>
      <c r="X57" s="1">
        <f t="shared" si="30"/>
        <v>-4465</v>
      </c>
      <c r="Y57" s="1"/>
      <c r="Z57" s="5">
        <f t="shared" si="31"/>
        <v>-7.9448398576512452E-2</v>
      </c>
    </row>
    <row r="58" spans="1:26" s="24" customFormat="1" hidden="1" outlineLevel="2" x14ac:dyDescent="0.25">
      <c r="A58" s="26"/>
      <c r="B58" s="11" t="str">
        <f>CONCATENATE("          ", "6331", " - ", "INDIRECT COSTS-AUXILIARY ORGAN")</f>
        <v xml:space="preserve">          6331 - INDIRECT COSTS-AUXILIARY ORGAN</v>
      </c>
      <c r="C58" s="11"/>
      <c r="D58" s="7"/>
      <c r="E58" s="2"/>
      <c r="F58" s="6">
        <f t="shared" si="24"/>
        <v>0</v>
      </c>
      <c r="G58" s="2"/>
      <c r="H58" s="7"/>
      <c r="I58" s="2"/>
      <c r="J58" s="6">
        <f t="shared" si="25"/>
        <v>0</v>
      </c>
      <c r="K58" s="2"/>
      <c r="L58" s="7">
        <f t="shared" si="26"/>
        <v>0</v>
      </c>
      <c r="M58" s="2"/>
      <c r="N58" s="6">
        <f t="shared" si="27"/>
        <v>0</v>
      </c>
      <c r="O58" s="11"/>
      <c r="P58" s="7">
        <v>45550</v>
      </c>
      <c r="Q58" s="2"/>
      <c r="R58" s="6">
        <f t="shared" si="28"/>
        <v>0</v>
      </c>
      <c r="S58" s="2"/>
      <c r="T58" s="7">
        <v>48000</v>
      </c>
      <c r="U58" s="2"/>
      <c r="V58" s="6">
        <f t="shared" si="29"/>
        <v>0</v>
      </c>
      <c r="W58" s="2"/>
      <c r="X58" s="7">
        <f t="shared" si="30"/>
        <v>-2450</v>
      </c>
      <c r="Y58" s="2"/>
      <c r="Z58" s="6">
        <f t="shared" si="31"/>
        <v>-5.1041666666666666E-2</v>
      </c>
    </row>
    <row r="59" spans="1:26" s="24" customFormat="1" hidden="1" outlineLevel="2" x14ac:dyDescent="0.25">
      <c r="A59" s="26"/>
      <c r="B59" s="11" t="str">
        <f>CONCATENATE("          ", "6334", " - ", "LEGAL COUNCIL EXPENSE")</f>
        <v xml:space="preserve">          6334 - LEGAL COUNCIL EXPENSE</v>
      </c>
      <c r="C59" s="11"/>
      <c r="D59" s="7"/>
      <c r="E59" s="2"/>
      <c r="F59" s="6">
        <f t="shared" si="24"/>
        <v>0</v>
      </c>
      <c r="G59" s="2"/>
      <c r="H59" s="7">
        <v>0</v>
      </c>
      <c r="I59" s="2"/>
      <c r="J59" s="6">
        <f t="shared" si="25"/>
        <v>0</v>
      </c>
      <c r="K59" s="2"/>
      <c r="L59" s="7">
        <f t="shared" si="26"/>
        <v>0</v>
      </c>
      <c r="M59" s="2"/>
      <c r="N59" s="6">
        <f t="shared" si="27"/>
        <v>0</v>
      </c>
      <c r="O59" s="11"/>
      <c r="P59" s="7">
        <v>1165</v>
      </c>
      <c r="Q59" s="2"/>
      <c r="R59" s="6">
        <f t="shared" si="28"/>
        <v>0</v>
      </c>
      <c r="S59" s="2"/>
      <c r="T59" s="7">
        <v>3200</v>
      </c>
      <c r="U59" s="2"/>
      <c r="V59" s="6">
        <f t="shared" si="29"/>
        <v>0</v>
      </c>
      <c r="W59" s="2"/>
      <c r="X59" s="7">
        <f t="shared" si="30"/>
        <v>-2035</v>
      </c>
      <c r="Y59" s="2"/>
      <c r="Z59" s="6">
        <f t="shared" si="31"/>
        <v>-0.63593750000000004</v>
      </c>
    </row>
    <row r="60" spans="1:26" s="24" customFormat="1" hidden="1" outlineLevel="2" x14ac:dyDescent="0.25">
      <c r="A60" s="26"/>
      <c r="B60" s="11" t="str">
        <f>CONCATENATE("          ", "6336", " - ", "PROFESSIONAL SERVICES")</f>
        <v xml:space="preserve">          6336 - PROFESSIONAL SERVICES</v>
      </c>
      <c r="C60" s="11"/>
      <c r="D60" s="7"/>
      <c r="E60" s="2"/>
      <c r="F60" s="6">
        <f t="shared" si="24"/>
        <v>0</v>
      </c>
      <c r="G60" s="2"/>
      <c r="H60" s="7">
        <v>0</v>
      </c>
      <c r="I60" s="2"/>
      <c r="J60" s="6">
        <f t="shared" si="25"/>
        <v>0</v>
      </c>
      <c r="K60" s="2"/>
      <c r="L60" s="7">
        <f t="shared" si="26"/>
        <v>0</v>
      </c>
      <c r="M60" s="2"/>
      <c r="N60" s="6">
        <f t="shared" si="27"/>
        <v>0</v>
      </c>
      <c r="O60" s="11"/>
      <c r="P60" s="7">
        <v>5020</v>
      </c>
      <c r="Q60" s="2"/>
      <c r="R60" s="6">
        <f t="shared" si="28"/>
        <v>0</v>
      </c>
      <c r="S60" s="2"/>
      <c r="T60" s="7">
        <v>5000</v>
      </c>
      <c r="U60" s="2"/>
      <c r="V60" s="6">
        <f t="shared" si="29"/>
        <v>0</v>
      </c>
      <c r="W60" s="2"/>
      <c r="X60" s="7">
        <f t="shared" si="30"/>
        <v>20</v>
      </c>
      <c r="Y60" s="2"/>
      <c r="Z60" s="6">
        <f t="shared" si="31"/>
        <v>4.0000000000000001E-3</v>
      </c>
    </row>
    <row r="61" spans="1:26" s="27" customFormat="1" outlineLevel="1" collapsed="1" x14ac:dyDescent="0.25">
      <c r="A61" s="25"/>
      <c r="B61" s="12" t="str">
        <f>CONCATENATE("     ","Repair and Maintenance                            ")</f>
        <v xml:space="preserve">     Repair and Maintenance                            </v>
      </c>
      <c r="C61" s="12"/>
      <c r="D61" s="1">
        <f>SUM(OSRRefD22_11x_0)</f>
        <v>2583.62</v>
      </c>
      <c r="E61" s="1"/>
      <c r="F61" s="5">
        <f t="shared" ref="F61:F64" si="32">IF(D$12=0,0,D61/D$12)</f>
        <v>0</v>
      </c>
      <c r="G61" s="1"/>
      <c r="H61" s="1">
        <f>SUM(OSRRefH22_11x_0)</f>
        <v>2975</v>
      </c>
      <c r="I61" s="1"/>
      <c r="J61" s="5">
        <f t="shared" ref="J61:J64" si="33">IF(H$12=0,0,H61/H$12)</f>
        <v>0</v>
      </c>
      <c r="K61" s="1"/>
      <c r="L61" s="1">
        <f t="shared" ref="L61:L64" si="34">+D61-H61</f>
        <v>-391.38000000000011</v>
      </c>
      <c r="M61" s="1"/>
      <c r="N61" s="5">
        <f t="shared" ref="N61:N64" si="35">IF(H61=0,0,L61/H61)</f>
        <v>-0.13155630252100844</v>
      </c>
      <c r="O61" s="12"/>
      <c r="P61" s="1">
        <f>SUM(OSRRefP22_11x_0)</f>
        <v>33437.579999999994</v>
      </c>
      <c r="Q61" s="1"/>
      <c r="R61" s="5">
        <f t="shared" ref="R61:R64" si="36">IF(P$12=0,0,P61/P$12)</f>
        <v>0</v>
      </c>
      <c r="S61" s="1"/>
      <c r="T61" s="1">
        <f>SUM(OSRRefT22_11x_0)</f>
        <v>32725</v>
      </c>
      <c r="U61" s="1"/>
      <c r="V61" s="5">
        <f t="shared" ref="V61:V64" si="37">IF(T$12=0,0,T61/T$12)</f>
        <v>0</v>
      </c>
      <c r="W61" s="1"/>
      <c r="X61" s="1">
        <f t="shared" ref="X61:X64" si="38">+P61-T61</f>
        <v>712.57999999999447</v>
      </c>
      <c r="Y61" s="1"/>
      <c r="Z61" s="5">
        <f t="shared" ref="Z61:Z64" si="39">IF(T61=0,0,X61/T61)</f>
        <v>2.1774789915966219E-2</v>
      </c>
    </row>
    <row r="62" spans="1:26" s="24" customFormat="1" hidden="1" outlineLevel="2" x14ac:dyDescent="0.25">
      <c r="A62" s="26"/>
      <c r="B62" s="11" t="str">
        <f>CONCATENATE("          ", "6371", " - ", "COMPUTER SOFTWARE MAINTENANCE")</f>
        <v xml:space="preserve">          6371 - COMPUTER SOFTWARE MAINTENANCE</v>
      </c>
      <c r="C62" s="11"/>
      <c r="D62" s="7"/>
      <c r="E62" s="2"/>
      <c r="F62" s="6">
        <f t="shared" si="32"/>
        <v>0</v>
      </c>
      <c r="G62" s="2"/>
      <c r="H62" s="7"/>
      <c r="I62" s="2"/>
      <c r="J62" s="6">
        <f t="shared" si="33"/>
        <v>0</v>
      </c>
      <c r="K62" s="2"/>
      <c r="L62" s="7">
        <f t="shared" si="34"/>
        <v>0</v>
      </c>
      <c r="M62" s="2"/>
      <c r="N62" s="6">
        <f t="shared" si="35"/>
        <v>0</v>
      </c>
      <c r="O62" s="11"/>
      <c r="P62" s="7">
        <v>31.58</v>
      </c>
      <c r="Q62" s="2"/>
      <c r="R62" s="6">
        <f t="shared" si="36"/>
        <v>0</v>
      </c>
      <c r="S62" s="2"/>
      <c r="T62" s="7"/>
      <c r="U62" s="2"/>
      <c r="V62" s="6">
        <f t="shared" si="37"/>
        <v>0</v>
      </c>
      <c r="W62" s="2"/>
      <c r="X62" s="7">
        <f t="shared" si="38"/>
        <v>31.58</v>
      </c>
      <c r="Y62" s="2"/>
      <c r="Z62" s="6">
        <f t="shared" si="39"/>
        <v>0</v>
      </c>
    </row>
    <row r="63" spans="1:26" s="24" customFormat="1" hidden="1" outlineLevel="2" x14ac:dyDescent="0.25">
      <c r="A63" s="26"/>
      <c r="B63" s="11" t="str">
        <f>CONCATENATE("          ", "6373", " - ", "MAINTENANCE CONTRACTS")</f>
        <v xml:space="preserve">          6373 - MAINTENANCE CONTRACTS</v>
      </c>
      <c r="C63" s="11"/>
      <c r="D63" s="7">
        <v>2583.62</v>
      </c>
      <c r="E63" s="2"/>
      <c r="F63" s="6">
        <f t="shared" si="32"/>
        <v>0</v>
      </c>
      <c r="G63" s="2"/>
      <c r="H63" s="7">
        <v>2975</v>
      </c>
      <c r="I63" s="2"/>
      <c r="J63" s="6">
        <f t="shared" si="33"/>
        <v>0</v>
      </c>
      <c r="K63" s="2"/>
      <c r="L63" s="7">
        <f t="shared" si="34"/>
        <v>-391.38000000000011</v>
      </c>
      <c r="M63" s="2"/>
      <c r="N63" s="6">
        <f t="shared" si="35"/>
        <v>-0.13155630252100844</v>
      </c>
      <c r="O63" s="11"/>
      <c r="P63" s="7">
        <v>32881.009999999995</v>
      </c>
      <c r="Q63" s="2"/>
      <c r="R63" s="6">
        <f t="shared" si="36"/>
        <v>0</v>
      </c>
      <c r="S63" s="2"/>
      <c r="T63" s="7">
        <v>32725</v>
      </c>
      <c r="U63" s="2"/>
      <c r="V63" s="6">
        <f t="shared" si="37"/>
        <v>0</v>
      </c>
      <c r="W63" s="2"/>
      <c r="X63" s="7">
        <f t="shared" si="38"/>
        <v>156.00999999999476</v>
      </c>
      <c r="Y63" s="2"/>
      <c r="Z63" s="6">
        <f t="shared" si="39"/>
        <v>4.7673032849501838E-3</v>
      </c>
    </row>
    <row r="64" spans="1:26" s="24" customFormat="1" hidden="1" outlineLevel="2" x14ac:dyDescent="0.25">
      <c r="A64" s="26"/>
      <c r="B64" s="11" t="str">
        <f>CONCATENATE("          ", "6375", " - ", "OUTSIDE REPAIRS &amp; MAINTENANCE")</f>
        <v xml:space="preserve">          6375 - OUTSIDE REPAIRS &amp; MAINTENANCE</v>
      </c>
      <c r="C64" s="11"/>
      <c r="D64" s="7"/>
      <c r="E64" s="2"/>
      <c r="F64" s="6">
        <f t="shared" si="32"/>
        <v>0</v>
      </c>
      <c r="G64" s="2"/>
      <c r="H64" s="7"/>
      <c r="I64" s="2"/>
      <c r="J64" s="6">
        <f t="shared" si="33"/>
        <v>0</v>
      </c>
      <c r="K64" s="2"/>
      <c r="L64" s="7">
        <f t="shared" si="34"/>
        <v>0</v>
      </c>
      <c r="M64" s="2"/>
      <c r="N64" s="6">
        <f t="shared" si="35"/>
        <v>0</v>
      </c>
      <c r="O64" s="11"/>
      <c r="P64" s="7">
        <v>524.99</v>
      </c>
      <c r="Q64" s="2"/>
      <c r="R64" s="6">
        <f t="shared" si="36"/>
        <v>0</v>
      </c>
      <c r="S64" s="2"/>
      <c r="T64" s="7"/>
      <c r="U64" s="2"/>
      <c r="V64" s="6">
        <f t="shared" si="37"/>
        <v>0</v>
      </c>
      <c r="W64" s="2"/>
      <c r="X64" s="7">
        <f t="shared" si="38"/>
        <v>524.99</v>
      </c>
      <c r="Y64" s="2"/>
      <c r="Z64" s="6">
        <f t="shared" si="39"/>
        <v>0</v>
      </c>
    </row>
    <row r="65" spans="1:26" s="27" customFormat="1" outlineLevel="1" collapsed="1" x14ac:dyDescent="0.25">
      <c r="A65" s="25"/>
      <c r="B65" s="12" t="str">
        <f>CONCATENATE("     ","Subscriptions &amp; Dues                              ")</f>
        <v xml:space="preserve">     Subscriptions &amp; Dues                              </v>
      </c>
      <c r="C65" s="12"/>
      <c r="D65" s="1">
        <f>SUM(OSRRefD22_12x_0)</f>
        <v>0</v>
      </c>
      <c r="E65" s="1"/>
      <c r="F65" s="5">
        <f t="shared" ref="F65:F71" si="40">IF(D$12=0,0,D65/D$12)</f>
        <v>0</v>
      </c>
      <c r="G65" s="1"/>
      <c r="H65" s="1">
        <f>SUM(OSRRefH22_12x_0)</f>
        <v>0</v>
      </c>
      <c r="I65" s="1"/>
      <c r="J65" s="5">
        <f t="shared" ref="J65:J71" si="41">IF(H$12=0,0,H65/H$12)</f>
        <v>0</v>
      </c>
      <c r="K65" s="1"/>
      <c r="L65" s="1">
        <f t="shared" ref="L65:L71" si="42">+D65-H65</f>
        <v>0</v>
      </c>
      <c r="M65" s="1"/>
      <c r="N65" s="5">
        <f t="shared" ref="N65:N71" si="43">IF(H65=0,0,L65/H65)</f>
        <v>0</v>
      </c>
      <c r="O65" s="12"/>
      <c r="P65" s="1">
        <f>SUM(OSRRefP22_12x_0)</f>
        <v>8013</v>
      </c>
      <c r="Q65" s="1"/>
      <c r="R65" s="5">
        <f t="shared" ref="R65:R71" si="44">IF(P$12=0,0,P65/P$12)</f>
        <v>0</v>
      </c>
      <c r="S65" s="1"/>
      <c r="T65" s="1">
        <f>SUM(OSRRefT22_12x_0)</f>
        <v>7732</v>
      </c>
      <c r="U65" s="1"/>
      <c r="V65" s="5">
        <f t="shared" ref="V65:V71" si="45">IF(T$12=0,0,T65/T$12)</f>
        <v>0</v>
      </c>
      <c r="W65" s="1"/>
      <c r="X65" s="1">
        <f t="shared" ref="X65:X71" si="46">+P65-T65</f>
        <v>281</v>
      </c>
      <c r="Y65" s="1"/>
      <c r="Z65" s="5">
        <f t="shared" ref="Z65:Z71" si="47">IF(T65=0,0,X65/T65)</f>
        <v>3.634247284014485E-2</v>
      </c>
    </row>
    <row r="66" spans="1:26" s="24" customFormat="1" hidden="1" outlineLevel="2" x14ac:dyDescent="0.25">
      <c r="A66" s="26"/>
      <c r="B66" s="11" t="str">
        <f>CONCATENATE("          ", "6258", " - ", "MEMBERSHIP DUES")</f>
        <v xml:space="preserve">          6258 - MEMBERSHIP DUES</v>
      </c>
      <c r="C66" s="11"/>
      <c r="D66" s="7"/>
      <c r="E66" s="2"/>
      <c r="F66" s="6">
        <f t="shared" si="40"/>
        <v>0</v>
      </c>
      <c r="G66" s="2"/>
      <c r="H66" s="7"/>
      <c r="I66" s="2"/>
      <c r="J66" s="6">
        <f t="shared" si="41"/>
        <v>0</v>
      </c>
      <c r="K66" s="2"/>
      <c r="L66" s="7">
        <f t="shared" si="42"/>
        <v>0</v>
      </c>
      <c r="M66" s="2"/>
      <c r="N66" s="6">
        <f t="shared" si="43"/>
        <v>0</v>
      </c>
      <c r="O66" s="11"/>
      <c r="P66" s="7">
        <v>8013</v>
      </c>
      <c r="Q66" s="2"/>
      <c r="R66" s="6">
        <f t="shared" si="44"/>
        <v>0</v>
      </c>
      <c r="S66" s="2"/>
      <c r="T66" s="7">
        <v>7732</v>
      </c>
      <c r="U66" s="2"/>
      <c r="V66" s="6">
        <f t="shared" si="45"/>
        <v>0</v>
      </c>
      <c r="W66" s="2"/>
      <c r="X66" s="7">
        <f t="shared" si="46"/>
        <v>281</v>
      </c>
      <c r="Y66" s="2"/>
      <c r="Z66" s="6">
        <f t="shared" si="47"/>
        <v>3.634247284014485E-2</v>
      </c>
    </row>
    <row r="67" spans="1:26" s="27" customFormat="1" outlineLevel="1" collapsed="1" x14ac:dyDescent="0.25">
      <c r="A67" s="25"/>
      <c r="B67" s="12" t="str">
        <f>CONCATENATE("     ","Supplies                                          ")</f>
        <v xml:space="preserve">     Supplies                                          </v>
      </c>
      <c r="C67" s="12"/>
      <c r="D67" s="1">
        <f>SUM(OSRRefD22_13x_0)</f>
        <v>-1070</v>
      </c>
      <c r="E67" s="1"/>
      <c r="F67" s="5">
        <f t="shared" si="40"/>
        <v>0</v>
      </c>
      <c r="G67" s="1"/>
      <c r="H67" s="1">
        <f>SUM(OSRRefH22_13x_0)</f>
        <v>500</v>
      </c>
      <c r="I67" s="1"/>
      <c r="J67" s="5">
        <f t="shared" si="41"/>
        <v>0</v>
      </c>
      <c r="K67" s="1"/>
      <c r="L67" s="1">
        <f t="shared" si="42"/>
        <v>-1570</v>
      </c>
      <c r="M67" s="1"/>
      <c r="N67" s="5">
        <f t="shared" si="43"/>
        <v>-3.14</v>
      </c>
      <c r="O67" s="12"/>
      <c r="P67" s="1">
        <f>SUM(OSRRefP22_13x_0)</f>
        <v>9641.8300000000017</v>
      </c>
      <c r="Q67" s="1"/>
      <c r="R67" s="5">
        <f t="shared" si="44"/>
        <v>0</v>
      </c>
      <c r="S67" s="1"/>
      <c r="T67" s="1">
        <f>SUM(OSRRefT22_13x_0)</f>
        <v>6500</v>
      </c>
      <c r="U67" s="1"/>
      <c r="V67" s="5">
        <f t="shared" si="45"/>
        <v>0</v>
      </c>
      <c r="W67" s="1"/>
      <c r="X67" s="1">
        <f t="shared" si="46"/>
        <v>3141.8300000000017</v>
      </c>
      <c r="Y67" s="1"/>
      <c r="Z67" s="5">
        <f t="shared" si="47"/>
        <v>0.48335846153846179</v>
      </c>
    </row>
    <row r="68" spans="1:26" s="24" customFormat="1" hidden="1" outlineLevel="2" x14ac:dyDescent="0.25">
      <c r="A68" s="26"/>
      <c r="B68" s="11" t="str">
        <f>CONCATENATE("          ", "6234", " - ", "EXPENDABLE SUPPLIES &amp; EQUIPMEN")</f>
        <v xml:space="preserve">          6234 - EXPENDABLE SUPPLIES &amp; EQUIPMEN</v>
      </c>
      <c r="C68" s="11"/>
      <c r="D68" s="7">
        <v>-1550</v>
      </c>
      <c r="E68" s="2"/>
      <c r="F68" s="6">
        <f t="shared" si="40"/>
        <v>0</v>
      </c>
      <c r="G68" s="2"/>
      <c r="H68" s="7">
        <v>500</v>
      </c>
      <c r="I68" s="2"/>
      <c r="J68" s="6">
        <f t="shared" si="41"/>
        <v>0</v>
      </c>
      <c r="K68" s="2"/>
      <c r="L68" s="7">
        <f t="shared" si="42"/>
        <v>-2050</v>
      </c>
      <c r="M68" s="2"/>
      <c r="N68" s="6">
        <f t="shared" si="43"/>
        <v>-4.0999999999999996</v>
      </c>
      <c r="O68" s="11"/>
      <c r="P68" s="7">
        <v>217.02</v>
      </c>
      <c r="Q68" s="2"/>
      <c r="R68" s="6">
        <f t="shared" si="44"/>
        <v>0</v>
      </c>
      <c r="S68" s="2"/>
      <c r="T68" s="7">
        <v>6500</v>
      </c>
      <c r="U68" s="2"/>
      <c r="V68" s="6">
        <f t="shared" si="45"/>
        <v>0</v>
      </c>
      <c r="W68" s="2"/>
      <c r="X68" s="7">
        <f t="shared" si="46"/>
        <v>-6282.98</v>
      </c>
      <c r="Y68" s="2"/>
      <c r="Z68" s="6">
        <f t="shared" si="47"/>
        <v>-0.96661230769230766</v>
      </c>
    </row>
    <row r="69" spans="1:26" s="24" customFormat="1" hidden="1" outlineLevel="2" x14ac:dyDescent="0.25">
      <c r="A69" s="26"/>
      <c r="B69" s="11" t="str">
        <f>CONCATENATE("          ", "6235", " - ", "COVID-19 EXPENSES")</f>
        <v xml:space="preserve">          6235 - COVID-19 EXPENSES</v>
      </c>
      <c r="C69" s="11"/>
      <c r="D69" s="7">
        <v>480</v>
      </c>
      <c r="E69" s="2"/>
      <c r="F69" s="6">
        <f t="shared" si="40"/>
        <v>0</v>
      </c>
      <c r="G69" s="2"/>
      <c r="H69" s="7"/>
      <c r="I69" s="2"/>
      <c r="J69" s="6">
        <f t="shared" si="41"/>
        <v>0</v>
      </c>
      <c r="K69" s="2"/>
      <c r="L69" s="7">
        <f t="shared" si="42"/>
        <v>480</v>
      </c>
      <c r="M69" s="2"/>
      <c r="N69" s="6">
        <f t="shared" si="43"/>
        <v>0</v>
      </c>
      <c r="O69" s="11"/>
      <c r="P69" s="7">
        <v>5440</v>
      </c>
      <c r="Q69" s="2"/>
      <c r="R69" s="6">
        <f t="shared" si="44"/>
        <v>0</v>
      </c>
      <c r="S69" s="2"/>
      <c r="T69" s="7"/>
      <c r="U69" s="2"/>
      <c r="V69" s="6">
        <f t="shared" si="45"/>
        <v>0</v>
      </c>
      <c r="W69" s="2"/>
      <c r="X69" s="7">
        <f t="shared" si="46"/>
        <v>5440</v>
      </c>
      <c r="Y69" s="2"/>
      <c r="Z69" s="6">
        <f t="shared" si="47"/>
        <v>0</v>
      </c>
    </row>
    <row r="70" spans="1:26" s="24" customFormat="1" hidden="1" outlineLevel="2" x14ac:dyDescent="0.25">
      <c r="A70" s="26"/>
      <c r="B70" s="11" t="str">
        <f>CONCATENATE("          ", "6241", " - ", "OFFICE EXPENSE")</f>
        <v xml:space="preserve">          6241 - OFFICE EXPENSE</v>
      </c>
      <c r="C70" s="11"/>
      <c r="D70" s="7"/>
      <c r="E70" s="2"/>
      <c r="F70" s="6">
        <f t="shared" si="40"/>
        <v>0</v>
      </c>
      <c r="G70" s="2"/>
      <c r="H70" s="7"/>
      <c r="I70" s="2"/>
      <c r="J70" s="6">
        <f t="shared" si="41"/>
        <v>0</v>
      </c>
      <c r="K70" s="2"/>
      <c r="L70" s="7">
        <f t="shared" si="42"/>
        <v>0</v>
      </c>
      <c r="M70" s="2"/>
      <c r="N70" s="6">
        <f t="shared" si="43"/>
        <v>0</v>
      </c>
      <c r="O70" s="11"/>
      <c r="P70" s="7">
        <v>3952.95</v>
      </c>
      <c r="Q70" s="2"/>
      <c r="R70" s="6">
        <f t="shared" si="44"/>
        <v>0</v>
      </c>
      <c r="S70" s="2"/>
      <c r="T70" s="7"/>
      <c r="U70" s="2"/>
      <c r="V70" s="6">
        <f t="shared" si="45"/>
        <v>0</v>
      </c>
      <c r="W70" s="2"/>
      <c r="X70" s="7">
        <f t="shared" si="46"/>
        <v>3952.95</v>
      </c>
      <c r="Y70" s="2"/>
      <c r="Z70" s="6">
        <f t="shared" si="47"/>
        <v>0</v>
      </c>
    </row>
    <row r="71" spans="1:26" s="24" customFormat="1" hidden="1" outlineLevel="2" x14ac:dyDescent="0.25">
      <c r="A71" s="26"/>
      <c r="B71" s="11" t="str">
        <f>CONCATENATE("          ", "6245", " - ", "PRINTING")</f>
        <v xml:space="preserve">          6245 - PRINTING</v>
      </c>
      <c r="C71" s="11"/>
      <c r="D71" s="7"/>
      <c r="E71" s="2"/>
      <c r="F71" s="6">
        <f t="shared" si="40"/>
        <v>0</v>
      </c>
      <c r="G71" s="2"/>
      <c r="H71" s="7"/>
      <c r="I71" s="2"/>
      <c r="J71" s="6">
        <f t="shared" si="41"/>
        <v>0</v>
      </c>
      <c r="K71" s="2"/>
      <c r="L71" s="7">
        <f t="shared" si="42"/>
        <v>0</v>
      </c>
      <c r="M71" s="2"/>
      <c r="N71" s="6">
        <f t="shared" si="43"/>
        <v>0</v>
      </c>
      <c r="O71" s="11"/>
      <c r="P71" s="7">
        <v>31.86</v>
      </c>
      <c r="Q71" s="2"/>
      <c r="R71" s="6">
        <f t="shared" si="44"/>
        <v>0</v>
      </c>
      <c r="S71" s="2"/>
      <c r="T71" s="7"/>
      <c r="U71" s="2"/>
      <c r="V71" s="6">
        <f t="shared" si="45"/>
        <v>0</v>
      </c>
      <c r="W71" s="2"/>
      <c r="X71" s="7">
        <f t="shared" si="46"/>
        <v>31.86</v>
      </c>
      <c r="Y71" s="2"/>
      <c r="Z71" s="6">
        <f t="shared" si="47"/>
        <v>0</v>
      </c>
    </row>
    <row r="72" spans="1:26" s="27" customFormat="1" outlineLevel="1" collapsed="1" x14ac:dyDescent="0.25">
      <c r="A72" s="25"/>
      <c r="B72" s="12" t="str">
        <f>CONCATENATE("     ","Telephone/Data Lines                              ")</f>
        <v xml:space="preserve">     Telephone/Data Lines                              </v>
      </c>
      <c r="C72" s="12"/>
      <c r="D72" s="1">
        <f>SUM(OSRRefD22_14x_0)</f>
        <v>245.83</v>
      </c>
      <c r="E72" s="1"/>
      <c r="F72" s="5">
        <f t="shared" ref="F72:F78" si="48">IF(D$12=0,0,D72/D$12)</f>
        <v>0</v>
      </c>
      <c r="G72" s="1"/>
      <c r="H72" s="1">
        <f>SUM(OSRRefH22_14x_0)</f>
        <v>350</v>
      </c>
      <c r="I72" s="1"/>
      <c r="J72" s="5">
        <f t="shared" ref="J72:J78" si="49">IF(H$12=0,0,H72/H$12)</f>
        <v>0</v>
      </c>
      <c r="K72" s="1"/>
      <c r="L72" s="1">
        <f t="shared" ref="L72:L78" si="50">+D72-H72</f>
        <v>-104.16999999999999</v>
      </c>
      <c r="M72" s="1"/>
      <c r="N72" s="5">
        <f t="shared" ref="N72:N78" si="51">IF(H72=0,0,L72/H72)</f>
        <v>-0.29762857142857141</v>
      </c>
      <c r="O72" s="12"/>
      <c r="P72" s="1">
        <f>SUM(OSRRefP22_14x_0)</f>
        <v>4084.03</v>
      </c>
      <c r="Q72" s="1"/>
      <c r="R72" s="5">
        <f t="shared" ref="R72:R78" si="52">IF(P$12=0,0,P72/P$12)</f>
        <v>0</v>
      </c>
      <c r="S72" s="1"/>
      <c r="T72" s="1">
        <f>SUM(OSRRefT22_14x_0)</f>
        <v>3850</v>
      </c>
      <c r="U72" s="1"/>
      <c r="V72" s="5">
        <f t="shared" ref="V72:V78" si="53">IF(T$12=0,0,T72/T$12)</f>
        <v>0</v>
      </c>
      <c r="W72" s="1"/>
      <c r="X72" s="1">
        <f t="shared" ref="X72:X78" si="54">+P72-T72</f>
        <v>234.0300000000002</v>
      </c>
      <c r="Y72" s="1"/>
      <c r="Z72" s="5">
        <f t="shared" ref="Z72:Z78" si="55">IF(T72=0,0,X72/T72)</f>
        <v>6.0787012987013042E-2</v>
      </c>
    </row>
    <row r="73" spans="1:26" s="24" customFormat="1" hidden="1" outlineLevel="2" x14ac:dyDescent="0.25">
      <c r="A73" s="26"/>
      <c r="B73" s="11" t="str">
        <f>CONCATENATE("          ", "6309", " - ", "TELEPHONE")</f>
        <v xml:space="preserve">          6309 - TELEPHONE</v>
      </c>
      <c r="C73" s="11"/>
      <c r="D73" s="7">
        <v>245.83</v>
      </c>
      <c r="E73" s="2"/>
      <c r="F73" s="6">
        <f t="shared" si="48"/>
        <v>0</v>
      </c>
      <c r="G73" s="2"/>
      <c r="H73" s="7">
        <v>350</v>
      </c>
      <c r="I73" s="2"/>
      <c r="J73" s="6">
        <f t="shared" si="49"/>
        <v>0</v>
      </c>
      <c r="K73" s="2"/>
      <c r="L73" s="7">
        <f t="shared" si="50"/>
        <v>-104.16999999999999</v>
      </c>
      <c r="M73" s="2"/>
      <c r="N73" s="6">
        <f t="shared" si="51"/>
        <v>-0.29762857142857141</v>
      </c>
      <c r="O73" s="11"/>
      <c r="P73" s="7">
        <v>4084.03</v>
      </c>
      <c r="Q73" s="2"/>
      <c r="R73" s="6">
        <f t="shared" si="52"/>
        <v>0</v>
      </c>
      <c r="S73" s="2"/>
      <c r="T73" s="7">
        <v>3850</v>
      </c>
      <c r="U73" s="2"/>
      <c r="V73" s="6">
        <f t="shared" si="53"/>
        <v>0</v>
      </c>
      <c r="W73" s="2"/>
      <c r="X73" s="7">
        <f t="shared" si="54"/>
        <v>234.0300000000002</v>
      </c>
      <c r="Y73" s="2"/>
      <c r="Z73" s="6">
        <f t="shared" si="55"/>
        <v>6.0787012987013042E-2</v>
      </c>
    </row>
    <row r="74" spans="1:26" s="27" customFormat="1" outlineLevel="1" collapsed="1" x14ac:dyDescent="0.25">
      <c r="A74" s="25"/>
      <c r="B74" s="12" t="str">
        <f>CONCATENATE("     ","Training                                          ")</f>
        <v xml:space="preserve">     Training                                          </v>
      </c>
      <c r="C74" s="12"/>
      <c r="D74" s="1">
        <f>SUM(OSRRefD22_15x_0)</f>
        <v>0</v>
      </c>
      <c r="E74" s="1"/>
      <c r="F74" s="5">
        <f t="shared" si="48"/>
        <v>0</v>
      </c>
      <c r="G74" s="1"/>
      <c r="H74" s="1">
        <f>SUM(OSRRefH22_15x_0)</f>
        <v>0</v>
      </c>
      <c r="I74" s="1"/>
      <c r="J74" s="5">
        <f t="shared" si="49"/>
        <v>0</v>
      </c>
      <c r="K74" s="1"/>
      <c r="L74" s="1">
        <f t="shared" si="50"/>
        <v>0</v>
      </c>
      <c r="M74" s="1"/>
      <c r="N74" s="5">
        <f t="shared" si="51"/>
        <v>0</v>
      </c>
      <c r="O74" s="12"/>
      <c r="P74" s="1">
        <f>SUM(OSRRefP22_15x_0)</f>
        <v>6622.71</v>
      </c>
      <c r="Q74" s="1"/>
      <c r="R74" s="5">
        <f t="shared" si="52"/>
        <v>0</v>
      </c>
      <c r="S74" s="1"/>
      <c r="T74" s="1">
        <f>SUM(OSRRefT22_15x_0)</f>
        <v>5700</v>
      </c>
      <c r="U74" s="1"/>
      <c r="V74" s="5">
        <f t="shared" si="53"/>
        <v>0</v>
      </c>
      <c r="W74" s="1"/>
      <c r="X74" s="1">
        <f t="shared" si="54"/>
        <v>922.71</v>
      </c>
      <c r="Y74" s="1"/>
      <c r="Z74" s="5">
        <f t="shared" si="55"/>
        <v>0.16187894736842107</v>
      </c>
    </row>
    <row r="75" spans="1:26" s="24" customFormat="1" hidden="1" outlineLevel="2" x14ac:dyDescent="0.25">
      <c r="A75" s="26"/>
      <c r="B75" s="11" t="str">
        <f>CONCATENATE("          ", "6376", " - ", "TRAINING")</f>
        <v xml:space="preserve">          6376 - TRAINING</v>
      </c>
      <c r="C75" s="11"/>
      <c r="D75" s="7"/>
      <c r="E75" s="2"/>
      <c r="F75" s="6">
        <f t="shared" si="48"/>
        <v>0</v>
      </c>
      <c r="G75" s="2"/>
      <c r="H75" s="7"/>
      <c r="I75" s="2"/>
      <c r="J75" s="6">
        <f t="shared" si="49"/>
        <v>0</v>
      </c>
      <c r="K75" s="2"/>
      <c r="L75" s="7">
        <f t="shared" si="50"/>
        <v>0</v>
      </c>
      <c r="M75" s="2"/>
      <c r="N75" s="6">
        <f t="shared" si="51"/>
        <v>0</v>
      </c>
      <c r="O75" s="11"/>
      <c r="P75" s="7">
        <v>6622.71</v>
      </c>
      <c r="Q75" s="2"/>
      <c r="R75" s="6">
        <f t="shared" si="52"/>
        <v>0</v>
      </c>
      <c r="S75" s="2"/>
      <c r="T75" s="7">
        <v>5700</v>
      </c>
      <c r="U75" s="2"/>
      <c r="V75" s="6">
        <f t="shared" si="53"/>
        <v>0</v>
      </c>
      <c r="W75" s="2"/>
      <c r="X75" s="7">
        <f t="shared" si="54"/>
        <v>922.71</v>
      </c>
      <c r="Y75" s="2"/>
      <c r="Z75" s="6">
        <f t="shared" si="55"/>
        <v>0.16187894736842107</v>
      </c>
    </row>
    <row r="76" spans="1:26" s="27" customFormat="1" outlineLevel="1" collapsed="1" x14ac:dyDescent="0.25">
      <c r="A76" s="25"/>
      <c r="B76" s="12" t="str">
        <f>CONCATENATE("     ","Travel                                            ")</f>
        <v xml:space="preserve">     Travel                                            </v>
      </c>
      <c r="C76" s="12"/>
      <c r="D76" s="1">
        <f>SUM(OSRRefD22_16x_0)</f>
        <v>0</v>
      </c>
      <c r="E76" s="1"/>
      <c r="F76" s="5">
        <f t="shared" si="48"/>
        <v>0</v>
      </c>
      <c r="G76" s="1"/>
      <c r="H76" s="1">
        <f>SUM(OSRRefH22_16x_0)</f>
        <v>1000</v>
      </c>
      <c r="I76" s="1"/>
      <c r="J76" s="5">
        <f t="shared" si="49"/>
        <v>0</v>
      </c>
      <c r="K76" s="1"/>
      <c r="L76" s="1">
        <f t="shared" si="50"/>
        <v>-1000</v>
      </c>
      <c r="M76" s="1"/>
      <c r="N76" s="5">
        <f t="shared" si="51"/>
        <v>-1</v>
      </c>
      <c r="O76" s="12"/>
      <c r="P76" s="1">
        <f>SUM(OSRRefP22_16x_0)</f>
        <v>3811.99</v>
      </c>
      <c r="Q76" s="1"/>
      <c r="R76" s="5">
        <f t="shared" si="52"/>
        <v>0</v>
      </c>
      <c r="S76" s="1"/>
      <c r="T76" s="1">
        <f>SUM(OSRRefT22_16x_0)</f>
        <v>18250</v>
      </c>
      <c r="U76" s="1"/>
      <c r="V76" s="5">
        <f t="shared" si="53"/>
        <v>0</v>
      </c>
      <c r="W76" s="1"/>
      <c r="X76" s="1">
        <f t="shared" si="54"/>
        <v>-14438.01</v>
      </c>
      <c r="Y76" s="1"/>
      <c r="Z76" s="5">
        <f t="shared" si="55"/>
        <v>-0.7911238356164384</v>
      </c>
    </row>
    <row r="77" spans="1:26" s="24" customFormat="1" hidden="1" outlineLevel="2" x14ac:dyDescent="0.25">
      <c r="A77" s="26"/>
      <c r="B77" s="11" t="str">
        <f>CONCATENATE("          ", "6292", " - ", "TRAVEL/CONFERENCE")</f>
        <v xml:space="preserve">          6292 - TRAVEL/CONFERENCE</v>
      </c>
      <c r="C77" s="11"/>
      <c r="D77" s="7"/>
      <c r="E77" s="2"/>
      <c r="F77" s="6">
        <f t="shared" si="48"/>
        <v>0</v>
      </c>
      <c r="G77" s="2"/>
      <c r="H77" s="7">
        <v>1000</v>
      </c>
      <c r="I77" s="2"/>
      <c r="J77" s="6">
        <f t="shared" si="49"/>
        <v>0</v>
      </c>
      <c r="K77" s="2"/>
      <c r="L77" s="7">
        <f t="shared" si="50"/>
        <v>-1000</v>
      </c>
      <c r="M77" s="2"/>
      <c r="N77" s="6">
        <f t="shared" si="51"/>
        <v>-1</v>
      </c>
      <c r="O77" s="11"/>
      <c r="P77" s="7">
        <v>3811.99</v>
      </c>
      <c r="Q77" s="2"/>
      <c r="R77" s="6">
        <f t="shared" si="52"/>
        <v>0</v>
      </c>
      <c r="S77" s="2"/>
      <c r="T77" s="7">
        <v>17000</v>
      </c>
      <c r="U77" s="2"/>
      <c r="V77" s="6">
        <f t="shared" si="53"/>
        <v>0</v>
      </c>
      <c r="W77" s="2"/>
      <c r="X77" s="7">
        <f t="shared" si="54"/>
        <v>-13188.01</v>
      </c>
      <c r="Y77" s="2"/>
      <c r="Z77" s="6">
        <f t="shared" si="55"/>
        <v>-0.77576529411764705</v>
      </c>
    </row>
    <row r="78" spans="1:26" s="24" customFormat="1" hidden="1" outlineLevel="2" x14ac:dyDescent="0.25">
      <c r="A78" s="26"/>
      <c r="B78" s="11" t="str">
        <f>CONCATENATE("          ", "6294", " - ", "TRAVEL OPERATIONAL")</f>
        <v xml:space="preserve">          6294 - TRAVEL OPERATIONAL</v>
      </c>
      <c r="C78" s="11"/>
      <c r="D78" s="7"/>
      <c r="E78" s="2"/>
      <c r="F78" s="6">
        <f t="shared" si="48"/>
        <v>0</v>
      </c>
      <c r="G78" s="2"/>
      <c r="H78" s="7"/>
      <c r="I78" s="2"/>
      <c r="J78" s="6">
        <f t="shared" si="49"/>
        <v>0</v>
      </c>
      <c r="K78" s="2"/>
      <c r="L78" s="7">
        <f t="shared" si="50"/>
        <v>0</v>
      </c>
      <c r="M78" s="2"/>
      <c r="N78" s="6">
        <f t="shared" si="51"/>
        <v>0</v>
      </c>
      <c r="O78" s="11"/>
      <c r="P78" s="7"/>
      <c r="Q78" s="2"/>
      <c r="R78" s="6">
        <f t="shared" si="52"/>
        <v>0</v>
      </c>
      <c r="S78" s="2"/>
      <c r="T78" s="7">
        <v>1250</v>
      </c>
      <c r="U78" s="2"/>
      <c r="V78" s="6">
        <f t="shared" si="53"/>
        <v>0</v>
      </c>
      <c r="W78" s="2"/>
      <c r="X78" s="7">
        <f t="shared" si="54"/>
        <v>-1250</v>
      </c>
      <c r="Y78" s="2"/>
      <c r="Z78" s="6">
        <f t="shared" si="55"/>
        <v>-1</v>
      </c>
    </row>
    <row r="79" spans="1:26" s="62" customFormat="1" x14ac:dyDescent="0.25">
      <c r="A79" s="36"/>
      <c r="B79" s="36"/>
      <c r="C79" s="36"/>
      <c r="D79" s="1"/>
      <c r="E79" s="1"/>
      <c r="F79" s="5"/>
      <c r="G79" s="1"/>
      <c r="H79" s="1"/>
      <c r="I79" s="1"/>
      <c r="J79" s="5"/>
      <c r="K79" s="1"/>
      <c r="L79" s="1"/>
      <c r="M79" s="1"/>
      <c r="N79" s="5"/>
      <c r="O79" s="36"/>
      <c r="P79" s="1"/>
      <c r="Q79" s="1"/>
      <c r="R79" s="5"/>
      <c r="S79" s="1"/>
      <c r="T79" s="1"/>
      <c r="U79" s="1"/>
      <c r="V79" s="5"/>
      <c r="W79" s="1"/>
      <c r="X79" s="1"/>
      <c r="Y79" s="1"/>
      <c r="Z79" s="5"/>
    </row>
    <row r="80" spans="1:26" s="23" customFormat="1" x14ac:dyDescent="0.25">
      <c r="A80" s="10"/>
      <c r="B80" s="28" t="s">
        <v>0</v>
      </c>
      <c r="C80" s="10"/>
      <c r="D80" s="4">
        <f>SUM(0)</f>
        <v>0</v>
      </c>
      <c r="E80" s="4"/>
      <c r="F80" s="13">
        <f>IF(D$12=0,0,D80/D$12)</f>
        <v>0</v>
      </c>
      <c r="G80" s="4"/>
      <c r="H80" s="4">
        <f>SUM(0)</f>
        <v>0</v>
      </c>
      <c r="I80" s="4"/>
      <c r="J80" s="13">
        <f>IF(H$12=0,0,H80/H$12)</f>
        <v>0</v>
      </c>
      <c r="K80" s="4"/>
      <c r="L80" s="4">
        <f>+D80-H80</f>
        <v>0</v>
      </c>
      <c r="M80" s="4"/>
      <c r="N80" s="13">
        <f>IF(H80=0,0,L80/H80)</f>
        <v>0</v>
      </c>
      <c r="O80" s="10"/>
      <c r="P80" s="4">
        <f>SUM(0)</f>
        <v>0</v>
      </c>
      <c r="Q80" s="4"/>
      <c r="R80" s="13">
        <f>IF(P$12=0,0,P80/P$12)</f>
        <v>0</v>
      </c>
      <c r="S80" s="4"/>
      <c r="T80" s="4">
        <f>SUM(0)</f>
        <v>0</v>
      </c>
      <c r="U80" s="4"/>
      <c r="V80" s="13">
        <f>IF(T$12=0,0,T80/T$12)</f>
        <v>0</v>
      </c>
      <c r="W80" s="4"/>
      <c r="X80" s="4">
        <f>+P80-T80</f>
        <v>0</v>
      </c>
      <c r="Y80" s="4"/>
      <c r="Z80" s="13">
        <f>IF(T80=0,0,X80/T80)</f>
        <v>0</v>
      </c>
    </row>
    <row r="81" spans="1:26" x14ac:dyDescent="0.25">
      <c r="A81" s="9"/>
      <c r="B81" s="10"/>
      <c r="C81" s="10"/>
      <c r="D81" s="3"/>
      <c r="E81" s="3"/>
      <c r="F81" s="8"/>
      <c r="G81" s="3"/>
      <c r="H81" s="3"/>
      <c r="I81" s="3"/>
      <c r="J81" s="8"/>
      <c r="K81" s="3"/>
      <c r="L81" s="3"/>
      <c r="M81" s="3"/>
      <c r="N81" s="8"/>
      <c r="O81" s="10"/>
      <c r="P81" s="3"/>
      <c r="Q81" s="3"/>
      <c r="R81" s="8"/>
      <c r="S81" s="3"/>
      <c r="T81" s="3"/>
      <c r="U81" s="3"/>
      <c r="V81" s="8"/>
      <c r="W81" s="3"/>
      <c r="X81" s="3"/>
      <c r="Y81" s="3"/>
      <c r="Z81" s="8"/>
    </row>
    <row r="82" spans="1:26" s="23" customFormat="1" x14ac:dyDescent="0.25">
      <c r="A82" s="10"/>
      <c r="B82" s="29" t="s">
        <v>3</v>
      </c>
      <c r="C82" s="29"/>
      <c r="D82" s="20">
        <f>+D16-D18+D80</f>
        <v>-28280.820000000003</v>
      </c>
      <c r="E82" s="14"/>
      <c r="F82" s="22">
        <f>IF(D$12=0,0,D82/D$12)</f>
        <v>0</v>
      </c>
      <c r="G82" s="14"/>
      <c r="H82" s="20">
        <f>+H16-H18+H80</f>
        <v>-69986.394416923053</v>
      </c>
      <c r="I82" s="14"/>
      <c r="J82" s="22">
        <f>IF(H$12=0,0,H82/H$12)</f>
        <v>0</v>
      </c>
      <c r="K82" s="16"/>
      <c r="L82" s="20">
        <f>+D82-H82</f>
        <v>41705.574416923046</v>
      </c>
      <c r="M82" s="16"/>
      <c r="N82" s="22">
        <f>IF(H82=0,0,L82/H82)</f>
        <v>-0.59590974452083556</v>
      </c>
      <c r="O82" s="28"/>
      <c r="P82" s="20">
        <f>+P16-P18+P80</f>
        <v>-629962.5299999998</v>
      </c>
      <c r="Q82" s="14"/>
      <c r="R82" s="22">
        <f>IF(P$12=0,0,P82/P$12)</f>
        <v>0</v>
      </c>
      <c r="S82" s="14"/>
      <c r="T82" s="20">
        <f>+T16-T18+T80</f>
        <v>-1145591.7330030766</v>
      </c>
      <c r="U82" s="14"/>
      <c r="V82" s="22">
        <f>IF(T$12=0,0,T82/T$12)</f>
        <v>0</v>
      </c>
      <c r="W82" s="16"/>
      <c r="X82" s="20">
        <f>+P82-T82</f>
        <v>515629.20300307684</v>
      </c>
      <c r="Y82" s="16"/>
      <c r="Z82" s="22">
        <f>IF(T82=0,0,X82/T82)</f>
        <v>-0.45009857189820701</v>
      </c>
    </row>
    <row r="83" spans="1:26" x14ac:dyDescent="0.25">
      <c r="A83" s="9"/>
      <c r="B83" s="10"/>
      <c r="C83" s="9"/>
      <c r="D83" s="3"/>
      <c r="E83" s="3"/>
      <c r="F83" s="8"/>
      <c r="G83" s="3"/>
      <c r="H83" s="3"/>
      <c r="I83" s="3"/>
      <c r="J83" s="8"/>
      <c r="K83" s="3"/>
      <c r="L83" s="3"/>
      <c r="M83" s="3"/>
      <c r="N83" s="8"/>
      <c r="P83" s="3"/>
      <c r="Q83" s="3"/>
      <c r="R83" s="8"/>
      <c r="S83" s="3"/>
      <c r="T83" s="3"/>
      <c r="U83" s="3"/>
      <c r="V83" s="8"/>
      <c r="W83" s="3"/>
      <c r="X83" s="3"/>
      <c r="Y83" s="3"/>
      <c r="Z83" s="8"/>
    </row>
    <row r="84" spans="1:26" s="23" customFormat="1" x14ac:dyDescent="0.25">
      <c r="A84" s="52"/>
      <c r="B84" s="10" t="s">
        <v>14</v>
      </c>
      <c r="C84" s="10"/>
      <c r="D84" s="4"/>
      <c r="E84" s="4"/>
      <c r="F84" s="13">
        <f>IF(D$12=0,0,D84/D$12)</f>
        <v>0</v>
      </c>
      <c r="G84" s="4"/>
      <c r="H84" s="4"/>
      <c r="I84" s="4"/>
      <c r="J84" s="13">
        <f>IF(H$12=0,0,H84/H$12)</f>
        <v>0</v>
      </c>
      <c r="K84" s="4"/>
      <c r="L84" s="4">
        <f>+D84-H84</f>
        <v>0</v>
      </c>
      <c r="M84" s="4"/>
      <c r="N84" s="13">
        <f>IF(H84=0,0,L84/H84)</f>
        <v>0</v>
      </c>
      <c r="O84" s="10"/>
      <c r="P84" s="4"/>
      <c r="Q84" s="4"/>
      <c r="R84" s="13">
        <f>IF(P$12=0,0,P84/P$12)</f>
        <v>0</v>
      </c>
      <c r="S84" s="4"/>
      <c r="T84" s="4">
        <v>0</v>
      </c>
      <c r="U84" s="4"/>
      <c r="V84" s="13">
        <f>IF(T$12=0,0,T84/T$12)</f>
        <v>0</v>
      </c>
      <c r="W84" s="4"/>
      <c r="X84" s="4">
        <f>+P84-T84</f>
        <v>0</v>
      </c>
      <c r="Y84" s="4"/>
      <c r="Z84" s="13">
        <f>IF(T84=0,0,X84/T84)</f>
        <v>0</v>
      </c>
    </row>
    <row r="85" spans="1:26" x14ac:dyDescent="0.25">
      <c r="A85" s="9"/>
      <c r="B85" s="10"/>
      <c r="C85" s="10"/>
      <c r="D85" s="3"/>
      <c r="E85" s="3"/>
      <c r="F85" s="8"/>
      <c r="G85" s="3"/>
      <c r="H85" s="3"/>
      <c r="I85" s="3"/>
      <c r="J85" s="8"/>
      <c r="K85" s="3"/>
      <c r="L85" s="3"/>
      <c r="M85" s="3"/>
      <c r="N85" s="8"/>
      <c r="O85" s="10"/>
      <c r="P85" s="3"/>
      <c r="Q85" s="3"/>
      <c r="R85" s="8"/>
      <c r="S85" s="3"/>
      <c r="T85" s="3"/>
      <c r="U85" s="3"/>
      <c r="V85" s="8"/>
      <c r="W85" s="3"/>
      <c r="X85" s="3"/>
      <c r="Y85" s="3"/>
      <c r="Z85" s="8"/>
    </row>
    <row r="86" spans="1:26" s="23" customFormat="1" ht="15.75" thickBot="1" x14ac:dyDescent="0.3">
      <c r="A86" s="10"/>
      <c r="B86" s="29" t="s">
        <v>4</v>
      </c>
      <c r="C86" s="29"/>
      <c r="D86" s="35">
        <f>+D82-D84</f>
        <v>-28280.820000000003</v>
      </c>
      <c r="E86" s="14"/>
      <c r="F86" s="32">
        <f>IF(D$12=0,0,D86/D$12)</f>
        <v>0</v>
      </c>
      <c r="G86" s="14"/>
      <c r="H86" s="35">
        <f>+H82-H84</f>
        <v>-69986.394416923053</v>
      </c>
      <c r="I86" s="14"/>
      <c r="J86" s="32">
        <f>IF(H$12=0,0,H86/H$12)</f>
        <v>0</v>
      </c>
      <c r="K86" s="16"/>
      <c r="L86" s="35">
        <f>D86-H86</f>
        <v>41705.574416923046</v>
      </c>
      <c r="M86" s="16"/>
      <c r="N86" s="32">
        <f>IF(H86=0,0,L86/H86)</f>
        <v>-0.59590974452083556</v>
      </c>
      <c r="O86" s="28"/>
      <c r="P86" s="35">
        <f>+P82-P84</f>
        <v>-629962.5299999998</v>
      </c>
      <c r="Q86" s="14"/>
      <c r="R86" s="32">
        <f>IF(P$12=0,0,P86/P$12)</f>
        <v>0</v>
      </c>
      <c r="S86" s="14"/>
      <c r="T86" s="35">
        <f>+T82-T84</f>
        <v>-1145591.7330030766</v>
      </c>
      <c r="U86" s="14"/>
      <c r="V86" s="32">
        <f>IF(T$12=0,0,T86/T$12)</f>
        <v>0</v>
      </c>
      <c r="W86" s="16"/>
      <c r="X86" s="35">
        <f>P86-T86</f>
        <v>515629.20300307684</v>
      </c>
      <c r="Y86" s="16"/>
      <c r="Z86" s="32">
        <f>IF(T86=0,0,X86/T86)</f>
        <v>-0.45009857189820701</v>
      </c>
    </row>
    <row r="87" spans="1:26" ht="15.75" thickTop="1" x14ac:dyDescent="0.25">
      <c r="A87" s="9"/>
      <c r="B87" s="9"/>
      <c r="C87" s="9"/>
      <c r="D87" s="3"/>
      <c r="E87" s="3"/>
      <c r="F87" s="8"/>
      <c r="G87" s="3"/>
      <c r="H87" s="3"/>
      <c r="I87" s="3"/>
      <c r="J87" s="8"/>
      <c r="K87" s="3"/>
      <c r="L87" s="3"/>
      <c r="M87" s="3"/>
      <c r="N87" s="8"/>
      <c r="P87" s="3"/>
      <c r="Q87" s="3"/>
      <c r="R87" s="8"/>
      <c r="S87" s="3"/>
      <c r="T87" s="3"/>
      <c r="U87" s="3"/>
      <c r="V87" s="8"/>
      <c r="W87" s="3"/>
      <c r="X87" s="3"/>
      <c r="Y87" s="3"/>
      <c r="Z87" s="8"/>
    </row>
    <row r="88" spans="1:26" x14ac:dyDescent="0.25">
      <c r="A88" s="9"/>
      <c r="B88" s="9"/>
      <c r="C88" s="9"/>
      <c r="D88" s="3"/>
      <c r="E88" s="3"/>
      <c r="F88" s="8"/>
      <c r="G88" s="3"/>
      <c r="H88" s="3"/>
      <c r="I88" s="3"/>
      <c r="J88" s="8"/>
      <c r="K88" s="3"/>
      <c r="L88" s="3"/>
      <c r="M88" s="3"/>
      <c r="N88" s="8"/>
      <c r="P88" s="3"/>
      <c r="Q88" s="3"/>
      <c r="R88" s="8"/>
      <c r="S88" s="3"/>
      <c r="T88" s="3"/>
      <c r="U88" s="3"/>
      <c r="V88" s="8"/>
      <c r="W88" s="3"/>
      <c r="X88" s="3"/>
      <c r="Y88" s="3"/>
      <c r="Z88" s="8"/>
    </row>
    <row r="89" spans="1:26" s="23" customFormat="1" ht="15.75" thickBot="1" x14ac:dyDescent="0.3">
      <c r="A89" s="10"/>
      <c r="B89" s="29" t="s">
        <v>5</v>
      </c>
      <c r="C89" s="29"/>
      <c r="D89" s="34">
        <f>SUM(D86:D88)</f>
        <v>-28280.820000000003</v>
      </c>
      <c r="E89" s="14"/>
      <c r="F89" s="31">
        <f>IF(D$12=0,0,D89/D$12)</f>
        <v>0</v>
      </c>
      <c r="G89" s="14"/>
      <c r="H89" s="34">
        <f>SUM(H86:H88)</f>
        <v>-69986.394416923053</v>
      </c>
      <c r="I89" s="14"/>
      <c r="J89" s="31">
        <f>IF(H$12=0,0,H89/H$12)</f>
        <v>0</v>
      </c>
      <c r="K89" s="16"/>
      <c r="L89" s="34">
        <f>+D89-H89</f>
        <v>41705.574416923046</v>
      </c>
      <c r="M89" s="16"/>
      <c r="N89" s="31">
        <f>IF(H89=0,0,L89/H89)</f>
        <v>-0.59590974452083556</v>
      </c>
      <c r="O89" s="28"/>
      <c r="P89" s="34">
        <f>SUM(P86:P88)</f>
        <v>-629962.5299999998</v>
      </c>
      <c r="Q89" s="14"/>
      <c r="R89" s="31">
        <f>IF(P$12=0,0,P89/P$12)</f>
        <v>0</v>
      </c>
      <c r="S89" s="14"/>
      <c r="T89" s="34">
        <f>SUM(T86:T88)</f>
        <v>-1145591.7330030766</v>
      </c>
      <c r="U89" s="14"/>
      <c r="V89" s="31">
        <f>IF(T$12=0,0,T89/T$12)</f>
        <v>0</v>
      </c>
      <c r="W89" s="16"/>
      <c r="X89" s="34">
        <f>+P89-T89</f>
        <v>515629.20300307684</v>
      </c>
      <c r="Y89" s="16"/>
      <c r="Z89" s="31">
        <f>IF(T89=0,0,X89/T89)</f>
        <v>-0.45009857189820701</v>
      </c>
    </row>
    <row r="90" spans="1:26" ht="15.75" thickTop="1" x14ac:dyDescent="0.25">
      <c r="A90" s="9"/>
      <c r="C90" s="9"/>
      <c r="D90" s="18"/>
      <c r="E90" s="18"/>
      <c r="G90" s="18"/>
      <c r="H90" s="18"/>
      <c r="I90" s="18"/>
      <c r="J90" s="42"/>
      <c r="K90" s="18"/>
      <c r="L90" s="18"/>
      <c r="M90" s="18"/>
      <c r="P90" s="18"/>
      <c r="Q90" s="18"/>
      <c r="R90" s="42"/>
      <c r="S90" s="18"/>
      <c r="T90" s="18"/>
      <c r="U90" s="18"/>
      <c r="V90" s="42"/>
      <c r="W90" s="18"/>
      <c r="X90" s="18"/>
    </row>
    <row r="91" spans="1:26" x14ac:dyDescent="0.25">
      <c r="A91" s="9"/>
      <c r="B91" s="59">
        <v>43992.371324849541</v>
      </c>
      <c r="D91" s="18"/>
      <c r="E91" s="18"/>
      <c r="G91" s="18"/>
      <c r="H91" s="18"/>
      <c r="I91" s="18"/>
      <c r="J91" s="42"/>
      <c r="K91" s="18"/>
      <c r="L91" s="18"/>
      <c r="M91" s="18"/>
      <c r="P91" s="18"/>
      <c r="Q91" s="18"/>
      <c r="R91" s="42"/>
      <c r="S91" s="18"/>
      <c r="T91" s="18"/>
      <c r="U91" s="18"/>
      <c r="V91" s="42"/>
      <c r="W91" s="18"/>
      <c r="X91" s="18"/>
    </row>
    <row r="92" spans="1:26" x14ac:dyDescent="0.25">
      <c r="A92" s="9"/>
      <c r="B92" s="56" t="s">
        <v>314</v>
      </c>
      <c r="D92" s="18"/>
      <c r="E92" s="18"/>
      <c r="G92" s="18"/>
      <c r="H92" s="18"/>
      <c r="I92" s="18"/>
      <c r="J92" s="42"/>
      <c r="K92" s="18"/>
      <c r="L92" s="18"/>
      <c r="M92" s="18"/>
      <c r="P92" s="18"/>
      <c r="Q92" s="18"/>
      <c r="R92" s="42"/>
      <c r="S92" s="18"/>
      <c r="T92" s="18"/>
      <c r="U92" s="18"/>
      <c r="V92" s="42"/>
      <c r="W92" s="18"/>
      <c r="X92" s="18"/>
    </row>
    <row r="93" spans="1:26" x14ac:dyDescent="0.25">
      <c r="A93" s="9"/>
      <c r="B93" s="54"/>
      <c r="D93" s="18"/>
      <c r="E93" s="18"/>
      <c r="G93" s="18"/>
      <c r="H93" s="18"/>
      <c r="I93" s="18"/>
      <c r="J93" s="42"/>
      <c r="K93" s="18"/>
      <c r="L93" s="18"/>
      <c r="M93" s="18"/>
      <c r="P93" s="18"/>
      <c r="Q93" s="18"/>
      <c r="R93" s="42"/>
      <c r="S93" s="18"/>
      <c r="T93" s="18"/>
      <c r="U93" s="18"/>
      <c r="V93" s="42"/>
      <c r="W93" s="18"/>
      <c r="X93" s="18"/>
    </row>
    <row r="94" spans="1:26" x14ac:dyDescent="0.25">
      <c r="D94" s="18"/>
      <c r="E94" s="18"/>
      <c r="G94" s="18"/>
      <c r="H94" s="18"/>
      <c r="I94" s="18"/>
      <c r="J94" s="42"/>
      <c r="K94" s="18"/>
      <c r="L94" s="18"/>
      <c r="M94" s="18"/>
      <c r="P94" s="18"/>
      <c r="Q94" s="18"/>
      <c r="R94" s="42"/>
      <c r="S94" s="18"/>
      <c r="T94" s="18"/>
      <c r="U94" s="18"/>
      <c r="V94" s="42"/>
      <c r="W94" s="18"/>
      <c r="X94" s="18"/>
    </row>
  </sheetData>
  <pageMargins left="0.25" right="0.25" top="0.75" bottom="0.75" header="0.3" footer="0.3"/>
  <pageSetup scale="55" fitToWidth="2" orientation="landscape"/>
  <drawing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90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63" t="s">
        <v>13</v>
      </c>
    </row>
    <row r="3" spans="1:26" x14ac:dyDescent="0.25">
      <c r="D3" s="63" t="s">
        <v>296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61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63" t="str">
        <f>CONCATENATE("Period ",RIGHT(202011,2),", ",2020)</f>
        <v>Period 11, 2020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61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4">
        <v>43981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61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51"/>
      <c r="C6" s="51"/>
      <c r="D6" s="23" t="str">
        <f>CONCATENATE("Department ","202", " - ", "Accounting")</f>
        <v>Department 202 - Accounting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57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5" t="s">
        <v>294</v>
      </c>
      <c r="E9" s="15"/>
      <c r="F9" s="38"/>
      <c r="G9" s="15"/>
      <c r="H9" s="15"/>
      <c r="I9" s="15"/>
      <c r="J9" s="46"/>
      <c r="K9" s="15"/>
      <c r="L9" s="15"/>
      <c r="M9" s="15"/>
      <c r="N9" s="38"/>
      <c r="P9" s="15" t="s">
        <v>295</v>
      </c>
      <c r="Q9" s="15"/>
      <c r="R9" s="38"/>
      <c r="S9" s="15"/>
      <c r="T9" s="15"/>
      <c r="U9" s="15"/>
      <c r="V9" s="46"/>
      <c r="W9" s="15"/>
      <c r="X9" s="15"/>
      <c r="Y9" s="15"/>
      <c r="Z9" s="38"/>
    </row>
    <row r="10" spans="1:26" x14ac:dyDescent="0.25">
      <c r="A10" s="10"/>
      <c r="B10" s="55"/>
      <c r="C10" s="10"/>
      <c r="D10" s="43" t="s">
        <v>10</v>
      </c>
      <c r="E10" s="33"/>
      <c r="F10" s="40" t="s">
        <v>15</v>
      </c>
      <c r="G10" s="33"/>
      <c r="H10" s="47" t="s">
        <v>11</v>
      </c>
      <c r="I10" s="33"/>
      <c r="J10" s="45" t="s">
        <v>16</v>
      </c>
      <c r="K10" s="10"/>
      <c r="L10" s="43" t="s">
        <v>12</v>
      </c>
      <c r="M10" s="10"/>
      <c r="N10" s="40" t="s">
        <v>17</v>
      </c>
      <c r="O10" s="10"/>
      <c r="P10" s="53" t="s">
        <v>10</v>
      </c>
      <c r="Q10" s="33"/>
      <c r="R10" s="40" t="s">
        <v>15</v>
      </c>
      <c r="S10" s="33"/>
      <c r="T10" s="47" t="s">
        <v>11</v>
      </c>
      <c r="U10" s="33"/>
      <c r="V10" s="45" t="s">
        <v>16</v>
      </c>
      <c r="W10" s="10"/>
      <c r="X10" s="43" t="s">
        <v>12</v>
      </c>
      <c r="Y10" s="10"/>
      <c r="Z10" s="40" t="s">
        <v>17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x14ac:dyDescent="0.25">
      <c r="A12" s="10"/>
      <c r="B12" s="28" t="s">
        <v>7</v>
      </c>
      <c r="C12" s="10"/>
      <c r="D12" s="4">
        <f>SUM(0)</f>
        <v>0</v>
      </c>
      <c r="E12" s="4"/>
      <c r="F12" s="13"/>
      <c r="G12" s="4"/>
      <c r="H12" s="4">
        <f>SUM(0)</f>
        <v>0</v>
      </c>
      <c r="I12" s="4"/>
      <c r="J12" s="13"/>
      <c r="K12" s="4"/>
      <c r="L12" s="4">
        <f>+D12-H12</f>
        <v>0</v>
      </c>
      <c r="M12" s="4"/>
      <c r="N12" s="13">
        <f>IF(H12=0,0,L12/H12)</f>
        <v>0</v>
      </c>
      <c r="O12" s="10"/>
      <c r="P12" s="4">
        <f>SUM(0)</f>
        <v>0</v>
      </c>
      <c r="Q12" s="4"/>
      <c r="R12" s="13"/>
      <c r="S12" s="4"/>
      <c r="T12" s="4">
        <f>SUM(0)</f>
        <v>0</v>
      </c>
      <c r="U12" s="4"/>
      <c r="V12" s="13"/>
      <c r="W12" s="4"/>
      <c r="X12" s="4">
        <f>+P12-T12</f>
        <v>0</v>
      </c>
      <c r="Y12" s="4"/>
      <c r="Z12" s="13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8" t="s">
        <v>8</v>
      </c>
      <c r="C14" s="10"/>
      <c r="D14" s="4">
        <f>SUM(0)</f>
        <v>0</v>
      </c>
      <c r="E14" s="4"/>
      <c r="F14" s="13">
        <f>IF(D$12=0,0,D14/D$12)</f>
        <v>0</v>
      </c>
      <c r="G14" s="4"/>
      <c r="H14" s="4">
        <f>SUM(0)</f>
        <v>0</v>
      </c>
      <c r="I14" s="4"/>
      <c r="J14" s="13">
        <f>IF(H$12=0,0,H14/H$12)</f>
        <v>0</v>
      </c>
      <c r="K14" s="4"/>
      <c r="L14" s="4">
        <f>+D14-H14</f>
        <v>0</v>
      </c>
      <c r="M14" s="4"/>
      <c r="N14" s="13">
        <f>IF(H14=0,0,L14/H14)</f>
        <v>0</v>
      </c>
      <c r="O14" s="10"/>
      <c r="P14" s="4">
        <f>SUM(0)</f>
        <v>0</v>
      </c>
      <c r="Q14" s="4"/>
      <c r="R14" s="13">
        <f>IF(P$12=0,0,P14/P$12)</f>
        <v>0</v>
      </c>
      <c r="S14" s="4"/>
      <c r="T14" s="4">
        <f>SUM(0)</f>
        <v>0</v>
      </c>
      <c r="U14" s="4"/>
      <c r="V14" s="13">
        <f>IF(T$12=0,0,T14/T$12)</f>
        <v>0</v>
      </c>
      <c r="W14" s="4"/>
      <c r="X14" s="4">
        <f>+P14-T14</f>
        <v>0</v>
      </c>
      <c r="Y14" s="4"/>
      <c r="Z14" s="13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9" t="s">
        <v>6</v>
      </c>
      <c r="C16" s="29"/>
      <c r="D16" s="20">
        <f>D12-D14</f>
        <v>0</v>
      </c>
      <c r="E16" s="14"/>
      <c r="F16" s="22">
        <f>IF(D$12=0,0,D16/D$12)</f>
        <v>0</v>
      </c>
      <c r="G16" s="14"/>
      <c r="H16" s="20">
        <f>H12-H14</f>
        <v>0</v>
      </c>
      <c r="I16" s="14"/>
      <c r="J16" s="22">
        <f>IF(H$12=0,0,H16/H$12)</f>
        <v>0</v>
      </c>
      <c r="K16" s="16"/>
      <c r="L16" s="20">
        <f>+D16-H16</f>
        <v>0</v>
      </c>
      <c r="M16" s="16"/>
      <c r="N16" s="22">
        <f>IF(H16=0,0,L16/H16)</f>
        <v>0</v>
      </c>
      <c r="O16" s="28"/>
      <c r="P16" s="20">
        <f>P12-P14</f>
        <v>0</v>
      </c>
      <c r="Q16" s="14"/>
      <c r="R16" s="22">
        <f>IF(P$12=0,0,P16/P$12)</f>
        <v>0</v>
      </c>
      <c r="S16" s="14"/>
      <c r="T16" s="20">
        <f>T12-T14</f>
        <v>0</v>
      </c>
      <c r="U16" s="14"/>
      <c r="V16" s="22">
        <f>IF(T$12=0,0,T16/T$12)</f>
        <v>0</v>
      </c>
      <c r="W16" s="16"/>
      <c r="X16" s="20">
        <f>+P16-T16</f>
        <v>0</v>
      </c>
      <c r="Y16" s="16"/>
      <c r="Z16" s="22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8" t="s">
        <v>9</v>
      </c>
      <c r="C18" s="10"/>
      <c r="D18" s="21">
        <f>SUM(OSRRefD22x_0)</f>
        <v>30335.559999999998</v>
      </c>
      <c r="E18" s="21"/>
      <c r="F18" s="30">
        <f t="shared" ref="F18:F28" si="0">IF(D$12=0,0,D18/D$12)</f>
        <v>0</v>
      </c>
      <c r="G18" s="21"/>
      <c r="H18" s="21">
        <f>SUM(OSRRefH22x_0)</f>
        <v>49650.188613846098</v>
      </c>
      <c r="I18" s="21"/>
      <c r="J18" s="30">
        <f t="shared" ref="J18:J28" si="1">IF(H$12=0,0,H18/H$12)</f>
        <v>0</v>
      </c>
      <c r="K18" s="4"/>
      <c r="L18" s="21">
        <f t="shared" ref="L18:L28" si="2">+D18-H18</f>
        <v>-19314.6286138461</v>
      </c>
      <c r="M18" s="4"/>
      <c r="N18" s="30">
        <f t="shared" ref="N18:N28" si="3">IF(H18=0,0,L18/H18)</f>
        <v>-0.38901420423727801</v>
      </c>
      <c r="O18" s="10"/>
      <c r="P18" s="21">
        <f>SUM(OSRRefP22x_0)</f>
        <v>536437.33000000007</v>
      </c>
      <c r="Q18" s="21"/>
      <c r="R18" s="30">
        <f t="shared" ref="R18:R28" si="4">IF(P$12=0,0,P18/P$12)</f>
        <v>0</v>
      </c>
      <c r="S18" s="21"/>
      <c r="T18" s="21">
        <f>SUM(OSRRefT22x_0)</f>
        <v>614256.87789115356</v>
      </c>
      <c r="U18" s="21"/>
      <c r="V18" s="30">
        <f t="shared" ref="V18:V28" si="5">IF(T$12=0,0,T18/T$12)</f>
        <v>0</v>
      </c>
      <c r="W18" s="4"/>
      <c r="X18" s="21">
        <f t="shared" ref="X18:X28" si="6">+P18-T18</f>
        <v>-77819.547891153488</v>
      </c>
      <c r="Y18" s="4"/>
      <c r="Z18" s="30">
        <f t="shared" ref="Z18:Z28" si="7">IF(T18=0,0,X18/T18)</f>
        <v>-0.1266889320935583</v>
      </c>
    </row>
    <row r="19" spans="1:26" s="27" customFormat="1" outlineLevel="1" collapsed="1" x14ac:dyDescent="0.25">
      <c r="A19" s="25"/>
      <c r="B19" s="12" t="str">
        <f>CONCATENATE("     ","*Benefits                                         ")</f>
        <v xml:space="preserve">     *Benefits                                         </v>
      </c>
      <c r="C19" s="12"/>
      <c r="D19" s="1">
        <f>SUM(OSRRefD22_0x_0)</f>
        <v>11832.93</v>
      </c>
      <c r="E19" s="1"/>
      <c r="F19" s="5">
        <f t="shared" si="0"/>
        <v>0</v>
      </c>
      <c r="G19" s="1"/>
      <c r="H19" s="1">
        <f>SUM(OSRRefH22_0x_0)</f>
        <v>14070.866152307681</v>
      </c>
      <c r="I19" s="1"/>
      <c r="J19" s="5">
        <f t="shared" si="1"/>
        <v>0</v>
      </c>
      <c r="K19" s="1"/>
      <c r="L19" s="1">
        <f t="shared" si="2"/>
        <v>-2237.9361523076805</v>
      </c>
      <c r="M19" s="1"/>
      <c r="N19" s="5">
        <f t="shared" si="3"/>
        <v>-0.15904750482902216</v>
      </c>
      <c r="O19" s="12"/>
      <c r="P19" s="1">
        <f>SUM(OSRRefP22_0x_0)</f>
        <v>134408.43000000002</v>
      </c>
      <c r="Q19" s="1"/>
      <c r="R19" s="5">
        <f t="shared" si="4"/>
        <v>0</v>
      </c>
      <c r="S19" s="1"/>
      <c r="T19" s="1">
        <f>SUM(OSRRefT22_0x_0)</f>
        <v>162811.44935269229</v>
      </c>
      <c r="U19" s="1"/>
      <c r="V19" s="5">
        <f t="shared" si="5"/>
        <v>0</v>
      </c>
      <c r="W19" s="1"/>
      <c r="X19" s="1">
        <f t="shared" si="6"/>
        <v>-28403.019352692267</v>
      </c>
      <c r="Y19" s="1"/>
      <c r="Z19" s="5">
        <f t="shared" si="7"/>
        <v>-0.17445345192624556</v>
      </c>
    </row>
    <row r="20" spans="1:26" s="24" customFormat="1" hidden="1" outlineLevel="2" x14ac:dyDescent="0.25">
      <c r="A20" s="26"/>
      <c r="B20" s="11" t="str">
        <f>CONCATENATE("          ", "6111", " - ", "F.I.C.A.")</f>
        <v xml:space="preserve">          6111 - F.I.C.A.</v>
      </c>
      <c r="C20" s="11"/>
      <c r="D20" s="7">
        <v>1622.44</v>
      </c>
      <c r="E20" s="2"/>
      <c r="F20" s="6">
        <f t="shared" si="0"/>
        <v>0</v>
      </c>
      <c r="G20" s="2"/>
      <c r="H20" s="7">
        <v>2111.3214138461499</v>
      </c>
      <c r="I20" s="2"/>
      <c r="J20" s="6">
        <f t="shared" si="1"/>
        <v>0</v>
      </c>
      <c r="K20" s="2"/>
      <c r="L20" s="7">
        <f t="shared" si="2"/>
        <v>-488.88141384614983</v>
      </c>
      <c r="M20" s="2"/>
      <c r="N20" s="6">
        <f t="shared" si="3"/>
        <v>-0.23155233998956362</v>
      </c>
      <c r="O20" s="11"/>
      <c r="P20" s="7">
        <v>28117.56</v>
      </c>
      <c r="Q20" s="2"/>
      <c r="R20" s="6">
        <f t="shared" si="4"/>
        <v>0</v>
      </c>
      <c r="S20" s="2"/>
      <c r="T20" s="7">
        <v>26170.225291153813</v>
      </c>
      <c r="U20" s="2"/>
      <c r="V20" s="6">
        <f t="shared" si="5"/>
        <v>0</v>
      </c>
      <c r="W20" s="2"/>
      <c r="X20" s="7">
        <f t="shared" si="6"/>
        <v>1947.3347088461887</v>
      </c>
      <c r="Y20" s="2"/>
      <c r="Z20" s="6">
        <f t="shared" si="7"/>
        <v>7.4410315050074727E-2</v>
      </c>
    </row>
    <row r="21" spans="1:26" s="24" customFormat="1" hidden="1" outlineLevel="2" x14ac:dyDescent="0.25">
      <c r="A21" s="26"/>
      <c r="B21" s="11" t="str">
        <f>CONCATENATE("          ", "6112", " - ", "COMPENSATION INSURANCE")</f>
        <v xml:space="preserve">          6112 - COMPENSATION INSURANCE</v>
      </c>
      <c r="C21" s="11"/>
      <c r="D21" s="7">
        <v>108.16</v>
      </c>
      <c r="E21" s="2"/>
      <c r="F21" s="6">
        <f t="shared" si="0"/>
        <v>0</v>
      </c>
      <c r="G21" s="2"/>
      <c r="H21" s="7">
        <v>115.829003076923</v>
      </c>
      <c r="I21" s="2"/>
      <c r="J21" s="6">
        <f t="shared" si="1"/>
        <v>0</v>
      </c>
      <c r="K21" s="2"/>
      <c r="L21" s="7">
        <f t="shared" si="2"/>
        <v>-7.6690030769230049</v>
      </c>
      <c r="M21" s="2"/>
      <c r="N21" s="6">
        <f t="shared" si="3"/>
        <v>-6.6209695958705239E-2</v>
      </c>
      <c r="O21" s="11"/>
      <c r="P21" s="7">
        <v>1194.23</v>
      </c>
      <c r="Q21" s="2"/>
      <c r="R21" s="6">
        <f t="shared" si="4"/>
        <v>0</v>
      </c>
      <c r="S21" s="2"/>
      <c r="T21" s="7">
        <v>1384.4407169230769</v>
      </c>
      <c r="U21" s="2"/>
      <c r="V21" s="6">
        <f t="shared" si="5"/>
        <v>0</v>
      </c>
      <c r="W21" s="2"/>
      <c r="X21" s="7">
        <f t="shared" si="6"/>
        <v>-190.21071692307692</v>
      </c>
      <c r="Y21" s="2"/>
      <c r="Z21" s="6">
        <f t="shared" si="7"/>
        <v>-0.13739173848181865</v>
      </c>
    </row>
    <row r="22" spans="1:26" s="24" customFormat="1" hidden="1" outlineLevel="2" x14ac:dyDescent="0.25">
      <c r="A22" s="26"/>
      <c r="B22" s="11" t="str">
        <f>CONCATENATE("          ", "6113", " - ", "GROUP INSURANCE")</f>
        <v xml:space="preserve">          6113 - GROUP INSURANCE</v>
      </c>
      <c r="C22" s="11"/>
      <c r="D22" s="7">
        <v>5567.04</v>
      </c>
      <c r="E22" s="2"/>
      <c r="F22" s="6">
        <f t="shared" si="0"/>
        <v>0</v>
      </c>
      <c r="G22" s="2"/>
      <c r="H22" s="7">
        <v>6065</v>
      </c>
      <c r="I22" s="2"/>
      <c r="J22" s="6">
        <f t="shared" si="1"/>
        <v>0</v>
      </c>
      <c r="K22" s="2"/>
      <c r="L22" s="7">
        <f t="shared" si="2"/>
        <v>-497.96000000000004</v>
      </c>
      <c r="M22" s="2"/>
      <c r="N22" s="6">
        <f t="shared" si="3"/>
        <v>-8.2103874690849135E-2</v>
      </c>
      <c r="O22" s="11"/>
      <c r="P22" s="7">
        <v>66309.75</v>
      </c>
      <c r="Q22" s="2"/>
      <c r="R22" s="6">
        <f t="shared" si="4"/>
        <v>0</v>
      </c>
      <c r="S22" s="2"/>
      <c r="T22" s="7">
        <v>66715</v>
      </c>
      <c r="U22" s="2"/>
      <c r="V22" s="6">
        <f t="shared" si="5"/>
        <v>0</v>
      </c>
      <c r="W22" s="2"/>
      <c r="X22" s="7">
        <f t="shared" si="6"/>
        <v>-405.25</v>
      </c>
      <c r="Y22" s="2"/>
      <c r="Z22" s="6">
        <f t="shared" si="7"/>
        <v>-6.074346099078168E-3</v>
      </c>
    </row>
    <row r="23" spans="1:26" s="24" customFormat="1" hidden="1" outlineLevel="2" x14ac:dyDescent="0.25">
      <c r="A23" s="26"/>
      <c r="B23" s="11" t="str">
        <f>CONCATENATE("          ", "6114", " - ", "STATE UNEMPLOYMENT INSURANCE")</f>
        <v xml:space="preserve">          6114 - STATE UNEMPLOYMENT INSURANCE</v>
      </c>
      <c r="C23" s="11"/>
      <c r="D23" s="7">
        <v>82.71</v>
      </c>
      <c r="E23" s="2"/>
      <c r="F23" s="6">
        <f t="shared" si="0"/>
        <v>0</v>
      </c>
      <c r="G23" s="2"/>
      <c r="H23" s="7">
        <v>88.575119999999998</v>
      </c>
      <c r="I23" s="2"/>
      <c r="J23" s="6">
        <f t="shared" si="1"/>
        <v>0</v>
      </c>
      <c r="K23" s="2"/>
      <c r="L23" s="7">
        <f t="shared" si="2"/>
        <v>-5.8651200000000046</v>
      </c>
      <c r="M23" s="2"/>
      <c r="N23" s="6">
        <f t="shared" si="3"/>
        <v>-6.6216337048146306E-2</v>
      </c>
      <c r="O23" s="11"/>
      <c r="P23" s="7">
        <v>1053.99</v>
      </c>
      <c r="Q23" s="2"/>
      <c r="R23" s="6">
        <f t="shared" si="4"/>
        <v>0</v>
      </c>
      <c r="S23" s="2"/>
      <c r="T23" s="7">
        <v>1058.6899599999999</v>
      </c>
      <c r="U23" s="2"/>
      <c r="V23" s="6">
        <f t="shared" si="5"/>
        <v>0</v>
      </c>
      <c r="W23" s="2"/>
      <c r="X23" s="7">
        <f t="shared" si="6"/>
        <v>-4.6999599999999191</v>
      </c>
      <c r="Y23" s="2"/>
      <c r="Z23" s="6">
        <f t="shared" si="7"/>
        <v>-4.4394111378934014E-3</v>
      </c>
    </row>
    <row r="24" spans="1:26" s="24" customFormat="1" hidden="1" outlineLevel="2" x14ac:dyDescent="0.25">
      <c r="A24" s="26"/>
      <c r="B24" s="11" t="str">
        <f>CONCATENATE("          ", "6115", " - ", "P.E.R.S.")</f>
        <v xml:space="preserve">          6115 - P.E.R.S.</v>
      </c>
      <c r="C24" s="11"/>
      <c r="D24" s="7">
        <v>1813.92</v>
      </c>
      <c r="E24" s="2"/>
      <c r="F24" s="6">
        <f t="shared" si="0"/>
        <v>0</v>
      </c>
      <c r="G24" s="2"/>
      <c r="H24" s="7">
        <v>2159.9892307692298</v>
      </c>
      <c r="I24" s="2"/>
      <c r="J24" s="6">
        <f t="shared" si="1"/>
        <v>0</v>
      </c>
      <c r="K24" s="2"/>
      <c r="L24" s="7">
        <f t="shared" si="2"/>
        <v>-346.06923076922976</v>
      </c>
      <c r="M24" s="2"/>
      <c r="N24" s="6">
        <f t="shared" si="3"/>
        <v>-0.16021803527510425</v>
      </c>
      <c r="O24" s="11"/>
      <c r="P24" s="7">
        <v>27720.240000000002</v>
      </c>
      <c r="Q24" s="2"/>
      <c r="R24" s="6">
        <f t="shared" si="4"/>
        <v>0</v>
      </c>
      <c r="S24" s="2"/>
      <c r="T24" s="7">
        <v>25919.870769230773</v>
      </c>
      <c r="U24" s="2"/>
      <c r="V24" s="6">
        <f t="shared" si="5"/>
        <v>0</v>
      </c>
      <c r="W24" s="2"/>
      <c r="X24" s="7">
        <f t="shared" si="6"/>
        <v>1800.369230769229</v>
      </c>
      <c r="Y24" s="2"/>
      <c r="Z24" s="6">
        <f t="shared" si="7"/>
        <v>6.9459035764423249E-2</v>
      </c>
    </row>
    <row r="25" spans="1:26" s="24" customFormat="1" hidden="1" outlineLevel="2" x14ac:dyDescent="0.25">
      <c r="A25" s="26"/>
      <c r="B25" s="11" t="str">
        <f>CONCATENATE("          ", "6116", " - ", "EDUCATIONAL BENEFITS")</f>
        <v xml:space="preserve">          6116 - EDUCATIONAL BENEFITS</v>
      </c>
      <c r="C25" s="11"/>
      <c r="D25" s="7"/>
      <c r="E25" s="2"/>
      <c r="F25" s="6">
        <f t="shared" si="0"/>
        <v>0</v>
      </c>
      <c r="G25" s="2"/>
      <c r="H25" s="7">
        <v>0</v>
      </c>
      <c r="I25" s="2"/>
      <c r="J25" s="6">
        <f t="shared" si="1"/>
        <v>0</v>
      </c>
      <c r="K25" s="2"/>
      <c r="L25" s="7">
        <f t="shared" si="2"/>
        <v>0</v>
      </c>
      <c r="M25" s="2"/>
      <c r="N25" s="6">
        <f t="shared" si="3"/>
        <v>0</v>
      </c>
      <c r="O25" s="11"/>
      <c r="P25" s="7"/>
      <c r="Q25" s="2"/>
      <c r="R25" s="6">
        <f t="shared" si="4"/>
        <v>0</v>
      </c>
      <c r="S25" s="2"/>
      <c r="T25" s="7">
        <v>0</v>
      </c>
      <c r="U25" s="2"/>
      <c r="V25" s="6">
        <f t="shared" si="5"/>
        <v>0</v>
      </c>
      <c r="W25" s="2"/>
      <c r="X25" s="7">
        <f t="shared" si="6"/>
        <v>0</v>
      </c>
      <c r="Y25" s="2"/>
      <c r="Z25" s="6">
        <f t="shared" si="7"/>
        <v>0</v>
      </c>
    </row>
    <row r="26" spans="1:26" s="24" customFormat="1" hidden="1" outlineLevel="2" x14ac:dyDescent="0.25">
      <c r="A26" s="26"/>
      <c r="B26" s="11" t="str">
        <f>CONCATENATE("          ", "6118", " - ", "VACATION")</f>
        <v xml:space="preserve">          6118 - VACATION</v>
      </c>
      <c r="C26" s="11"/>
      <c r="D26" s="7">
        <v>1520.74</v>
      </c>
      <c r="E26" s="2"/>
      <c r="F26" s="6">
        <f t="shared" si="0"/>
        <v>0</v>
      </c>
      <c r="G26" s="2"/>
      <c r="H26" s="7">
        <v>1255.8076923076899</v>
      </c>
      <c r="I26" s="2"/>
      <c r="J26" s="6">
        <f t="shared" si="1"/>
        <v>0</v>
      </c>
      <c r="K26" s="2"/>
      <c r="L26" s="7">
        <f t="shared" si="2"/>
        <v>264.93230769231013</v>
      </c>
      <c r="M26" s="2"/>
      <c r="N26" s="6">
        <f t="shared" si="3"/>
        <v>0.21096566720774484</v>
      </c>
      <c r="O26" s="11"/>
      <c r="P26" s="7">
        <v>22703.14</v>
      </c>
      <c r="Q26" s="2"/>
      <c r="R26" s="6">
        <f t="shared" si="4"/>
        <v>0</v>
      </c>
      <c r="S26" s="2"/>
      <c r="T26" s="7">
        <v>15069.69230769231</v>
      </c>
      <c r="U26" s="2"/>
      <c r="V26" s="6">
        <f t="shared" si="5"/>
        <v>0</v>
      </c>
      <c r="W26" s="2"/>
      <c r="X26" s="7">
        <f t="shared" si="6"/>
        <v>7633.4476923076891</v>
      </c>
      <c r="Y26" s="2"/>
      <c r="Z26" s="6">
        <f t="shared" si="7"/>
        <v>0.5065430359458104</v>
      </c>
    </row>
    <row r="27" spans="1:26" s="24" customFormat="1" hidden="1" outlineLevel="2" x14ac:dyDescent="0.25">
      <c r="A27" s="26"/>
      <c r="B27" s="11" t="str">
        <f>CONCATENATE("          ", "6119", " - ", "SICK LEAVE")</f>
        <v xml:space="preserve">          6119 - SICK LEAVE</v>
      </c>
      <c r="C27" s="11"/>
      <c r="D27" s="7">
        <v>979.42</v>
      </c>
      <c r="E27" s="2"/>
      <c r="F27" s="6">
        <f t="shared" si="0"/>
        <v>0</v>
      </c>
      <c r="G27" s="2"/>
      <c r="H27" s="7">
        <v>1524.3436923076899</v>
      </c>
      <c r="I27" s="2"/>
      <c r="J27" s="6">
        <f t="shared" si="1"/>
        <v>0</v>
      </c>
      <c r="K27" s="2"/>
      <c r="L27" s="7">
        <f t="shared" si="2"/>
        <v>-544.92369230768998</v>
      </c>
      <c r="M27" s="2"/>
      <c r="N27" s="6">
        <f t="shared" si="3"/>
        <v>-0.35748085884931569</v>
      </c>
      <c r="O27" s="11"/>
      <c r="P27" s="7">
        <v>-20331.86</v>
      </c>
      <c r="Q27" s="2"/>
      <c r="R27" s="6">
        <f t="shared" si="4"/>
        <v>0</v>
      </c>
      <c r="S27" s="2"/>
      <c r="T27" s="7">
        <v>18243.530307692312</v>
      </c>
      <c r="U27" s="2"/>
      <c r="V27" s="6">
        <f t="shared" si="5"/>
        <v>0</v>
      </c>
      <c r="W27" s="2"/>
      <c r="X27" s="7">
        <f t="shared" si="6"/>
        <v>-38575.390307692316</v>
      </c>
      <c r="Y27" s="2"/>
      <c r="Z27" s="6">
        <f t="shared" si="7"/>
        <v>-2.1144696041328777</v>
      </c>
    </row>
    <row r="28" spans="1:26" s="24" customFormat="1" hidden="1" outlineLevel="2" x14ac:dyDescent="0.25">
      <c r="A28" s="26"/>
      <c r="B28" s="11" t="str">
        <f>CONCATENATE("          ", "6156", " - ", "EMPLOYEE MEALS")</f>
        <v xml:space="preserve">          6156 - EMPLOYEE MEALS</v>
      </c>
      <c r="C28" s="11"/>
      <c r="D28" s="7">
        <v>138.5</v>
      </c>
      <c r="E28" s="2"/>
      <c r="F28" s="6">
        <f t="shared" si="0"/>
        <v>0</v>
      </c>
      <c r="G28" s="2"/>
      <c r="H28" s="7">
        <v>750</v>
      </c>
      <c r="I28" s="2"/>
      <c r="J28" s="6">
        <f t="shared" si="1"/>
        <v>0</v>
      </c>
      <c r="K28" s="2"/>
      <c r="L28" s="7">
        <f t="shared" si="2"/>
        <v>-611.5</v>
      </c>
      <c r="M28" s="2"/>
      <c r="N28" s="6">
        <f t="shared" si="3"/>
        <v>-0.81533333333333335</v>
      </c>
      <c r="O28" s="11"/>
      <c r="P28" s="7">
        <v>7641.38</v>
      </c>
      <c r="Q28" s="2"/>
      <c r="R28" s="6">
        <f t="shared" si="4"/>
        <v>0</v>
      </c>
      <c r="S28" s="2"/>
      <c r="T28" s="7">
        <v>8250</v>
      </c>
      <c r="U28" s="2"/>
      <c r="V28" s="6">
        <f t="shared" si="5"/>
        <v>0</v>
      </c>
      <c r="W28" s="2"/>
      <c r="X28" s="7">
        <f t="shared" si="6"/>
        <v>-608.61999999999989</v>
      </c>
      <c r="Y28" s="2"/>
      <c r="Z28" s="6">
        <f t="shared" si="7"/>
        <v>-7.3772121212121206E-2</v>
      </c>
    </row>
    <row r="29" spans="1:26" s="27" customFormat="1" outlineLevel="1" collapsed="1" x14ac:dyDescent="0.25">
      <c r="A29" s="25"/>
      <c r="B29" s="12" t="str">
        <f>CONCATENATE("     ","*Payroll                                          ")</f>
        <v xml:space="preserve">     *Payroll                                          </v>
      </c>
      <c r="C29" s="12"/>
      <c r="D29" s="1">
        <f>SUM(OSRRefD22_1x_0)</f>
        <v>15632.22</v>
      </c>
      <c r="E29" s="1"/>
      <c r="F29" s="5">
        <f t="shared" ref="F29:F39" si="8">IF(D$12=0,0,D29/D$12)</f>
        <v>0</v>
      </c>
      <c r="G29" s="1"/>
      <c r="H29" s="1">
        <f>SUM(OSRRefH22_1x_0)</f>
        <v>31626.322461538424</v>
      </c>
      <c r="I29" s="1"/>
      <c r="J29" s="5">
        <f t="shared" ref="J29:J39" si="9">IF(H$12=0,0,H29/H$12)</f>
        <v>0</v>
      </c>
      <c r="K29" s="1"/>
      <c r="L29" s="1">
        <f t="shared" ref="L29:L39" si="10">+D29-H29</f>
        <v>-15994.102461538425</v>
      </c>
      <c r="M29" s="1"/>
      <c r="N29" s="5">
        <f t="shared" ref="N29:N39" si="11">IF(H29=0,0,L29/H29)</f>
        <v>-0.50572122259833596</v>
      </c>
      <c r="O29" s="12"/>
      <c r="P29" s="1">
        <f>SUM(OSRRefP22_1x_0)</f>
        <v>325533.37999999989</v>
      </c>
      <c r="Q29" s="1"/>
      <c r="R29" s="5">
        <f t="shared" ref="R29:R39" si="12">IF(P$12=0,0,P29/P$12)</f>
        <v>0</v>
      </c>
      <c r="S29" s="1"/>
      <c r="T29" s="1">
        <f>SUM(OSRRefT22_1x_0)</f>
        <v>377807.42853846122</v>
      </c>
      <c r="U29" s="1"/>
      <c r="V29" s="5">
        <f t="shared" ref="V29:V39" si="13">IF(T$12=0,0,T29/T$12)</f>
        <v>0</v>
      </c>
      <c r="W29" s="1"/>
      <c r="X29" s="1">
        <f t="shared" ref="X29:X39" si="14">+P29-T29</f>
        <v>-52274.048538461328</v>
      </c>
      <c r="Y29" s="1"/>
      <c r="Z29" s="5">
        <f t="shared" ref="Z29:Z39" si="15">IF(T29=0,0,X29/T29)</f>
        <v>-0.13836162179415637</v>
      </c>
    </row>
    <row r="30" spans="1:26" s="24" customFormat="1" hidden="1" outlineLevel="2" x14ac:dyDescent="0.25">
      <c r="A30" s="26"/>
      <c r="B30" s="11" t="str">
        <f>CONCATENATE("          ", "6001", " - ", "ADMINISTRATIVE SALARIES")</f>
        <v xml:space="preserve">          6001 - ADMINISTRATIVE SALARIES</v>
      </c>
      <c r="C30" s="11"/>
      <c r="D30" s="7"/>
      <c r="E30" s="2"/>
      <c r="F30" s="6">
        <f t="shared" si="8"/>
        <v>0</v>
      </c>
      <c r="G30" s="2"/>
      <c r="H30" s="7">
        <v>5419.3846153846198</v>
      </c>
      <c r="I30" s="2"/>
      <c r="J30" s="6">
        <f t="shared" si="9"/>
        <v>0</v>
      </c>
      <c r="K30" s="2"/>
      <c r="L30" s="7">
        <f t="shared" si="10"/>
        <v>-5419.3846153846198</v>
      </c>
      <c r="M30" s="2"/>
      <c r="N30" s="6">
        <f t="shared" si="11"/>
        <v>-1</v>
      </c>
      <c r="O30" s="11"/>
      <c r="P30" s="7"/>
      <c r="Q30" s="2"/>
      <c r="R30" s="6">
        <f t="shared" si="12"/>
        <v>0</v>
      </c>
      <c r="S30" s="2"/>
      <c r="T30" s="7">
        <v>65032.615384615419</v>
      </c>
      <c r="U30" s="2"/>
      <c r="V30" s="6">
        <f t="shared" si="13"/>
        <v>0</v>
      </c>
      <c r="W30" s="2"/>
      <c r="X30" s="7">
        <f t="shared" si="14"/>
        <v>-65032.615384615419</v>
      </c>
      <c r="Y30" s="2"/>
      <c r="Z30" s="6">
        <f t="shared" si="15"/>
        <v>-1</v>
      </c>
    </row>
    <row r="31" spans="1:26" s="24" customFormat="1" hidden="1" outlineLevel="2" x14ac:dyDescent="0.25">
      <c r="A31" s="26"/>
      <c r="B31" s="11" t="str">
        <f>CONCATENATE("          ", "6002", " - ", "STAFF SALARIES")</f>
        <v xml:space="preserve">          6002 - STAFF SALARIES</v>
      </c>
      <c r="C31" s="11"/>
      <c r="D31" s="7">
        <v>15632.22</v>
      </c>
      <c r="E31" s="2"/>
      <c r="F31" s="6">
        <f t="shared" si="8"/>
        <v>0</v>
      </c>
      <c r="G31" s="2"/>
      <c r="H31" s="7">
        <v>17185.1538461538</v>
      </c>
      <c r="I31" s="2"/>
      <c r="J31" s="6">
        <f t="shared" si="9"/>
        <v>0</v>
      </c>
      <c r="K31" s="2"/>
      <c r="L31" s="7">
        <f t="shared" si="10"/>
        <v>-1552.9338461538009</v>
      </c>
      <c r="M31" s="2"/>
      <c r="N31" s="6">
        <f t="shared" si="11"/>
        <v>-9.036484980327146E-2</v>
      </c>
      <c r="O31" s="11"/>
      <c r="P31" s="7">
        <v>276230.36</v>
      </c>
      <c r="Q31" s="2"/>
      <c r="R31" s="6">
        <f t="shared" si="12"/>
        <v>0</v>
      </c>
      <c r="S31" s="2"/>
      <c r="T31" s="7">
        <v>206221.84615384581</v>
      </c>
      <c r="U31" s="2"/>
      <c r="V31" s="6">
        <f t="shared" si="13"/>
        <v>0</v>
      </c>
      <c r="W31" s="2"/>
      <c r="X31" s="7">
        <f t="shared" si="14"/>
        <v>70008.513846154179</v>
      </c>
      <c r="Y31" s="2"/>
      <c r="Z31" s="6">
        <f t="shared" si="15"/>
        <v>0.33948155906783206</v>
      </c>
    </row>
    <row r="32" spans="1:26" s="24" customFormat="1" hidden="1" outlineLevel="2" x14ac:dyDescent="0.25">
      <c r="A32" s="26"/>
      <c r="B32" s="11" t="str">
        <f>CONCATENATE("          ", "6003", " - ", "STAFF HOURLY-9 MONTH")</f>
        <v xml:space="preserve">          6003 - STAFF HOURLY-9 MONTH</v>
      </c>
      <c r="C32" s="11"/>
      <c r="D32" s="7"/>
      <c r="E32" s="2"/>
      <c r="F32" s="6">
        <f t="shared" si="8"/>
        <v>0</v>
      </c>
      <c r="G32" s="2"/>
      <c r="H32" s="7">
        <v>0</v>
      </c>
      <c r="I32" s="2"/>
      <c r="J32" s="6">
        <f t="shared" si="9"/>
        <v>0</v>
      </c>
      <c r="K32" s="2"/>
      <c r="L32" s="7">
        <f t="shared" si="10"/>
        <v>0</v>
      </c>
      <c r="M32" s="2"/>
      <c r="N32" s="6">
        <f t="shared" si="11"/>
        <v>0</v>
      </c>
      <c r="O32" s="11"/>
      <c r="P32" s="7"/>
      <c r="Q32" s="2"/>
      <c r="R32" s="6">
        <f t="shared" si="12"/>
        <v>0</v>
      </c>
      <c r="S32" s="2"/>
      <c r="T32" s="7">
        <v>0</v>
      </c>
      <c r="U32" s="2"/>
      <c r="V32" s="6">
        <f t="shared" si="13"/>
        <v>0</v>
      </c>
      <c r="W32" s="2"/>
      <c r="X32" s="7">
        <f t="shared" si="14"/>
        <v>0</v>
      </c>
      <c r="Y32" s="2"/>
      <c r="Z32" s="6">
        <f t="shared" si="15"/>
        <v>0</v>
      </c>
    </row>
    <row r="33" spans="1:26" s="24" customFormat="1" hidden="1" outlineLevel="2" x14ac:dyDescent="0.25">
      <c r="A33" s="26"/>
      <c r="B33" s="11" t="str">
        <f>CONCATENATE("          ", "6004", " - ", "STAFF HOURLY")</f>
        <v xml:space="preserve">          6004 - STAFF HOURLY</v>
      </c>
      <c r="C33" s="11"/>
      <c r="D33" s="7"/>
      <c r="E33" s="2"/>
      <c r="F33" s="6">
        <f t="shared" si="8"/>
        <v>0</v>
      </c>
      <c r="G33" s="2"/>
      <c r="H33" s="7">
        <v>2496.7199999999998</v>
      </c>
      <c r="I33" s="2"/>
      <c r="J33" s="6">
        <f t="shared" si="9"/>
        <v>0</v>
      </c>
      <c r="K33" s="2"/>
      <c r="L33" s="7">
        <f t="shared" si="10"/>
        <v>-2496.7199999999998</v>
      </c>
      <c r="M33" s="2"/>
      <c r="N33" s="6">
        <f t="shared" si="11"/>
        <v>-1</v>
      </c>
      <c r="O33" s="11"/>
      <c r="P33" s="7">
        <v>-9381.52</v>
      </c>
      <c r="Q33" s="2"/>
      <c r="R33" s="6">
        <f t="shared" si="12"/>
        <v>0</v>
      </c>
      <c r="S33" s="2"/>
      <c r="T33" s="7">
        <v>29960.639999999999</v>
      </c>
      <c r="U33" s="2"/>
      <c r="V33" s="6">
        <f t="shared" si="13"/>
        <v>0</v>
      </c>
      <c r="W33" s="2"/>
      <c r="X33" s="7">
        <f t="shared" si="14"/>
        <v>-39342.160000000003</v>
      </c>
      <c r="Y33" s="2"/>
      <c r="Z33" s="6">
        <f t="shared" si="15"/>
        <v>-1.3131281574759419</v>
      </c>
    </row>
    <row r="34" spans="1:26" s="24" customFormat="1" hidden="1" outlineLevel="2" x14ac:dyDescent="0.25">
      <c r="A34" s="26"/>
      <c r="B34" s="11" t="str">
        <f>CONCATENATE("          ", "6005", " - ", "TEMPORARY WAGES-HOURLY")</f>
        <v xml:space="preserve">          6005 - TEMPORARY WAGES-HOURLY</v>
      </c>
      <c r="C34" s="11"/>
      <c r="D34" s="7"/>
      <c r="E34" s="2"/>
      <c r="F34" s="6">
        <f t="shared" si="8"/>
        <v>0</v>
      </c>
      <c r="G34" s="2"/>
      <c r="H34" s="7">
        <v>0</v>
      </c>
      <c r="I34" s="2"/>
      <c r="J34" s="6">
        <f t="shared" si="9"/>
        <v>0</v>
      </c>
      <c r="K34" s="2"/>
      <c r="L34" s="7">
        <f t="shared" si="10"/>
        <v>0</v>
      </c>
      <c r="M34" s="2"/>
      <c r="N34" s="6">
        <f t="shared" si="11"/>
        <v>0</v>
      </c>
      <c r="O34" s="11"/>
      <c r="P34" s="7">
        <v>20823.22</v>
      </c>
      <c r="Q34" s="2"/>
      <c r="R34" s="6">
        <f t="shared" si="12"/>
        <v>0</v>
      </c>
      <c r="S34" s="2"/>
      <c r="T34" s="7">
        <v>0</v>
      </c>
      <c r="U34" s="2"/>
      <c r="V34" s="6">
        <f t="shared" si="13"/>
        <v>0</v>
      </c>
      <c r="W34" s="2"/>
      <c r="X34" s="7">
        <f t="shared" si="14"/>
        <v>20823.22</v>
      </c>
      <c r="Y34" s="2"/>
      <c r="Z34" s="6">
        <f t="shared" si="15"/>
        <v>0</v>
      </c>
    </row>
    <row r="35" spans="1:26" s="24" customFormat="1" hidden="1" outlineLevel="2" x14ac:dyDescent="0.25">
      <c r="A35" s="26"/>
      <c r="B35" s="11" t="str">
        <f>CONCATENATE("          ", "6006", " - ", "TEMPORARY PART TIME")</f>
        <v xml:space="preserve">          6006 - TEMPORARY PART TIME</v>
      </c>
      <c r="C35" s="11"/>
      <c r="D35" s="7"/>
      <c r="E35" s="2"/>
      <c r="F35" s="6">
        <f t="shared" si="8"/>
        <v>0</v>
      </c>
      <c r="G35" s="2"/>
      <c r="H35" s="7">
        <v>0</v>
      </c>
      <c r="I35" s="2"/>
      <c r="J35" s="6">
        <f t="shared" si="9"/>
        <v>0</v>
      </c>
      <c r="K35" s="2"/>
      <c r="L35" s="7">
        <f t="shared" si="10"/>
        <v>0</v>
      </c>
      <c r="M35" s="2"/>
      <c r="N35" s="6">
        <f t="shared" si="11"/>
        <v>0</v>
      </c>
      <c r="O35" s="11"/>
      <c r="P35" s="7"/>
      <c r="Q35" s="2"/>
      <c r="R35" s="6">
        <f t="shared" si="12"/>
        <v>0</v>
      </c>
      <c r="S35" s="2"/>
      <c r="T35" s="7">
        <v>0</v>
      </c>
      <c r="U35" s="2"/>
      <c r="V35" s="6">
        <f t="shared" si="13"/>
        <v>0</v>
      </c>
      <c r="W35" s="2"/>
      <c r="X35" s="7">
        <f t="shared" si="14"/>
        <v>0</v>
      </c>
      <c r="Y35" s="2"/>
      <c r="Z35" s="6">
        <f t="shared" si="15"/>
        <v>0</v>
      </c>
    </row>
    <row r="36" spans="1:26" s="24" customFormat="1" hidden="1" outlineLevel="2" x14ac:dyDescent="0.25">
      <c r="A36" s="26"/>
      <c r="B36" s="11" t="str">
        <f>CONCATENATE("          ", "6007", " - ", "STUDENT HOURLY")</f>
        <v xml:space="preserve">          6007 - STUDENT HOURLY</v>
      </c>
      <c r="C36" s="11"/>
      <c r="D36" s="7"/>
      <c r="E36" s="2"/>
      <c r="F36" s="6">
        <f t="shared" si="8"/>
        <v>0</v>
      </c>
      <c r="G36" s="2"/>
      <c r="H36" s="7">
        <v>0</v>
      </c>
      <c r="I36" s="2"/>
      <c r="J36" s="6">
        <f t="shared" si="9"/>
        <v>0</v>
      </c>
      <c r="K36" s="2"/>
      <c r="L36" s="7">
        <f t="shared" si="10"/>
        <v>0</v>
      </c>
      <c r="M36" s="2"/>
      <c r="N36" s="6">
        <f t="shared" si="11"/>
        <v>0</v>
      </c>
      <c r="O36" s="11"/>
      <c r="P36" s="7">
        <v>32551.350000000002</v>
      </c>
      <c r="Q36" s="2"/>
      <c r="R36" s="6">
        <f t="shared" si="12"/>
        <v>0</v>
      </c>
      <c r="S36" s="2"/>
      <c r="T36" s="7">
        <v>10902.5</v>
      </c>
      <c r="U36" s="2"/>
      <c r="V36" s="6">
        <f t="shared" si="13"/>
        <v>0</v>
      </c>
      <c r="W36" s="2"/>
      <c r="X36" s="7">
        <f t="shared" si="14"/>
        <v>21648.850000000002</v>
      </c>
      <c r="Y36" s="2"/>
      <c r="Z36" s="6">
        <f t="shared" si="15"/>
        <v>1.9856775968814495</v>
      </c>
    </row>
    <row r="37" spans="1:26" s="24" customFormat="1" hidden="1" outlineLevel="2" x14ac:dyDescent="0.25">
      <c r="A37" s="26"/>
      <c r="B37" s="11" t="str">
        <f>CONCATENATE("          ", "6008", " - ", "STUDENT HOURLY-FICA EXEMPT")</f>
        <v xml:space="preserve">          6008 - STUDENT HOURLY-FICA EXEMPT</v>
      </c>
      <c r="C37" s="11"/>
      <c r="D37" s="7"/>
      <c r="E37" s="2"/>
      <c r="F37" s="6">
        <f t="shared" si="8"/>
        <v>0</v>
      </c>
      <c r="G37" s="2"/>
      <c r="H37" s="7">
        <v>6525.0640000000003</v>
      </c>
      <c r="I37" s="2"/>
      <c r="J37" s="6">
        <f t="shared" si="9"/>
        <v>0</v>
      </c>
      <c r="K37" s="2"/>
      <c r="L37" s="7">
        <f t="shared" si="10"/>
        <v>-6525.0640000000003</v>
      </c>
      <c r="M37" s="2"/>
      <c r="N37" s="6">
        <f t="shared" si="11"/>
        <v>-1</v>
      </c>
      <c r="O37" s="11"/>
      <c r="P37" s="7">
        <v>5309.97</v>
      </c>
      <c r="Q37" s="2"/>
      <c r="R37" s="6">
        <f t="shared" si="12"/>
        <v>0</v>
      </c>
      <c r="S37" s="2"/>
      <c r="T37" s="7">
        <v>65689.827000000005</v>
      </c>
      <c r="U37" s="2"/>
      <c r="V37" s="6">
        <f t="shared" si="13"/>
        <v>0</v>
      </c>
      <c r="W37" s="2"/>
      <c r="X37" s="7">
        <f t="shared" si="14"/>
        <v>-60379.857000000004</v>
      </c>
      <c r="Y37" s="2"/>
      <c r="Z37" s="6">
        <f t="shared" si="15"/>
        <v>-0.91916602246493961</v>
      </c>
    </row>
    <row r="38" spans="1:26" s="24" customFormat="1" hidden="1" outlineLevel="2" x14ac:dyDescent="0.25">
      <c r="A38" s="26"/>
      <c r="B38" s="11" t="str">
        <f>CONCATENATE("          ", "6009", " - ", "TEMPORARY-SEASONAL")</f>
        <v xml:space="preserve">          6009 - TEMPORARY-SEASONAL</v>
      </c>
      <c r="C38" s="11"/>
      <c r="D38" s="7"/>
      <c r="E38" s="2"/>
      <c r="F38" s="6">
        <f t="shared" si="8"/>
        <v>0</v>
      </c>
      <c r="G38" s="2"/>
      <c r="H38" s="7">
        <v>0</v>
      </c>
      <c r="I38" s="2"/>
      <c r="J38" s="6">
        <f t="shared" si="9"/>
        <v>0</v>
      </c>
      <c r="K38" s="2"/>
      <c r="L38" s="7">
        <f t="shared" si="10"/>
        <v>0</v>
      </c>
      <c r="M38" s="2"/>
      <c r="N38" s="6">
        <f t="shared" si="11"/>
        <v>0</v>
      </c>
      <c r="O38" s="11"/>
      <c r="P38" s="7"/>
      <c r="Q38" s="2"/>
      <c r="R38" s="6">
        <f t="shared" si="12"/>
        <v>0</v>
      </c>
      <c r="S38" s="2"/>
      <c r="T38" s="7">
        <v>0</v>
      </c>
      <c r="U38" s="2"/>
      <c r="V38" s="6">
        <f t="shared" si="13"/>
        <v>0</v>
      </c>
      <c r="W38" s="2"/>
      <c r="X38" s="7">
        <f t="shared" si="14"/>
        <v>0</v>
      </c>
      <c r="Y38" s="2"/>
      <c r="Z38" s="6">
        <f t="shared" si="15"/>
        <v>0</v>
      </c>
    </row>
    <row r="39" spans="1:26" s="24" customFormat="1" hidden="1" outlineLevel="2" x14ac:dyDescent="0.25">
      <c r="A39" s="26"/>
      <c r="B39" s="11" t="str">
        <f>CONCATENATE("          ", "6010", " - ", "GRATUITY")</f>
        <v xml:space="preserve">          6010 - GRATUITY</v>
      </c>
      <c r="C39" s="11"/>
      <c r="D39" s="7"/>
      <c r="E39" s="2"/>
      <c r="F39" s="6">
        <f t="shared" si="8"/>
        <v>0</v>
      </c>
      <c r="G39" s="2"/>
      <c r="H39" s="7">
        <v>0</v>
      </c>
      <c r="I39" s="2"/>
      <c r="J39" s="6">
        <f t="shared" si="9"/>
        <v>0</v>
      </c>
      <c r="K39" s="2"/>
      <c r="L39" s="7">
        <f t="shared" si="10"/>
        <v>0</v>
      </c>
      <c r="M39" s="2"/>
      <c r="N39" s="6">
        <f t="shared" si="11"/>
        <v>0</v>
      </c>
      <c r="O39" s="11"/>
      <c r="P39" s="7"/>
      <c r="Q39" s="2"/>
      <c r="R39" s="6">
        <f t="shared" si="12"/>
        <v>0</v>
      </c>
      <c r="S39" s="2"/>
      <c r="T39" s="7">
        <v>0</v>
      </c>
      <c r="U39" s="2"/>
      <c r="V39" s="6">
        <f t="shared" si="13"/>
        <v>0</v>
      </c>
      <c r="W39" s="2"/>
      <c r="X39" s="7">
        <f t="shared" si="14"/>
        <v>0</v>
      </c>
      <c r="Y39" s="2"/>
      <c r="Z39" s="6">
        <f t="shared" si="15"/>
        <v>0</v>
      </c>
    </row>
    <row r="40" spans="1:26" s="27" customFormat="1" outlineLevel="1" collapsed="1" x14ac:dyDescent="0.25">
      <c r="A40" s="25"/>
      <c r="B40" s="12" t="str">
        <f>CONCATENATE("     ","Advertising/Promo                                 ")</f>
        <v xml:space="preserve">     Advertising/Promo                                 </v>
      </c>
      <c r="C40" s="12"/>
      <c r="D40" s="1">
        <f>SUM(OSRRefD22_2x_0)</f>
        <v>0</v>
      </c>
      <c r="E40" s="1"/>
      <c r="F40" s="5">
        <f t="shared" ref="F40:F57" si="16">IF(D$12=0,0,D40/D$12)</f>
        <v>0</v>
      </c>
      <c r="G40" s="1"/>
      <c r="H40" s="1">
        <f>SUM(OSRRefH22_2x_0)</f>
        <v>0</v>
      </c>
      <c r="I40" s="1"/>
      <c r="J40" s="5">
        <f t="shared" ref="J40:J57" si="17">IF(H$12=0,0,H40/H$12)</f>
        <v>0</v>
      </c>
      <c r="K40" s="1"/>
      <c r="L40" s="1">
        <f t="shared" ref="L40:L57" si="18">+D40-H40</f>
        <v>0</v>
      </c>
      <c r="M40" s="1"/>
      <c r="N40" s="5">
        <f t="shared" ref="N40:N57" si="19">IF(H40=0,0,L40/H40)</f>
        <v>0</v>
      </c>
      <c r="O40" s="12"/>
      <c r="P40" s="1">
        <f>SUM(OSRRefP22_2x_0)</f>
        <v>62</v>
      </c>
      <c r="Q40" s="1"/>
      <c r="R40" s="5">
        <f t="shared" ref="R40:R57" si="20">IF(P$12=0,0,P40/P$12)</f>
        <v>0</v>
      </c>
      <c r="S40" s="1"/>
      <c r="T40" s="1">
        <f>SUM(OSRRefT22_2x_0)</f>
        <v>25</v>
      </c>
      <c r="U40" s="1"/>
      <c r="V40" s="5">
        <f t="shared" ref="V40:V57" si="21">IF(T$12=0,0,T40/T$12)</f>
        <v>0</v>
      </c>
      <c r="W40" s="1"/>
      <c r="X40" s="1">
        <f t="shared" ref="X40:X57" si="22">+P40-T40</f>
        <v>37</v>
      </c>
      <c r="Y40" s="1"/>
      <c r="Z40" s="5">
        <f t="shared" ref="Z40:Z57" si="23">IF(T40=0,0,X40/T40)</f>
        <v>1.48</v>
      </c>
    </row>
    <row r="41" spans="1:26" s="24" customFormat="1" hidden="1" outlineLevel="2" x14ac:dyDescent="0.25">
      <c r="A41" s="26"/>
      <c r="B41" s="11" t="str">
        <f>CONCATENATE("          ", "6362", " - ", "ADVERTISING EXPENSE")</f>
        <v xml:space="preserve">          6362 - ADVERTISING EXPENSE</v>
      </c>
      <c r="C41" s="11"/>
      <c r="D41" s="7"/>
      <c r="E41" s="2"/>
      <c r="F41" s="6">
        <f t="shared" si="16"/>
        <v>0</v>
      </c>
      <c r="G41" s="2"/>
      <c r="H41" s="7"/>
      <c r="I41" s="2"/>
      <c r="J41" s="6">
        <f t="shared" si="17"/>
        <v>0</v>
      </c>
      <c r="K41" s="2"/>
      <c r="L41" s="7">
        <f t="shared" si="18"/>
        <v>0</v>
      </c>
      <c r="M41" s="2"/>
      <c r="N41" s="6">
        <f t="shared" si="19"/>
        <v>0</v>
      </c>
      <c r="O41" s="11"/>
      <c r="P41" s="7">
        <v>62</v>
      </c>
      <c r="Q41" s="2"/>
      <c r="R41" s="6">
        <f t="shared" si="20"/>
        <v>0</v>
      </c>
      <c r="S41" s="2"/>
      <c r="T41" s="7">
        <v>25</v>
      </c>
      <c r="U41" s="2"/>
      <c r="V41" s="6">
        <f t="shared" si="21"/>
        <v>0</v>
      </c>
      <c r="W41" s="2"/>
      <c r="X41" s="7">
        <f t="shared" si="22"/>
        <v>37</v>
      </c>
      <c r="Y41" s="2"/>
      <c r="Z41" s="6">
        <f t="shared" si="23"/>
        <v>1.48</v>
      </c>
    </row>
    <row r="42" spans="1:26" s="27" customFormat="1" outlineLevel="1" collapsed="1" x14ac:dyDescent="0.25">
      <c r="A42" s="25"/>
      <c r="B42" s="12" t="str">
        <f>CONCATENATE("     ","Depreciation                                      ")</f>
        <v xml:space="preserve">     Depreciation                                      </v>
      </c>
      <c r="C42" s="12"/>
      <c r="D42" s="1">
        <f>SUM(OSRRefD22_3x_0)</f>
        <v>1558.88</v>
      </c>
      <c r="E42" s="1"/>
      <c r="F42" s="5">
        <f t="shared" si="16"/>
        <v>0</v>
      </c>
      <c r="G42" s="1"/>
      <c r="H42" s="1">
        <f>SUM(OSRRefH22_3x_0)</f>
        <v>1559</v>
      </c>
      <c r="I42" s="1"/>
      <c r="J42" s="5">
        <f t="shared" si="17"/>
        <v>0</v>
      </c>
      <c r="K42" s="1"/>
      <c r="L42" s="1">
        <f t="shared" si="18"/>
        <v>-0.11999999999989086</v>
      </c>
      <c r="M42" s="1"/>
      <c r="N42" s="5">
        <f t="shared" si="19"/>
        <v>-7.6972418216735637E-5</v>
      </c>
      <c r="O42" s="12"/>
      <c r="P42" s="1">
        <f>SUM(OSRRefP22_3x_0)</f>
        <v>17147.68</v>
      </c>
      <c r="Q42" s="1"/>
      <c r="R42" s="5">
        <f t="shared" si="20"/>
        <v>0</v>
      </c>
      <c r="S42" s="1"/>
      <c r="T42" s="1">
        <f>SUM(OSRRefT22_3x_0)</f>
        <v>17149</v>
      </c>
      <c r="U42" s="1"/>
      <c r="V42" s="5">
        <f t="shared" si="21"/>
        <v>0</v>
      </c>
      <c r="W42" s="1"/>
      <c r="X42" s="1">
        <f t="shared" si="22"/>
        <v>-1.319999999999709</v>
      </c>
      <c r="Y42" s="1"/>
      <c r="Z42" s="5">
        <f t="shared" si="23"/>
        <v>-7.6972418216788668E-5</v>
      </c>
    </row>
    <row r="43" spans="1:26" s="24" customFormat="1" hidden="1" outlineLevel="2" x14ac:dyDescent="0.25">
      <c r="A43" s="26"/>
      <c r="B43" s="11" t="str">
        <f>CONCATENATE("          ", "6322", " - ", "EQUIPMENT DEPRECIATION EXPENSE")</f>
        <v xml:space="preserve">          6322 - EQUIPMENT DEPRECIATION EXPENSE</v>
      </c>
      <c r="C43" s="11"/>
      <c r="D43" s="7">
        <v>1558.88</v>
      </c>
      <c r="E43" s="2"/>
      <c r="F43" s="6">
        <f t="shared" si="16"/>
        <v>0</v>
      </c>
      <c r="G43" s="2"/>
      <c r="H43" s="7">
        <v>1559</v>
      </c>
      <c r="I43" s="2"/>
      <c r="J43" s="6">
        <f t="shared" si="17"/>
        <v>0</v>
      </c>
      <c r="K43" s="2"/>
      <c r="L43" s="7">
        <f t="shared" si="18"/>
        <v>-0.11999999999989086</v>
      </c>
      <c r="M43" s="2"/>
      <c r="N43" s="6">
        <f t="shared" si="19"/>
        <v>-7.6972418216735637E-5</v>
      </c>
      <c r="O43" s="11"/>
      <c r="P43" s="7">
        <v>17147.68</v>
      </c>
      <c r="Q43" s="2"/>
      <c r="R43" s="6">
        <f t="shared" si="20"/>
        <v>0</v>
      </c>
      <c r="S43" s="2"/>
      <c r="T43" s="7">
        <v>17149</v>
      </c>
      <c r="U43" s="2"/>
      <c r="V43" s="6">
        <f t="shared" si="21"/>
        <v>0</v>
      </c>
      <c r="W43" s="2"/>
      <c r="X43" s="7">
        <f t="shared" si="22"/>
        <v>-1.319999999999709</v>
      </c>
      <c r="Y43" s="2"/>
      <c r="Z43" s="6">
        <f t="shared" si="23"/>
        <v>-7.6972418216788668E-5</v>
      </c>
    </row>
    <row r="44" spans="1:26" s="27" customFormat="1" outlineLevel="1" collapsed="1" x14ac:dyDescent="0.25">
      <c r="A44" s="25"/>
      <c r="B44" s="12" t="str">
        <f>CONCATENATE("     ","Employees' Appreciation                           ")</f>
        <v xml:space="preserve">     Employees' Appreciation                           </v>
      </c>
      <c r="C44" s="12"/>
      <c r="D44" s="1">
        <f>SUM(OSRRefD22_4x_0)</f>
        <v>0</v>
      </c>
      <c r="E44" s="1"/>
      <c r="F44" s="5">
        <f t="shared" si="16"/>
        <v>0</v>
      </c>
      <c r="G44" s="1"/>
      <c r="H44" s="1">
        <f>SUM(OSRRefH22_4x_0)</f>
        <v>25</v>
      </c>
      <c r="I44" s="1"/>
      <c r="J44" s="5">
        <f t="shared" si="17"/>
        <v>0</v>
      </c>
      <c r="K44" s="1"/>
      <c r="L44" s="1">
        <f t="shared" si="18"/>
        <v>-25</v>
      </c>
      <c r="M44" s="1"/>
      <c r="N44" s="5">
        <f t="shared" si="19"/>
        <v>-1</v>
      </c>
      <c r="O44" s="12"/>
      <c r="P44" s="1">
        <f>SUM(OSRRefP22_4x_0)</f>
        <v>3.96</v>
      </c>
      <c r="Q44" s="1"/>
      <c r="R44" s="5">
        <f t="shared" si="20"/>
        <v>0</v>
      </c>
      <c r="S44" s="1"/>
      <c r="T44" s="1">
        <f>SUM(OSRRefT22_4x_0)</f>
        <v>275</v>
      </c>
      <c r="U44" s="1"/>
      <c r="V44" s="5">
        <f t="shared" si="21"/>
        <v>0</v>
      </c>
      <c r="W44" s="1"/>
      <c r="X44" s="1">
        <f t="shared" si="22"/>
        <v>-271.04000000000002</v>
      </c>
      <c r="Y44" s="1"/>
      <c r="Z44" s="5">
        <f t="shared" si="23"/>
        <v>-0.98560000000000003</v>
      </c>
    </row>
    <row r="45" spans="1:26" s="24" customFormat="1" hidden="1" outlineLevel="2" x14ac:dyDescent="0.25">
      <c r="A45" s="26"/>
      <c r="B45" s="11" t="str">
        <f>CONCATENATE("          ", "6277", " - ", "EMPLOYEE APPRECIATION")</f>
        <v xml:space="preserve">          6277 - EMPLOYEE APPRECIATION</v>
      </c>
      <c r="C45" s="11"/>
      <c r="D45" s="7"/>
      <c r="E45" s="2"/>
      <c r="F45" s="6">
        <f t="shared" si="16"/>
        <v>0</v>
      </c>
      <c r="G45" s="2"/>
      <c r="H45" s="7">
        <v>25</v>
      </c>
      <c r="I45" s="2"/>
      <c r="J45" s="6">
        <f t="shared" si="17"/>
        <v>0</v>
      </c>
      <c r="K45" s="2"/>
      <c r="L45" s="7">
        <f t="shared" si="18"/>
        <v>-25</v>
      </c>
      <c r="M45" s="2"/>
      <c r="N45" s="6">
        <f t="shared" si="19"/>
        <v>-1</v>
      </c>
      <c r="O45" s="11"/>
      <c r="P45" s="7">
        <v>3.96</v>
      </c>
      <c r="Q45" s="2"/>
      <c r="R45" s="6">
        <f t="shared" si="20"/>
        <v>0</v>
      </c>
      <c r="S45" s="2"/>
      <c r="T45" s="7">
        <v>275</v>
      </c>
      <c r="U45" s="2"/>
      <c r="V45" s="6">
        <f t="shared" si="21"/>
        <v>0</v>
      </c>
      <c r="W45" s="2"/>
      <c r="X45" s="7">
        <f t="shared" si="22"/>
        <v>-271.04000000000002</v>
      </c>
      <c r="Y45" s="2"/>
      <c r="Z45" s="6">
        <f t="shared" si="23"/>
        <v>-0.98560000000000003</v>
      </c>
    </row>
    <row r="46" spans="1:26" s="27" customFormat="1" outlineLevel="1" collapsed="1" x14ac:dyDescent="0.25">
      <c r="A46" s="25"/>
      <c r="B46" s="12" t="str">
        <f>CONCATENATE("     ","Equipment Rental                                  ")</f>
        <v xml:space="preserve">     Equipment Rental                                  </v>
      </c>
      <c r="C46" s="12"/>
      <c r="D46" s="1">
        <f>SUM(OSRRefD22_5x_0)</f>
        <v>91.26</v>
      </c>
      <c r="E46" s="1"/>
      <c r="F46" s="5">
        <f t="shared" si="16"/>
        <v>0</v>
      </c>
      <c r="G46" s="1"/>
      <c r="H46" s="1">
        <f>SUM(OSRRefH22_5x_0)</f>
        <v>91</v>
      </c>
      <c r="I46" s="1"/>
      <c r="J46" s="5">
        <f t="shared" si="17"/>
        <v>0</v>
      </c>
      <c r="K46" s="1"/>
      <c r="L46" s="1">
        <f t="shared" si="18"/>
        <v>0.26000000000000512</v>
      </c>
      <c r="M46" s="1"/>
      <c r="N46" s="5">
        <f t="shared" si="19"/>
        <v>2.8571428571429135E-3</v>
      </c>
      <c r="O46" s="12"/>
      <c r="P46" s="1">
        <f>SUM(OSRRefP22_5x_0)</f>
        <v>1003.86</v>
      </c>
      <c r="Q46" s="1"/>
      <c r="R46" s="5">
        <f t="shared" si="20"/>
        <v>0</v>
      </c>
      <c r="S46" s="1"/>
      <c r="T46" s="1">
        <f>SUM(OSRRefT22_5x_0)</f>
        <v>1001</v>
      </c>
      <c r="U46" s="1"/>
      <c r="V46" s="5">
        <f t="shared" si="21"/>
        <v>0</v>
      </c>
      <c r="W46" s="1"/>
      <c r="X46" s="1">
        <f t="shared" si="22"/>
        <v>2.8600000000000136</v>
      </c>
      <c r="Y46" s="1"/>
      <c r="Z46" s="5">
        <f t="shared" si="23"/>
        <v>2.8571428571428706E-3</v>
      </c>
    </row>
    <row r="47" spans="1:26" s="24" customFormat="1" hidden="1" outlineLevel="2" x14ac:dyDescent="0.25">
      <c r="A47" s="26"/>
      <c r="B47" s="11" t="str">
        <f>CONCATENATE("          ", "6351", " - ", "EQUIPMENT RENTAL")</f>
        <v xml:space="preserve">          6351 - EQUIPMENT RENTAL</v>
      </c>
      <c r="C47" s="11"/>
      <c r="D47" s="7">
        <v>91.26</v>
      </c>
      <c r="E47" s="2"/>
      <c r="F47" s="6">
        <f t="shared" si="16"/>
        <v>0</v>
      </c>
      <c r="G47" s="2"/>
      <c r="H47" s="7">
        <v>91</v>
      </c>
      <c r="I47" s="2"/>
      <c r="J47" s="6">
        <f t="shared" si="17"/>
        <v>0</v>
      </c>
      <c r="K47" s="2"/>
      <c r="L47" s="7">
        <f t="shared" si="18"/>
        <v>0.26000000000000512</v>
      </c>
      <c r="M47" s="2"/>
      <c r="N47" s="6">
        <f t="shared" si="19"/>
        <v>2.8571428571429135E-3</v>
      </c>
      <c r="O47" s="11"/>
      <c r="P47" s="7">
        <v>1003.86</v>
      </c>
      <c r="Q47" s="2"/>
      <c r="R47" s="6">
        <f t="shared" si="20"/>
        <v>0</v>
      </c>
      <c r="S47" s="2"/>
      <c r="T47" s="7">
        <v>1001</v>
      </c>
      <c r="U47" s="2"/>
      <c r="V47" s="6">
        <f t="shared" si="21"/>
        <v>0</v>
      </c>
      <c r="W47" s="2"/>
      <c r="X47" s="7">
        <f t="shared" si="22"/>
        <v>2.8600000000000136</v>
      </c>
      <c r="Y47" s="2"/>
      <c r="Z47" s="6">
        <f t="shared" si="23"/>
        <v>2.8571428571428706E-3</v>
      </c>
    </row>
    <row r="48" spans="1:26" s="27" customFormat="1" outlineLevel="1" collapsed="1" x14ac:dyDescent="0.25">
      <c r="A48" s="25"/>
      <c r="B48" s="12" t="str">
        <f>CONCATENATE("     ","Freight out/Postage                               ")</f>
        <v xml:space="preserve">     Freight out/Postage                               </v>
      </c>
      <c r="C48" s="12"/>
      <c r="D48" s="1">
        <f>SUM(OSRRefD22_6x_0)</f>
        <v>61</v>
      </c>
      <c r="E48" s="1"/>
      <c r="F48" s="5">
        <f t="shared" si="16"/>
        <v>0</v>
      </c>
      <c r="G48" s="1"/>
      <c r="H48" s="1">
        <f>SUM(OSRRefH22_6x_0)</f>
        <v>150</v>
      </c>
      <c r="I48" s="1"/>
      <c r="J48" s="5">
        <f t="shared" si="17"/>
        <v>0</v>
      </c>
      <c r="K48" s="1"/>
      <c r="L48" s="1">
        <f t="shared" si="18"/>
        <v>-89</v>
      </c>
      <c r="M48" s="1"/>
      <c r="N48" s="5">
        <f t="shared" si="19"/>
        <v>-0.59333333333333338</v>
      </c>
      <c r="O48" s="12"/>
      <c r="P48" s="1">
        <f>SUM(OSRRefP22_6x_0)</f>
        <v>1325.4</v>
      </c>
      <c r="Q48" s="1"/>
      <c r="R48" s="5">
        <f t="shared" si="20"/>
        <v>0</v>
      </c>
      <c r="S48" s="1"/>
      <c r="T48" s="1">
        <f>SUM(OSRRefT22_6x_0)</f>
        <v>1650</v>
      </c>
      <c r="U48" s="1"/>
      <c r="V48" s="5">
        <f t="shared" si="21"/>
        <v>0</v>
      </c>
      <c r="W48" s="1"/>
      <c r="X48" s="1">
        <f t="shared" si="22"/>
        <v>-324.59999999999991</v>
      </c>
      <c r="Y48" s="1"/>
      <c r="Z48" s="5">
        <f t="shared" si="23"/>
        <v>-0.19672727272727267</v>
      </c>
    </row>
    <row r="49" spans="1:26" s="24" customFormat="1" hidden="1" outlineLevel="2" x14ac:dyDescent="0.25">
      <c r="A49" s="26"/>
      <c r="B49" s="11" t="str">
        <f>CONCATENATE("          ", "6307", " - ", "POSTAGE")</f>
        <v xml:space="preserve">          6307 - POSTAGE</v>
      </c>
      <c r="C49" s="11"/>
      <c r="D49" s="7">
        <v>61</v>
      </c>
      <c r="E49" s="2"/>
      <c r="F49" s="6">
        <f t="shared" si="16"/>
        <v>0</v>
      </c>
      <c r="G49" s="2"/>
      <c r="H49" s="7">
        <v>150</v>
      </c>
      <c r="I49" s="2"/>
      <c r="J49" s="6">
        <f t="shared" si="17"/>
        <v>0</v>
      </c>
      <c r="K49" s="2"/>
      <c r="L49" s="7">
        <f t="shared" si="18"/>
        <v>-89</v>
      </c>
      <c r="M49" s="2"/>
      <c r="N49" s="6">
        <f t="shared" si="19"/>
        <v>-0.59333333333333338</v>
      </c>
      <c r="O49" s="11"/>
      <c r="P49" s="7">
        <v>1325.4</v>
      </c>
      <c r="Q49" s="2"/>
      <c r="R49" s="6">
        <f t="shared" si="20"/>
        <v>0</v>
      </c>
      <c r="S49" s="2"/>
      <c r="T49" s="7">
        <v>1650</v>
      </c>
      <c r="U49" s="2"/>
      <c r="V49" s="6">
        <f t="shared" si="21"/>
        <v>0</v>
      </c>
      <c r="W49" s="2"/>
      <c r="X49" s="7">
        <f t="shared" si="22"/>
        <v>-324.59999999999991</v>
      </c>
      <c r="Y49" s="2"/>
      <c r="Z49" s="6">
        <f t="shared" si="23"/>
        <v>-0.19672727272727267</v>
      </c>
    </row>
    <row r="50" spans="1:26" s="27" customFormat="1" outlineLevel="1" collapsed="1" x14ac:dyDescent="0.25">
      <c r="A50" s="25"/>
      <c r="B50" s="12" t="str">
        <f>CONCATENATE("     ","General                                           ")</f>
        <v xml:space="preserve">     General                                           </v>
      </c>
      <c r="C50" s="12"/>
      <c r="D50" s="1">
        <f>SUM(OSRRefD22_7x_0)</f>
        <v>0</v>
      </c>
      <c r="E50" s="1"/>
      <c r="F50" s="5">
        <f t="shared" si="16"/>
        <v>0</v>
      </c>
      <c r="G50" s="1"/>
      <c r="H50" s="1">
        <f>SUM(OSRRefH22_7x_0)</f>
        <v>25</v>
      </c>
      <c r="I50" s="1"/>
      <c r="J50" s="5">
        <f t="shared" si="17"/>
        <v>0</v>
      </c>
      <c r="K50" s="1"/>
      <c r="L50" s="1">
        <f t="shared" si="18"/>
        <v>-25</v>
      </c>
      <c r="M50" s="1"/>
      <c r="N50" s="5">
        <f t="shared" si="19"/>
        <v>-1</v>
      </c>
      <c r="O50" s="12"/>
      <c r="P50" s="1">
        <f>SUM(OSRRefP22_7x_0)</f>
        <v>0</v>
      </c>
      <c r="Q50" s="1"/>
      <c r="R50" s="5">
        <f t="shared" si="20"/>
        <v>0</v>
      </c>
      <c r="S50" s="1"/>
      <c r="T50" s="1">
        <f>SUM(OSRRefT22_7x_0)</f>
        <v>275</v>
      </c>
      <c r="U50" s="1"/>
      <c r="V50" s="5">
        <f t="shared" si="21"/>
        <v>0</v>
      </c>
      <c r="W50" s="1"/>
      <c r="X50" s="1">
        <f t="shared" si="22"/>
        <v>-275</v>
      </c>
      <c r="Y50" s="1"/>
      <c r="Z50" s="5">
        <f t="shared" si="23"/>
        <v>-1</v>
      </c>
    </row>
    <row r="51" spans="1:26" s="24" customFormat="1" hidden="1" outlineLevel="2" x14ac:dyDescent="0.25">
      <c r="A51" s="26"/>
      <c r="B51" s="11" t="str">
        <f>CONCATENATE("          ", "6279", " - ", "GENERAL EXPENSE")</f>
        <v xml:space="preserve">          6279 - GENERAL EXPENSE</v>
      </c>
      <c r="C51" s="11"/>
      <c r="D51" s="7"/>
      <c r="E51" s="2"/>
      <c r="F51" s="6">
        <f t="shared" si="16"/>
        <v>0</v>
      </c>
      <c r="G51" s="2"/>
      <c r="H51" s="7">
        <v>25</v>
      </c>
      <c r="I51" s="2"/>
      <c r="J51" s="6">
        <f t="shared" si="17"/>
        <v>0</v>
      </c>
      <c r="K51" s="2"/>
      <c r="L51" s="7">
        <f t="shared" si="18"/>
        <v>-25</v>
      </c>
      <c r="M51" s="2"/>
      <c r="N51" s="6">
        <f t="shared" si="19"/>
        <v>-1</v>
      </c>
      <c r="O51" s="11"/>
      <c r="P51" s="7"/>
      <c r="Q51" s="2"/>
      <c r="R51" s="6">
        <f t="shared" si="20"/>
        <v>0</v>
      </c>
      <c r="S51" s="2"/>
      <c r="T51" s="7">
        <v>275</v>
      </c>
      <c r="U51" s="2"/>
      <c r="V51" s="6">
        <f t="shared" si="21"/>
        <v>0</v>
      </c>
      <c r="W51" s="2"/>
      <c r="X51" s="7">
        <f t="shared" si="22"/>
        <v>-275</v>
      </c>
      <c r="Y51" s="2"/>
      <c r="Z51" s="6">
        <f t="shared" si="23"/>
        <v>-1</v>
      </c>
    </row>
    <row r="52" spans="1:26" s="27" customFormat="1" outlineLevel="1" collapsed="1" x14ac:dyDescent="0.25">
      <c r="A52" s="25"/>
      <c r="B52" s="12" t="str">
        <f>CONCATENATE("     ","Insurance                                         ")</f>
        <v xml:space="preserve">     Insurance                                         </v>
      </c>
      <c r="C52" s="12"/>
      <c r="D52" s="1">
        <f>SUM(OSRRefD22_8x_0)</f>
        <v>132.16999999999999</v>
      </c>
      <c r="E52" s="1"/>
      <c r="F52" s="5">
        <f t="shared" si="16"/>
        <v>0</v>
      </c>
      <c r="G52" s="1"/>
      <c r="H52" s="1">
        <f>SUM(OSRRefH22_8x_0)</f>
        <v>125</v>
      </c>
      <c r="I52" s="1"/>
      <c r="J52" s="5">
        <f t="shared" si="17"/>
        <v>0</v>
      </c>
      <c r="K52" s="1"/>
      <c r="L52" s="1">
        <f t="shared" si="18"/>
        <v>7.1699999999999875</v>
      </c>
      <c r="M52" s="1"/>
      <c r="N52" s="5">
        <f t="shared" si="19"/>
        <v>5.7359999999999897E-2</v>
      </c>
      <c r="O52" s="12"/>
      <c r="P52" s="1">
        <f>SUM(OSRRefP22_8x_0)</f>
        <v>1453.87</v>
      </c>
      <c r="Q52" s="1"/>
      <c r="R52" s="5">
        <f t="shared" si="20"/>
        <v>0</v>
      </c>
      <c r="S52" s="1"/>
      <c r="T52" s="1">
        <f>SUM(OSRRefT22_8x_0)</f>
        <v>1375</v>
      </c>
      <c r="U52" s="1"/>
      <c r="V52" s="5">
        <f t="shared" si="21"/>
        <v>0</v>
      </c>
      <c r="W52" s="1"/>
      <c r="X52" s="1">
        <f t="shared" si="22"/>
        <v>78.869999999999891</v>
      </c>
      <c r="Y52" s="1"/>
      <c r="Z52" s="5">
        <f t="shared" si="23"/>
        <v>5.7359999999999918E-2</v>
      </c>
    </row>
    <row r="53" spans="1:26" s="24" customFormat="1" hidden="1" outlineLevel="2" x14ac:dyDescent="0.25">
      <c r="A53" s="26"/>
      <c r="B53" s="11" t="str">
        <f>CONCATENATE("          ", "6314", " - ", "LIABILITY INSURANCE")</f>
        <v xml:space="preserve">          6314 - LIABILITY INSURANCE</v>
      </c>
      <c r="C53" s="11"/>
      <c r="D53" s="7">
        <v>132.16999999999999</v>
      </c>
      <c r="E53" s="2"/>
      <c r="F53" s="6">
        <f t="shared" si="16"/>
        <v>0</v>
      </c>
      <c r="G53" s="2"/>
      <c r="H53" s="7">
        <v>125</v>
      </c>
      <c r="I53" s="2"/>
      <c r="J53" s="6">
        <f t="shared" si="17"/>
        <v>0</v>
      </c>
      <c r="K53" s="2"/>
      <c r="L53" s="7">
        <f t="shared" si="18"/>
        <v>7.1699999999999875</v>
      </c>
      <c r="M53" s="2"/>
      <c r="N53" s="6">
        <f t="shared" si="19"/>
        <v>5.7359999999999897E-2</v>
      </c>
      <c r="O53" s="11"/>
      <c r="P53" s="7">
        <v>1453.87</v>
      </c>
      <c r="Q53" s="2"/>
      <c r="R53" s="6">
        <f t="shared" si="20"/>
        <v>0</v>
      </c>
      <c r="S53" s="2"/>
      <c r="T53" s="7">
        <v>1375</v>
      </c>
      <c r="U53" s="2"/>
      <c r="V53" s="6">
        <f t="shared" si="21"/>
        <v>0</v>
      </c>
      <c r="W53" s="2"/>
      <c r="X53" s="7">
        <f t="shared" si="22"/>
        <v>78.869999999999891</v>
      </c>
      <c r="Y53" s="2"/>
      <c r="Z53" s="6">
        <f t="shared" si="23"/>
        <v>5.7359999999999918E-2</v>
      </c>
    </row>
    <row r="54" spans="1:26" s="27" customFormat="1" outlineLevel="1" collapsed="1" x14ac:dyDescent="0.25">
      <c r="A54" s="25"/>
      <c r="B54" s="12" t="str">
        <f>CONCATENATE("     ","Interest                                          ")</f>
        <v xml:space="preserve">     Interest                                          </v>
      </c>
      <c r="C54" s="12"/>
      <c r="D54" s="1">
        <f>SUM(OSRRefD22_9x_0)</f>
        <v>0</v>
      </c>
      <c r="E54" s="1"/>
      <c r="F54" s="5">
        <f t="shared" si="16"/>
        <v>0</v>
      </c>
      <c r="G54" s="1"/>
      <c r="H54" s="1">
        <f>SUM(OSRRefH22_9x_0)</f>
        <v>0</v>
      </c>
      <c r="I54" s="1"/>
      <c r="J54" s="5">
        <f t="shared" si="17"/>
        <v>0</v>
      </c>
      <c r="K54" s="1"/>
      <c r="L54" s="1">
        <f t="shared" si="18"/>
        <v>0</v>
      </c>
      <c r="M54" s="1"/>
      <c r="N54" s="5">
        <f t="shared" si="19"/>
        <v>0</v>
      </c>
      <c r="O54" s="12"/>
      <c r="P54" s="1">
        <f>SUM(OSRRefP22_9x_0)</f>
        <v>0</v>
      </c>
      <c r="Q54" s="1"/>
      <c r="R54" s="5">
        <f t="shared" si="20"/>
        <v>0</v>
      </c>
      <c r="S54" s="1"/>
      <c r="T54" s="1">
        <f>SUM(OSRRefT22_9x_0)</f>
        <v>0</v>
      </c>
      <c r="U54" s="1"/>
      <c r="V54" s="5">
        <f t="shared" si="21"/>
        <v>0</v>
      </c>
      <c r="W54" s="1"/>
      <c r="X54" s="1">
        <f t="shared" si="22"/>
        <v>0</v>
      </c>
      <c r="Y54" s="1"/>
      <c r="Z54" s="5">
        <f t="shared" si="23"/>
        <v>0</v>
      </c>
    </row>
    <row r="55" spans="1:26" s="24" customFormat="1" hidden="1" outlineLevel="2" x14ac:dyDescent="0.25">
      <c r="A55" s="26"/>
      <c r="B55" s="11" t="str">
        <f>CONCATENATE("          ", "6401", " - ", "INTEREST EXPENSE")</f>
        <v xml:space="preserve">          6401 - INTEREST EXPENSE</v>
      </c>
      <c r="C55" s="11"/>
      <c r="D55" s="7"/>
      <c r="E55" s="2"/>
      <c r="F55" s="6">
        <f t="shared" si="16"/>
        <v>0</v>
      </c>
      <c r="G55" s="2"/>
      <c r="H55" s="7">
        <v>0</v>
      </c>
      <c r="I55" s="2"/>
      <c r="J55" s="6">
        <f t="shared" si="17"/>
        <v>0</v>
      </c>
      <c r="K55" s="2"/>
      <c r="L55" s="7">
        <f t="shared" si="18"/>
        <v>0</v>
      </c>
      <c r="M55" s="2"/>
      <c r="N55" s="6">
        <f t="shared" si="19"/>
        <v>0</v>
      </c>
      <c r="O55" s="11"/>
      <c r="P55" s="7"/>
      <c r="Q55" s="2"/>
      <c r="R55" s="6">
        <f t="shared" si="20"/>
        <v>0</v>
      </c>
      <c r="S55" s="2"/>
      <c r="T55" s="7">
        <v>0</v>
      </c>
      <c r="U55" s="2"/>
      <c r="V55" s="6">
        <f t="shared" si="21"/>
        <v>0</v>
      </c>
      <c r="W55" s="2"/>
      <c r="X55" s="7">
        <f t="shared" si="22"/>
        <v>0</v>
      </c>
      <c r="Y55" s="2"/>
      <c r="Z55" s="6">
        <f t="shared" si="23"/>
        <v>0</v>
      </c>
    </row>
    <row r="56" spans="1:26" s="24" customFormat="1" hidden="1" outlineLevel="2" x14ac:dyDescent="0.25">
      <c r="A56" s="26"/>
      <c r="B56" s="11" t="str">
        <f>CONCATENATE("          ", "6402", " - ", "INTEREST EXPENSE BOND ISSUANCE")</f>
        <v xml:space="preserve">          6402 - INTEREST EXPENSE BOND ISSUANCE</v>
      </c>
      <c r="C56" s="11"/>
      <c r="D56" s="7"/>
      <c r="E56" s="2"/>
      <c r="F56" s="6">
        <f t="shared" si="16"/>
        <v>0</v>
      </c>
      <c r="G56" s="2"/>
      <c r="H56" s="7">
        <v>0</v>
      </c>
      <c r="I56" s="2"/>
      <c r="J56" s="6">
        <f t="shared" si="17"/>
        <v>0</v>
      </c>
      <c r="K56" s="2"/>
      <c r="L56" s="7">
        <f t="shared" si="18"/>
        <v>0</v>
      </c>
      <c r="M56" s="2"/>
      <c r="N56" s="6">
        <f t="shared" si="19"/>
        <v>0</v>
      </c>
      <c r="O56" s="11"/>
      <c r="P56" s="7"/>
      <c r="Q56" s="2"/>
      <c r="R56" s="6">
        <f t="shared" si="20"/>
        <v>0</v>
      </c>
      <c r="S56" s="2"/>
      <c r="T56" s="7">
        <v>0</v>
      </c>
      <c r="U56" s="2"/>
      <c r="V56" s="6">
        <f t="shared" si="21"/>
        <v>0</v>
      </c>
      <c r="W56" s="2"/>
      <c r="X56" s="7">
        <f t="shared" si="22"/>
        <v>0</v>
      </c>
      <c r="Y56" s="2"/>
      <c r="Z56" s="6">
        <f t="shared" si="23"/>
        <v>0</v>
      </c>
    </row>
    <row r="57" spans="1:26" s="24" customFormat="1" hidden="1" outlineLevel="2" x14ac:dyDescent="0.25">
      <c r="A57" s="26"/>
      <c r="B57" s="11" t="str">
        <f>CONCATENATE("          ", "6403", " - ", "INTEREST EXPENSE LEASE EQUIP")</f>
        <v xml:space="preserve">          6403 - INTEREST EXPENSE LEASE EQUIP</v>
      </c>
      <c r="C57" s="11"/>
      <c r="D57" s="7"/>
      <c r="E57" s="2"/>
      <c r="F57" s="6">
        <f t="shared" si="16"/>
        <v>0</v>
      </c>
      <c r="G57" s="2"/>
      <c r="H57" s="7">
        <v>0</v>
      </c>
      <c r="I57" s="2"/>
      <c r="J57" s="6">
        <f t="shared" si="17"/>
        <v>0</v>
      </c>
      <c r="K57" s="2"/>
      <c r="L57" s="7">
        <f t="shared" si="18"/>
        <v>0</v>
      </c>
      <c r="M57" s="2"/>
      <c r="N57" s="6">
        <f t="shared" si="19"/>
        <v>0</v>
      </c>
      <c r="O57" s="11"/>
      <c r="P57" s="7"/>
      <c r="Q57" s="2"/>
      <c r="R57" s="6">
        <f t="shared" si="20"/>
        <v>0</v>
      </c>
      <c r="S57" s="2"/>
      <c r="T57" s="7">
        <v>0</v>
      </c>
      <c r="U57" s="2"/>
      <c r="V57" s="6">
        <f t="shared" si="21"/>
        <v>0</v>
      </c>
      <c r="W57" s="2"/>
      <c r="X57" s="7">
        <f t="shared" si="22"/>
        <v>0</v>
      </c>
      <c r="Y57" s="2"/>
      <c r="Z57" s="6">
        <f t="shared" si="23"/>
        <v>0</v>
      </c>
    </row>
    <row r="58" spans="1:26" s="27" customFormat="1" outlineLevel="1" collapsed="1" x14ac:dyDescent="0.25">
      <c r="A58" s="25"/>
      <c r="B58" s="12" t="str">
        <f>CONCATENATE("     ","Professional Services                             ")</f>
        <v xml:space="preserve">     Professional Services                             </v>
      </c>
      <c r="C58" s="12"/>
      <c r="D58" s="1">
        <f>SUM(OSRRefD22_10x_0)</f>
        <v>0</v>
      </c>
      <c r="E58" s="1"/>
      <c r="F58" s="5">
        <f t="shared" ref="F58:F63" si="24">IF(D$12=0,0,D58/D$12)</f>
        <v>0</v>
      </c>
      <c r="G58" s="1"/>
      <c r="H58" s="1">
        <f>SUM(OSRRefH22_10x_0)</f>
        <v>100</v>
      </c>
      <c r="I58" s="1"/>
      <c r="J58" s="5">
        <f t="shared" ref="J58:J63" si="25">IF(H$12=0,0,H58/H$12)</f>
        <v>0</v>
      </c>
      <c r="K58" s="1"/>
      <c r="L58" s="1">
        <f t="shared" ref="L58:L63" si="26">+D58-H58</f>
        <v>-100</v>
      </c>
      <c r="M58" s="1"/>
      <c r="N58" s="5">
        <f t="shared" ref="N58:N63" si="27">IF(H58=0,0,L58/H58)</f>
        <v>-1</v>
      </c>
      <c r="O58" s="12"/>
      <c r="P58" s="1">
        <f>SUM(OSRRefP22_10x_0)</f>
        <v>82.5</v>
      </c>
      <c r="Q58" s="1"/>
      <c r="R58" s="5">
        <f t="shared" ref="R58:R63" si="28">IF(P$12=0,0,P58/P$12)</f>
        <v>0</v>
      </c>
      <c r="S58" s="1"/>
      <c r="T58" s="1">
        <f>SUM(OSRRefT22_10x_0)</f>
        <v>1100</v>
      </c>
      <c r="U58" s="1"/>
      <c r="V58" s="5">
        <f t="shared" ref="V58:V63" si="29">IF(T$12=0,0,T58/T$12)</f>
        <v>0</v>
      </c>
      <c r="W58" s="1"/>
      <c r="X58" s="1">
        <f t="shared" ref="X58:X63" si="30">+P58-T58</f>
        <v>-1017.5</v>
      </c>
      <c r="Y58" s="1"/>
      <c r="Z58" s="5">
        <f t="shared" ref="Z58:Z63" si="31">IF(T58=0,0,X58/T58)</f>
        <v>-0.92500000000000004</v>
      </c>
    </row>
    <row r="59" spans="1:26" s="24" customFormat="1" hidden="1" outlineLevel="2" x14ac:dyDescent="0.25">
      <c r="A59" s="26"/>
      <c r="B59" s="11" t="str">
        <f>CONCATENATE("          ", "6332", " - ", "CONSULTANT FEES")</f>
        <v xml:space="preserve">          6332 - CONSULTANT FEES</v>
      </c>
      <c r="C59" s="11"/>
      <c r="D59" s="7"/>
      <c r="E59" s="2"/>
      <c r="F59" s="6">
        <f t="shared" si="24"/>
        <v>0</v>
      </c>
      <c r="G59" s="2"/>
      <c r="H59" s="7">
        <v>100</v>
      </c>
      <c r="I59" s="2"/>
      <c r="J59" s="6">
        <f t="shared" si="25"/>
        <v>0</v>
      </c>
      <c r="K59" s="2"/>
      <c r="L59" s="7">
        <f t="shared" si="26"/>
        <v>-100</v>
      </c>
      <c r="M59" s="2"/>
      <c r="N59" s="6">
        <f t="shared" si="27"/>
        <v>-1</v>
      </c>
      <c r="O59" s="11"/>
      <c r="P59" s="7">
        <v>82.5</v>
      </c>
      <c r="Q59" s="2"/>
      <c r="R59" s="6">
        <f t="shared" si="28"/>
        <v>0</v>
      </c>
      <c r="S59" s="2"/>
      <c r="T59" s="7">
        <v>1100</v>
      </c>
      <c r="U59" s="2"/>
      <c r="V59" s="6">
        <f t="shared" si="29"/>
        <v>0</v>
      </c>
      <c r="W59" s="2"/>
      <c r="X59" s="7">
        <f t="shared" si="30"/>
        <v>-1017.5</v>
      </c>
      <c r="Y59" s="2"/>
      <c r="Z59" s="6">
        <f t="shared" si="31"/>
        <v>-0.92500000000000004</v>
      </c>
    </row>
    <row r="60" spans="1:26" s="27" customFormat="1" outlineLevel="1" collapsed="1" x14ac:dyDescent="0.25">
      <c r="A60" s="25"/>
      <c r="B60" s="12" t="str">
        <f>CONCATENATE("     ","Repair and Maintenance                            ")</f>
        <v xml:space="preserve">     Repair and Maintenance                            </v>
      </c>
      <c r="C60" s="12"/>
      <c r="D60" s="1">
        <f>SUM(OSRRefD22_11x_0)</f>
        <v>9.91</v>
      </c>
      <c r="E60" s="1"/>
      <c r="F60" s="5">
        <f t="shared" si="24"/>
        <v>0</v>
      </c>
      <c r="G60" s="1"/>
      <c r="H60" s="1">
        <f>SUM(OSRRefH22_11x_0)</f>
        <v>20</v>
      </c>
      <c r="I60" s="1"/>
      <c r="J60" s="5">
        <f t="shared" si="25"/>
        <v>0</v>
      </c>
      <c r="K60" s="1"/>
      <c r="L60" s="1">
        <f t="shared" si="26"/>
        <v>-10.09</v>
      </c>
      <c r="M60" s="1"/>
      <c r="N60" s="5">
        <f t="shared" si="27"/>
        <v>-0.50449999999999995</v>
      </c>
      <c r="O60" s="12"/>
      <c r="P60" s="1">
        <f>SUM(OSRRefP22_11x_0)</f>
        <v>32622.5</v>
      </c>
      <c r="Q60" s="1"/>
      <c r="R60" s="5">
        <f t="shared" si="28"/>
        <v>0</v>
      </c>
      <c r="S60" s="1"/>
      <c r="T60" s="1">
        <f>SUM(OSRRefT22_11x_0)</f>
        <v>30700</v>
      </c>
      <c r="U60" s="1"/>
      <c r="V60" s="5">
        <f t="shared" si="29"/>
        <v>0</v>
      </c>
      <c r="W60" s="1"/>
      <c r="X60" s="1">
        <f t="shared" si="30"/>
        <v>1922.5</v>
      </c>
      <c r="Y60" s="1"/>
      <c r="Z60" s="5">
        <f t="shared" si="31"/>
        <v>6.2622149837133545E-2</v>
      </c>
    </row>
    <row r="61" spans="1:26" s="24" customFormat="1" hidden="1" outlineLevel="2" x14ac:dyDescent="0.25">
      <c r="A61" s="26"/>
      <c r="B61" s="11" t="str">
        <f>CONCATENATE("          ", "6371", " - ", "COMPUTER SOFTWARE MAINTENANCE")</f>
        <v xml:space="preserve">          6371 - COMPUTER SOFTWARE MAINTENANCE</v>
      </c>
      <c r="C61" s="11"/>
      <c r="D61" s="7"/>
      <c r="E61" s="2"/>
      <c r="F61" s="6">
        <f t="shared" si="24"/>
        <v>0</v>
      </c>
      <c r="G61" s="2"/>
      <c r="H61" s="7"/>
      <c r="I61" s="2"/>
      <c r="J61" s="6">
        <f t="shared" si="25"/>
        <v>0</v>
      </c>
      <c r="K61" s="2"/>
      <c r="L61" s="7">
        <f t="shared" si="26"/>
        <v>0</v>
      </c>
      <c r="M61" s="2"/>
      <c r="N61" s="6">
        <f t="shared" si="27"/>
        <v>0</v>
      </c>
      <c r="O61" s="11"/>
      <c r="P61" s="7">
        <v>26963.83</v>
      </c>
      <c r="Q61" s="2"/>
      <c r="R61" s="6">
        <f t="shared" si="28"/>
        <v>0</v>
      </c>
      <c r="S61" s="2"/>
      <c r="T61" s="7">
        <v>26000</v>
      </c>
      <c r="U61" s="2"/>
      <c r="V61" s="6">
        <f t="shared" si="29"/>
        <v>0</v>
      </c>
      <c r="W61" s="2"/>
      <c r="X61" s="7">
        <f t="shared" si="30"/>
        <v>963.83000000000175</v>
      </c>
      <c r="Y61" s="2"/>
      <c r="Z61" s="6">
        <f t="shared" si="31"/>
        <v>3.7070384615384686E-2</v>
      </c>
    </row>
    <row r="62" spans="1:26" s="24" customFormat="1" hidden="1" outlineLevel="2" x14ac:dyDescent="0.25">
      <c r="A62" s="26"/>
      <c r="B62" s="11" t="str">
        <f>CONCATENATE("          ", "6373", " - ", "MAINTENANCE CONTRACTS")</f>
        <v xml:space="preserve">          6373 - MAINTENANCE CONTRACTS</v>
      </c>
      <c r="C62" s="11"/>
      <c r="D62" s="7">
        <v>9.91</v>
      </c>
      <c r="E62" s="2"/>
      <c r="F62" s="6">
        <f t="shared" si="24"/>
        <v>0</v>
      </c>
      <c r="G62" s="2"/>
      <c r="H62" s="7">
        <v>20</v>
      </c>
      <c r="I62" s="2"/>
      <c r="J62" s="6">
        <f t="shared" si="25"/>
        <v>0</v>
      </c>
      <c r="K62" s="2"/>
      <c r="L62" s="7">
        <f t="shared" si="26"/>
        <v>-10.09</v>
      </c>
      <c r="M62" s="2"/>
      <c r="N62" s="6">
        <f t="shared" si="27"/>
        <v>-0.50449999999999995</v>
      </c>
      <c r="O62" s="11"/>
      <c r="P62" s="7">
        <v>5120.7299999999996</v>
      </c>
      <c r="Q62" s="2"/>
      <c r="R62" s="6">
        <f t="shared" si="28"/>
        <v>0</v>
      </c>
      <c r="S62" s="2"/>
      <c r="T62" s="7">
        <v>4700</v>
      </c>
      <c r="U62" s="2"/>
      <c r="V62" s="6">
        <f t="shared" si="29"/>
        <v>0</v>
      </c>
      <c r="W62" s="2"/>
      <c r="X62" s="7">
        <f t="shared" si="30"/>
        <v>420.72999999999956</v>
      </c>
      <c r="Y62" s="2"/>
      <c r="Z62" s="6">
        <f t="shared" si="31"/>
        <v>8.9517021276595651E-2</v>
      </c>
    </row>
    <row r="63" spans="1:26" s="24" customFormat="1" hidden="1" outlineLevel="2" x14ac:dyDescent="0.25">
      <c r="A63" s="26"/>
      <c r="B63" s="11" t="str">
        <f>CONCATENATE("          ", "6375", " - ", "OUTSIDE REPAIRS &amp; MAINTENANCE")</f>
        <v xml:space="preserve">          6375 - OUTSIDE REPAIRS &amp; MAINTENANCE</v>
      </c>
      <c r="C63" s="11"/>
      <c r="D63" s="7"/>
      <c r="E63" s="2"/>
      <c r="F63" s="6">
        <f t="shared" si="24"/>
        <v>0</v>
      </c>
      <c r="G63" s="2"/>
      <c r="H63" s="7"/>
      <c r="I63" s="2"/>
      <c r="J63" s="6">
        <f t="shared" si="25"/>
        <v>0</v>
      </c>
      <c r="K63" s="2"/>
      <c r="L63" s="7">
        <f t="shared" si="26"/>
        <v>0</v>
      </c>
      <c r="M63" s="2"/>
      <c r="N63" s="6">
        <f t="shared" si="27"/>
        <v>0</v>
      </c>
      <c r="O63" s="11"/>
      <c r="P63" s="7">
        <v>537.94000000000005</v>
      </c>
      <c r="Q63" s="2"/>
      <c r="R63" s="6">
        <f t="shared" si="28"/>
        <v>0</v>
      </c>
      <c r="S63" s="2"/>
      <c r="T63" s="7"/>
      <c r="U63" s="2"/>
      <c r="V63" s="6">
        <f t="shared" si="29"/>
        <v>0</v>
      </c>
      <c r="W63" s="2"/>
      <c r="X63" s="7">
        <f t="shared" si="30"/>
        <v>537.94000000000005</v>
      </c>
      <c r="Y63" s="2"/>
      <c r="Z63" s="6">
        <f t="shared" si="31"/>
        <v>0</v>
      </c>
    </row>
    <row r="64" spans="1:26" s="27" customFormat="1" outlineLevel="1" collapsed="1" x14ac:dyDescent="0.25">
      <c r="A64" s="25"/>
      <c r="B64" s="12" t="str">
        <f>CONCATENATE("     ","Services                                          ")</f>
        <v xml:space="preserve">     Services                                          </v>
      </c>
      <c r="C64" s="12"/>
      <c r="D64" s="1">
        <f>SUM(OSRRefD22_12x_0)</f>
        <v>512.48</v>
      </c>
      <c r="E64" s="1"/>
      <c r="F64" s="5">
        <f t="shared" ref="F64:F70" si="32">IF(D$12=0,0,D64/D$12)</f>
        <v>0</v>
      </c>
      <c r="G64" s="1"/>
      <c r="H64" s="1">
        <f>SUM(OSRRefH22_12x_0)</f>
        <v>600</v>
      </c>
      <c r="I64" s="1"/>
      <c r="J64" s="5">
        <f t="shared" ref="J64:J70" si="33">IF(H$12=0,0,H64/H$12)</f>
        <v>0</v>
      </c>
      <c r="K64" s="1"/>
      <c r="L64" s="1">
        <f t="shared" ref="L64:L70" si="34">+D64-H64</f>
        <v>-87.519999999999982</v>
      </c>
      <c r="M64" s="1"/>
      <c r="N64" s="5">
        <f t="shared" ref="N64:N70" si="35">IF(H64=0,0,L64/H64)</f>
        <v>-0.14586666666666664</v>
      </c>
      <c r="O64" s="12"/>
      <c r="P64" s="1">
        <f>SUM(OSRRefP22_12x_0)</f>
        <v>10967.41</v>
      </c>
      <c r="Q64" s="1"/>
      <c r="R64" s="5">
        <f t="shared" ref="R64:R70" si="36">IF(P$12=0,0,P64/P$12)</f>
        <v>0</v>
      </c>
      <c r="S64" s="1"/>
      <c r="T64" s="1">
        <f>SUM(OSRRefT22_12x_0)</f>
        <v>6600</v>
      </c>
      <c r="U64" s="1"/>
      <c r="V64" s="5">
        <f t="shared" ref="V64:V70" si="37">IF(T$12=0,0,T64/T$12)</f>
        <v>0</v>
      </c>
      <c r="W64" s="1"/>
      <c r="X64" s="1">
        <f t="shared" ref="X64:X70" si="38">+P64-T64</f>
        <v>4367.41</v>
      </c>
      <c r="Y64" s="1"/>
      <c r="Z64" s="5">
        <f t="shared" ref="Z64:Z70" si="39">IF(T64=0,0,X64/T64)</f>
        <v>0.66172878787878786</v>
      </c>
    </row>
    <row r="65" spans="1:26" s="24" customFormat="1" hidden="1" outlineLevel="2" x14ac:dyDescent="0.25">
      <c r="A65" s="26"/>
      <c r="B65" s="11" t="str">
        <f>CONCATENATE("          ", "6281", " - ", "STORAGE FEE")</f>
        <v xml:space="preserve">          6281 - STORAGE FEE</v>
      </c>
      <c r="C65" s="11"/>
      <c r="D65" s="7">
        <v>512.48</v>
      </c>
      <c r="E65" s="2"/>
      <c r="F65" s="6">
        <f t="shared" si="32"/>
        <v>0</v>
      </c>
      <c r="G65" s="2"/>
      <c r="H65" s="7">
        <v>600</v>
      </c>
      <c r="I65" s="2"/>
      <c r="J65" s="6">
        <f t="shared" si="33"/>
        <v>0</v>
      </c>
      <c r="K65" s="2"/>
      <c r="L65" s="7">
        <f t="shared" si="34"/>
        <v>-87.519999999999982</v>
      </c>
      <c r="M65" s="2"/>
      <c r="N65" s="6">
        <f t="shared" si="35"/>
        <v>-0.14586666666666664</v>
      </c>
      <c r="O65" s="11"/>
      <c r="P65" s="7">
        <v>10967.41</v>
      </c>
      <c r="Q65" s="2"/>
      <c r="R65" s="6">
        <f t="shared" si="36"/>
        <v>0</v>
      </c>
      <c r="S65" s="2"/>
      <c r="T65" s="7">
        <v>6600</v>
      </c>
      <c r="U65" s="2"/>
      <c r="V65" s="6">
        <f t="shared" si="37"/>
        <v>0</v>
      </c>
      <c r="W65" s="2"/>
      <c r="X65" s="7">
        <f t="shared" si="38"/>
        <v>4367.41</v>
      </c>
      <c r="Y65" s="2"/>
      <c r="Z65" s="6">
        <f t="shared" si="39"/>
        <v>0.66172878787878786</v>
      </c>
    </row>
    <row r="66" spans="1:26" s="27" customFormat="1" outlineLevel="1" collapsed="1" x14ac:dyDescent="0.25">
      <c r="A66" s="25"/>
      <c r="B66" s="12" t="str">
        <f>CONCATENATE("     ","Subscriptions &amp; Dues                              ")</f>
        <v xml:space="preserve">     Subscriptions &amp; Dues                              </v>
      </c>
      <c r="C66" s="12"/>
      <c r="D66" s="1">
        <f>SUM(OSRRefD22_13x_0)</f>
        <v>0</v>
      </c>
      <c r="E66" s="1"/>
      <c r="F66" s="5">
        <f t="shared" si="32"/>
        <v>0</v>
      </c>
      <c r="G66" s="1"/>
      <c r="H66" s="1">
        <f>SUM(OSRRefH22_13x_0)</f>
        <v>0</v>
      </c>
      <c r="I66" s="1"/>
      <c r="J66" s="5">
        <f t="shared" si="33"/>
        <v>0</v>
      </c>
      <c r="K66" s="1"/>
      <c r="L66" s="1">
        <f t="shared" si="34"/>
        <v>0</v>
      </c>
      <c r="M66" s="1"/>
      <c r="N66" s="5">
        <f t="shared" si="35"/>
        <v>0</v>
      </c>
      <c r="O66" s="12"/>
      <c r="P66" s="1">
        <f>SUM(OSRRefP22_13x_0)</f>
        <v>39</v>
      </c>
      <c r="Q66" s="1"/>
      <c r="R66" s="5">
        <f t="shared" si="36"/>
        <v>0</v>
      </c>
      <c r="S66" s="1"/>
      <c r="T66" s="1">
        <f>SUM(OSRRefT22_13x_0)</f>
        <v>0</v>
      </c>
      <c r="U66" s="1"/>
      <c r="V66" s="5">
        <f t="shared" si="37"/>
        <v>0</v>
      </c>
      <c r="W66" s="1"/>
      <c r="X66" s="1">
        <f t="shared" si="38"/>
        <v>39</v>
      </c>
      <c r="Y66" s="1"/>
      <c r="Z66" s="5">
        <f t="shared" si="39"/>
        <v>0</v>
      </c>
    </row>
    <row r="67" spans="1:26" s="24" customFormat="1" hidden="1" outlineLevel="2" x14ac:dyDescent="0.25">
      <c r="A67" s="26"/>
      <c r="B67" s="11" t="str">
        <f>CONCATENATE("          ", "6258", " - ", "MEMBERSHIP DUES")</f>
        <v xml:space="preserve">          6258 - MEMBERSHIP DUES</v>
      </c>
      <c r="C67" s="11"/>
      <c r="D67" s="7"/>
      <c r="E67" s="2"/>
      <c r="F67" s="6">
        <f t="shared" si="32"/>
        <v>0</v>
      </c>
      <c r="G67" s="2"/>
      <c r="H67" s="7"/>
      <c r="I67" s="2"/>
      <c r="J67" s="6">
        <f t="shared" si="33"/>
        <v>0</v>
      </c>
      <c r="K67" s="2"/>
      <c r="L67" s="7">
        <f t="shared" si="34"/>
        <v>0</v>
      </c>
      <c r="M67" s="2"/>
      <c r="N67" s="6">
        <f t="shared" si="35"/>
        <v>0</v>
      </c>
      <c r="O67" s="11"/>
      <c r="P67" s="7">
        <v>39</v>
      </c>
      <c r="Q67" s="2"/>
      <c r="R67" s="6">
        <f t="shared" si="36"/>
        <v>0</v>
      </c>
      <c r="S67" s="2"/>
      <c r="T67" s="7"/>
      <c r="U67" s="2"/>
      <c r="V67" s="6">
        <f t="shared" si="37"/>
        <v>0</v>
      </c>
      <c r="W67" s="2"/>
      <c r="X67" s="7">
        <f t="shared" si="38"/>
        <v>39</v>
      </c>
      <c r="Y67" s="2"/>
      <c r="Z67" s="6">
        <f t="shared" si="39"/>
        <v>0</v>
      </c>
    </row>
    <row r="68" spans="1:26" s="27" customFormat="1" outlineLevel="1" collapsed="1" x14ac:dyDescent="0.25">
      <c r="A68" s="25"/>
      <c r="B68" s="12" t="str">
        <f>CONCATENATE("     ","Supplies                                          ")</f>
        <v xml:space="preserve">     Supplies                                          </v>
      </c>
      <c r="C68" s="12"/>
      <c r="D68" s="1">
        <f>SUM(OSRRefD22_14x_0)</f>
        <v>73.86</v>
      </c>
      <c r="E68" s="1"/>
      <c r="F68" s="5">
        <f t="shared" si="32"/>
        <v>0</v>
      </c>
      <c r="G68" s="1"/>
      <c r="H68" s="1">
        <f>SUM(OSRRefH22_14x_0)</f>
        <v>300</v>
      </c>
      <c r="I68" s="1"/>
      <c r="J68" s="5">
        <f t="shared" si="33"/>
        <v>0</v>
      </c>
      <c r="K68" s="1"/>
      <c r="L68" s="1">
        <f t="shared" si="34"/>
        <v>-226.14</v>
      </c>
      <c r="M68" s="1"/>
      <c r="N68" s="5">
        <f t="shared" si="35"/>
        <v>-0.75379999999999991</v>
      </c>
      <c r="O68" s="12"/>
      <c r="P68" s="1">
        <f>SUM(OSRRefP22_14x_0)</f>
        <v>6840.7699999999995</v>
      </c>
      <c r="Q68" s="1"/>
      <c r="R68" s="5">
        <f t="shared" si="36"/>
        <v>0</v>
      </c>
      <c r="S68" s="1"/>
      <c r="T68" s="1">
        <f>SUM(OSRRefT22_14x_0)</f>
        <v>2950</v>
      </c>
      <c r="U68" s="1"/>
      <c r="V68" s="5">
        <f t="shared" si="37"/>
        <v>0</v>
      </c>
      <c r="W68" s="1"/>
      <c r="X68" s="1">
        <f t="shared" si="38"/>
        <v>3890.7699999999995</v>
      </c>
      <c r="Y68" s="1"/>
      <c r="Z68" s="5">
        <f t="shared" si="39"/>
        <v>1.3189050847457626</v>
      </c>
    </row>
    <row r="69" spans="1:26" s="24" customFormat="1" hidden="1" outlineLevel="2" x14ac:dyDescent="0.25">
      <c r="A69" s="26"/>
      <c r="B69" s="11" t="str">
        <f>CONCATENATE("          ", "6241", " - ", "OFFICE EXPENSE")</f>
        <v xml:space="preserve">          6241 - OFFICE EXPENSE</v>
      </c>
      <c r="C69" s="11"/>
      <c r="D69" s="7">
        <v>73.86</v>
      </c>
      <c r="E69" s="2"/>
      <c r="F69" s="6">
        <f t="shared" si="32"/>
        <v>0</v>
      </c>
      <c r="G69" s="2"/>
      <c r="H69" s="7">
        <v>300</v>
      </c>
      <c r="I69" s="2"/>
      <c r="J69" s="6">
        <f t="shared" si="33"/>
        <v>0</v>
      </c>
      <c r="K69" s="2"/>
      <c r="L69" s="7">
        <f t="shared" si="34"/>
        <v>-226.14</v>
      </c>
      <c r="M69" s="2"/>
      <c r="N69" s="6">
        <f t="shared" si="35"/>
        <v>-0.75379999999999991</v>
      </c>
      <c r="O69" s="11"/>
      <c r="P69" s="7">
        <v>6177.86</v>
      </c>
      <c r="Q69" s="2"/>
      <c r="R69" s="6">
        <f t="shared" si="36"/>
        <v>0</v>
      </c>
      <c r="S69" s="2"/>
      <c r="T69" s="7">
        <v>2950</v>
      </c>
      <c r="U69" s="2"/>
      <c r="V69" s="6">
        <f t="shared" si="37"/>
        <v>0</v>
      </c>
      <c r="W69" s="2"/>
      <c r="X69" s="7">
        <f t="shared" si="38"/>
        <v>3227.8599999999997</v>
      </c>
      <c r="Y69" s="2"/>
      <c r="Z69" s="6">
        <f t="shared" si="39"/>
        <v>1.0941898305084745</v>
      </c>
    </row>
    <row r="70" spans="1:26" s="24" customFormat="1" hidden="1" outlineLevel="2" x14ac:dyDescent="0.25">
      <c r="A70" s="26"/>
      <c r="B70" s="11" t="str">
        <f>CONCATENATE("          ", "6245", " - ", "PRINTING")</f>
        <v xml:space="preserve">          6245 - PRINTING</v>
      </c>
      <c r="C70" s="11"/>
      <c r="D70" s="7"/>
      <c r="E70" s="2"/>
      <c r="F70" s="6">
        <f t="shared" si="32"/>
        <v>0</v>
      </c>
      <c r="G70" s="2"/>
      <c r="H70" s="7"/>
      <c r="I70" s="2"/>
      <c r="J70" s="6">
        <f t="shared" si="33"/>
        <v>0</v>
      </c>
      <c r="K70" s="2"/>
      <c r="L70" s="7">
        <f t="shared" si="34"/>
        <v>0</v>
      </c>
      <c r="M70" s="2"/>
      <c r="N70" s="6">
        <f t="shared" si="35"/>
        <v>0</v>
      </c>
      <c r="O70" s="11"/>
      <c r="P70" s="7">
        <v>662.91</v>
      </c>
      <c r="Q70" s="2"/>
      <c r="R70" s="6">
        <f t="shared" si="36"/>
        <v>0</v>
      </c>
      <c r="S70" s="2"/>
      <c r="T70" s="7"/>
      <c r="U70" s="2"/>
      <c r="V70" s="6">
        <f t="shared" si="37"/>
        <v>0</v>
      </c>
      <c r="W70" s="2"/>
      <c r="X70" s="7">
        <f t="shared" si="38"/>
        <v>662.91</v>
      </c>
      <c r="Y70" s="2"/>
      <c r="Z70" s="6">
        <f t="shared" si="39"/>
        <v>0</v>
      </c>
    </row>
    <row r="71" spans="1:26" s="27" customFormat="1" outlineLevel="1" collapsed="1" x14ac:dyDescent="0.25">
      <c r="A71" s="25"/>
      <c r="B71" s="12" t="str">
        <f>CONCATENATE("     ","Telephone/Data Lines                              ")</f>
        <v xml:space="preserve">     Telephone/Data Lines                              </v>
      </c>
      <c r="C71" s="12"/>
      <c r="D71" s="1">
        <f>SUM(OSRRefD22_15x_0)</f>
        <v>430.85</v>
      </c>
      <c r="E71" s="1"/>
      <c r="F71" s="5">
        <f t="shared" ref="F71:F74" si="40">IF(D$12=0,0,D71/D$12)</f>
        <v>0</v>
      </c>
      <c r="G71" s="1"/>
      <c r="H71" s="1">
        <f>SUM(OSRRefH22_15x_0)</f>
        <v>375</v>
      </c>
      <c r="I71" s="1"/>
      <c r="J71" s="5">
        <f t="shared" ref="J71:J74" si="41">IF(H$12=0,0,H71/H$12)</f>
        <v>0</v>
      </c>
      <c r="K71" s="1"/>
      <c r="L71" s="1">
        <f t="shared" ref="L71:L74" si="42">+D71-H71</f>
        <v>55.850000000000023</v>
      </c>
      <c r="M71" s="1"/>
      <c r="N71" s="5">
        <f t="shared" ref="N71:N74" si="43">IF(H71=0,0,L71/H71)</f>
        <v>0.14893333333333339</v>
      </c>
      <c r="O71" s="12"/>
      <c r="P71" s="1">
        <f>SUM(OSRRefP22_15x_0)</f>
        <v>4546.3900000000003</v>
      </c>
      <c r="Q71" s="1"/>
      <c r="R71" s="5">
        <f t="shared" ref="R71:R74" si="44">IF(P$12=0,0,P71/P$12)</f>
        <v>0</v>
      </c>
      <c r="S71" s="1"/>
      <c r="T71" s="1">
        <f>SUM(OSRRefT22_15x_0)</f>
        <v>4125</v>
      </c>
      <c r="U71" s="1"/>
      <c r="V71" s="5">
        <f t="shared" ref="V71:V74" si="45">IF(T$12=0,0,T71/T$12)</f>
        <v>0</v>
      </c>
      <c r="W71" s="1"/>
      <c r="X71" s="1">
        <f t="shared" ref="X71:X74" si="46">+P71-T71</f>
        <v>421.39000000000033</v>
      </c>
      <c r="Y71" s="1"/>
      <c r="Z71" s="5">
        <f t="shared" ref="Z71:Z74" si="47">IF(T71=0,0,X71/T71)</f>
        <v>0.10215515151515159</v>
      </c>
    </row>
    <row r="72" spans="1:26" s="24" customFormat="1" hidden="1" outlineLevel="2" x14ac:dyDescent="0.25">
      <c r="A72" s="26"/>
      <c r="B72" s="11" t="str">
        <f>CONCATENATE("          ", "6309", " - ", "TELEPHONE")</f>
        <v xml:space="preserve">          6309 - TELEPHONE</v>
      </c>
      <c r="C72" s="11"/>
      <c r="D72" s="7">
        <v>430.85</v>
      </c>
      <c r="E72" s="2"/>
      <c r="F72" s="6">
        <f t="shared" si="40"/>
        <v>0</v>
      </c>
      <c r="G72" s="2"/>
      <c r="H72" s="7">
        <v>375</v>
      </c>
      <c r="I72" s="2"/>
      <c r="J72" s="6">
        <f t="shared" si="41"/>
        <v>0</v>
      </c>
      <c r="K72" s="2"/>
      <c r="L72" s="7">
        <f t="shared" si="42"/>
        <v>55.850000000000023</v>
      </c>
      <c r="M72" s="2"/>
      <c r="N72" s="6">
        <f t="shared" si="43"/>
        <v>0.14893333333333339</v>
      </c>
      <c r="O72" s="11"/>
      <c r="P72" s="7">
        <v>4546.3900000000003</v>
      </c>
      <c r="Q72" s="2"/>
      <c r="R72" s="6">
        <f t="shared" si="44"/>
        <v>0</v>
      </c>
      <c r="S72" s="2"/>
      <c r="T72" s="7">
        <v>4125</v>
      </c>
      <c r="U72" s="2"/>
      <c r="V72" s="6">
        <f t="shared" si="45"/>
        <v>0</v>
      </c>
      <c r="W72" s="2"/>
      <c r="X72" s="7">
        <f t="shared" si="46"/>
        <v>421.39000000000033</v>
      </c>
      <c r="Y72" s="2"/>
      <c r="Z72" s="6">
        <f t="shared" si="47"/>
        <v>0.10215515151515159</v>
      </c>
    </row>
    <row r="73" spans="1:26" s="27" customFormat="1" outlineLevel="1" collapsed="1" x14ac:dyDescent="0.25">
      <c r="A73" s="25"/>
      <c r="B73" s="12" t="str">
        <f>CONCATENATE("     ","Training                                          ")</f>
        <v xml:space="preserve">     Training                                          </v>
      </c>
      <c r="C73" s="12"/>
      <c r="D73" s="1">
        <f>SUM(OSRRefD22_16x_0)</f>
        <v>0</v>
      </c>
      <c r="E73" s="1"/>
      <c r="F73" s="5">
        <f t="shared" si="40"/>
        <v>0</v>
      </c>
      <c r="G73" s="1"/>
      <c r="H73" s="1">
        <f>SUM(OSRRefH22_16x_0)</f>
        <v>583</v>
      </c>
      <c r="I73" s="1"/>
      <c r="J73" s="5">
        <f t="shared" si="41"/>
        <v>0</v>
      </c>
      <c r="K73" s="1"/>
      <c r="L73" s="1">
        <f t="shared" si="42"/>
        <v>-583</v>
      </c>
      <c r="M73" s="1"/>
      <c r="N73" s="5">
        <f t="shared" si="43"/>
        <v>-1</v>
      </c>
      <c r="O73" s="12"/>
      <c r="P73" s="1">
        <f>SUM(OSRRefP22_16x_0)</f>
        <v>400.18</v>
      </c>
      <c r="Q73" s="1"/>
      <c r="R73" s="5">
        <f t="shared" si="44"/>
        <v>0</v>
      </c>
      <c r="S73" s="1"/>
      <c r="T73" s="1">
        <f>SUM(OSRRefT22_16x_0)</f>
        <v>6413</v>
      </c>
      <c r="U73" s="1"/>
      <c r="V73" s="5">
        <f t="shared" si="45"/>
        <v>0</v>
      </c>
      <c r="W73" s="1"/>
      <c r="X73" s="1">
        <f t="shared" si="46"/>
        <v>-6012.82</v>
      </c>
      <c r="Y73" s="1"/>
      <c r="Z73" s="5">
        <f t="shared" si="47"/>
        <v>-0.93759862778730696</v>
      </c>
    </row>
    <row r="74" spans="1:26" s="24" customFormat="1" hidden="1" outlineLevel="2" x14ac:dyDescent="0.25">
      <c r="A74" s="26"/>
      <c r="B74" s="11" t="str">
        <f>CONCATENATE("          ", "6376", " - ", "TRAINING")</f>
        <v xml:space="preserve">          6376 - TRAINING</v>
      </c>
      <c r="C74" s="11"/>
      <c r="D74" s="7"/>
      <c r="E74" s="2"/>
      <c r="F74" s="6">
        <f t="shared" si="40"/>
        <v>0</v>
      </c>
      <c r="G74" s="2"/>
      <c r="H74" s="7">
        <v>583</v>
      </c>
      <c r="I74" s="2"/>
      <c r="J74" s="6">
        <f t="shared" si="41"/>
        <v>0</v>
      </c>
      <c r="K74" s="2"/>
      <c r="L74" s="7">
        <f t="shared" si="42"/>
        <v>-583</v>
      </c>
      <c r="M74" s="2"/>
      <c r="N74" s="6">
        <f t="shared" si="43"/>
        <v>-1</v>
      </c>
      <c r="O74" s="11"/>
      <c r="P74" s="7">
        <v>400.18</v>
      </c>
      <c r="Q74" s="2"/>
      <c r="R74" s="6">
        <f t="shared" si="44"/>
        <v>0</v>
      </c>
      <c r="S74" s="2"/>
      <c r="T74" s="7">
        <v>6413</v>
      </c>
      <c r="U74" s="2"/>
      <c r="V74" s="6">
        <f t="shared" si="45"/>
        <v>0</v>
      </c>
      <c r="W74" s="2"/>
      <c r="X74" s="7">
        <f t="shared" si="46"/>
        <v>-6012.82</v>
      </c>
      <c r="Y74" s="2"/>
      <c r="Z74" s="6">
        <f t="shared" si="47"/>
        <v>-0.93759862778730696</v>
      </c>
    </row>
    <row r="75" spans="1:26" s="62" customFormat="1" x14ac:dyDescent="0.25">
      <c r="A75" s="36"/>
      <c r="B75" s="36"/>
      <c r="C75" s="36"/>
      <c r="D75" s="1"/>
      <c r="E75" s="1"/>
      <c r="F75" s="5"/>
      <c r="G75" s="1"/>
      <c r="H75" s="1"/>
      <c r="I75" s="1"/>
      <c r="J75" s="5"/>
      <c r="K75" s="1"/>
      <c r="L75" s="1"/>
      <c r="M75" s="1"/>
      <c r="N75" s="5"/>
      <c r="O75" s="36"/>
      <c r="P75" s="1"/>
      <c r="Q75" s="1"/>
      <c r="R75" s="5"/>
      <c r="S75" s="1"/>
      <c r="T75" s="1"/>
      <c r="U75" s="1"/>
      <c r="V75" s="5"/>
      <c r="W75" s="1"/>
      <c r="X75" s="1"/>
      <c r="Y75" s="1"/>
      <c r="Z75" s="5"/>
    </row>
    <row r="76" spans="1:26" s="23" customFormat="1" x14ac:dyDescent="0.25">
      <c r="A76" s="10"/>
      <c r="B76" s="28" t="s">
        <v>0</v>
      </c>
      <c r="C76" s="10"/>
      <c r="D76" s="4">
        <f>SUM(0)</f>
        <v>0</v>
      </c>
      <c r="E76" s="4"/>
      <c r="F76" s="13">
        <f>IF(D$12=0,0,D76/D$12)</f>
        <v>0</v>
      </c>
      <c r="G76" s="4"/>
      <c r="H76" s="4">
        <f>SUM(0)</f>
        <v>0</v>
      </c>
      <c r="I76" s="4"/>
      <c r="J76" s="13">
        <f>IF(H$12=0,0,H76/H$12)</f>
        <v>0</v>
      </c>
      <c r="K76" s="4"/>
      <c r="L76" s="4">
        <f>+D76-H76</f>
        <v>0</v>
      </c>
      <c r="M76" s="4"/>
      <c r="N76" s="13">
        <f>IF(H76=0,0,L76/H76)</f>
        <v>0</v>
      </c>
      <c r="O76" s="10"/>
      <c r="P76" s="4">
        <f>SUM(0)</f>
        <v>0</v>
      </c>
      <c r="Q76" s="4"/>
      <c r="R76" s="13">
        <f>IF(P$12=0,0,P76/P$12)</f>
        <v>0</v>
      </c>
      <c r="S76" s="4"/>
      <c r="T76" s="4">
        <f>SUM(0)</f>
        <v>0</v>
      </c>
      <c r="U76" s="4"/>
      <c r="V76" s="13">
        <f>IF(T$12=0,0,T76/T$12)</f>
        <v>0</v>
      </c>
      <c r="W76" s="4"/>
      <c r="X76" s="4">
        <f>+P76-T76</f>
        <v>0</v>
      </c>
      <c r="Y76" s="4"/>
      <c r="Z76" s="13">
        <f>IF(T76=0,0,X76/T76)</f>
        <v>0</v>
      </c>
    </row>
    <row r="77" spans="1:26" x14ac:dyDescent="0.25">
      <c r="A77" s="9"/>
      <c r="B77" s="10"/>
      <c r="C77" s="10"/>
      <c r="D77" s="3"/>
      <c r="E77" s="3"/>
      <c r="F77" s="8"/>
      <c r="G77" s="3"/>
      <c r="H77" s="3"/>
      <c r="I77" s="3"/>
      <c r="J77" s="8"/>
      <c r="K77" s="3"/>
      <c r="L77" s="3"/>
      <c r="M77" s="3"/>
      <c r="N77" s="8"/>
      <c r="O77" s="10"/>
      <c r="P77" s="3"/>
      <c r="Q77" s="3"/>
      <c r="R77" s="8"/>
      <c r="S77" s="3"/>
      <c r="T77" s="3"/>
      <c r="U77" s="3"/>
      <c r="V77" s="8"/>
      <c r="W77" s="3"/>
      <c r="X77" s="3"/>
      <c r="Y77" s="3"/>
      <c r="Z77" s="8"/>
    </row>
    <row r="78" spans="1:26" s="23" customFormat="1" x14ac:dyDescent="0.25">
      <c r="A78" s="10"/>
      <c r="B78" s="29" t="s">
        <v>3</v>
      </c>
      <c r="C78" s="29"/>
      <c r="D78" s="20">
        <f>+D16-D18+D76</f>
        <v>-30335.559999999998</v>
      </c>
      <c r="E78" s="14"/>
      <c r="F78" s="22">
        <f>IF(D$12=0,0,D78/D$12)</f>
        <v>0</v>
      </c>
      <c r="G78" s="14"/>
      <c r="H78" s="20">
        <f>+H16-H18+H76</f>
        <v>-49650.188613846098</v>
      </c>
      <c r="I78" s="14"/>
      <c r="J78" s="22">
        <f>IF(H$12=0,0,H78/H$12)</f>
        <v>0</v>
      </c>
      <c r="K78" s="16"/>
      <c r="L78" s="20">
        <f>+D78-H78</f>
        <v>19314.6286138461</v>
      </c>
      <c r="M78" s="16"/>
      <c r="N78" s="22">
        <f>IF(H78=0,0,L78/H78)</f>
        <v>-0.38901420423727801</v>
      </c>
      <c r="O78" s="28"/>
      <c r="P78" s="20">
        <f>+P16-P18+P76</f>
        <v>-536437.33000000007</v>
      </c>
      <c r="Q78" s="14"/>
      <c r="R78" s="22">
        <f>IF(P$12=0,0,P78/P$12)</f>
        <v>0</v>
      </c>
      <c r="S78" s="14"/>
      <c r="T78" s="20">
        <f>+T16-T18+T76</f>
        <v>-614256.87789115356</v>
      </c>
      <c r="U78" s="14"/>
      <c r="V78" s="22">
        <f>IF(T$12=0,0,T78/T$12)</f>
        <v>0</v>
      </c>
      <c r="W78" s="16"/>
      <c r="X78" s="20">
        <f>+P78-T78</f>
        <v>77819.547891153488</v>
      </c>
      <c r="Y78" s="16"/>
      <c r="Z78" s="22">
        <f>IF(T78=0,0,X78/T78)</f>
        <v>-0.1266889320935583</v>
      </c>
    </row>
    <row r="79" spans="1:26" x14ac:dyDescent="0.25">
      <c r="A79" s="9"/>
      <c r="B79" s="10"/>
      <c r="C79" s="9"/>
      <c r="D79" s="3"/>
      <c r="E79" s="3"/>
      <c r="F79" s="8"/>
      <c r="G79" s="3"/>
      <c r="H79" s="3"/>
      <c r="I79" s="3"/>
      <c r="J79" s="8"/>
      <c r="K79" s="3"/>
      <c r="L79" s="3"/>
      <c r="M79" s="3"/>
      <c r="N79" s="8"/>
      <c r="P79" s="3"/>
      <c r="Q79" s="3"/>
      <c r="R79" s="8"/>
      <c r="S79" s="3"/>
      <c r="T79" s="3"/>
      <c r="U79" s="3"/>
      <c r="V79" s="8"/>
      <c r="W79" s="3"/>
      <c r="X79" s="3"/>
      <c r="Y79" s="3"/>
      <c r="Z79" s="8"/>
    </row>
    <row r="80" spans="1:26" s="23" customFormat="1" x14ac:dyDescent="0.25">
      <c r="A80" s="52"/>
      <c r="B80" s="10" t="s">
        <v>14</v>
      </c>
      <c r="C80" s="10"/>
      <c r="D80" s="4"/>
      <c r="E80" s="4"/>
      <c r="F80" s="13">
        <f>IF(D$12=0,0,D80/D$12)</f>
        <v>0</v>
      </c>
      <c r="G80" s="4"/>
      <c r="H80" s="4"/>
      <c r="I80" s="4"/>
      <c r="J80" s="13">
        <f>IF(H$12=0,0,H80/H$12)</f>
        <v>0</v>
      </c>
      <c r="K80" s="4"/>
      <c r="L80" s="4">
        <f>+D80-H80</f>
        <v>0</v>
      </c>
      <c r="M80" s="4"/>
      <c r="N80" s="13">
        <f>IF(H80=0,0,L80/H80)</f>
        <v>0</v>
      </c>
      <c r="O80" s="10"/>
      <c r="P80" s="4"/>
      <c r="Q80" s="4"/>
      <c r="R80" s="13">
        <f>IF(P$12=0,0,P80/P$12)</f>
        <v>0</v>
      </c>
      <c r="S80" s="4"/>
      <c r="T80" s="4"/>
      <c r="U80" s="4"/>
      <c r="V80" s="13">
        <f>IF(T$12=0,0,T80/T$12)</f>
        <v>0</v>
      </c>
      <c r="W80" s="4"/>
      <c r="X80" s="4">
        <f>+P80-T80</f>
        <v>0</v>
      </c>
      <c r="Y80" s="4"/>
      <c r="Z80" s="13">
        <f>IF(T80=0,0,X80/T80)</f>
        <v>0</v>
      </c>
    </row>
    <row r="81" spans="1:26" x14ac:dyDescent="0.25">
      <c r="A81" s="9"/>
      <c r="B81" s="10"/>
      <c r="C81" s="10"/>
      <c r="D81" s="3"/>
      <c r="E81" s="3"/>
      <c r="F81" s="8"/>
      <c r="G81" s="3"/>
      <c r="H81" s="3"/>
      <c r="I81" s="3"/>
      <c r="J81" s="8"/>
      <c r="K81" s="3"/>
      <c r="L81" s="3"/>
      <c r="M81" s="3"/>
      <c r="N81" s="8"/>
      <c r="O81" s="10"/>
      <c r="P81" s="3"/>
      <c r="Q81" s="3"/>
      <c r="R81" s="8"/>
      <c r="S81" s="3"/>
      <c r="T81" s="3"/>
      <c r="U81" s="3"/>
      <c r="V81" s="8"/>
      <c r="W81" s="3"/>
      <c r="X81" s="3"/>
      <c r="Y81" s="3"/>
      <c r="Z81" s="8"/>
    </row>
    <row r="82" spans="1:26" s="23" customFormat="1" ht="15.75" thickBot="1" x14ac:dyDescent="0.3">
      <c r="A82" s="10"/>
      <c r="B82" s="29" t="s">
        <v>4</v>
      </c>
      <c r="C82" s="29"/>
      <c r="D82" s="35">
        <f>+D78-D80</f>
        <v>-30335.559999999998</v>
      </c>
      <c r="E82" s="14"/>
      <c r="F82" s="32">
        <f>IF(D$12=0,0,D82/D$12)</f>
        <v>0</v>
      </c>
      <c r="G82" s="14"/>
      <c r="H82" s="35">
        <f>+H78-H80</f>
        <v>-49650.188613846098</v>
      </c>
      <c r="I82" s="14"/>
      <c r="J82" s="32">
        <f>IF(H$12=0,0,H82/H$12)</f>
        <v>0</v>
      </c>
      <c r="K82" s="16"/>
      <c r="L82" s="35">
        <f>D82-H82</f>
        <v>19314.6286138461</v>
      </c>
      <c r="M82" s="16"/>
      <c r="N82" s="32">
        <f>IF(H82=0,0,L82/H82)</f>
        <v>-0.38901420423727801</v>
      </c>
      <c r="O82" s="28"/>
      <c r="P82" s="35">
        <f>+P78-P80</f>
        <v>-536437.33000000007</v>
      </c>
      <c r="Q82" s="14"/>
      <c r="R82" s="32">
        <f>IF(P$12=0,0,P82/P$12)</f>
        <v>0</v>
      </c>
      <c r="S82" s="14"/>
      <c r="T82" s="35">
        <f>+T78-T80</f>
        <v>-614256.87789115356</v>
      </c>
      <c r="U82" s="14"/>
      <c r="V82" s="32">
        <f>IF(T$12=0,0,T82/T$12)</f>
        <v>0</v>
      </c>
      <c r="W82" s="16"/>
      <c r="X82" s="35">
        <f>P82-T82</f>
        <v>77819.547891153488</v>
      </c>
      <c r="Y82" s="16"/>
      <c r="Z82" s="32">
        <f>IF(T82=0,0,X82/T82)</f>
        <v>-0.1266889320935583</v>
      </c>
    </row>
    <row r="83" spans="1:26" ht="15.75" thickTop="1" x14ac:dyDescent="0.25">
      <c r="A83" s="9"/>
      <c r="B83" s="9"/>
      <c r="C83" s="9"/>
      <c r="D83" s="3"/>
      <c r="E83" s="3"/>
      <c r="F83" s="8"/>
      <c r="G83" s="3"/>
      <c r="H83" s="3"/>
      <c r="I83" s="3"/>
      <c r="J83" s="8"/>
      <c r="K83" s="3"/>
      <c r="L83" s="3"/>
      <c r="M83" s="3"/>
      <c r="N83" s="8"/>
      <c r="P83" s="3"/>
      <c r="Q83" s="3"/>
      <c r="R83" s="8"/>
      <c r="S83" s="3"/>
      <c r="T83" s="3"/>
      <c r="U83" s="3"/>
      <c r="V83" s="8"/>
      <c r="W83" s="3"/>
      <c r="X83" s="3"/>
      <c r="Y83" s="3"/>
      <c r="Z83" s="8"/>
    </row>
    <row r="84" spans="1:26" x14ac:dyDescent="0.25">
      <c r="A84" s="9"/>
      <c r="B84" s="9"/>
      <c r="C84" s="9"/>
      <c r="D84" s="3"/>
      <c r="E84" s="3"/>
      <c r="F84" s="8"/>
      <c r="G84" s="3"/>
      <c r="H84" s="3"/>
      <c r="I84" s="3"/>
      <c r="J84" s="8"/>
      <c r="K84" s="3"/>
      <c r="L84" s="3"/>
      <c r="M84" s="3"/>
      <c r="N84" s="8"/>
      <c r="P84" s="3"/>
      <c r="Q84" s="3"/>
      <c r="R84" s="8"/>
      <c r="S84" s="3"/>
      <c r="T84" s="3"/>
      <c r="U84" s="3"/>
      <c r="V84" s="8"/>
      <c r="W84" s="3"/>
      <c r="X84" s="3"/>
      <c r="Y84" s="3"/>
      <c r="Z84" s="8"/>
    </row>
    <row r="85" spans="1:26" s="23" customFormat="1" ht="15.75" thickBot="1" x14ac:dyDescent="0.3">
      <c r="A85" s="10"/>
      <c r="B85" s="29" t="s">
        <v>5</v>
      </c>
      <c r="C85" s="29"/>
      <c r="D85" s="34">
        <f>SUM(D82:D84)</f>
        <v>-30335.559999999998</v>
      </c>
      <c r="E85" s="14"/>
      <c r="F85" s="31">
        <f>IF(D$12=0,0,D85/D$12)</f>
        <v>0</v>
      </c>
      <c r="G85" s="14"/>
      <c r="H85" s="34">
        <f>SUM(H82:H84)</f>
        <v>-49650.188613846098</v>
      </c>
      <c r="I85" s="14"/>
      <c r="J85" s="31">
        <f>IF(H$12=0,0,H85/H$12)</f>
        <v>0</v>
      </c>
      <c r="K85" s="16"/>
      <c r="L85" s="34">
        <f>+D85-H85</f>
        <v>19314.6286138461</v>
      </c>
      <c r="M85" s="16"/>
      <c r="N85" s="31">
        <f>IF(H85=0,0,L85/H85)</f>
        <v>-0.38901420423727801</v>
      </c>
      <c r="O85" s="28"/>
      <c r="P85" s="34">
        <f>SUM(P82:P84)</f>
        <v>-536437.33000000007</v>
      </c>
      <c r="Q85" s="14"/>
      <c r="R85" s="31">
        <f>IF(P$12=0,0,P85/P$12)</f>
        <v>0</v>
      </c>
      <c r="S85" s="14"/>
      <c r="T85" s="34">
        <f>SUM(T82:T84)</f>
        <v>-614256.87789115356</v>
      </c>
      <c r="U85" s="14"/>
      <c r="V85" s="31">
        <f>IF(T$12=0,0,T85/T$12)</f>
        <v>0</v>
      </c>
      <c r="W85" s="16"/>
      <c r="X85" s="34">
        <f>+P85-T85</f>
        <v>77819.547891153488</v>
      </c>
      <c r="Y85" s="16"/>
      <c r="Z85" s="31">
        <f>IF(T85=0,0,X85/T85)</f>
        <v>-0.1266889320935583</v>
      </c>
    </row>
    <row r="86" spans="1:26" ht="15.75" thickTop="1" x14ac:dyDescent="0.25">
      <c r="A86" s="9"/>
      <c r="C86" s="9"/>
      <c r="D86" s="18"/>
      <c r="E86" s="18"/>
      <c r="G86" s="18"/>
      <c r="H86" s="18"/>
      <c r="I86" s="18"/>
      <c r="J86" s="42"/>
      <c r="K86" s="18"/>
      <c r="L86" s="18"/>
      <c r="M86" s="18"/>
      <c r="P86" s="18"/>
      <c r="Q86" s="18"/>
      <c r="R86" s="42"/>
      <c r="S86" s="18"/>
      <c r="T86" s="18"/>
      <c r="U86" s="18"/>
      <c r="V86" s="42"/>
      <c r="W86" s="18"/>
      <c r="X86" s="18"/>
    </row>
    <row r="87" spans="1:26" x14ac:dyDescent="0.25">
      <c r="A87" s="9"/>
      <c r="B87" s="59">
        <v>43992.371342280094</v>
      </c>
      <c r="D87" s="18"/>
      <c r="E87" s="18"/>
      <c r="G87" s="18"/>
      <c r="H87" s="18"/>
      <c r="I87" s="18"/>
      <c r="J87" s="42"/>
      <c r="K87" s="18"/>
      <c r="L87" s="18"/>
      <c r="M87" s="18"/>
      <c r="P87" s="18"/>
      <c r="Q87" s="18"/>
      <c r="R87" s="42"/>
      <c r="S87" s="18"/>
      <c r="T87" s="18"/>
      <c r="U87" s="18"/>
      <c r="V87" s="42"/>
      <c r="W87" s="18"/>
      <c r="X87" s="18"/>
    </row>
    <row r="88" spans="1:26" x14ac:dyDescent="0.25">
      <c r="A88" s="9"/>
      <c r="B88" s="56" t="s">
        <v>314</v>
      </c>
      <c r="D88" s="18"/>
      <c r="E88" s="18"/>
      <c r="G88" s="18"/>
      <c r="H88" s="18"/>
      <c r="I88" s="18"/>
      <c r="J88" s="42"/>
      <c r="K88" s="18"/>
      <c r="L88" s="18"/>
      <c r="M88" s="18"/>
      <c r="P88" s="18"/>
      <c r="Q88" s="18"/>
      <c r="R88" s="42"/>
      <c r="S88" s="18"/>
      <c r="T88" s="18"/>
      <c r="U88" s="18"/>
      <c r="V88" s="42"/>
      <c r="W88" s="18"/>
      <c r="X88" s="18"/>
    </row>
    <row r="89" spans="1:26" x14ac:dyDescent="0.25">
      <c r="A89" s="9"/>
      <c r="B89" s="54"/>
      <c r="D89" s="18"/>
      <c r="E89" s="18"/>
      <c r="G89" s="18"/>
      <c r="H89" s="18"/>
      <c r="I89" s="18"/>
      <c r="J89" s="42"/>
      <c r="K89" s="18"/>
      <c r="L89" s="18"/>
      <c r="M89" s="18"/>
      <c r="P89" s="18"/>
      <c r="Q89" s="18"/>
      <c r="R89" s="42"/>
      <c r="S89" s="18"/>
      <c r="T89" s="18"/>
      <c r="U89" s="18"/>
      <c r="V89" s="42"/>
      <c r="W89" s="18"/>
      <c r="X89" s="18"/>
    </row>
    <row r="90" spans="1:26" x14ac:dyDescent="0.25">
      <c r="D90" s="18"/>
      <c r="E90" s="18"/>
      <c r="G90" s="18"/>
      <c r="H90" s="18"/>
      <c r="I90" s="18"/>
      <c r="J90" s="42"/>
      <c r="K90" s="18"/>
      <c r="L90" s="18"/>
      <c r="M90" s="18"/>
      <c r="P90" s="18"/>
      <c r="Q90" s="18"/>
      <c r="R90" s="42"/>
      <c r="S90" s="18"/>
      <c r="T90" s="18"/>
      <c r="U90" s="18"/>
      <c r="V90" s="42"/>
      <c r="W90" s="18"/>
      <c r="X90" s="18"/>
    </row>
  </sheetData>
  <pageMargins left="0.25" right="0.25" top="0.75" bottom="0.75" header="0.3" footer="0.3"/>
  <pageSetup scale="55" fitToWidth="2" orientation="landscape"/>
  <drawing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89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63" t="s">
        <v>13</v>
      </c>
    </row>
    <row r="3" spans="1:26" x14ac:dyDescent="0.25">
      <c r="D3" s="63" t="s">
        <v>296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61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63" t="str">
        <f>CONCATENATE("Period ",RIGHT(202011,2),", ",2020)</f>
        <v>Period 11, 2020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61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4">
        <v>43981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61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51"/>
      <c r="C6" s="51"/>
      <c r="D6" s="23" t="str">
        <f>CONCATENATE("Department ","203", " - ", "Human Resources")</f>
        <v>Department 203 - Human Resources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57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5" t="s">
        <v>294</v>
      </c>
      <c r="E9" s="15"/>
      <c r="F9" s="38"/>
      <c r="G9" s="15"/>
      <c r="H9" s="15"/>
      <c r="I9" s="15"/>
      <c r="J9" s="46"/>
      <c r="K9" s="15"/>
      <c r="L9" s="15"/>
      <c r="M9" s="15"/>
      <c r="N9" s="38"/>
      <c r="P9" s="15" t="s">
        <v>295</v>
      </c>
      <c r="Q9" s="15"/>
      <c r="R9" s="38"/>
      <c r="S9" s="15"/>
      <c r="T9" s="15"/>
      <c r="U9" s="15"/>
      <c r="V9" s="46"/>
      <c r="W9" s="15"/>
      <c r="X9" s="15"/>
      <c r="Y9" s="15"/>
      <c r="Z9" s="38"/>
    </row>
    <row r="10" spans="1:26" x14ac:dyDescent="0.25">
      <c r="A10" s="10"/>
      <c r="B10" s="55"/>
      <c r="C10" s="10"/>
      <c r="D10" s="43" t="s">
        <v>10</v>
      </c>
      <c r="E10" s="33"/>
      <c r="F10" s="40" t="s">
        <v>15</v>
      </c>
      <c r="G10" s="33"/>
      <c r="H10" s="47" t="s">
        <v>11</v>
      </c>
      <c r="I10" s="33"/>
      <c r="J10" s="45" t="s">
        <v>16</v>
      </c>
      <c r="K10" s="10"/>
      <c r="L10" s="43" t="s">
        <v>12</v>
      </c>
      <c r="M10" s="10"/>
      <c r="N10" s="40" t="s">
        <v>17</v>
      </c>
      <c r="O10" s="10"/>
      <c r="P10" s="53" t="s">
        <v>10</v>
      </c>
      <c r="Q10" s="33"/>
      <c r="R10" s="40" t="s">
        <v>15</v>
      </c>
      <c r="S10" s="33"/>
      <c r="T10" s="47" t="s">
        <v>11</v>
      </c>
      <c r="U10" s="33"/>
      <c r="V10" s="45" t="s">
        <v>16</v>
      </c>
      <c r="W10" s="10"/>
      <c r="X10" s="43" t="s">
        <v>12</v>
      </c>
      <c r="Y10" s="10"/>
      <c r="Z10" s="40" t="s">
        <v>17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x14ac:dyDescent="0.25">
      <c r="A12" s="10"/>
      <c r="B12" s="28" t="s">
        <v>7</v>
      </c>
      <c r="C12" s="10"/>
      <c r="D12" s="4">
        <f>SUM(0)</f>
        <v>0</v>
      </c>
      <c r="E12" s="4"/>
      <c r="F12" s="13"/>
      <c r="G12" s="4"/>
      <c r="H12" s="4">
        <f>SUM(0)</f>
        <v>0</v>
      </c>
      <c r="I12" s="4"/>
      <c r="J12" s="13"/>
      <c r="K12" s="4"/>
      <c r="L12" s="4">
        <f>+D12-H12</f>
        <v>0</v>
      </c>
      <c r="M12" s="4"/>
      <c r="N12" s="13">
        <f>IF(H12=0,0,L12/H12)</f>
        <v>0</v>
      </c>
      <c r="O12" s="10"/>
      <c r="P12" s="4">
        <f>SUM(0)</f>
        <v>0</v>
      </c>
      <c r="Q12" s="4"/>
      <c r="R12" s="13"/>
      <c r="S12" s="4"/>
      <c r="T12" s="4">
        <f>SUM(0)</f>
        <v>0</v>
      </c>
      <c r="U12" s="4"/>
      <c r="V12" s="13"/>
      <c r="W12" s="4"/>
      <c r="X12" s="4">
        <f>+P12-T12</f>
        <v>0</v>
      </c>
      <c r="Y12" s="4"/>
      <c r="Z12" s="13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8" t="s">
        <v>8</v>
      </c>
      <c r="C14" s="10"/>
      <c r="D14" s="4">
        <f>SUM(0)</f>
        <v>0</v>
      </c>
      <c r="E14" s="4"/>
      <c r="F14" s="13">
        <f>IF(D$12=0,0,D14/D$12)</f>
        <v>0</v>
      </c>
      <c r="G14" s="4"/>
      <c r="H14" s="4">
        <f>SUM(0)</f>
        <v>0</v>
      </c>
      <c r="I14" s="4"/>
      <c r="J14" s="13">
        <f>IF(H$12=0,0,H14/H$12)</f>
        <v>0</v>
      </c>
      <c r="K14" s="4"/>
      <c r="L14" s="4">
        <f>+D14-H14</f>
        <v>0</v>
      </c>
      <c r="M14" s="4"/>
      <c r="N14" s="13">
        <f>IF(H14=0,0,L14/H14)</f>
        <v>0</v>
      </c>
      <c r="O14" s="10"/>
      <c r="P14" s="4">
        <f>SUM(0)</f>
        <v>0</v>
      </c>
      <c r="Q14" s="4"/>
      <c r="R14" s="13">
        <f>IF(P$12=0,0,P14/P$12)</f>
        <v>0</v>
      </c>
      <c r="S14" s="4"/>
      <c r="T14" s="4">
        <f>SUM(0)</f>
        <v>0</v>
      </c>
      <c r="U14" s="4"/>
      <c r="V14" s="13">
        <f>IF(T$12=0,0,T14/T$12)</f>
        <v>0</v>
      </c>
      <c r="W14" s="4"/>
      <c r="X14" s="4">
        <f>+P14-T14</f>
        <v>0</v>
      </c>
      <c r="Y14" s="4"/>
      <c r="Z14" s="13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9" t="s">
        <v>6</v>
      </c>
      <c r="C16" s="29"/>
      <c r="D16" s="20">
        <f>D12-D14</f>
        <v>0</v>
      </c>
      <c r="E16" s="14"/>
      <c r="F16" s="22">
        <f>IF(D$12=0,0,D16/D$12)</f>
        <v>0</v>
      </c>
      <c r="G16" s="14"/>
      <c r="H16" s="20">
        <f>H12-H14</f>
        <v>0</v>
      </c>
      <c r="I16" s="14"/>
      <c r="J16" s="22">
        <f>IF(H$12=0,0,H16/H$12)</f>
        <v>0</v>
      </c>
      <c r="K16" s="16"/>
      <c r="L16" s="20">
        <f>+D16-H16</f>
        <v>0</v>
      </c>
      <c r="M16" s="16"/>
      <c r="N16" s="22">
        <f>IF(H16=0,0,L16/H16)</f>
        <v>0</v>
      </c>
      <c r="O16" s="28"/>
      <c r="P16" s="20">
        <f>P12-P14</f>
        <v>0</v>
      </c>
      <c r="Q16" s="14"/>
      <c r="R16" s="22">
        <f>IF(P$12=0,0,P16/P$12)</f>
        <v>0</v>
      </c>
      <c r="S16" s="14"/>
      <c r="T16" s="20">
        <f>T12-T14</f>
        <v>0</v>
      </c>
      <c r="U16" s="14"/>
      <c r="V16" s="22">
        <f>IF(T$12=0,0,T16/T$12)</f>
        <v>0</v>
      </c>
      <c r="W16" s="16"/>
      <c r="X16" s="20">
        <f>+P16-T16</f>
        <v>0</v>
      </c>
      <c r="Y16" s="16"/>
      <c r="Z16" s="22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8" t="s">
        <v>9</v>
      </c>
      <c r="C18" s="10"/>
      <c r="D18" s="21">
        <f>SUM(OSRRefD22x_0)</f>
        <v>46363.990000000005</v>
      </c>
      <c r="E18" s="21"/>
      <c r="F18" s="30">
        <f t="shared" ref="F18:F29" si="0">IF(D$12=0,0,D18/D$12)</f>
        <v>0</v>
      </c>
      <c r="G18" s="21"/>
      <c r="H18" s="21">
        <f>SUM(OSRRefH22x_0)</f>
        <v>50111.270203673834</v>
      </c>
      <c r="I18" s="21"/>
      <c r="J18" s="30">
        <f t="shared" ref="J18:J29" si="1">IF(H$12=0,0,H18/H$12)</f>
        <v>0</v>
      </c>
      <c r="K18" s="4"/>
      <c r="L18" s="21">
        <f t="shared" ref="L18:L29" si="2">+D18-H18</f>
        <v>-3747.2802036738285</v>
      </c>
      <c r="M18" s="4"/>
      <c r="N18" s="30">
        <f t="shared" ref="N18:N29" si="3">IF(H18=0,0,L18/H18)</f>
        <v>-7.4779190159085254E-2</v>
      </c>
      <c r="O18" s="10"/>
      <c r="P18" s="21">
        <f>SUM(OSRRefP22x_0)</f>
        <v>758327.4</v>
      </c>
      <c r="Q18" s="21"/>
      <c r="R18" s="30">
        <f t="shared" ref="R18:R29" si="4">IF(P$12=0,0,P18/P$12)</f>
        <v>0</v>
      </c>
      <c r="S18" s="21"/>
      <c r="T18" s="21">
        <f>SUM(OSRRefT22x_0)</f>
        <v>670480.39878442767</v>
      </c>
      <c r="U18" s="21"/>
      <c r="V18" s="30">
        <f t="shared" ref="V18:V29" si="5">IF(T$12=0,0,T18/T$12)</f>
        <v>0</v>
      </c>
      <c r="W18" s="4"/>
      <c r="X18" s="21">
        <f t="shared" ref="X18:X29" si="6">+P18-T18</f>
        <v>87847.001215572353</v>
      </c>
      <c r="Y18" s="4"/>
      <c r="Z18" s="30">
        <f t="shared" ref="Z18:Z29" si="7">IF(T18=0,0,X18/T18)</f>
        <v>0.13102098342447868</v>
      </c>
    </row>
    <row r="19" spans="1:26" s="27" customFormat="1" outlineLevel="1" collapsed="1" x14ac:dyDescent="0.25">
      <c r="A19" s="25"/>
      <c r="B19" s="12" t="str">
        <f>CONCATENATE("     ","*Benefits                                         ")</f>
        <v xml:space="preserve">     *Benefits                                         </v>
      </c>
      <c r="C19" s="12"/>
      <c r="D19" s="1">
        <f>SUM(OSRRefD22_0x_0)</f>
        <v>11125.470000000001</v>
      </c>
      <c r="E19" s="1"/>
      <c r="F19" s="5">
        <f t="shared" si="0"/>
        <v>0</v>
      </c>
      <c r="G19" s="1"/>
      <c r="H19" s="1">
        <f>SUM(OSRRefH22_0x_0)</f>
        <v>10034.688480596915</v>
      </c>
      <c r="I19" s="1"/>
      <c r="J19" s="5">
        <f t="shared" si="1"/>
        <v>0</v>
      </c>
      <c r="K19" s="1"/>
      <c r="L19" s="1">
        <f t="shared" si="2"/>
        <v>1090.7815194030863</v>
      </c>
      <c r="M19" s="1"/>
      <c r="N19" s="5">
        <f t="shared" si="3"/>
        <v>0.10870108439461999</v>
      </c>
      <c r="O19" s="12"/>
      <c r="P19" s="1">
        <f>SUM(OSRRefP22_0x_0)</f>
        <v>155489.66999999998</v>
      </c>
      <c r="Q19" s="1"/>
      <c r="R19" s="5">
        <f t="shared" si="4"/>
        <v>0</v>
      </c>
      <c r="S19" s="1"/>
      <c r="T19" s="1">
        <f>SUM(OSRRefT22_0x_0)</f>
        <v>118771.4419075046</v>
      </c>
      <c r="U19" s="1"/>
      <c r="V19" s="5">
        <f t="shared" si="5"/>
        <v>0</v>
      </c>
      <c r="W19" s="1"/>
      <c r="X19" s="1">
        <f t="shared" si="6"/>
        <v>36718.228092495381</v>
      </c>
      <c r="Y19" s="1"/>
      <c r="Z19" s="5">
        <f t="shared" si="7"/>
        <v>0.30915031006435334</v>
      </c>
    </row>
    <row r="20" spans="1:26" s="24" customFormat="1" hidden="1" outlineLevel="2" x14ac:dyDescent="0.25">
      <c r="A20" s="26"/>
      <c r="B20" s="11" t="str">
        <f>CONCATENATE("          ", "6111", " - ", "F.I.C.A.")</f>
        <v xml:space="preserve">          6111 - F.I.C.A.</v>
      </c>
      <c r="C20" s="11"/>
      <c r="D20" s="7">
        <v>1961.51</v>
      </c>
      <c r="E20" s="2"/>
      <c r="F20" s="6">
        <f t="shared" si="0"/>
        <v>0</v>
      </c>
      <c r="G20" s="2"/>
      <c r="H20" s="7">
        <v>1285.4190258276901</v>
      </c>
      <c r="I20" s="2"/>
      <c r="J20" s="6">
        <f t="shared" si="1"/>
        <v>0</v>
      </c>
      <c r="K20" s="2"/>
      <c r="L20" s="7">
        <f t="shared" si="2"/>
        <v>676.09097417230987</v>
      </c>
      <c r="M20" s="2"/>
      <c r="N20" s="6">
        <f t="shared" si="3"/>
        <v>0.52596932252264605</v>
      </c>
      <c r="O20" s="11"/>
      <c r="P20" s="7">
        <v>24896.09</v>
      </c>
      <c r="Q20" s="2"/>
      <c r="R20" s="6">
        <f t="shared" si="4"/>
        <v>0</v>
      </c>
      <c r="S20" s="2"/>
      <c r="T20" s="7">
        <v>15594.036855812308</v>
      </c>
      <c r="U20" s="2"/>
      <c r="V20" s="6">
        <f t="shared" si="5"/>
        <v>0</v>
      </c>
      <c r="W20" s="2"/>
      <c r="X20" s="7">
        <f t="shared" si="6"/>
        <v>9302.0531441876919</v>
      </c>
      <c r="Y20" s="2"/>
      <c r="Z20" s="6">
        <f t="shared" si="7"/>
        <v>0.59651347692695567</v>
      </c>
    </row>
    <row r="21" spans="1:26" s="24" customFormat="1" hidden="1" outlineLevel="2" x14ac:dyDescent="0.25">
      <c r="A21" s="26"/>
      <c r="B21" s="11" t="str">
        <f>CONCATENATE("          ", "6112", " - ", "COMPENSATION INSURANCE")</f>
        <v xml:space="preserve">          6112 - COMPENSATION INSURANCE</v>
      </c>
      <c r="C21" s="11"/>
      <c r="D21" s="7">
        <v>131.43</v>
      </c>
      <c r="E21" s="2"/>
      <c r="F21" s="6">
        <f t="shared" si="0"/>
        <v>0</v>
      </c>
      <c r="G21" s="2"/>
      <c r="H21" s="7">
        <v>81.560139446153897</v>
      </c>
      <c r="I21" s="2"/>
      <c r="J21" s="6">
        <f t="shared" si="1"/>
        <v>0</v>
      </c>
      <c r="K21" s="2"/>
      <c r="L21" s="7">
        <f t="shared" si="2"/>
        <v>49.869860553846109</v>
      </c>
      <c r="M21" s="2"/>
      <c r="N21" s="6">
        <f t="shared" si="3"/>
        <v>0.6114489368519318</v>
      </c>
      <c r="O21" s="11"/>
      <c r="P21" s="7">
        <v>978.43</v>
      </c>
      <c r="Q21" s="2"/>
      <c r="R21" s="6">
        <f t="shared" si="4"/>
        <v>0</v>
      </c>
      <c r="S21" s="2"/>
      <c r="T21" s="7">
        <v>992.3434197538453</v>
      </c>
      <c r="U21" s="2"/>
      <c r="V21" s="6">
        <f t="shared" si="5"/>
        <v>0</v>
      </c>
      <c r="W21" s="2"/>
      <c r="X21" s="7">
        <f t="shared" si="6"/>
        <v>-13.913419753845346</v>
      </c>
      <c r="Y21" s="2"/>
      <c r="Z21" s="6">
        <f t="shared" si="7"/>
        <v>-1.4020770911441752E-2</v>
      </c>
    </row>
    <row r="22" spans="1:26" s="24" customFormat="1" hidden="1" outlineLevel="2" x14ac:dyDescent="0.25">
      <c r="A22" s="26"/>
      <c r="B22" s="11" t="str">
        <f>CONCATENATE("          ", "6113", " - ", "GROUP INSURANCE")</f>
        <v xml:space="preserve">          6113 - GROUP INSURANCE</v>
      </c>
      <c r="C22" s="11"/>
      <c r="D22" s="7">
        <v>6091.67</v>
      </c>
      <c r="E22" s="2"/>
      <c r="F22" s="6">
        <f t="shared" si="0"/>
        <v>0</v>
      </c>
      <c r="G22" s="2"/>
      <c r="H22" s="7">
        <v>5626.8461538461497</v>
      </c>
      <c r="I22" s="2"/>
      <c r="J22" s="6">
        <f t="shared" si="1"/>
        <v>0</v>
      </c>
      <c r="K22" s="2"/>
      <c r="L22" s="7">
        <f t="shared" si="2"/>
        <v>464.82384615385035</v>
      </c>
      <c r="M22" s="2"/>
      <c r="N22" s="6">
        <f t="shared" si="3"/>
        <v>8.260823798001421E-2</v>
      </c>
      <c r="O22" s="11"/>
      <c r="P22" s="7">
        <v>67707.41</v>
      </c>
      <c r="Q22" s="2"/>
      <c r="R22" s="6">
        <f t="shared" si="4"/>
        <v>0</v>
      </c>
      <c r="S22" s="2"/>
      <c r="T22" s="7">
        <v>66457.615384615347</v>
      </c>
      <c r="U22" s="2"/>
      <c r="V22" s="6">
        <f t="shared" si="5"/>
        <v>0</v>
      </c>
      <c r="W22" s="2"/>
      <c r="X22" s="7">
        <f t="shared" si="6"/>
        <v>1249.7946153846569</v>
      </c>
      <c r="Y22" s="2"/>
      <c r="Z22" s="6">
        <f t="shared" si="7"/>
        <v>1.8805890162498652E-2</v>
      </c>
    </row>
    <row r="23" spans="1:26" s="24" customFormat="1" hidden="1" outlineLevel="2" x14ac:dyDescent="0.25">
      <c r="A23" s="26"/>
      <c r="B23" s="11" t="str">
        <f>CONCATENATE("          ", "6114", " - ", "STATE UNEMPLOYMENT INSURANCE")</f>
        <v xml:space="preserve">          6114 - STATE UNEMPLOYMENT INSURANCE</v>
      </c>
      <c r="C23" s="11"/>
      <c r="D23" s="7">
        <v>100.5</v>
      </c>
      <c r="E23" s="2"/>
      <c r="F23" s="6">
        <f t="shared" si="0"/>
        <v>0</v>
      </c>
      <c r="G23" s="2"/>
      <c r="H23" s="7">
        <v>62.369518399999997</v>
      </c>
      <c r="I23" s="2"/>
      <c r="J23" s="6">
        <f t="shared" si="1"/>
        <v>0</v>
      </c>
      <c r="K23" s="2"/>
      <c r="L23" s="7">
        <f t="shared" si="2"/>
        <v>38.130481600000003</v>
      </c>
      <c r="M23" s="2"/>
      <c r="N23" s="6">
        <f t="shared" si="3"/>
        <v>0.61136405375867076</v>
      </c>
      <c r="O23" s="11"/>
      <c r="P23" s="7">
        <v>846.89</v>
      </c>
      <c r="Q23" s="2"/>
      <c r="R23" s="6">
        <f t="shared" si="4"/>
        <v>0</v>
      </c>
      <c r="S23" s="2"/>
      <c r="T23" s="7">
        <v>758.85085040000001</v>
      </c>
      <c r="U23" s="2"/>
      <c r="V23" s="6">
        <f t="shared" si="5"/>
        <v>0</v>
      </c>
      <c r="W23" s="2"/>
      <c r="X23" s="7">
        <f t="shared" si="6"/>
        <v>88.039149599999973</v>
      </c>
      <c r="Y23" s="2"/>
      <c r="Z23" s="6">
        <f t="shared" si="7"/>
        <v>0.11601640764267894</v>
      </c>
    </row>
    <row r="24" spans="1:26" s="24" customFormat="1" hidden="1" outlineLevel="2" x14ac:dyDescent="0.25">
      <c r="A24" s="26"/>
      <c r="B24" s="11" t="str">
        <f>CONCATENATE("          ", "6115", " - ", "P.E.R.S.")</f>
        <v xml:space="preserve">          6115 - P.E.R.S.</v>
      </c>
      <c r="C24" s="11"/>
      <c r="D24" s="7">
        <v>1011.34</v>
      </c>
      <c r="E24" s="2"/>
      <c r="F24" s="6">
        <f t="shared" si="0"/>
        <v>0</v>
      </c>
      <c r="G24" s="2"/>
      <c r="H24" s="7">
        <v>684.79153846153804</v>
      </c>
      <c r="I24" s="2"/>
      <c r="J24" s="6">
        <f t="shared" si="1"/>
        <v>0</v>
      </c>
      <c r="K24" s="2"/>
      <c r="L24" s="7">
        <f t="shared" si="2"/>
        <v>326.54846153846199</v>
      </c>
      <c r="M24" s="2"/>
      <c r="N24" s="6">
        <f t="shared" si="3"/>
        <v>0.47685820165373277</v>
      </c>
      <c r="O24" s="11"/>
      <c r="P24" s="7">
        <v>13643.81</v>
      </c>
      <c r="Q24" s="2"/>
      <c r="R24" s="6">
        <f t="shared" si="4"/>
        <v>0</v>
      </c>
      <c r="S24" s="2"/>
      <c r="T24" s="7">
        <v>8217.4984615384583</v>
      </c>
      <c r="U24" s="2"/>
      <c r="V24" s="6">
        <f t="shared" si="5"/>
        <v>0</v>
      </c>
      <c r="W24" s="2"/>
      <c r="X24" s="7">
        <f t="shared" si="6"/>
        <v>5426.3115384615412</v>
      </c>
      <c r="Y24" s="2"/>
      <c r="Z24" s="6">
        <f t="shared" si="7"/>
        <v>0.66033617941750633</v>
      </c>
    </row>
    <row r="25" spans="1:26" s="24" customFormat="1" hidden="1" outlineLevel="2" x14ac:dyDescent="0.25">
      <c r="A25" s="26"/>
      <c r="B25" s="11" t="str">
        <f>CONCATENATE("          ", "6116", " - ", "EDUCATIONAL BENEFITS")</f>
        <v xml:space="preserve">          6116 - EDUCATIONAL BENEFITS</v>
      </c>
      <c r="C25" s="11"/>
      <c r="D25" s="7"/>
      <c r="E25" s="2"/>
      <c r="F25" s="6">
        <f t="shared" si="0"/>
        <v>0</v>
      </c>
      <c r="G25" s="2"/>
      <c r="H25" s="7">
        <v>500</v>
      </c>
      <c r="I25" s="2"/>
      <c r="J25" s="6">
        <f t="shared" si="1"/>
        <v>0</v>
      </c>
      <c r="K25" s="2"/>
      <c r="L25" s="7">
        <f t="shared" si="2"/>
        <v>-500</v>
      </c>
      <c r="M25" s="2"/>
      <c r="N25" s="6">
        <f t="shared" si="3"/>
        <v>-1</v>
      </c>
      <c r="O25" s="11"/>
      <c r="P25" s="7">
        <v>4936.88</v>
      </c>
      <c r="Q25" s="2"/>
      <c r="R25" s="6">
        <f t="shared" si="4"/>
        <v>0</v>
      </c>
      <c r="S25" s="2"/>
      <c r="T25" s="7">
        <v>5500</v>
      </c>
      <c r="U25" s="2"/>
      <c r="V25" s="6">
        <f t="shared" si="5"/>
        <v>0</v>
      </c>
      <c r="W25" s="2"/>
      <c r="X25" s="7">
        <f t="shared" si="6"/>
        <v>-563.11999999999989</v>
      </c>
      <c r="Y25" s="2"/>
      <c r="Z25" s="6">
        <f t="shared" si="7"/>
        <v>-0.10238545454545453</v>
      </c>
    </row>
    <row r="26" spans="1:26" s="24" customFormat="1" hidden="1" outlineLevel="2" x14ac:dyDescent="0.25">
      <c r="A26" s="26"/>
      <c r="B26" s="11" t="str">
        <f>CONCATENATE("          ", "6117", " - ", "RETIREMENT STAFF HOURLY")</f>
        <v xml:space="preserve">          6117 - RETIREMENT STAFF HOURLY</v>
      </c>
      <c r="C26" s="11"/>
      <c r="D26" s="7">
        <v>468.85</v>
      </c>
      <c r="E26" s="2"/>
      <c r="F26" s="6">
        <f t="shared" si="0"/>
        <v>0</v>
      </c>
      <c r="G26" s="2"/>
      <c r="H26" s="7"/>
      <c r="I26" s="2"/>
      <c r="J26" s="6">
        <f t="shared" si="1"/>
        <v>0</v>
      </c>
      <c r="K26" s="2"/>
      <c r="L26" s="7">
        <f t="shared" si="2"/>
        <v>468.85</v>
      </c>
      <c r="M26" s="2"/>
      <c r="N26" s="6">
        <f t="shared" si="3"/>
        <v>0</v>
      </c>
      <c r="O26" s="11"/>
      <c r="P26" s="7">
        <v>5252.34</v>
      </c>
      <c r="Q26" s="2"/>
      <c r="R26" s="6">
        <f t="shared" si="4"/>
        <v>0</v>
      </c>
      <c r="S26" s="2"/>
      <c r="T26" s="7"/>
      <c r="U26" s="2"/>
      <c r="V26" s="6">
        <f t="shared" si="5"/>
        <v>0</v>
      </c>
      <c r="W26" s="2"/>
      <c r="X26" s="7">
        <f t="shared" si="6"/>
        <v>5252.34</v>
      </c>
      <c r="Y26" s="2"/>
      <c r="Z26" s="6">
        <f t="shared" si="7"/>
        <v>0</v>
      </c>
    </row>
    <row r="27" spans="1:26" s="24" customFormat="1" hidden="1" outlineLevel="2" x14ac:dyDescent="0.25">
      <c r="A27" s="26"/>
      <c r="B27" s="11" t="str">
        <f>CONCATENATE("          ", "6118", " - ", "VACATION")</f>
        <v xml:space="preserve">          6118 - VACATION</v>
      </c>
      <c r="C27" s="11"/>
      <c r="D27" s="7">
        <v>459.43</v>
      </c>
      <c r="E27" s="2"/>
      <c r="F27" s="6">
        <f t="shared" si="0"/>
        <v>0</v>
      </c>
      <c r="G27" s="2"/>
      <c r="H27" s="7">
        <v>839.81381538461505</v>
      </c>
      <c r="I27" s="2"/>
      <c r="J27" s="6">
        <f t="shared" si="1"/>
        <v>0</v>
      </c>
      <c r="K27" s="2"/>
      <c r="L27" s="7">
        <f t="shared" si="2"/>
        <v>-380.38381538461505</v>
      </c>
      <c r="M27" s="2"/>
      <c r="N27" s="6">
        <f t="shared" si="3"/>
        <v>-0.45293826847848195</v>
      </c>
      <c r="O27" s="11"/>
      <c r="P27" s="7">
        <v>19896.02</v>
      </c>
      <c r="Q27" s="2"/>
      <c r="R27" s="6">
        <f t="shared" si="4"/>
        <v>0</v>
      </c>
      <c r="S27" s="2"/>
      <c r="T27" s="7">
        <v>10188.185584615387</v>
      </c>
      <c r="U27" s="2"/>
      <c r="V27" s="6">
        <f t="shared" si="5"/>
        <v>0</v>
      </c>
      <c r="W27" s="2"/>
      <c r="X27" s="7">
        <f t="shared" si="6"/>
        <v>9707.8344153846137</v>
      </c>
      <c r="Y27" s="2"/>
      <c r="Z27" s="6">
        <f t="shared" si="7"/>
        <v>0.95285213787662792</v>
      </c>
    </row>
    <row r="28" spans="1:26" s="24" customFormat="1" hidden="1" outlineLevel="2" x14ac:dyDescent="0.25">
      <c r="A28" s="26"/>
      <c r="B28" s="11" t="str">
        <f>CONCATENATE("          ", "6119", " - ", "SICK LEAVE")</f>
        <v xml:space="preserve">          6119 - SICK LEAVE</v>
      </c>
      <c r="C28" s="11"/>
      <c r="D28" s="7">
        <v>900.74</v>
      </c>
      <c r="E28" s="2"/>
      <c r="F28" s="6">
        <f t="shared" si="0"/>
        <v>0</v>
      </c>
      <c r="G28" s="2"/>
      <c r="H28" s="7">
        <v>503.88828923076903</v>
      </c>
      <c r="I28" s="2"/>
      <c r="J28" s="6">
        <f t="shared" si="1"/>
        <v>0</v>
      </c>
      <c r="K28" s="2"/>
      <c r="L28" s="7">
        <f t="shared" si="2"/>
        <v>396.85171076923098</v>
      </c>
      <c r="M28" s="2"/>
      <c r="N28" s="6">
        <f t="shared" si="3"/>
        <v>0.78757875356671003</v>
      </c>
      <c r="O28" s="11"/>
      <c r="P28" s="7">
        <v>13678.84</v>
      </c>
      <c r="Q28" s="2"/>
      <c r="R28" s="6">
        <f t="shared" si="4"/>
        <v>0</v>
      </c>
      <c r="S28" s="2"/>
      <c r="T28" s="7">
        <v>6112.9113507692309</v>
      </c>
      <c r="U28" s="2"/>
      <c r="V28" s="6">
        <f t="shared" si="5"/>
        <v>0</v>
      </c>
      <c r="W28" s="2"/>
      <c r="X28" s="7">
        <f t="shared" si="6"/>
        <v>7565.9286492307692</v>
      </c>
      <c r="Y28" s="2"/>
      <c r="Z28" s="6">
        <f t="shared" si="7"/>
        <v>1.2376964452917667</v>
      </c>
    </row>
    <row r="29" spans="1:26" s="24" customFormat="1" hidden="1" outlineLevel="2" x14ac:dyDescent="0.25">
      <c r="A29" s="26"/>
      <c r="B29" s="11" t="str">
        <f>CONCATENATE("          ", "6156", " - ", "EMPLOYEE MEALS")</f>
        <v xml:space="preserve">          6156 - EMPLOYEE MEALS</v>
      </c>
      <c r="C29" s="11"/>
      <c r="D29" s="7"/>
      <c r="E29" s="2"/>
      <c r="F29" s="6">
        <f t="shared" si="0"/>
        <v>0</v>
      </c>
      <c r="G29" s="2"/>
      <c r="H29" s="7">
        <v>450</v>
      </c>
      <c r="I29" s="2"/>
      <c r="J29" s="6">
        <f t="shared" si="1"/>
        <v>0</v>
      </c>
      <c r="K29" s="2"/>
      <c r="L29" s="7">
        <f t="shared" si="2"/>
        <v>-450</v>
      </c>
      <c r="M29" s="2"/>
      <c r="N29" s="6">
        <f t="shared" si="3"/>
        <v>-1</v>
      </c>
      <c r="O29" s="11"/>
      <c r="P29" s="7">
        <v>3652.96</v>
      </c>
      <c r="Q29" s="2"/>
      <c r="R29" s="6">
        <f t="shared" si="4"/>
        <v>0</v>
      </c>
      <c r="S29" s="2"/>
      <c r="T29" s="7">
        <v>4950</v>
      </c>
      <c r="U29" s="2"/>
      <c r="V29" s="6">
        <f t="shared" si="5"/>
        <v>0</v>
      </c>
      <c r="W29" s="2"/>
      <c r="X29" s="7">
        <f t="shared" si="6"/>
        <v>-1297.04</v>
      </c>
      <c r="Y29" s="2"/>
      <c r="Z29" s="6">
        <f t="shared" si="7"/>
        <v>-0.26202828282828283</v>
      </c>
    </row>
    <row r="30" spans="1:26" s="27" customFormat="1" outlineLevel="1" collapsed="1" x14ac:dyDescent="0.25">
      <c r="A30" s="25"/>
      <c r="B30" s="12" t="str">
        <f>CONCATENATE("     ","*Payroll                                          ")</f>
        <v xml:space="preserve">     *Payroll                                          </v>
      </c>
      <c r="C30" s="12"/>
      <c r="D30" s="1">
        <f>SUM(OSRRefD22_1x_0)</f>
        <v>25368.91</v>
      </c>
      <c r="E30" s="1"/>
      <c r="F30" s="5">
        <f t="shared" ref="F30:F40" si="8">IF(D$12=0,0,D30/D$12)</f>
        <v>0</v>
      </c>
      <c r="G30" s="1"/>
      <c r="H30" s="1">
        <f>SUM(OSRRefH22_1x_0)</f>
        <v>22909.581723076921</v>
      </c>
      <c r="I30" s="1"/>
      <c r="J30" s="5">
        <f t="shared" ref="J30:J40" si="9">IF(H$12=0,0,H30/H$12)</f>
        <v>0</v>
      </c>
      <c r="K30" s="1"/>
      <c r="L30" s="1">
        <f t="shared" ref="L30:L40" si="10">+D30-H30</f>
        <v>2459.3282769230791</v>
      </c>
      <c r="M30" s="1"/>
      <c r="N30" s="5">
        <f t="shared" ref="N30:N40" si="11">IF(H30=0,0,L30/H30)</f>
        <v>0.10734933123836946</v>
      </c>
      <c r="O30" s="12"/>
      <c r="P30" s="1">
        <f>SUM(OSRRefP22_1x_0)</f>
        <v>298728.62</v>
      </c>
      <c r="Q30" s="1"/>
      <c r="R30" s="5">
        <f t="shared" ref="R30:R40" si="12">IF(P$12=0,0,P30/P$12)</f>
        <v>0</v>
      </c>
      <c r="S30" s="1"/>
      <c r="T30" s="1">
        <f>SUM(OSRRefT22_1x_0)</f>
        <v>278810.95687692304</v>
      </c>
      <c r="U30" s="1"/>
      <c r="V30" s="5">
        <f t="shared" ref="V30:V40" si="13">IF(T$12=0,0,T30/T$12)</f>
        <v>0</v>
      </c>
      <c r="W30" s="1"/>
      <c r="X30" s="1">
        <f t="shared" ref="X30:X40" si="14">+P30-T30</f>
        <v>19917.663123076956</v>
      </c>
      <c r="Y30" s="1"/>
      <c r="Z30" s="5">
        <f t="shared" ref="Z30:Z40" si="15">IF(T30=0,0,X30/T30)</f>
        <v>7.1437878002295702E-2</v>
      </c>
    </row>
    <row r="31" spans="1:26" s="24" customFormat="1" hidden="1" outlineLevel="2" x14ac:dyDescent="0.25">
      <c r="A31" s="26"/>
      <c r="B31" s="11" t="str">
        <f>CONCATENATE("          ", "6001", " - ", "ADMINISTRATIVE SALARIES")</f>
        <v xml:space="preserve">          6001 - ADMINISTRATIVE SALARIES</v>
      </c>
      <c r="C31" s="11"/>
      <c r="D31" s="7">
        <v>9894.68</v>
      </c>
      <c r="E31" s="2"/>
      <c r="F31" s="6">
        <f t="shared" si="8"/>
        <v>0</v>
      </c>
      <c r="G31" s="2"/>
      <c r="H31" s="7">
        <v>7325.6769230769205</v>
      </c>
      <c r="I31" s="2"/>
      <c r="J31" s="6">
        <f t="shared" si="9"/>
        <v>0</v>
      </c>
      <c r="K31" s="2"/>
      <c r="L31" s="7">
        <f t="shared" si="10"/>
        <v>2569.0030769230798</v>
      </c>
      <c r="M31" s="2"/>
      <c r="N31" s="6">
        <f t="shared" si="11"/>
        <v>0.35068473588158877</v>
      </c>
      <c r="O31" s="11"/>
      <c r="P31" s="7">
        <v>102949.62</v>
      </c>
      <c r="Q31" s="2"/>
      <c r="R31" s="6">
        <f t="shared" si="12"/>
        <v>0</v>
      </c>
      <c r="S31" s="2"/>
      <c r="T31" s="7">
        <v>87908.123076923046</v>
      </c>
      <c r="U31" s="2"/>
      <c r="V31" s="6">
        <f t="shared" si="13"/>
        <v>0</v>
      </c>
      <c r="W31" s="2"/>
      <c r="X31" s="7">
        <f t="shared" si="14"/>
        <v>15041.496923076949</v>
      </c>
      <c r="Y31" s="2"/>
      <c r="Z31" s="6">
        <f t="shared" si="15"/>
        <v>0.17110474432396938</v>
      </c>
    </row>
    <row r="32" spans="1:26" s="24" customFormat="1" hidden="1" outlineLevel="2" x14ac:dyDescent="0.25">
      <c r="A32" s="26"/>
      <c r="B32" s="11" t="str">
        <f>CONCATENATE("          ", "6002", " - ", "STAFF SALARIES")</f>
        <v xml:space="preserve">          6002 - STAFF SALARIES</v>
      </c>
      <c r="C32" s="11"/>
      <c r="D32" s="7"/>
      <c r="E32" s="2"/>
      <c r="F32" s="6">
        <f t="shared" si="8"/>
        <v>0</v>
      </c>
      <c r="G32" s="2"/>
      <c r="H32" s="7">
        <v>0</v>
      </c>
      <c r="I32" s="2"/>
      <c r="J32" s="6">
        <f t="shared" si="9"/>
        <v>0</v>
      </c>
      <c r="K32" s="2"/>
      <c r="L32" s="7">
        <f t="shared" si="10"/>
        <v>0</v>
      </c>
      <c r="M32" s="2"/>
      <c r="N32" s="6">
        <f t="shared" si="11"/>
        <v>0</v>
      </c>
      <c r="O32" s="11"/>
      <c r="P32" s="7">
        <v>21069.18</v>
      </c>
      <c r="Q32" s="2"/>
      <c r="R32" s="6">
        <f t="shared" si="12"/>
        <v>0</v>
      </c>
      <c r="S32" s="2"/>
      <c r="T32" s="7">
        <v>0</v>
      </c>
      <c r="U32" s="2"/>
      <c r="V32" s="6">
        <f t="shared" si="13"/>
        <v>0</v>
      </c>
      <c r="W32" s="2"/>
      <c r="X32" s="7">
        <f t="shared" si="14"/>
        <v>21069.18</v>
      </c>
      <c r="Y32" s="2"/>
      <c r="Z32" s="6">
        <f t="shared" si="15"/>
        <v>0</v>
      </c>
    </row>
    <row r="33" spans="1:26" s="24" customFormat="1" hidden="1" outlineLevel="2" x14ac:dyDescent="0.25">
      <c r="A33" s="26"/>
      <c r="B33" s="11" t="str">
        <f>CONCATENATE("          ", "6003", " - ", "STAFF HOURLY-9 MONTH")</f>
        <v xml:space="preserve">          6003 - STAFF HOURLY-9 MONTH</v>
      </c>
      <c r="C33" s="11"/>
      <c r="D33" s="7"/>
      <c r="E33" s="2"/>
      <c r="F33" s="6">
        <f t="shared" si="8"/>
        <v>0</v>
      </c>
      <c r="G33" s="2"/>
      <c r="H33" s="7">
        <v>0</v>
      </c>
      <c r="I33" s="2"/>
      <c r="J33" s="6">
        <f t="shared" si="9"/>
        <v>0</v>
      </c>
      <c r="K33" s="2"/>
      <c r="L33" s="7">
        <f t="shared" si="10"/>
        <v>0</v>
      </c>
      <c r="M33" s="2"/>
      <c r="N33" s="6">
        <f t="shared" si="11"/>
        <v>0</v>
      </c>
      <c r="O33" s="11"/>
      <c r="P33" s="7"/>
      <c r="Q33" s="2"/>
      <c r="R33" s="6">
        <f t="shared" si="12"/>
        <v>0</v>
      </c>
      <c r="S33" s="2"/>
      <c r="T33" s="7">
        <v>0</v>
      </c>
      <c r="U33" s="2"/>
      <c r="V33" s="6">
        <f t="shared" si="13"/>
        <v>0</v>
      </c>
      <c r="W33" s="2"/>
      <c r="X33" s="7">
        <f t="shared" si="14"/>
        <v>0</v>
      </c>
      <c r="Y33" s="2"/>
      <c r="Z33" s="6">
        <f t="shared" si="15"/>
        <v>0</v>
      </c>
    </row>
    <row r="34" spans="1:26" s="24" customFormat="1" hidden="1" outlineLevel="2" x14ac:dyDescent="0.25">
      <c r="A34" s="26"/>
      <c r="B34" s="11" t="str">
        <f>CONCATENATE("          ", "6004", " - ", "STAFF HOURLY")</f>
        <v xml:space="preserve">          6004 - STAFF HOURLY</v>
      </c>
      <c r="C34" s="11"/>
      <c r="D34" s="7">
        <v>9180.11</v>
      </c>
      <c r="E34" s="2"/>
      <c r="F34" s="6">
        <f t="shared" si="8"/>
        <v>0</v>
      </c>
      <c r="G34" s="2"/>
      <c r="H34" s="7">
        <v>8391.9048000000003</v>
      </c>
      <c r="I34" s="2"/>
      <c r="J34" s="6">
        <f t="shared" si="9"/>
        <v>0</v>
      </c>
      <c r="K34" s="2"/>
      <c r="L34" s="7">
        <f t="shared" si="10"/>
        <v>788.20520000000033</v>
      </c>
      <c r="M34" s="2"/>
      <c r="N34" s="6">
        <f t="shared" si="11"/>
        <v>9.3924468733248778E-2</v>
      </c>
      <c r="O34" s="11"/>
      <c r="P34" s="7">
        <v>111494</v>
      </c>
      <c r="Q34" s="2"/>
      <c r="R34" s="6">
        <f t="shared" si="12"/>
        <v>0</v>
      </c>
      <c r="S34" s="2"/>
      <c r="T34" s="7">
        <v>102800.83380000001</v>
      </c>
      <c r="U34" s="2"/>
      <c r="V34" s="6">
        <f t="shared" si="13"/>
        <v>0</v>
      </c>
      <c r="W34" s="2"/>
      <c r="X34" s="7">
        <f t="shared" si="14"/>
        <v>8693.1661999999924</v>
      </c>
      <c r="Y34" s="2"/>
      <c r="Z34" s="6">
        <f t="shared" si="15"/>
        <v>8.4563187657724928E-2</v>
      </c>
    </row>
    <row r="35" spans="1:26" s="24" customFormat="1" hidden="1" outlineLevel="2" x14ac:dyDescent="0.25">
      <c r="A35" s="26"/>
      <c r="B35" s="11" t="str">
        <f>CONCATENATE("          ", "6005", " - ", "TEMPORARY WAGES-HOURLY")</f>
        <v xml:space="preserve">          6005 - TEMPORARY WAGES-HOURLY</v>
      </c>
      <c r="C35" s="11"/>
      <c r="D35" s="7">
        <v>6294.12</v>
      </c>
      <c r="E35" s="2"/>
      <c r="F35" s="6">
        <f t="shared" si="8"/>
        <v>0</v>
      </c>
      <c r="G35" s="2"/>
      <c r="H35" s="7">
        <v>7192</v>
      </c>
      <c r="I35" s="2"/>
      <c r="J35" s="6">
        <f t="shared" si="9"/>
        <v>0</v>
      </c>
      <c r="K35" s="2"/>
      <c r="L35" s="7">
        <f t="shared" si="10"/>
        <v>-897.88000000000011</v>
      </c>
      <c r="M35" s="2"/>
      <c r="N35" s="6">
        <f t="shared" si="11"/>
        <v>-0.12484427141268077</v>
      </c>
      <c r="O35" s="11"/>
      <c r="P35" s="7">
        <v>63215.82</v>
      </c>
      <c r="Q35" s="2"/>
      <c r="R35" s="6">
        <f t="shared" si="12"/>
        <v>0</v>
      </c>
      <c r="S35" s="2"/>
      <c r="T35" s="7">
        <v>88102</v>
      </c>
      <c r="U35" s="2"/>
      <c r="V35" s="6">
        <f t="shared" si="13"/>
        <v>0</v>
      </c>
      <c r="W35" s="2"/>
      <c r="X35" s="7">
        <f t="shared" si="14"/>
        <v>-24886.18</v>
      </c>
      <c r="Y35" s="2"/>
      <c r="Z35" s="6">
        <f t="shared" si="15"/>
        <v>-0.28247009148486979</v>
      </c>
    </row>
    <row r="36" spans="1:26" s="24" customFormat="1" hidden="1" outlineLevel="2" x14ac:dyDescent="0.25">
      <c r="A36" s="26"/>
      <c r="B36" s="11" t="str">
        <f>CONCATENATE("          ", "6006", " - ", "TEMPORARY PART TIME")</f>
        <v xml:space="preserve">          6006 - TEMPORARY PART TIME</v>
      </c>
      <c r="C36" s="11"/>
      <c r="D36" s="7"/>
      <c r="E36" s="2"/>
      <c r="F36" s="6">
        <f t="shared" si="8"/>
        <v>0</v>
      </c>
      <c r="G36" s="2"/>
      <c r="H36" s="7">
        <v>0</v>
      </c>
      <c r="I36" s="2"/>
      <c r="J36" s="6">
        <f t="shared" si="9"/>
        <v>0</v>
      </c>
      <c r="K36" s="2"/>
      <c r="L36" s="7">
        <f t="shared" si="10"/>
        <v>0</v>
      </c>
      <c r="M36" s="2"/>
      <c r="N36" s="6">
        <f t="shared" si="11"/>
        <v>0</v>
      </c>
      <c r="O36" s="11"/>
      <c r="P36" s="7"/>
      <c r="Q36" s="2"/>
      <c r="R36" s="6">
        <f t="shared" si="12"/>
        <v>0</v>
      </c>
      <c r="S36" s="2"/>
      <c r="T36" s="7">
        <v>0</v>
      </c>
      <c r="U36" s="2"/>
      <c r="V36" s="6">
        <f t="shared" si="13"/>
        <v>0</v>
      </c>
      <c r="W36" s="2"/>
      <c r="X36" s="7">
        <f t="shared" si="14"/>
        <v>0</v>
      </c>
      <c r="Y36" s="2"/>
      <c r="Z36" s="6">
        <f t="shared" si="15"/>
        <v>0</v>
      </c>
    </row>
    <row r="37" spans="1:26" s="24" customFormat="1" hidden="1" outlineLevel="2" x14ac:dyDescent="0.25">
      <c r="A37" s="26"/>
      <c r="B37" s="11" t="str">
        <f>CONCATENATE("          ", "6007", " - ", "STUDENT HOURLY")</f>
        <v xml:space="preserve">          6007 - STUDENT HOURLY</v>
      </c>
      <c r="C37" s="11"/>
      <c r="D37" s="7"/>
      <c r="E37" s="2"/>
      <c r="F37" s="6">
        <f t="shared" si="8"/>
        <v>0</v>
      </c>
      <c r="G37" s="2"/>
      <c r="H37" s="7">
        <v>0</v>
      </c>
      <c r="I37" s="2"/>
      <c r="J37" s="6">
        <f t="shared" si="9"/>
        <v>0</v>
      </c>
      <c r="K37" s="2"/>
      <c r="L37" s="7">
        <f t="shared" si="10"/>
        <v>0</v>
      </c>
      <c r="M37" s="2"/>
      <c r="N37" s="6">
        <f t="shared" si="11"/>
        <v>0</v>
      </c>
      <c r="O37" s="11"/>
      <c r="P37" s="7">
        <v>0</v>
      </c>
      <c r="Q37" s="2"/>
      <c r="R37" s="6">
        <f t="shared" si="12"/>
        <v>0</v>
      </c>
      <c r="S37" s="2"/>
      <c r="T37" s="7">
        <v>0</v>
      </c>
      <c r="U37" s="2"/>
      <c r="V37" s="6">
        <f t="shared" si="13"/>
        <v>0</v>
      </c>
      <c r="W37" s="2"/>
      <c r="X37" s="7">
        <f t="shared" si="14"/>
        <v>0</v>
      </c>
      <c r="Y37" s="2"/>
      <c r="Z37" s="6">
        <f t="shared" si="15"/>
        <v>0</v>
      </c>
    </row>
    <row r="38" spans="1:26" s="24" customFormat="1" hidden="1" outlineLevel="2" x14ac:dyDescent="0.25">
      <c r="A38" s="26"/>
      <c r="B38" s="11" t="str">
        <f>CONCATENATE("          ", "6008", " - ", "STUDENT HOURLY-FICA EXEMPT")</f>
        <v xml:space="preserve">          6008 - STUDENT HOURLY-FICA EXEMPT</v>
      </c>
      <c r="C38" s="11"/>
      <c r="D38" s="7"/>
      <c r="E38" s="2"/>
      <c r="F38" s="6">
        <f t="shared" si="8"/>
        <v>0</v>
      </c>
      <c r="G38" s="2"/>
      <c r="H38" s="7">
        <v>0</v>
      </c>
      <c r="I38" s="2"/>
      <c r="J38" s="6">
        <f t="shared" si="9"/>
        <v>0</v>
      </c>
      <c r="K38" s="2"/>
      <c r="L38" s="7">
        <f t="shared" si="10"/>
        <v>0</v>
      </c>
      <c r="M38" s="2"/>
      <c r="N38" s="6">
        <f t="shared" si="11"/>
        <v>0</v>
      </c>
      <c r="O38" s="11"/>
      <c r="P38" s="7"/>
      <c r="Q38" s="2"/>
      <c r="R38" s="6">
        <f t="shared" si="12"/>
        <v>0</v>
      </c>
      <c r="S38" s="2"/>
      <c r="T38" s="7">
        <v>0</v>
      </c>
      <c r="U38" s="2"/>
      <c r="V38" s="6">
        <f t="shared" si="13"/>
        <v>0</v>
      </c>
      <c r="W38" s="2"/>
      <c r="X38" s="7">
        <f t="shared" si="14"/>
        <v>0</v>
      </c>
      <c r="Y38" s="2"/>
      <c r="Z38" s="6">
        <f t="shared" si="15"/>
        <v>0</v>
      </c>
    </row>
    <row r="39" spans="1:26" s="24" customFormat="1" hidden="1" outlineLevel="2" x14ac:dyDescent="0.25">
      <c r="A39" s="26"/>
      <c r="B39" s="11" t="str">
        <f>CONCATENATE("          ", "6009", " - ", "TEMPORARY-SEASONAL")</f>
        <v xml:space="preserve">          6009 - TEMPORARY-SEASONAL</v>
      </c>
      <c r="C39" s="11"/>
      <c r="D39" s="7"/>
      <c r="E39" s="2"/>
      <c r="F39" s="6">
        <f t="shared" si="8"/>
        <v>0</v>
      </c>
      <c r="G39" s="2"/>
      <c r="H39" s="7">
        <v>0</v>
      </c>
      <c r="I39" s="2"/>
      <c r="J39" s="6">
        <f t="shared" si="9"/>
        <v>0</v>
      </c>
      <c r="K39" s="2"/>
      <c r="L39" s="7">
        <f t="shared" si="10"/>
        <v>0</v>
      </c>
      <c r="M39" s="2"/>
      <c r="N39" s="6">
        <f t="shared" si="11"/>
        <v>0</v>
      </c>
      <c r="O39" s="11"/>
      <c r="P39" s="7"/>
      <c r="Q39" s="2"/>
      <c r="R39" s="6">
        <f t="shared" si="12"/>
        <v>0</v>
      </c>
      <c r="S39" s="2"/>
      <c r="T39" s="7">
        <v>0</v>
      </c>
      <c r="U39" s="2"/>
      <c r="V39" s="6">
        <f t="shared" si="13"/>
        <v>0</v>
      </c>
      <c r="W39" s="2"/>
      <c r="X39" s="7">
        <f t="shared" si="14"/>
        <v>0</v>
      </c>
      <c r="Y39" s="2"/>
      <c r="Z39" s="6">
        <f t="shared" si="15"/>
        <v>0</v>
      </c>
    </row>
    <row r="40" spans="1:26" s="24" customFormat="1" hidden="1" outlineLevel="2" x14ac:dyDescent="0.25">
      <c r="A40" s="26"/>
      <c r="B40" s="11" t="str">
        <f>CONCATENATE("          ", "6010", " - ", "GRATUITY")</f>
        <v xml:space="preserve">          6010 - GRATUITY</v>
      </c>
      <c r="C40" s="11"/>
      <c r="D40" s="7"/>
      <c r="E40" s="2"/>
      <c r="F40" s="6">
        <f t="shared" si="8"/>
        <v>0</v>
      </c>
      <c r="G40" s="2"/>
      <c r="H40" s="7">
        <v>0</v>
      </c>
      <c r="I40" s="2"/>
      <c r="J40" s="6">
        <f t="shared" si="9"/>
        <v>0</v>
      </c>
      <c r="K40" s="2"/>
      <c r="L40" s="7">
        <f t="shared" si="10"/>
        <v>0</v>
      </c>
      <c r="M40" s="2"/>
      <c r="N40" s="6">
        <f t="shared" si="11"/>
        <v>0</v>
      </c>
      <c r="O40" s="11"/>
      <c r="P40" s="7"/>
      <c r="Q40" s="2"/>
      <c r="R40" s="6">
        <f t="shared" si="12"/>
        <v>0</v>
      </c>
      <c r="S40" s="2"/>
      <c r="T40" s="7">
        <v>0</v>
      </c>
      <c r="U40" s="2"/>
      <c r="V40" s="6">
        <f t="shared" si="13"/>
        <v>0</v>
      </c>
      <c r="W40" s="2"/>
      <c r="X40" s="7">
        <f t="shared" si="14"/>
        <v>0</v>
      </c>
      <c r="Y40" s="2"/>
      <c r="Z40" s="6">
        <f t="shared" si="15"/>
        <v>0</v>
      </c>
    </row>
    <row r="41" spans="1:26" s="27" customFormat="1" outlineLevel="1" collapsed="1" x14ac:dyDescent="0.25">
      <c r="A41" s="25"/>
      <c r="B41" s="12" t="str">
        <f>CONCATENATE("     ","Advertising/Promo                                 ")</f>
        <v xml:space="preserve">     Advertising/Promo                                 </v>
      </c>
      <c r="C41" s="12"/>
      <c r="D41" s="1">
        <f>SUM(OSRRefD22_2x_0)</f>
        <v>0</v>
      </c>
      <c r="E41" s="1"/>
      <c r="F41" s="5">
        <f t="shared" ref="F41:F58" si="16">IF(D$12=0,0,D41/D$12)</f>
        <v>0</v>
      </c>
      <c r="G41" s="1"/>
      <c r="H41" s="1">
        <f>SUM(OSRRefH22_2x_0)</f>
        <v>260</v>
      </c>
      <c r="I41" s="1"/>
      <c r="J41" s="5">
        <f t="shared" ref="J41:J58" si="17">IF(H$12=0,0,H41/H$12)</f>
        <v>0</v>
      </c>
      <c r="K41" s="1"/>
      <c r="L41" s="1">
        <f t="shared" ref="L41:L58" si="18">+D41-H41</f>
        <v>-260</v>
      </c>
      <c r="M41" s="1"/>
      <c r="N41" s="5">
        <f t="shared" ref="N41:N58" si="19">IF(H41=0,0,L41/H41)</f>
        <v>-1</v>
      </c>
      <c r="O41" s="12"/>
      <c r="P41" s="1">
        <f>SUM(OSRRefP22_2x_0)</f>
        <v>1556.04</v>
      </c>
      <c r="Q41" s="1"/>
      <c r="R41" s="5">
        <f t="shared" ref="R41:R58" si="20">IF(P$12=0,0,P41/P$12)</f>
        <v>0</v>
      </c>
      <c r="S41" s="1"/>
      <c r="T41" s="1">
        <f>SUM(OSRRefT22_2x_0)</f>
        <v>2860</v>
      </c>
      <c r="U41" s="1"/>
      <c r="V41" s="5">
        <f t="shared" ref="V41:V58" si="21">IF(T$12=0,0,T41/T$12)</f>
        <v>0</v>
      </c>
      <c r="W41" s="1"/>
      <c r="X41" s="1">
        <f t="shared" ref="X41:X58" si="22">+P41-T41</f>
        <v>-1303.96</v>
      </c>
      <c r="Y41" s="1"/>
      <c r="Z41" s="5">
        <f t="shared" ref="Z41:Z58" si="23">IF(T41=0,0,X41/T41)</f>
        <v>-0.45593006993006996</v>
      </c>
    </row>
    <row r="42" spans="1:26" s="24" customFormat="1" hidden="1" outlineLevel="2" x14ac:dyDescent="0.25">
      <c r="A42" s="26"/>
      <c r="B42" s="11" t="str">
        <f>CONCATENATE("          ", "6362", " - ", "ADVERTISING EXPENSE")</f>
        <v xml:space="preserve">          6362 - ADVERTISING EXPENSE</v>
      </c>
      <c r="C42" s="11"/>
      <c r="D42" s="7"/>
      <c r="E42" s="2"/>
      <c r="F42" s="6">
        <f t="shared" si="16"/>
        <v>0</v>
      </c>
      <c r="G42" s="2"/>
      <c r="H42" s="7">
        <v>260</v>
      </c>
      <c r="I42" s="2"/>
      <c r="J42" s="6">
        <f t="shared" si="17"/>
        <v>0</v>
      </c>
      <c r="K42" s="2"/>
      <c r="L42" s="7">
        <f t="shared" si="18"/>
        <v>-260</v>
      </c>
      <c r="M42" s="2"/>
      <c r="N42" s="6">
        <f t="shared" si="19"/>
        <v>-1</v>
      </c>
      <c r="O42" s="11"/>
      <c r="P42" s="7">
        <v>1556.04</v>
      </c>
      <c r="Q42" s="2"/>
      <c r="R42" s="6">
        <f t="shared" si="20"/>
        <v>0</v>
      </c>
      <c r="S42" s="2"/>
      <c r="T42" s="7">
        <v>2860</v>
      </c>
      <c r="U42" s="2"/>
      <c r="V42" s="6">
        <f t="shared" si="21"/>
        <v>0</v>
      </c>
      <c r="W42" s="2"/>
      <c r="X42" s="7">
        <f t="shared" si="22"/>
        <v>-1303.96</v>
      </c>
      <c r="Y42" s="2"/>
      <c r="Z42" s="6">
        <f t="shared" si="23"/>
        <v>-0.45593006993006996</v>
      </c>
    </row>
    <row r="43" spans="1:26" s="27" customFormat="1" outlineLevel="1" collapsed="1" x14ac:dyDescent="0.25">
      <c r="A43" s="25"/>
      <c r="B43" s="12" t="str">
        <f>CONCATENATE("     ","Depreciation                                      ")</f>
        <v xml:space="preserve">     Depreciation                                      </v>
      </c>
      <c r="C43" s="12"/>
      <c r="D43" s="1">
        <f>SUM(OSRRefD22_3x_0)</f>
        <v>0</v>
      </c>
      <c r="E43" s="1"/>
      <c r="F43" s="5">
        <f t="shared" si="16"/>
        <v>0</v>
      </c>
      <c r="G43" s="1"/>
      <c r="H43" s="1">
        <f>SUM(OSRRefH22_3x_0)</f>
        <v>224</v>
      </c>
      <c r="I43" s="1"/>
      <c r="J43" s="5">
        <f t="shared" si="17"/>
        <v>0</v>
      </c>
      <c r="K43" s="1"/>
      <c r="L43" s="1">
        <f t="shared" si="18"/>
        <v>-224</v>
      </c>
      <c r="M43" s="1"/>
      <c r="N43" s="5">
        <f t="shared" si="19"/>
        <v>-1</v>
      </c>
      <c r="O43" s="12"/>
      <c r="P43" s="1">
        <f>SUM(OSRRefP22_3x_0)</f>
        <v>2017.57</v>
      </c>
      <c r="Q43" s="1"/>
      <c r="R43" s="5">
        <f t="shared" si="20"/>
        <v>0</v>
      </c>
      <c r="S43" s="1"/>
      <c r="T43" s="1">
        <f>SUM(OSRRefT22_3x_0)</f>
        <v>2464</v>
      </c>
      <c r="U43" s="1"/>
      <c r="V43" s="5">
        <f t="shared" si="21"/>
        <v>0</v>
      </c>
      <c r="W43" s="1"/>
      <c r="X43" s="1">
        <f t="shared" si="22"/>
        <v>-446.43000000000006</v>
      </c>
      <c r="Y43" s="1"/>
      <c r="Z43" s="5">
        <f t="shared" si="23"/>
        <v>-0.18118100649350652</v>
      </c>
    </row>
    <row r="44" spans="1:26" s="24" customFormat="1" hidden="1" outlineLevel="2" x14ac:dyDescent="0.25">
      <c r="A44" s="26"/>
      <c r="B44" s="11" t="str">
        <f>CONCATENATE("          ", "6322", " - ", "EQUIPMENT DEPRECIATION EXPENSE")</f>
        <v xml:space="preserve">          6322 - EQUIPMENT DEPRECIATION EXPENSE</v>
      </c>
      <c r="C44" s="11"/>
      <c r="D44" s="7"/>
      <c r="E44" s="2"/>
      <c r="F44" s="6">
        <f t="shared" si="16"/>
        <v>0</v>
      </c>
      <c r="G44" s="2"/>
      <c r="H44" s="7">
        <v>224</v>
      </c>
      <c r="I44" s="2"/>
      <c r="J44" s="6">
        <f t="shared" si="17"/>
        <v>0</v>
      </c>
      <c r="K44" s="2"/>
      <c r="L44" s="7">
        <f t="shared" si="18"/>
        <v>-224</v>
      </c>
      <c r="M44" s="2"/>
      <c r="N44" s="6">
        <f t="shared" si="19"/>
        <v>-1</v>
      </c>
      <c r="O44" s="11"/>
      <c r="P44" s="7">
        <v>2017.57</v>
      </c>
      <c r="Q44" s="2"/>
      <c r="R44" s="6">
        <f t="shared" si="20"/>
        <v>0</v>
      </c>
      <c r="S44" s="2"/>
      <c r="T44" s="7">
        <v>2464</v>
      </c>
      <c r="U44" s="2"/>
      <c r="V44" s="6">
        <f t="shared" si="21"/>
        <v>0</v>
      </c>
      <c r="W44" s="2"/>
      <c r="X44" s="7">
        <f t="shared" si="22"/>
        <v>-446.43000000000006</v>
      </c>
      <c r="Y44" s="2"/>
      <c r="Z44" s="6">
        <f t="shared" si="23"/>
        <v>-0.18118100649350652</v>
      </c>
    </row>
    <row r="45" spans="1:26" s="27" customFormat="1" outlineLevel="1" collapsed="1" x14ac:dyDescent="0.25">
      <c r="A45" s="25"/>
      <c r="B45" s="12" t="str">
        <f>CONCATENATE("     ","Employees' Appreciation                           ")</f>
        <v xml:space="preserve">     Employees' Appreciation                           </v>
      </c>
      <c r="C45" s="12"/>
      <c r="D45" s="1">
        <f>SUM(OSRRefD22_4x_0)</f>
        <v>0</v>
      </c>
      <c r="E45" s="1"/>
      <c r="F45" s="5">
        <f t="shared" si="16"/>
        <v>0</v>
      </c>
      <c r="G45" s="1"/>
      <c r="H45" s="1">
        <f>SUM(OSRRefH22_4x_0)</f>
        <v>583</v>
      </c>
      <c r="I45" s="1"/>
      <c r="J45" s="5">
        <f t="shared" si="17"/>
        <v>0</v>
      </c>
      <c r="K45" s="1"/>
      <c r="L45" s="1">
        <f t="shared" si="18"/>
        <v>-583</v>
      </c>
      <c r="M45" s="1"/>
      <c r="N45" s="5">
        <f t="shared" si="19"/>
        <v>-1</v>
      </c>
      <c r="O45" s="12"/>
      <c r="P45" s="1">
        <f>SUM(OSRRefP22_4x_0)</f>
        <v>29521.939999999995</v>
      </c>
      <c r="Q45" s="1"/>
      <c r="R45" s="5">
        <f t="shared" si="20"/>
        <v>0</v>
      </c>
      <c r="S45" s="1"/>
      <c r="T45" s="1">
        <f>SUM(OSRRefT22_4x_0)</f>
        <v>43913</v>
      </c>
      <c r="U45" s="1"/>
      <c r="V45" s="5">
        <f t="shared" si="21"/>
        <v>0</v>
      </c>
      <c r="W45" s="1"/>
      <c r="X45" s="1">
        <f t="shared" si="22"/>
        <v>-14391.060000000005</v>
      </c>
      <c r="Y45" s="1"/>
      <c r="Z45" s="5">
        <f t="shared" si="23"/>
        <v>-0.32771753239359652</v>
      </c>
    </row>
    <row r="46" spans="1:26" s="24" customFormat="1" hidden="1" outlineLevel="2" x14ac:dyDescent="0.25">
      <c r="A46" s="26"/>
      <c r="B46" s="11" t="str">
        <f>CONCATENATE("          ", "6277", " - ", "EMPLOYEE APPRECIATION")</f>
        <v xml:space="preserve">          6277 - EMPLOYEE APPRECIATION</v>
      </c>
      <c r="C46" s="11"/>
      <c r="D46" s="7"/>
      <c r="E46" s="2"/>
      <c r="F46" s="6">
        <f t="shared" si="16"/>
        <v>0</v>
      </c>
      <c r="G46" s="2"/>
      <c r="H46" s="7">
        <v>583</v>
      </c>
      <c r="I46" s="2"/>
      <c r="J46" s="6">
        <f t="shared" si="17"/>
        <v>0</v>
      </c>
      <c r="K46" s="2"/>
      <c r="L46" s="7">
        <f t="shared" si="18"/>
        <v>-583</v>
      </c>
      <c r="M46" s="2"/>
      <c r="N46" s="6">
        <f t="shared" si="19"/>
        <v>-1</v>
      </c>
      <c r="O46" s="11"/>
      <c r="P46" s="7">
        <v>29521.939999999995</v>
      </c>
      <c r="Q46" s="2"/>
      <c r="R46" s="6">
        <f t="shared" si="20"/>
        <v>0</v>
      </c>
      <c r="S46" s="2"/>
      <c r="T46" s="7">
        <v>43913</v>
      </c>
      <c r="U46" s="2"/>
      <c r="V46" s="6">
        <f t="shared" si="21"/>
        <v>0</v>
      </c>
      <c r="W46" s="2"/>
      <c r="X46" s="7">
        <f t="shared" si="22"/>
        <v>-14391.060000000005</v>
      </c>
      <c r="Y46" s="2"/>
      <c r="Z46" s="6">
        <f t="shared" si="23"/>
        <v>-0.32771753239359652</v>
      </c>
    </row>
    <row r="47" spans="1:26" s="27" customFormat="1" outlineLevel="1" collapsed="1" x14ac:dyDescent="0.25">
      <c r="A47" s="25"/>
      <c r="B47" s="12" t="str">
        <f>CONCATENATE("     ","Equipment Rental                                  ")</f>
        <v xml:space="preserve">     Equipment Rental                                  </v>
      </c>
      <c r="C47" s="12"/>
      <c r="D47" s="1">
        <f>SUM(OSRRefD22_5x_0)</f>
        <v>0</v>
      </c>
      <c r="E47" s="1"/>
      <c r="F47" s="5">
        <f t="shared" si="16"/>
        <v>0</v>
      </c>
      <c r="G47" s="1"/>
      <c r="H47" s="1">
        <f>SUM(OSRRefH22_5x_0)</f>
        <v>90</v>
      </c>
      <c r="I47" s="1"/>
      <c r="J47" s="5">
        <f t="shared" si="17"/>
        <v>0</v>
      </c>
      <c r="K47" s="1"/>
      <c r="L47" s="1">
        <f t="shared" si="18"/>
        <v>-90</v>
      </c>
      <c r="M47" s="1"/>
      <c r="N47" s="5">
        <f t="shared" si="19"/>
        <v>-1</v>
      </c>
      <c r="O47" s="12"/>
      <c r="P47" s="1">
        <f>SUM(OSRRefP22_5x_0)</f>
        <v>273.77999999999997</v>
      </c>
      <c r="Q47" s="1"/>
      <c r="R47" s="5">
        <f t="shared" si="20"/>
        <v>0</v>
      </c>
      <c r="S47" s="1"/>
      <c r="T47" s="1">
        <f>SUM(OSRRefT22_5x_0)</f>
        <v>900</v>
      </c>
      <c r="U47" s="1"/>
      <c r="V47" s="5">
        <f t="shared" si="21"/>
        <v>0</v>
      </c>
      <c r="W47" s="1"/>
      <c r="X47" s="1">
        <f t="shared" si="22"/>
        <v>-626.22</v>
      </c>
      <c r="Y47" s="1"/>
      <c r="Z47" s="5">
        <f t="shared" si="23"/>
        <v>-0.69580000000000009</v>
      </c>
    </row>
    <row r="48" spans="1:26" s="24" customFormat="1" hidden="1" outlineLevel="2" x14ac:dyDescent="0.25">
      <c r="A48" s="26"/>
      <c r="B48" s="11" t="str">
        <f>CONCATENATE("          ", "6351", " - ", "EQUIPMENT RENTAL")</f>
        <v xml:space="preserve">          6351 - EQUIPMENT RENTAL</v>
      </c>
      <c r="C48" s="11"/>
      <c r="D48" s="7"/>
      <c r="E48" s="2"/>
      <c r="F48" s="6">
        <f t="shared" si="16"/>
        <v>0</v>
      </c>
      <c r="G48" s="2"/>
      <c r="H48" s="7">
        <v>90</v>
      </c>
      <c r="I48" s="2"/>
      <c r="J48" s="6">
        <f t="shared" si="17"/>
        <v>0</v>
      </c>
      <c r="K48" s="2"/>
      <c r="L48" s="7">
        <f t="shared" si="18"/>
        <v>-90</v>
      </c>
      <c r="M48" s="2"/>
      <c r="N48" s="6">
        <f t="shared" si="19"/>
        <v>-1</v>
      </c>
      <c r="O48" s="11"/>
      <c r="P48" s="7">
        <v>273.77999999999997</v>
      </c>
      <c r="Q48" s="2"/>
      <c r="R48" s="6">
        <f t="shared" si="20"/>
        <v>0</v>
      </c>
      <c r="S48" s="2"/>
      <c r="T48" s="7">
        <v>900</v>
      </c>
      <c r="U48" s="2"/>
      <c r="V48" s="6">
        <f t="shared" si="21"/>
        <v>0</v>
      </c>
      <c r="W48" s="2"/>
      <c r="X48" s="7">
        <f t="shared" si="22"/>
        <v>-626.22</v>
      </c>
      <c r="Y48" s="2"/>
      <c r="Z48" s="6">
        <f t="shared" si="23"/>
        <v>-0.69580000000000009</v>
      </c>
    </row>
    <row r="49" spans="1:26" s="27" customFormat="1" outlineLevel="1" collapsed="1" x14ac:dyDescent="0.25">
      <c r="A49" s="25"/>
      <c r="B49" s="12" t="str">
        <f>CONCATENATE("     ","Freight out/Postage                               ")</f>
        <v xml:space="preserve">     Freight out/Postage                               </v>
      </c>
      <c r="C49" s="12"/>
      <c r="D49" s="1">
        <f>SUM(OSRRefD22_6x_0)</f>
        <v>51</v>
      </c>
      <c r="E49" s="1"/>
      <c r="F49" s="5">
        <f t="shared" si="16"/>
        <v>0</v>
      </c>
      <c r="G49" s="1"/>
      <c r="H49" s="1">
        <f>SUM(OSRRefH22_6x_0)</f>
        <v>95</v>
      </c>
      <c r="I49" s="1"/>
      <c r="J49" s="5">
        <f t="shared" si="17"/>
        <v>0</v>
      </c>
      <c r="K49" s="1"/>
      <c r="L49" s="1">
        <f t="shared" si="18"/>
        <v>-44</v>
      </c>
      <c r="M49" s="1"/>
      <c r="N49" s="5">
        <f t="shared" si="19"/>
        <v>-0.4631578947368421</v>
      </c>
      <c r="O49" s="12"/>
      <c r="P49" s="1">
        <f>SUM(OSRRefP22_6x_0)</f>
        <v>1115.5</v>
      </c>
      <c r="Q49" s="1"/>
      <c r="R49" s="5">
        <f t="shared" si="20"/>
        <v>0</v>
      </c>
      <c r="S49" s="1"/>
      <c r="T49" s="1">
        <f>SUM(OSRRefT22_6x_0)</f>
        <v>950</v>
      </c>
      <c r="U49" s="1"/>
      <c r="V49" s="5">
        <f t="shared" si="21"/>
        <v>0</v>
      </c>
      <c r="W49" s="1"/>
      <c r="X49" s="1">
        <f t="shared" si="22"/>
        <v>165.5</v>
      </c>
      <c r="Y49" s="1"/>
      <c r="Z49" s="5">
        <f t="shared" si="23"/>
        <v>0.17421052631578948</v>
      </c>
    </row>
    <row r="50" spans="1:26" s="24" customFormat="1" hidden="1" outlineLevel="2" x14ac:dyDescent="0.25">
      <c r="A50" s="26"/>
      <c r="B50" s="11" t="str">
        <f>CONCATENATE("          ", "6307", " - ", "POSTAGE")</f>
        <v xml:space="preserve">          6307 - POSTAGE</v>
      </c>
      <c r="C50" s="11"/>
      <c r="D50" s="7">
        <v>51</v>
      </c>
      <c r="E50" s="2"/>
      <c r="F50" s="6">
        <f t="shared" si="16"/>
        <v>0</v>
      </c>
      <c r="G50" s="2"/>
      <c r="H50" s="7">
        <v>95</v>
      </c>
      <c r="I50" s="2"/>
      <c r="J50" s="6">
        <f t="shared" si="17"/>
        <v>0</v>
      </c>
      <c r="K50" s="2"/>
      <c r="L50" s="7">
        <f t="shared" si="18"/>
        <v>-44</v>
      </c>
      <c r="M50" s="2"/>
      <c r="N50" s="6">
        <f t="shared" si="19"/>
        <v>-0.4631578947368421</v>
      </c>
      <c r="O50" s="11"/>
      <c r="P50" s="7">
        <v>1115.5</v>
      </c>
      <c r="Q50" s="2"/>
      <c r="R50" s="6">
        <f t="shared" si="20"/>
        <v>0</v>
      </c>
      <c r="S50" s="2"/>
      <c r="T50" s="7">
        <v>950</v>
      </c>
      <c r="U50" s="2"/>
      <c r="V50" s="6">
        <f t="shared" si="21"/>
        <v>0</v>
      </c>
      <c r="W50" s="2"/>
      <c r="X50" s="7">
        <f t="shared" si="22"/>
        <v>165.5</v>
      </c>
      <c r="Y50" s="2"/>
      <c r="Z50" s="6">
        <f t="shared" si="23"/>
        <v>0.17421052631578948</v>
      </c>
    </row>
    <row r="51" spans="1:26" s="27" customFormat="1" outlineLevel="1" collapsed="1" x14ac:dyDescent="0.25">
      <c r="A51" s="25"/>
      <c r="B51" s="12" t="str">
        <f>CONCATENATE("     ","General                                           ")</f>
        <v xml:space="preserve">     General                                           </v>
      </c>
      <c r="C51" s="12"/>
      <c r="D51" s="1">
        <f>SUM(OSRRefD22_7x_0)</f>
        <v>0</v>
      </c>
      <c r="E51" s="1"/>
      <c r="F51" s="5">
        <f t="shared" si="16"/>
        <v>0</v>
      </c>
      <c r="G51" s="1"/>
      <c r="H51" s="1">
        <f>SUM(OSRRefH22_7x_0)</f>
        <v>390</v>
      </c>
      <c r="I51" s="1"/>
      <c r="J51" s="5">
        <f t="shared" si="17"/>
        <v>0</v>
      </c>
      <c r="K51" s="1"/>
      <c r="L51" s="1">
        <f t="shared" si="18"/>
        <v>-390</v>
      </c>
      <c r="M51" s="1"/>
      <c r="N51" s="5">
        <f t="shared" si="19"/>
        <v>-1</v>
      </c>
      <c r="O51" s="12"/>
      <c r="P51" s="1">
        <f>SUM(OSRRefP22_7x_0)</f>
        <v>700</v>
      </c>
      <c r="Q51" s="1"/>
      <c r="R51" s="5">
        <f t="shared" si="20"/>
        <v>0</v>
      </c>
      <c r="S51" s="1"/>
      <c r="T51" s="1">
        <f>SUM(OSRRefT22_7x_0)</f>
        <v>3900</v>
      </c>
      <c r="U51" s="1"/>
      <c r="V51" s="5">
        <f t="shared" si="21"/>
        <v>0</v>
      </c>
      <c r="W51" s="1"/>
      <c r="X51" s="1">
        <f t="shared" si="22"/>
        <v>-3200</v>
      </c>
      <c r="Y51" s="1"/>
      <c r="Z51" s="5">
        <f t="shared" si="23"/>
        <v>-0.82051282051282048</v>
      </c>
    </row>
    <row r="52" spans="1:26" s="24" customFormat="1" hidden="1" outlineLevel="2" x14ac:dyDescent="0.25">
      <c r="A52" s="26"/>
      <c r="B52" s="11" t="str">
        <f>CONCATENATE("          ", "6279", " - ", "GENERAL EXPENSE")</f>
        <v xml:space="preserve">          6279 - GENERAL EXPENSE</v>
      </c>
      <c r="C52" s="11"/>
      <c r="D52" s="7"/>
      <c r="E52" s="2"/>
      <c r="F52" s="6">
        <f t="shared" si="16"/>
        <v>0</v>
      </c>
      <c r="G52" s="2"/>
      <c r="H52" s="7">
        <v>390</v>
      </c>
      <c r="I52" s="2"/>
      <c r="J52" s="6">
        <f t="shared" si="17"/>
        <v>0</v>
      </c>
      <c r="K52" s="2"/>
      <c r="L52" s="7">
        <f t="shared" si="18"/>
        <v>-390</v>
      </c>
      <c r="M52" s="2"/>
      <c r="N52" s="6">
        <f t="shared" si="19"/>
        <v>-1</v>
      </c>
      <c r="O52" s="11"/>
      <c r="P52" s="7">
        <v>700</v>
      </c>
      <c r="Q52" s="2"/>
      <c r="R52" s="6">
        <f t="shared" si="20"/>
        <v>0</v>
      </c>
      <c r="S52" s="2"/>
      <c r="T52" s="7">
        <v>3900</v>
      </c>
      <c r="U52" s="2"/>
      <c r="V52" s="6">
        <f t="shared" si="21"/>
        <v>0</v>
      </c>
      <c r="W52" s="2"/>
      <c r="X52" s="7">
        <f t="shared" si="22"/>
        <v>-3200</v>
      </c>
      <c r="Y52" s="2"/>
      <c r="Z52" s="6">
        <f t="shared" si="23"/>
        <v>-0.82051282051282048</v>
      </c>
    </row>
    <row r="53" spans="1:26" s="27" customFormat="1" outlineLevel="1" collapsed="1" x14ac:dyDescent="0.25">
      <c r="A53" s="25"/>
      <c r="B53" s="12" t="str">
        <f>CONCATENATE("     ","Insurance                                         ")</f>
        <v xml:space="preserve">     Insurance                                         </v>
      </c>
      <c r="C53" s="12"/>
      <c r="D53" s="1">
        <f>SUM(OSRRefD22_8x_0)</f>
        <v>65.47</v>
      </c>
      <c r="E53" s="1"/>
      <c r="F53" s="5">
        <f t="shared" si="16"/>
        <v>0</v>
      </c>
      <c r="G53" s="1"/>
      <c r="H53" s="1">
        <f>SUM(OSRRefH22_8x_0)</f>
        <v>65</v>
      </c>
      <c r="I53" s="1"/>
      <c r="J53" s="5">
        <f t="shared" si="17"/>
        <v>0</v>
      </c>
      <c r="K53" s="1"/>
      <c r="L53" s="1">
        <f t="shared" si="18"/>
        <v>0.46999999999999886</v>
      </c>
      <c r="M53" s="1"/>
      <c r="N53" s="5">
        <f t="shared" si="19"/>
        <v>7.2307692307692134E-3</v>
      </c>
      <c r="O53" s="12"/>
      <c r="P53" s="1">
        <f>SUM(OSRRefP22_8x_0)</f>
        <v>720.17</v>
      </c>
      <c r="Q53" s="1"/>
      <c r="R53" s="5">
        <f t="shared" si="20"/>
        <v>0</v>
      </c>
      <c r="S53" s="1"/>
      <c r="T53" s="1">
        <f>SUM(OSRRefT22_8x_0)</f>
        <v>715</v>
      </c>
      <c r="U53" s="1"/>
      <c r="V53" s="5">
        <f t="shared" si="21"/>
        <v>0</v>
      </c>
      <c r="W53" s="1"/>
      <c r="X53" s="1">
        <f t="shared" si="22"/>
        <v>5.1699999999999591</v>
      </c>
      <c r="Y53" s="1"/>
      <c r="Z53" s="5">
        <f t="shared" si="23"/>
        <v>7.2307692307691735E-3</v>
      </c>
    </row>
    <row r="54" spans="1:26" s="24" customFormat="1" hidden="1" outlineLevel="2" x14ac:dyDescent="0.25">
      <c r="A54" s="26"/>
      <c r="B54" s="11" t="str">
        <f>CONCATENATE("          ", "6314", " - ", "LIABILITY INSURANCE")</f>
        <v xml:space="preserve">          6314 - LIABILITY INSURANCE</v>
      </c>
      <c r="C54" s="11"/>
      <c r="D54" s="7">
        <v>65.47</v>
      </c>
      <c r="E54" s="2"/>
      <c r="F54" s="6">
        <f t="shared" si="16"/>
        <v>0</v>
      </c>
      <c r="G54" s="2"/>
      <c r="H54" s="7">
        <v>65</v>
      </c>
      <c r="I54" s="2"/>
      <c r="J54" s="6">
        <f t="shared" si="17"/>
        <v>0</v>
      </c>
      <c r="K54" s="2"/>
      <c r="L54" s="7">
        <f t="shared" si="18"/>
        <v>0.46999999999999886</v>
      </c>
      <c r="M54" s="2"/>
      <c r="N54" s="6">
        <f t="shared" si="19"/>
        <v>7.2307692307692134E-3</v>
      </c>
      <c r="O54" s="11"/>
      <c r="P54" s="7">
        <v>720.17</v>
      </c>
      <c r="Q54" s="2"/>
      <c r="R54" s="6">
        <f t="shared" si="20"/>
        <v>0</v>
      </c>
      <c r="S54" s="2"/>
      <c r="T54" s="7">
        <v>715</v>
      </c>
      <c r="U54" s="2"/>
      <c r="V54" s="6">
        <f t="shared" si="21"/>
        <v>0</v>
      </c>
      <c r="W54" s="2"/>
      <c r="X54" s="7">
        <f t="shared" si="22"/>
        <v>5.1699999999999591</v>
      </c>
      <c r="Y54" s="2"/>
      <c r="Z54" s="6">
        <f t="shared" si="23"/>
        <v>7.2307692307691735E-3</v>
      </c>
    </row>
    <row r="55" spans="1:26" s="27" customFormat="1" outlineLevel="1" collapsed="1" x14ac:dyDescent="0.25">
      <c r="A55" s="25"/>
      <c r="B55" s="12" t="str">
        <f>CONCATENATE("     ","Professional Services                             ")</f>
        <v xml:space="preserve">     Professional Services                             </v>
      </c>
      <c r="C55" s="12"/>
      <c r="D55" s="1">
        <f>SUM(OSRRefD22_9x_0)</f>
        <v>0</v>
      </c>
      <c r="E55" s="1"/>
      <c r="F55" s="5">
        <f t="shared" si="16"/>
        <v>0</v>
      </c>
      <c r="G55" s="1"/>
      <c r="H55" s="1">
        <f>SUM(OSRRefH22_9x_0)</f>
        <v>833</v>
      </c>
      <c r="I55" s="1"/>
      <c r="J55" s="5">
        <f t="shared" si="17"/>
        <v>0</v>
      </c>
      <c r="K55" s="1"/>
      <c r="L55" s="1">
        <f t="shared" si="18"/>
        <v>-833</v>
      </c>
      <c r="M55" s="1"/>
      <c r="N55" s="5">
        <f t="shared" si="19"/>
        <v>-1</v>
      </c>
      <c r="O55" s="12"/>
      <c r="P55" s="1">
        <f>SUM(OSRRefP22_9x_0)</f>
        <v>88938.52</v>
      </c>
      <c r="Q55" s="1"/>
      <c r="R55" s="5">
        <f t="shared" si="20"/>
        <v>0</v>
      </c>
      <c r="S55" s="1"/>
      <c r="T55" s="1">
        <f>SUM(OSRRefT22_9x_0)</f>
        <v>53163</v>
      </c>
      <c r="U55" s="1"/>
      <c r="V55" s="5">
        <f t="shared" si="21"/>
        <v>0</v>
      </c>
      <c r="W55" s="1"/>
      <c r="X55" s="1">
        <f t="shared" si="22"/>
        <v>35775.520000000004</v>
      </c>
      <c r="Y55" s="1"/>
      <c r="Z55" s="5">
        <f t="shared" si="23"/>
        <v>0.67294020277260513</v>
      </c>
    </row>
    <row r="56" spans="1:26" s="24" customFormat="1" hidden="1" outlineLevel="2" x14ac:dyDescent="0.25">
      <c r="A56" s="26"/>
      <c r="B56" s="11" t="str">
        <f>CONCATENATE("          ", "6332", " - ", "CONSULTANT FEES")</f>
        <v xml:space="preserve">          6332 - CONSULTANT FEES</v>
      </c>
      <c r="C56" s="11"/>
      <c r="D56" s="7"/>
      <c r="E56" s="2"/>
      <c r="F56" s="6">
        <f t="shared" si="16"/>
        <v>0</v>
      </c>
      <c r="G56" s="2"/>
      <c r="H56" s="7"/>
      <c r="I56" s="2"/>
      <c r="J56" s="6">
        <f t="shared" si="17"/>
        <v>0</v>
      </c>
      <c r="K56" s="2"/>
      <c r="L56" s="7">
        <f t="shared" si="18"/>
        <v>0</v>
      </c>
      <c r="M56" s="2"/>
      <c r="N56" s="6">
        <f t="shared" si="19"/>
        <v>0</v>
      </c>
      <c r="O56" s="11"/>
      <c r="P56" s="7">
        <v>21750</v>
      </c>
      <c r="Q56" s="2"/>
      <c r="R56" s="6">
        <f t="shared" si="20"/>
        <v>0</v>
      </c>
      <c r="S56" s="2"/>
      <c r="T56" s="7"/>
      <c r="U56" s="2"/>
      <c r="V56" s="6">
        <f t="shared" si="21"/>
        <v>0</v>
      </c>
      <c r="W56" s="2"/>
      <c r="X56" s="7">
        <f t="shared" si="22"/>
        <v>21750</v>
      </c>
      <c r="Y56" s="2"/>
      <c r="Z56" s="6">
        <f t="shared" si="23"/>
        <v>0</v>
      </c>
    </row>
    <row r="57" spans="1:26" s="24" customFormat="1" hidden="1" outlineLevel="2" x14ac:dyDescent="0.25">
      <c r="A57" s="26"/>
      <c r="B57" s="11" t="str">
        <f>CONCATENATE("          ", "6334", " - ", "LEGAL COUNCIL EXPENSE")</f>
        <v xml:space="preserve">          6334 - LEGAL COUNCIL EXPENSE</v>
      </c>
      <c r="C57" s="11"/>
      <c r="D57" s="7"/>
      <c r="E57" s="2"/>
      <c r="F57" s="6">
        <f t="shared" si="16"/>
        <v>0</v>
      </c>
      <c r="G57" s="2"/>
      <c r="H57" s="7">
        <v>833</v>
      </c>
      <c r="I57" s="2"/>
      <c r="J57" s="6">
        <f t="shared" si="17"/>
        <v>0</v>
      </c>
      <c r="K57" s="2"/>
      <c r="L57" s="7">
        <f t="shared" si="18"/>
        <v>-833</v>
      </c>
      <c r="M57" s="2"/>
      <c r="N57" s="6">
        <f t="shared" si="19"/>
        <v>-1</v>
      </c>
      <c r="O57" s="11"/>
      <c r="P57" s="7">
        <v>38010</v>
      </c>
      <c r="Q57" s="2"/>
      <c r="R57" s="6">
        <f t="shared" si="20"/>
        <v>0</v>
      </c>
      <c r="S57" s="2"/>
      <c r="T57" s="7">
        <v>9163</v>
      </c>
      <c r="U57" s="2"/>
      <c r="V57" s="6">
        <f t="shared" si="21"/>
        <v>0</v>
      </c>
      <c r="W57" s="2"/>
      <c r="X57" s="7">
        <f t="shared" si="22"/>
        <v>28847</v>
      </c>
      <c r="Y57" s="2"/>
      <c r="Z57" s="6">
        <f t="shared" si="23"/>
        <v>3.1482047364400305</v>
      </c>
    </row>
    <row r="58" spans="1:26" s="24" customFormat="1" hidden="1" outlineLevel="2" x14ac:dyDescent="0.25">
      <c r="A58" s="26"/>
      <c r="B58" s="11" t="str">
        <f>CONCATENATE("          ", "6336", " - ", "PROFESSIONAL SERVICES")</f>
        <v xml:space="preserve">          6336 - PROFESSIONAL SERVICES</v>
      </c>
      <c r="C58" s="11"/>
      <c r="D58" s="7"/>
      <c r="E58" s="2"/>
      <c r="F58" s="6">
        <f t="shared" si="16"/>
        <v>0</v>
      </c>
      <c r="G58" s="2"/>
      <c r="H58" s="7"/>
      <c r="I58" s="2"/>
      <c r="J58" s="6">
        <f t="shared" si="17"/>
        <v>0</v>
      </c>
      <c r="K58" s="2"/>
      <c r="L58" s="7">
        <f t="shared" si="18"/>
        <v>0</v>
      </c>
      <c r="M58" s="2"/>
      <c r="N58" s="6">
        <f t="shared" si="19"/>
        <v>0</v>
      </c>
      <c r="O58" s="11"/>
      <c r="P58" s="7">
        <v>29178.52</v>
      </c>
      <c r="Q58" s="2"/>
      <c r="R58" s="6">
        <f t="shared" si="20"/>
        <v>0</v>
      </c>
      <c r="S58" s="2"/>
      <c r="T58" s="7">
        <v>44000</v>
      </c>
      <c r="U58" s="2"/>
      <c r="V58" s="6">
        <f t="shared" si="21"/>
        <v>0</v>
      </c>
      <c r="W58" s="2"/>
      <c r="X58" s="7">
        <f t="shared" si="22"/>
        <v>-14821.48</v>
      </c>
      <c r="Y58" s="2"/>
      <c r="Z58" s="6">
        <f t="shared" si="23"/>
        <v>-0.3368518181818182</v>
      </c>
    </row>
    <row r="59" spans="1:26" s="27" customFormat="1" outlineLevel="1" collapsed="1" x14ac:dyDescent="0.25">
      <c r="A59" s="25"/>
      <c r="B59" s="12" t="str">
        <f>CONCATENATE("     ","Repair and Maintenance                            ")</f>
        <v xml:space="preserve">     Repair and Maintenance                            </v>
      </c>
      <c r="C59" s="12"/>
      <c r="D59" s="1">
        <f>SUM(OSRRefD22_10x_0)</f>
        <v>9480.17</v>
      </c>
      <c r="E59" s="1"/>
      <c r="F59" s="5">
        <f t="shared" ref="F59:F61" si="24">IF(D$12=0,0,D59/D$12)</f>
        <v>0</v>
      </c>
      <c r="G59" s="1"/>
      <c r="H59" s="1">
        <f>SUM(OSRRefH22_10x_0)</f>
        <v>12920</v>
      </c>
      <c r="I59" s="1"/>
      <c r="J59" s="5">
        <f t="shared" ref="J59:J61" si="25">IF(H$12=0,0,H59/H$12)</f>
        <v>0</v>
      </c>
      <c r="K59" s="1"/>
      <c r="L59" s="1">
        <f t="shared" ref="L59:L61" si="26">+D59-H59</f>
        <v>-3439.83</v>
      </c>
      <c r="M59" s="1"/>
      <c r="N59" s="5">
        <f t="shared" ref="N59:N61" si="27">IF(H59=0,0,L59/H59)</f>
        <v>-0.26624071207430339</v>
      </c>
      <c r="O59" s="12"/>
      <c r="P59" s="1">
        <f>SUM(OSRRefP22_10x_0)</f>
        <v>143916.38</v>
      </c>
      <c r="Q59" s="1"/>
      <c r="R59" s="5">
        <f t="shared" ref="R59:R61" si="28">IF(P$12=0,0,P59/P$12)</f>
        <v>0</v>
      </c>
      <c r="S59" s="1"/>
      <c r="T59" s="1">
        <f>SUM(OSRRefT22_10x_0)</f>
        <v>129200</v>
      </c>
      <c r="U59" s="1"/>
      <c r="V59" s="5">
        <f t="shared" ref="V59:V61" si="29">IF(T$12=0,0,T59/T$12)</f>
        <v>0</v>
      </c>
      <c r="W59" s="1"/>
      <c r="X59" s="1">
        <f t="shared" ref="X59:X61" si="30">+P59-T59</f>
        <v>14716.380000000005</v>
      </c>
      <c r="Y59" s="1"/>
      <c r="Z59" s="5">
        <f t="shared" ref="Z59:Z61" si="31">IF(T59=0,0,X59/T59)</f>
        <v>0.11390386996904028</v>
      </c>
    </row>
    <row r="60" spans="1:26" s="24" customFormat="1" hidden="1" outlineLevel="2" x14ac:dyDescent="0.25">
      <c r="A60" s="26"/>
      <c r="B60" s="11" t="str">
        <f>CONCATENATE("          ", "6371", " - ", "COMPUTER SOFTWARE MAINTENANCE")</f>
        <v xml:space="preserve">          6371 - COMPUTER SOFTWARE MAINTENANCE</v>
      </c>
      <c r="C60" s="11"/>
      <c r="D60" s="7">
        <v>9346.2199999999993</v>
      </c>
      <c r="E60" s="2"/>
      <c r="F60" s="6">
        <f t="shared" si="24"/>
        <v>0</v>
      </c>
      <c r="G60" s="2"/>
      <c r="H60" s="7">
        <v>12920</v>
      </c>
      <c r="I60" s="2"/>
      <c r="J60" s="6">
        <f t="shared" si="25"/>
        <v>0</v>
      </c>
      <c r="K60" s="2"/>
      <c r="L60" s="7">
        <f t="shared" si="26"/>
        <v>-3573.7800000000007</v>
      </c>
      <c r="M60" s="2"/>
      <c r="N60" s="6">
        <f t="shared" si="27"/>
        <v>-0.27660835913312698</v>
      </c>
      <c r="O60" s="11"/>
      <c r="P60" s="7">
        <v>143088.76</v>
      </c>
      <c r="Q60" s="2"/>
      <c r="R60" s="6">
        <f t="shared" si="28"/>
        <v>0</v>
      </c>
      <c r="S60" s="2"/>
      <c r="T60" s="7">
        <v>129200</v>
      </c>
      <c r="U60" s="2"/>
      <c r="V60" s="6">
        <f t="shared" si="29"/>
        <v>0</v>
      </c>
      <c r="W60" s="2"/>
      <c r="X60" s="7">
        <f t="shared" si="30"/>
        <v>13888.760000000009</v>
      </c>
      <c r="Y60" s="2"/>
      <c r="Z60" s="6">
        <f t="shared" si="31"/>
        <v>0.10749814241486075</v>
      </c>
    </row>
    <row r="61" spans="1:26" s="24" customFormat="1" hidden="1" outlineLevel="2" x14ac:dyDescent="0.25">
      <c r="A61" s="26"/>
      <c r="B61" s="11" t="str">
        <f>CONCATENATE("          ", "6373", " - ", "MAINTENANCE CONTRACTS")</f>
        <v xml:space="preserve">          6373 - MAINTENANCE CONTRACTS</v>
      </c>
      <c r="C61" s="11"/>
      <c r="D61" s="7">
        <v>133.94999999999999</v>
      </c>
      <c r="E61" s="2"/>
      <c r="F61" s="6">
        <f t="shared" si="24"/>
        <v>0</v>
      </c>
      <c r="G61" s="2"/>
      <c r="H61" s="7"/>
      <c r="I61" s="2"/>
      <c r="J61" s="6">
        <f t="shared" si="25"/>
        <v>0</v>
      </c>
      <c r="K61" s="2"/>
      <c r="L61" s="7">
        <f t="shared" si="26"/>
        <v>133.94999999999999</v>
      </c>
      <c r="M61" s="2"/>
      <c r="N61" s="6">
        <f t="shared" si="27"/>
        <v>0</v>
      </c>
      <c r="O61" s="11"/>
      <c r="P61" s="7">
        <v>827.62</v>
      </c>
      <c r="Q61" s="2"/>
      <c r="R61" s="6">
        <f t="shared" si="28"/>
        <v>0</v>
      </c>
      <c r="S61" s="2"/>
      <c r="T61" s="7"/>
      <c r="U61" s="2"/>
      <c r="V61" s="6">
        <f t="shared" si="29"/>
        <v>0</v>
      </c>
      <c r="W61" s="2"/>
      <c r="X61" s="7">
        <f t="shared" si="30"/>
        <v>827.62</v>
      </c>
      <c r="Y61" s="2"/>
      <c r="Z61" s="6">
        <f t="shared" si="31"/>
        <v>0</v>
      </c>
    </row>
    <row r="62" spans="1:26" s="27" customFormat="1" outlineLevel="1" collapsed="1" x14ac:dyDescent="0.25">
      <c r="A62" s="25"/>
      <c r="B62" s="12" t="str">
        <f>CONCATENATE("     ","Subscriptions &amp; Dues                              ")</f>
        <v xml:space="preserve">     Subscriptions &amp; Dues                              </v>
      </c>
      <c r="C62" s="12"/>
      <c r="D62" s="1">
        <f>SUM(OSRRefD22_11x_0)</f>
        <v>0</v>
      </c>
      <c r="E62" s="1"/>
      <c r="F62" s="5">
        <f t="shared" ref="F62:F67" si="32">IF(D$12=0,0,D62/D$12)</f>
        <v>0</v>
      </c>
      <c r="G62" s="1"/>
      <c r="H62" s="1">
        <f>SUM(OSRRefH22_11x_0)</f>
        <v>0</v>
      </c>
      <c r="I62" s="1"/>
      <c r="J62" s="5">
        <f t="shared" ref="J62:J67" si="33">IF(H$12=0,0,H62/H$12)</f>
        <v>0</v>
      </c>
      <c r="K62" s="1"/>
      <c r="L62" s="1">
        <f t="shared" ref="L62:L67" si="34">+D62-H62</f>
        <v>0</v>
      </c>
      <c r="M62" s="1"/>
      <c r="N62" s="5">
        <f t="shared" ref="N62:N67" si="35">IF(H62=0,0,L62/H62)</f>
        <v>0</v>
      </c>
      <c r="O62" s="12"/>
      <c r="P62" s="1">
        <f>SUM(OSRRefP22_11x_0)</f>
        <v>587</v>
      </c>
      <c r="Q62" s="1"/>
      <c r="R62" s="5">
        <f t="shared" ref="R62:R67" si="36">IF(P$12=0,0,P62/P$12)</f>
        <v>0</v>
      </c>
      <c r="S62" s="1"/>
      <c r="T62" s="1">
        <f>SUM(OSRRefT22_11x_0)</f>
        <v>627</v>
      </c>
      <c r="U62" s="1"/>
      <c r="V62" s="5">
        <f t="shared" ref="V62:V67" si="37">IF(T$12=0,0,T62/T$12)</f>
        <v>0</v>
      </c>
      <c r="W62" s="1"/>
      <c r="X62" s="1">
        <f t="shared" ref="X62:X67" si="38">+P62-T62</f>
        <v>-40</v>
      </c>
      <c r="Y62" s="1"/>
      <c r="Z62" s="5">
        <f t="shared" ref="Z62:Z67" si="39">IF(T62=0,0,X62/T62)</f>
        <v>-6.3795853269537475E-2</v>
      </c>
    </row>
    <row r="63" spans="1:26" s="24" customFormat="1" hidden="1" outlineLevel="2" x14ac:dyDescent="0.25">
      <c r="A63" s="26"/>
      <c r="B63" s="11" t="str">
        <f>CONCATENATE("          ", "6258", " - ", "MEMBERSHIP DUES")</f>
        <v xml:space="preserve">          6258 - MEMBERSHIP DUES</v>
      </c>
      <c r="C63" s="11"/>
      <c r="D63" s="7"/>
      <c r="E63" s="2"/>
      <c r="F63" s="6">
        <f t="shared" si="32"/>
        <v>0</v>
      </c>
      <c r="G63" s="2"/>
      <c r="H63" s="7"/>
      <c r="I63" s="2"/>
      <c r="J63" s="6">
        <f t="shared" si="33"/>
        <v>0</v>
      </c>
      <c r="K63" s="2"/>
      <c r="L63" s="7">
        <f t="shared" si="34"/>
        <v>0</v>
      </c>
      <c r="M63" s="2"/>
      <c r="N63" s="6">
        <f t="shared" si="35"/>
        <v>0</v>
      </c>
      <c r="O63" s="11"/>
      <c r="P63" s="7">
        <v>587</v>
      </c>
      <c r="Q63" s="2"/>
      <c r="R63" s="6">
        <f t="shared" si="36"/>
        <v>0</v>
      </c>
      <c r="S63" s="2"/>
      <c r="T63" s="7">
        <v>627</v>
      </c>
      <c r="U63" s="2"/>
      <c r="V63" s="6">
        <f t="shared" si="37"/>
        <v>0</v>
      </c>
      <c r="W63" s="2"/>
      <c r="X63" s="7">
        <f t="shared" si="38"/>
        <v>-40</v>
      </c>
      <c r="Y63" s="2"/>
      <c r="Z63" s="6">
        <f t="shared" si="39"/>
        <v>-6.3795853269537475E-2</v>
      </c>
    </row>
    <row r="64" spans="1:26" s="27" customFormat="1" outlineLevel="1" collapsed="1" x14ac:dyDescent="0.25">
      <c r="A64" s="25"/>
      <c r="B64" s="12" t="str">
        <f>CONCATENATE("     ","Supplies                                          ")</f>
        <v xml:space="preserve">     Supplies                                          </v>
      </c>
      <c r="C64" s="12"/>
      <c r="D64" s="1">
        <f>SUM(OSRRefD22_12x_0)</f>
        <v>46.57</v>
      </c>
      <c r="E64" s="1"/>
      <c r="F64" s="5">
        <f t="shared" si="32"/>
        <v>0</v>
      </c>
      <c r="G64" s="1"/>
      <c r="H64" s="1">
        <f>SUM(OSRRefH22_12x_0)</f>
        <v>1417</v>
      </c>
      <c r="I64" s="1"/>
      <c r="J64" s="5">
        <f t="shared" si="33"/>
        <v>0</v>
      </c>
      <c r="K64" s="1"/>
      <c r="L64" s="1">
        <f t="shared" si="34"/>
        <v>-1370.43</v>
      </c>
      <c r="M64" s="1"/>
      <c r="N64" s="5">
        <f t="shared" si="35"/>
        <v>-0.96713479181369089</v>
      </c>
      <c r="O64" s="12"/>
      <c r="P64" s="1">
        <f>SUM(OSRRefP22_12x_0)</f>
        <v>16911.580000000002</v>
      </c>
      <c r="Q64" s="1"/>
      <c r="R64" s="5">
        <f t="shared" si="36"/>
        <v>0</v>
      </c>
      <c r="S64" s="1"/>
      <c r="T64" s="1">
        <f>SUM(OSRRefT22_12x_0)</f>
        <v>18137</v>
      </c>
      <c r="U64" s="1"/>
      <c r="V64" s="5">
        <f t="shared" si="37"/>
        <v>0</v>
      </c>
      <c r="W64" s="1"/>
      <c r="X64" s="1">
        <f t="shared" si="38"/>
        <v>-1225.4199999999983</v>
      </c>
      <c r="Y64" s="1"/>
      <c r="Z64" s="5">
        <f t="shared" si="39"/>
        <v>-6.7564646854496244E-2</v>
      </c>
    </row>
    <row r="65" spans="1:26" s="24" customFormat="1" hidden="1" outlineLevel="2" x14ac:dyDescent="0.25">
      <c r="A65" s="26"/>
      <c r="B65" s="11" t="str">
        <f>CONCATENATE("          ", "6241", " - ", "OFFICE EXPENSE")</f>
        <v xml:space="preserve">          6241 - OFFICE EXPENSE</v>
      </c>
      <c r="C65" s="11"/>
      <c r="D65" s="7">
        <v>46.57</v>
      </c>
      <c r="E65" s="2"/>
      <c r="F65" s="6">
        <f t="shared" si="32"/>
        <v>0</v>
      </c>
      <c r="G65" s="2"/>
      <c r="H65" s="7">
        <v>1000</v>
      </c>
      <c r="I65" s="2"/>
      <c r="J65" s="6">
        <f t="shared" si="33"/>
        <v>0</v>
      </c>
      <c r="K65" s="2"/>
      <c r="L65" s="7">
        <f t="shared" si="34"/>
        <v>-953.43</v>
      </c>
      <c r="M65" s="2"/>
      <c r="N65" s="6">
        <f t="shared" si="35"/>
        <v>-0.95343</v>
      </c>
      <c r="O65" s="11"/>
      <c r="P65" s="7">
        <v>12673.23</v>
      </c>
      <c r="Q65" s="2"/>
      <c r="R65" s="6">
        <f t="shared" si="36"/>
        <v>0</v>
      </c>
      <c r="S65" s="2"/>
      <c r="T65" s="7">
        <v>13550</v>
      </c>
      <c r="U65" s="2"/>
      <c r="V65" s="6">
        <f t="shared" si="37"/>
        <v>0</v>
      </c>
      <c r="W65" s="2"/>
      <c r="X65" s="7">
        <f t="shared" si="38"/>
        <v>-876.77000000000044</v>
      </c>
      <c r="Y65" s="2"/>
      <c r="Z65" s="6">
        <f t="shared" si="39"/>
        <v>-6.4706273062730663E-2</v>
      </c>
    </row>
    <row r="66" spans="1:26" s="24" customFormat="1" hidden="1" outlineLevel="2" x14ac:dyDescent="0.25">
      <c r="A66" s="26"/>
      <c r="B66" s="11" t="str">
        <f>CONCATENATE("          ", "6244", " - ", "SAFETY SUPPLY EXPENSE")</f>
        <v xml:space="preserve">          6244 - SAFETY SUPPLY EXPENSE</v>
      </c>
      <c r="C66" s="11"/>
      <c r="D66" s="7"/>
      <c r="E66" s="2"/>
      <c r="F66" s="6">
        <f t="shared" si="32"/>
        <v>0</v>
      </c>
      <c r="G66" s="2"/>
      <c r="H66" s="7">
        <v>417</v>
      </c>
      <c r="I66" s="2"/>
      <c r="J66" s="6">
        <f t="shared" si="33"/>
        <v>0</v>
      </c>
      <c r="K66" s="2"/>
      <c r="L66" s="7">
        <f t="shared" si="34"/>
        <v>-417</v>
      </c>
      <c r="M66" s="2"/>
      <c r="N66" s="6">
        <f t="shared" si="35"/>
        <v>-1</v>
      </c>
      <c r="O66" s="11"/>
      <c r="P66" s="7">
        <v>2034.69</v>
      </c>
      <c r="Q66" s="2"/>
      <c r="R66" s="6">
        <f t="shared" si="36"/>
        <v>0</v>
      </c>
      <c r="S66" s="2"/>
      <c r="T66" s="7">
        <v>4587</v>
      </c>
      <c r="U66" s="2"/>
      <c r="V66" s="6">
        <f t="shared" si="37"/>
        <v>0</v>
      </c>
      <c r="W66" s="2"/>
      <c r="X66" s="7">
        <f t="shared" si="38"/>
        <v>-2552.31</v>
      </c>
      <c r="Y66" s="2"/>
      <c r="Z66" s="6">
        <f t="shared" si="39"/>
        <v>-0.5564224983649444</v>
      </c>
    </row>
    <row r="67" spans="1:26" s="24" customFormat="1" hidden="1" outlineLevel="2" x14ac:dyDescent="0.25">
      <c r="A67" s="26"/>
      <c r="B67" s="11" t="str">
        <f>CONCATENATE("          ", "6245", " - ", "PRINTING")</f>
        <v xml:space="preserve">          6245 - PRINTING</v>
      </c>
      <c r="C67" s="11"/>
      <c r="D67" s="7"/>
      <c r="E67" s="2"/>
      <c r="F67" s="6">
        <f t="shared" si="32"/>
        <v>0</v>
      </c>
      <c r="G67" s="2"/>
      <c r="H67" s="7"/>
      <c r="I67" s="2"/>
      <c r="J67" s="6">
        <f t="shared" si="33"/>
        <v>0</v>
      </c>
      <c r="K67" s="2"/>
      <c r="L67" s="7">
        <f t="shared" si="34"/>
        <v>0</v>
      </c>
      <c r="M67" s="2"/>
      <c r="N67" s="6">
        <f t="shared" si="35"/>
        <v>0</v>
      </c>
      <c r="O67" s="11"/>
      <c r="P67" s="7">
        <v>2203.66</v>
      </c>
      <c r="Q67" s="2"/>
      <c r="R67" s="6">
        <f t="shared" si="36"/>
        <v>0</v>
      </c>
      <c r="S67" s="2"/>
      <c r="T67" s="7"/>
      <c r="U67" s="2"/>
      <c r="V67" s="6">
        <f t="shared" si="37"/>
        <v>0</v>
      </c>
      <c r="W67" s="2"/>
      <c r="X67" s="7">
        <f t="shared" si="38"/>
        <v>2203.66</v>
      </c>
      <c r="Y67" s="2"/>
      <c r="Z67" s="6">
        <f t="shared" si="39"/>
        <v>0</v>
      </c>
    </row>
    <row r="68" spans="1:26" s="27" customFormat="1" outlineLevel="1" collapsed="1" x14ac:dyDescent="0.25">
      <c r="A68" s="25"/>
      <c r="B68" s="12" t="str">
        <f>CONCATENATE("     ","Telephone/Data Lines                              ")</f>
        <v xml:space="preserve">     Telephone/Data Lines                              </v>
      </c>
      <c r="C68" s="12"/>
      <c r="D68" s="1">
        <f>SUM(OSRRefD22_13x_0)</f>
        <v>323.39999999999998</v>
      </c>
      <c r="E68" s="1"/>
      <c r="F68" s="5">
        <f t="shared" ref="F68:F73" si="40">IF(D$12=0,0,D68/D$12)</f>
        <v>0</v>
      </c>
      <c r="G68" s="1"/>
      <c r="H68" s="1">
        <f>SUM(OSRRefH22_13x_0)</f>
        <v>290</v>
      </c>
      <c r="I68" s="1"/>
      <c r="J68" s="5">
        <f t="shared" ref="J68:J73" si="41">IF(H$12=0,0,H68/H$12)</f>
        <v>0</v>
      </c>
      <c r="K68" s="1"/>
      <c r="L68" s="1">
        <f t="shared" ref="L68:L73" si="42">+D68-H68</f>
        <v>33.399999999999977</v>
      </c>
      <c r="M68" s="1"/>
      <c r="N68" s="5">
        <f t="shared" ref="N68:N73" si="43">IF(H68=0,0,L68/H68)</f>
        <v>0.11517241379310338</v>
      </c>
      <c r="O68" s="12"/>
      <c r="P68" s="1">
        <f>SUM(OSRRefP22_13x_0)</f>
        <v>3738.82</v>
      </c>
      <c r="Q68" s="1"/>
      <c r="R68" s="5">
        <f t="shared" ref="R68:R73" si="44">IF(P$12=0,0,P68/P$12)</f>
        <v>0</v>
      </c>
      <c r="S68" s="1"/>
      <c r="T68" s="1">
        <f>SUM(OSRRefT22_13x_0)</f>
        <v>3190</v>
      </c>
      <c r="U68" s="1"/>
      <c r="V68" s="5">
        <f t="shared" ref="V68:V73" si="45">IF(T$12=0,0,T68/T$12)</f>
        <v>0</v>
      </c>
      <c r="W68" s="1"/>
      <c r="X68" s="1">
        <f t="shared" ref="X68:X73" si="46">+P68-T68</f>
        <v>548.82000000000016</v>
      </c>
      <c r="Y68" s="1"/>
      <c r="Z68" s="5">
        <f t="shared" ref="Z68:Z73" si="47">IF(T68=0,0,X68/T68)</f>
        <v>0.17204388714733548</v>
      </c>
    </row>
    <row r="69" spans="1:26" s="24" customFormat="1" hidden="1" outlineLevel="2" x14ac:dyDescent="0.25">
      <c r="A69" s="26"/>
      <c r="B69" s="11" t="str">
        <f>CONCATENATE("          ", "6309", " - ", "TELEPHONE")</f>
        <v xml:space="preserve">          6309 - TELEPHONE</v>
      </c>
      <c r="C69" s="11"/>
      <c r="D69" s="7">
        <v>323.39999999999998</v>
      </c>
      <c r="E69" s="2"/>
      <c r="F69" s="6">
        <f t="shared" si="40"/>
        <v>0</v>
      </c>
      <c r="G69" s="2"/>
      <c r="H69" s="7">
        <v>290</v>
      </c>
      <c r="I69" s="2"/>
      <c r="J69" s="6">
        <f t="shared" si="41"/>
        <v>0</v>
      </c>
      <c r="K69" s="2"/>
      <c r="L69" s="7">
        <f t="shared" si="42"/>
        <v>33.399999999999977</v>
      </c>
      <c r="M69" s="2"/>
      <c r="N69" s="6">
        <f t="shared" si="43"/>
        <v>0.11517241379310338</v>
      </c>
      <c r="O69" s="11"/>
      <c r="P69" s="7">
        <v>3738.82</v>
      </c>
      <c r="Q69" s="2"/>
      <c r="R69" s="6">
        <f t="shared" si="44"/>
        <v>0</v>
      </c>
      <c r="S69" s="2"/>
      <c r="T69" s="7">
        <v>3190</v>
      </c>
      <c r="U69" s="2"/>
      <c r="V69" s="6">
        <f t="shared" si="45"/>
        <v>0</v>
      </c>
      <c r="W69" s="2"/>
      <c r="X69" s="7">
        <f t="shared" si="46"/>
        <v>548.82000000000016</v>
      </c>
      <c r="Y69" s="2"/>
      <c r="Z69" s="6">
        <f t="shared" si="47"/>
        <v>0.17204388714733548</v>
      </c>
    </row>
    <row r="70" spans="1:26" s="27" customFormat="1" outlineLevel="1" collapsed="1" x14ac:dyDescent="0.25">
      <c r="A70" s="25"/>
      <c r="B70" s="12" t="str">
        <f>CONCATENATE("     ","Training                                          ")</f>
        <v xml:space="preserve">     Training                                          </v>
      </c>
      <c r="C70" s="12"/>
      <c r="D70" s="1">
        <f>SUM(OSRRefD22_14x_0)</f>
        <v>-97</v>
      </c>
      <c r="E70" s="1"/>
      <c r="F70" s="5">
        <f t="shared" si="40"/>
        <v>0</v>
      </c>
      <c r="G70" s="1"/>
      <c r="H70" s="1">
        <f>SUM(OSRRefH22_14x_0)</f>
        <v>0</v>
      </c>
      <c r="I70" s="1"/>
      <c r="J70" s="5">
        <f t="shared" si="41"/>
        <v>0</v>
      </c>
      <c r="K70" s="1"/>
      <c r="L70" s="1">
        <f t="shared" si="42"/>
        <v>-97</v>
      </c>
      <c r="M70" s="1"/>
      <c r="N70" s="5">
        <f t="shared" si="43"/>
        <v>0</v>
      </c>
      <c r="O70" s="12"/>
      <c r="P70" s="1">
        <f>SUM(OSRRefP22_14x_0)</f>
        <v>10624.8</v>
      </c>
      <c r="Q70" s="1"/>
      <c r="R70" s="5">
        <f t="shared" si="44"/>
        <v>0</v>
      </c>
      <c r="S70" s="1"/>
      <c r="T70" s="1">
        <f>SUM(OSRRefT22_14x_0)</f>
        <v>8000</v>
      </c>
      <c r="U70" s="1"/>
      <c r="V70" s="5">
        <f t="shared" si="45"/>
        <v>0</v>
      </c>
      <c r="W70" s="1"/>
      <c r="X70" s="1">
        <f t="shared" si="46"/>
        <v>2624.7999999999993</v>
      </c>
      <c r="Y70" s="1"/>
      <c r="Z70" s="5">
        <f t="shared" si="47"/>
        <v>0.32809999999999989</v>
      </c>
    </row>
    <row r="71" spans="1:26" s="24" customFormat="1" hidden="1" outlineLevel="2" x14ac:dyDescent="0.25">
      <c r="A71" s="26"/>
      <c r="B71" s="11" t="str">
        <f>CONCATENATE("          ", "6376", " - ", "TRAINING")</f>
        <v xml:space="preserve">          6376 - TRAINING</v>
      </c>
      <c r="C71" s="11"/>
      <c r="D71" s="7">
        <v>-97</v>
      </c>
      <c r="E71" s="2"/>
      <c r="F71" s="6">
        <f t="shared" si="40"/>
        <v>0</v>
      </c>
      <c r="G71" s="2"/>
      <c r="H71" s="7"/>
      <c r="I71" s="2"/>
      <c r="J71" s="6">
        <f t="shared" si="41"/>
        <v>0</v>
      </c>
      <c r="K71" s="2"/>
      <c r="L71" s="7">
        <f t="shared" si="42"/>
        <v>-97</v>
      </c>
      <c r="M71" s="2"/>
      <c r="N71" s="6">
        <f t="shared" si="43"/>
        <v>0</v>
      </c>
      <c r="O71" s="11"/>
      <c r="P71" s="7">
        <v>10624.8</v>
      </c>
      <c r="Q71" s="2"/>
      <c r="R71" s="6">
        <f t="shared" si="44"/>
        <v>0</v>
      </c>
      <c r="S71" s="2"/>
      <c r="T71" s="7">
        <v>8000</v>
      </c>
      <c r="U71" s="2"/>
      <c r="V71" s="6">
        <f t="shared" si="45"/>
        <v>0</v>
      </c>
      <c r="W71" s="2"/>
      <c r="X71" s="7">
        <f t="shared" si="46"/>
        <v>2624.7999999999993</v>
      </c>
      <c r="Y71" s="2"/>
      <c r="Z71" s="6">
        <f t="shared" si="47"/>
        <v>0.32809999999999989</v>
      </c>
    </row>
    <row r="72" spans="1:26" s="27" customFormat="1" outlineLevel="1" collapsed="1" x14ac:dyDescent="0.25">
      <c r="A72" s="25"/>
      <c r="B72" s="12" t="str">
        <f>CONCATENATE("     ","Travel                                            ")</f>
        <v xml:space="preserve">     Travel                                            </v>
      </c>
      <c r="C72" s="12"/>
      <c r="D72" s="1">
        <f>SUM(OSRRefD22_15x_0)</f>
        <v>0</v>
      </c>
      <c r="E72" s="1"/>
      <c r="F72" s="5">
        <f t="shared" si="40"/>
        <v>0</v>
      </c>
      <c r="G72" s="1"/>
      <c r="H72" s="1">
        <f>SUM(OSRRefH22_15x_0)</f>
        <v>0</v>
      </c>
      <c r="I72" s="1"/>
      <c r="J72" s="5">
        <f t="shared" si="41"/>
        <v>0</v>
      </c>
      <c r="K72" s="1"/>
      <c r="L72" s="1">
        <f t="shared" si="42"/>
        <v>0</v>
      </c>
      <c r="M72" s="1"/>
      <c r="N72" s="5">
        <f t="shared" si="43"/>
        <v>0</v>
      </c>
      <c r="O72" s="12"/>
      <c r="P72" s="1">
        <f>SUM(OSRRefP22_15x_0)</f>
        <v>3487.01</v>
      </c>
      <c r="Q72" s="1"/>
      <c r="R72" s="5">
        <f t="shared" si="44"/>
        <v>0</v>
      </c>
      <c r="S72" s="1"/>
      <c r="T72" s="1">
        <f>SUM(OSRRefT22_15x_0)</f>
        <v>4879</v>
      </c>
      <c r="U72" s="1"/>
      <c r="V72" s="5">
        <f t="shared" si="45"/>
        <v>0</v>
      </c>
      <c r="W72" s="1"/>
      <c r="X72" s="1">
        <f t="shared" si="46"/>
        <v>-1391.9899999999998</v>
      </c>
      <c r="Y72" s="1"/>
      <c r="Z72" s="5">
        <f t="shared" si="47"/>
        <v>-0.28530231604837053</v>
      </c>
    </row>
    <row r="73" spans="1:26" s="24" customFormat="1" hidden="1" outlineLevel="2" x14ac:dyDescent="0.25">
      <c r="A73" s="26"/>
      <c r="B73" s="11" t="str">
        <f>CONCATENATE("          ", "6292", " - ", "TRAVEL/CONFERENCE")</f>
        <v xml:space="preserve">          6292 - TRAVEL/CONFERENCE</v>
      </c>
      <c r="C73" s="11"/>
      <c r="D73" s="7"/>
      <c r="E73" s="2"/>
      <c r="F73" s="6">
        <f t="shared" si="40"/>
        <v>0</v>
      </c>
      <c r="G73" s="2"/>
      <c r="H73" s="7"/>
      <c r="I73" s="2"/>
      <c r="J73" s="6">
        <f t="shared" si="41"/>
        <v>0</v>
      </c>
      <c r="K73" s="2"/>
      <c r="L73" s="7">
        <f t="shared" si="42"/>
        <v>0</v>
      </c>
      <c r="M73" s="2"/>
      <c r="N73" s="6">
        <f t="shared" si="43"/>
        <v>0</v>
      </c>
      <c r="O73" s="11"/>
      <c r="P73" s="7">
        <v>3487.01</v>
      </c>
      <c r="Q73" s="2"/>
      <c r="R73" s="6">
        <f t="shared" si="44"/>
        <v>0</v>
      </c>
      <c r="S73" s="2"/>
      <c r="T73" s="7">
        <v>4879</v>
      </c>
      <c r="U73" s="2"/>
      <c r="V73" s="6">
        <f t="shared" si="45"/>
        <v>0</v>
      </c>
      <c r="W73" s="2"/>
      <c r="X73" s="7">
        <f t="shared" si="46"/>
        <v>-1391.9899999999998</v>
      </c>
      <c r="Y73" s="2"/>
      <c r="Z73" s="6">
        <f t="shared" si="47"/>
        <v>-0.28530231604837053</v>
      </c>
    </row>
    <row r="74" spans="1:26" s="62" customFormat="1" x14ac:dyDescent="0.25">
      <c r="A74" s="36"/>
      <c r="B74" s="36"/>
      <c r="C74" s="36"/>
      <c r="D74" s="1"/>
      <c r="E74" s="1"/>
      <c r="F74" s="5"/>
      <c r="G74" s="1"/>
      <c r="H74" s="1"/>
      <c r="I74" s="1"/>
      <c r="J74" s="5"/>
      <c r="K74" s="1"/>
      <c r="L74" s="1"/>
      <c r="M74" s="1"/>
      <c r="N74" s="5"/>
      <c r="O74" s="36"/>
      <c r="P74" s="1"/>
      <c r="Q74" s="1"/>
      <c r="R74" s="5"/>
      <c r="S74" s="1"/>
      <c r="T74" s="1"/>
      <c r="U74" s="1"/>
      <c r="V74" s="5"/>
      <c r="W74" s="1"/>
      <c r="X74" s="1"/>
      <c r="Y74" s="1"/>
      <c r="Z74" s="5"/>
    </row>
    <row r="75" spans="1:26" s="23" customFormat="1" x14ac:dyDescent="0.25">
      <c r="A75" s="10"/>
      <c r="B75" s="28" t="s">
        <v>0</v>
      </c>
      <c r="C75" s="10"/>
      <c r="D75" s="4">
        <f>SUM(0)</f>
        <v>0</v>
      </c>
      <c r="E75" s="4"/>
      <c r="F75" s="13">
        <f>IF(D$12=0,0,D75/D$12)</f>
        <v>0</v>
      </c>
      <c r="G75" s="4"/>
      <c r="H75" s="4">
        <f>SUM(0)</f>
        <v>0</v>
      </c>
      <c r="I75" s="4"/>
      <c r="J75" s="13">
        <f>IF(H$12=0,0,H75/H$12)</f>
        <v>0</v>
      </c>
      <c r="K75" s="4"/>
      <c r="L75" s="4">
        <f>+D75-H75</f>
        <v>0</v>
      </c>
      <c r="M75" s="4"/>
      <c r="N75" s="13">
        <f>IF(H75=0,0,L75/H75)</f>
        <v>0</v>
      </c>
      <c r="O75" s="10"/>
      <c r="P75" s="4">
        <f>SUM(0)</f>
        <v>0</v>
      </c>
      <c r="Q75" s="4"/>
      <c r="R75" s="13">
        <f>IF(P$12=0,0,P75/P$12)</f>
        <v>0</v>
      </c>
      <c r="S75" s="4"/>
      <c r="T75" s="4">
        <f>SUM(0)</f>
        <v>0</v>
      </c>
      <c r="U75" s="4"/>
      <c r="V75" s="13">
        <f>IF(T$12=0,0,T75/T$12)</f>
        <v>0</v>
      </c>
      <c r="W75" s="4"/>
      <c r="X75" s="4">
        <f>+P75-T75</f>
        <v>0</v>
      </c>
      <c r="Y75" s="4"/>
      <c r="Z75" s="13">
        <f>IF(T75=0,0,X75/T75)</f>
        <v>0</v>
      </c>
    </row>
    <row r="76" spans="1:26" x14ac:dyDescent="0.25">
      <c r="A76" s="9"/>
      <c r="B76" s="10"/>
      <c r="C76" s="10"/>
      <c r="D76" s="3"/>
      <c r="E76" s="3"/>
      <c r="F76" s="8"/>
      <c r="G76" s="3"/>
      <c r="H76" s="3"/>
      <c r="I76" s="3"/>
      <c r="J76" s="8"/>
      <c r="K76" s="3"/>
      <c r="L76" s="3"/>
      <c r="M76" s="3"/>
      <c r="N76" s="8"/>
      <c r="O76" s="10"/>
      <c r="P76" s="3"/>
      <c r="Q76" s="3"/>
      <c r="R76" s="8"/>
      <c r="S76" s="3"/>
      <c r="T76" s="3"/>
      <c r="U76" s="3"/>
      <c r="V76" s="8"/>
      <c r="W76" s="3"/>
      <c r="X76" s="3"/>
      <c r="Y76" s="3"/>
      <c r="Z76" s="8"/>
    </row>
    <row r="77" spans="1:26" s="23" customFormat="1" x14ac:dyDescent="0.25">
      <c r="A77" s="10"/>
      <c r="B77" s="29" t="s">
        <v>3</v>
      </c>
      <c r="C77" s="29"/>
      <c r="D77" s="20">
        <f>+D16-D18+D75</f>
        <v>-46363.990000000005</v>
      </c>
      <c r="E77" s="14"/>
      <c r="F77" s="22">
        <f>IF(D$12=0,0,D77/D$12)</f>
        <v>0</v>
      </c>
      <c r="G77" s="14"/>
      <c r="H77" s="20">
        <f>+H16-H18+H75</f>
        <v>-50111.270203673834</v>
      </c>
      <c r="I77" s="14"/>
      <c r="J77" s="22">
        <f>IF(H$12=0,0,H77/H$12)</f>
        <v>0</v>
      </c>
      <c r="K77" s="16"/>
      <c r="L77" s="20">
        <f>+D77-H77</f>
        <v>3747.2802036738285</v>
      </c>
      <c r="M77" s="16"/>
      <c r="N77" s="22">
        <f>IF(H77=0,0,L77/H77)</f>
        <v>-7.4779190159085254E-2</v>
      </c>
      <c r="O77" s="28"/>
      <c r="P77" s="20">
        <f>+P16-P18+P75</f>
        <v>-758327.4</v>
      </c>
      <c r="Q77" s="14"/>
      <c r="R77" s="22">
        <f>IF(P$12=0,0,P77/P$12)</f>
        <v>0</v>
      </c>
      <c r="S77" s="14"/>
      <c r="T77" s="20">
        <f>+T16-T18+T75</f>
        <v>-670480.39878442767</v>
      </c>
      <c r="U77" s="14"/>
      <c r="V77" s="22">
        <f>IF(T$12=0,0,T77/T$12)</f>
        <v>0</v>
      </c>
      <c r="W77" s="16"/>
      <c r="X77" s="20">
        <f>+P77-T77</f>
        <v>-87847.001215572353</v>
      </c>
      <c r="Y77" s="16"/>
      <c r="Z77" s="22">
        <f>IF(T77=0,0,X77/T77)</f>
        <v>0.13102098342447868</v>
      </c>
    </row>
    <row r="78" spans="1:26" x14ac:dyDescent="0.25">
      <c r="A78" s="9"/>
      <c r="B78" s="10"/>
      <c r="C78" s="9"/>
      <c r="D78" s="3"/>
      <c r="E78" s="3"/>
      <c r="F78" s="8"/>
      <c r="G78" s="3"/>
      <c r="H78" s="3"/>
      <c r="I78" s="3"/>
      <c r="J78" s="8"/>
      <c r="K78" s="3"/>
      <c r="L78" s="3"/>
      <c r="M78" s="3"/>
      <c r="N78" s="8"/>
      <c r="P78" s="3"/>
      <c r="Q78" s="3"/>
      <c r="R78" s="8"/>
      <c r="S78" s="3"/>
      <c r="T78" s="3"/>
      <c r="U78" s="3"/>
      <c r="V78" s="8"/>
      <c r="W78" s="3"/>
      <c r="X78" s="3"/>
      <c r="Y78" s="3"/>
      <c r="Z78" s="8"/>
    </row>
    <row r="79" spans="1:26" s="23" customFormat="1" x14ac:dyDescent="0.25">
      <c r="A79" s="52"/>
      <c r="B79" s="10" t="s">
        <v>14</v>
      </c>
      <c r="C79" s="10"/>
      <c r="D79" s="4"/>
      <c r="E79" s="4"/>
      <c r="F79" s="13">
        <f>IF(D$12=0,0,D79/D$12)</f>
        <v>0</v>
      </c>
      <c r="G79" s="4"/>
      <c r="H79" s="4"/>
      <c r="I79" s="4"/>
      <c r="J79" s="13">
        <f>IF(H$12=0,0,H79/H$12)</f>
        <v>0</v>
      </c>
      <c r="K79" s="4"/>
      <c r="L79" s="4">
        <f>+D79-H79</f>
        <v>0</v>
      </c>
      <c r="M79" s="4"/>
      <c r="N79" s="13">
        <f>IF(H79=0,0,L79/H79)</f>
        <v>0</v>
      </c>
      <c r="O79" s="10"/>
      <c r="P79" s="4"/>
      <c r="Q79" s="4"/>
      <c r="R79" s="13">
        <f>IF(P$12=0,0,P79/P$12)</f>
        <v>0</v>
      </c>
      <c r="S79" s="4"/>
      <c r="T79" s="4"/>
      <c r="U79" s="4"/>
      <c r="V79" s="13">
        <f>IF(T$12=0,0,T79/T$12)</f>
        <v>0</v>
      </c>
      <c r="W79" s="4"/>
      <c r="X79" s="4">
        <f>+P79-T79</f>
        <v>0</v>
      </c>
      <c r="Y79" s="4"/>
      <c r="Z79" s="13">
        <f>IF(T79=0,0,X79/T79)</f>
        <v>0</v>
      </c>
    </row>
    <row r="80" spans="1:26" x14ac:dyDescent="0.25">
      <c r="A80" s="9"/>
      <c r="B80" s="10"/>
      <c r="C80" s="10"/>
      <c r="D80" s="3"/>
      <c r="E80" s="3"/>
      <c r="F80" s="8"/>
      <c r="G80" s="3"/>
      <c r="H80" s="3"/>
      <c r="I80" s="3"/>
      <c r="J80" s="8"/>
      <c r="K80" s="3"/>
      <c r="L80" s="3"/>
      <c r="M80" s="3"/>
      <c r="N80" s="8"/>
      <c r="O80" s="10"/>
      <c r="P80" s="3"/>
      <c r="Q80" s="3"/>
      <c r="R80" s="8"/>
      <c r="S80" s="3"/>
      <c r="T80" s="3"/>
      <c r="U80" s="3"/>
      <c r="V80" s="8"/>
      <c r="W80" s="3"/>
      <c r="X80" s="3"/>
      <c r="Y80" s="3"/>
      <c r="Z80" s="8"/>
    </row>
    <row r="81" spans="1:26" s="23" customFormat="1" ht="15.75" thickBot="1" x14ac:dyDescent="0.3">
      <c r="A81" s="10"/>
      <c r="B81" s="29" t="s">
        <v>4</v>
      </c>
      <c r="C81" s="29"/>
      <c r="D81" s="35">
        <f>+D77-D79</f>
        <v>-46363.990000000005</v>
      </c>
      <c r="E81" s="14"/>
      <c r="F81" s="32">
        <f>IF(D$12=0,0,D81/D$12)</f>
        <v>0</v>
      </c>
      <c r="G81" s="14"/>
      <c r="H81" s="35">
        <f>+H77-H79</f>
        <v>-50111.270203673834</v>
      </c>
      <c r="I81" s="14"/>
      <c r="J81" s="32">
        <f>IF(H$12=0,0,H81/H$12)</f>
        <v>0</v>
      </c>
      <c r="K81" s="16"/>
      <c r="L81" s="35">
        <f>D81-H81</f>
        <v>3747.2802036738285</v>
      </c>
      <c r="M81" s="16"/>
      <c r="N81" s="32">
        <f>IF(H81=0,0,L81/H81)</f>
        <v>-7.4779190159085254E-2</v>
      </c>
      <c r="O81" s="28"/>
      <c r="P81" s="35">
        <f>+P77-P79</f>
        <v>-758327.4</v>
      </c>
      <c r="Q81" s="14"/>
      <c r="R81" s="32">
        <f>IF(P$12=0,0,P81/P$12)</f>
        <v>0</v>
      </c>
      <c r="S81" s="14"/>
      <c r="T81" s="35">
        <f>+T77-T79</f>
        <v>-670480.39878442767</v>
      </c>
      <c r="U81" s="14"/>
      <c r="V81" s="32">
        <f>IF(T$12=0,0,T81/T$12)</f>
        <v>0</v>
      </c>
      <c r="W81" s="16"/>
      <c r="X81" s="35">
        <f>P81-T81</f>
        <v>-87847.001215572353</v>
      </c>
      <c r="Y81" s="16"/>
      <c r="Z81" s="32">
        <f>IF(T81=0,0,X81/T81)</f>
        <v>0.13102098342447868</v>
      </c>
    </row>
    <row r="82" spans="1:26" ht="15.75" thickTop="1" x14ac:dyDescent="0.25">
      <c r="A82" s="9"/>
      <c r="B82" s="9"/>
      <c r="C82" s="9"/>
      <c r="D82" s="3"/>
      <c r="E82" s="3"/>
      <c r="F82" s="8"/>
      <c r="G82" s="3"/>
      <c r="H82" s="3"/>
      <c r="I82" s="3"/>
      <c r="J82" s="8"/>
      <c r="K82" s="3"/>
      <c r="L82" s="3"/>
      <c r="M82" s="3"/>
      <c r="N82" s="8"/>
      <c r="P82" s="3"/>
      <c r="Q82" s="3"/>
      <c r="R82" s="8"/>
      <c r="S82" s="3"/>
      <c r="T82" s="3"/>
      <c r="U82" s="3"/>
      <c r="V82" s="8"/>
      <c r="W82" s="3"/>
      <c r="X82" s="3"/>
      <c r="Y82" s="3"/>
      <c r="Z82" s="8"/>
    </row>
    <row r="83" spans="1:26" x14ac:dyDescent="0.25">
      <c r="A83" s="9"/>
      <c r="B83" s="9"/>
      <c r="C83" s="9"/>
      <c r="D83" s="3"/>
      <c r="E83" s="3"/>
      <c r="F83" s="8"/>
      <c r="G83" s="3"/>
      <c r="H83" s="3"/>
      <c r="I83" s="3"/>
      <c r="J83" s="8"/>
      <c r="K83" s="3"/>
      <c r="L83" s="3"/>
      <c r="M83" s="3"/>
      <c r="N83" s="8"/>
      <c r="P83" s="3"/>
      <c r="Q83" s="3"/>
      <c r="R83" s="8"/>
      <c r="S83" s="3"/>
      <c r="T83" s="3"/>
      <c r="U83" s="3"/>
      <c r="V83" s="8"/>
      <c r="W83" s="3"/>
      <c r="X83" s="3"/>
      <c r="Y83" s="3"/>
      <c r="Z83" s="8"/>
    </row>
    <row r="84" spans="1:26" s="23" customFormat="1" ht="15.75" thickBot="1" x14ac:dyDescent="0.3">
      <c r="A84" s="10"/>
      <c r="B84" s="29" t="s">
        <v>5</v>
      </c>
      <c r="C84" s="29"/>
      <c r="D84" s="34">
        <f>SUM(D81:D83)</f>
        <v>-46363.990000000005</v>
      </c>
      <c r="E84" s="14"/>
      <c r="F84" s="31">
        <f>IF(D$12=0,0,D84/D$12)</f>
        <v>0</v>
      </c>
      <c r="G84" s="14"/>
      <c r="H84" s="34">
        <f>SUM(H81:H83)</f>
        <v>-50111.270203673834</v>
      </c>
      <c r="I84" s="14"/>
      <c r="J84" s="31">
        <f>IF(H$12=0,0,H84/H$12)</f>
        <v>0</v>
      </c>
      <c r="K84" s="16"/>
      <c r="L84" s="34">
        <f>+D84-H84</f>
        <v>3747.2802036738285</v>
      </c>
      <c r="M84" s="16"/>
      <c r="N84" s="31">
        <f>IF(H84=0,0,L84/H84)</f>
        <v>-7.4779190159085254E-2</v>
      </c>
      <c r="O84" s="28"/>
      <c r="P84" s="34">
        <f>SUM(P81:P83)</f>
        <v>-758327.4</v>
      </c>
      <c r="Q84" s="14"/>
      <c r="R84" s="31">
        <f>IF(P$12=0,0,P84/P$12)</f>
        <v>0</v>
      </c>
      <c r="S84" s="14"/>
      <c r="T84" s="34">
        <f>SUM(T81:T83)</f>
        <v>-670480.39878442767</v>
      </c>
      <c r="U84" s="14"/>
      <c r="V84" s="31">
        <f>IF(T$12=0,0,T84/T$12)</f>
        <v>0</v>
      </c>
      <c r="W84" s="16"/>
      <c r="X84" s="34">
        <f>+P84-T84</f>
        <v>-87847.001215572353</v>
      </c>
      <c r="Y84" s="16"/>
      <c r="Z84" s="31">
        <f>IF(T84=0,0,X84/T84)</f>
        <v>0.13102098342447868</v>
      </c>
    </row>
    <row r="85" spans="1:26" ht="15.75" thickTop="1" x14ac:dyDescent="0.25">
      <c r="A85" s="9"/>
      <c r="C85" s="9"/>
      <c r="D85" s="18"/>
      <c r="E85" s="18"/>
      <c r="G85" s="18"/>
      <c r="H85" s="18"/>
      <c r="I85" s="18"/>
      <c r="J85" s="42"/>
      <c r="K85" s="18"/>
      <c r="L85" s="18"/>
      <c r="M85" s="18"/>
      <c r="P85" s="18"/>
      <c r="Q85" s="18"/>
      <c r="R85" s="42"/>
      <c r="S85" s="18"/>
      <c r="T85" s="18"/>
      <c r="U85" s="18"/>
      <c r="V85" s="42"/>
      <c r="W85" s="18"/>
      <c r="X85" s="18"/>
    </row>
    <row r="86" spans="1:26" x14ac:dyDescent="0.25">
      <c r="A86" s="9"/>
      <c r="B86" s="59">
        <v>43992.371357905089</v>
      </c>
      <c r="D86" s="18"/>
      <c r="E86" s="18"/>
      <c r="G86" s="18"/>
      <c r="H86" s="18"/>
      <c r="I86" s="18"/>
      <c r="J86" s="42"/>
      <c r="K86" s="18"/>
      <c r="L86" s="18"/>
      <c r="M86" s="18"/>
      <c r="P86" s="18"/>
      <c r="Q86" s="18"/>
      <c r="R86" s="42"/>
      <c r="S86" s="18"/>
      <c r="T86" s="18"/>
      <c r="U86" s="18"/>
      <c r="V86" s="42"/>
      <c r="W86" s="18"/>
      <c r="X86" s="18"/>
    </row>
    <row r="87" spans="1:26" x14ac:dyDescent="0.25">
      <c r="A87" s="9"/>
      <c r="B87" s="56" t="s">
        <v>314</v>
      </c>
      <c r="D87" s="18"/>
      <c r="E87" s="18"/>
      <c r="G87" s="18"/>
      <c r="H87" s="18"/>
      <c r="I87" s="18"/>
      <c r="J87" s="42"/>
      <c r="K87" s="18"/>
      <c r="L87" s="18"/>
      <c r="M87" s="18"/>
      <c r="P87" s="18"/>
      <c r="Q87" s="18"/>
      <c r="R87" s="42"/>
      <c r="S87" s="18"/>
      <c r="T87" s="18"/>
      <c r="U87" s="18"/>
      <c r="V87" s="42"/>
      <c r="W87" s="18"/>
      <c r="X87" s="18"/>
    </row>
    <row r="88" spans="1:26" x14ac:dyDescent="0.25">
      <c r="A88" s="9"/>
      <c r="B88" s="54"/>
      <c r="D88" s="18"/>
      <c r="E88" s="18"/>
      <c r="G88" s="18"/>
      <c r="H88" s="18"/>
      <c r="I88" s="18"/>
      <c r="J88" s="42"/>
      <c r="K88" s="18"/>
      <c r="L88" s="18"/>
      <c r="M88" s="18"/>
      <c r="P88" s="18"/>
      <c r="Q88" s="18"/>
      <c r="R88" s="42"/>
      <c r="S88" s="18"/>
      <c r="T88" s="18"/>
      <c r="U88" s="18"/>
      <c r="V88" s="42"/>
      <c r="W88" s="18"/>
      <c r="X88" s="18"/>
    </row>
    <row r="89" spans="1:26" x14ac:dyDescent="0.25">
      <c r="D89" s="18"/>
      <c r="E89" s="18"/>
      <c r="G89" s="18"/>
      <c r="H89" s="18"/>
      <c r="I89" s="18"/>
      <c r="J89" s="42"/>
      <c r="K89" s="18"/>
      <c r="L89" s="18"/>
      <c r="M89" s="18"/>
      <c r="P89" s="18"/>
      <c r="Q89" s="18"/>
      <c r="R89" s="42"/>
      <c r="S89" s="18"/>
      <c r="T89" s="18"/>
      <c r="U89" s="18"/>
      <c r="V89" s="42"/>
      <c r="W89" s="18"/>
      <c r="X89" s="18"/>
    </row>
  </sheetData>
  <pageMargins left="0.25" right="0.25" top="0.75" bottom="0.75" header="0.3" footer="0.3"/>
  <pageSetup scale="55" fitToWidth="2" orientation="landscape"/>
  <drawing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86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63" t="s">
        <v>13</v>
      </c>
    </row>
    <row r="3" spans="1:26" x14ac:dyDescent="0.25">
      <c r="D3" s="63" t="s">
        <v>296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61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63" t="str">
        <f>CONCATENATE("Period ",RIGHT(202011,2),", ",2020)</f>
        <v>Period 11, 2020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61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4">
        <v>43981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61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51"/>
      <c r="C6" s="51"/>
      <c r="D6" s="23" t="str">
        <f>CONCATENATE("Department ","204", " - ", "Information Technology")</f>
        <v>Department 204 - Information Technology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57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5" t="s">
        <v>294</v>
      </c>
      <c r="E9" s="15"/>
      <c r="F9" s="38"/>
      <c r="G9" s="15"/>
      <c r="H9" s="15"/>
      <c r="I9" s="15"/>
      <c r="J9" s="46"/>
      <c r="K9" s="15"/>
      <c r="L9" s="15"/>
      <c r="M9" s="15"/>
      <c r="N9" s="38"/>
      <c r="P9" s="15" t="s">
        <v>295</v>
      </c>
      <c r="Q9" s="15"/>
      <c r="R9" s="38"/>
      <c r="S9" s="15"/>
      <c r="T9" s="15"/>
      <c r="U9" s="15"/>
      <c r="V9" s="46"/>
      <c r="W9" s="15"/>
      <c r="X9" s="15"/>
      <c r="Y9" s="15"/>
      <c r="Z9" s="38"/>
    </row>
    <row r="10" spans="1:26" x14ac:dyDescent="0.25">
      <c r="A10" s="10"/>
      <c r="B10" s="55"/>
      <c r="C10" s="10"/>
      <c r="D10" s="43" t="s">
        <v>10</v>
      </c>
      <c r="E10" s="33"/>
      <c r="F10" s="40" t="s">
        <v>15</v>
      </c>
      <c r="G10" s="33"/>
      <c r="H10" s="47" t="s">
        <v>11</v>
      </c>
      <c r="I10" s="33"/>
      <c r="J10" s="45" t="s">
        <v>16</v>
      </c>
      <c r="K10" s="10"/>
      <c r="L10" s="43" t="s">
        <v>12</v>
      </c>
      <c r="M10" s="10"/>
      <c r="N10" s="40" t="s">
        <v>17</v>
      </c>
      <c r="O10" s="10"/>
      <c r="P10" s="53" t="s">
        <v>10</v>
      </c>
      <c r="Q10" s="33"/>
      <c r="R10" s="40" t="s">
        <v>15</v>
      </c>
      <c r="S10" s="33"/>
      <c r="T10" s="47" t="s">
        <v>11</v>
      </c>
      <c r="U10" s="33"/>
      <c r="V10" s="45" t="s">
        <v>16</v>
      </c>
      <c r="W10" s="10"/>
      <c r="X10" s="43" t="s">
        <v>12</v>
      </c>
      <c r="Y10" s="10"/>
      <c r="Z10" s="40" t="s">
        <v>17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0</v>
      </c>
      <c r="E12" s="4"/>
      <c r="F12" s="13"/>
      <c r="G12" s="4"/>
      <c r="H12" s="4">
        <f>SUM(OSRRefH13x_0)</f>
        <v>0</v>
      </c>
      <c r="I12" s="4"/>
      <c r="J12" s="13"/>
      <c r="K12" s="4"/>
      <c r="L12" s="4">
        <f t="shared" ref="L12:L13" si="0">+D12-H12</f>
        <v>0</v>
      </c>
      <c r="M12" s="4"/>
      <c r="N12" s="13">
        <f t="shared" ref="N12:N13" si="1">IF(H12=0,0,L12/H12)</f>
        <v>0</v>
      </c>
      <c r="O12" s="10"/>
      <c r="P12" s="4">
        <f>SUM(OSRRefP13x_0)</f>
        <v>0</v>
      </c>
      <c r="Q12" s="4"/>
      <c r="R12" s="13"/>
      <c r="S12" s="4"/>
      <c r="T12" s="4">
        <f>SUM(OSRRefT13x_0)</f>
        <v>200</v>
      </c>
      <c r="U12" s="4"/>
      <c r="V12" s="13"/>
      <c r="W12" s="4"/>
      <c r="X12" s="4">
        <f t="shared" ref="X12:X13" si="2">+P12-T12</f>
        <v>-200</v>
      </c>
      <c r="Y12" s="4"/>
      <c r="Z12" s="13">
        <f t="shared" ref="Z12:Z13" si="3">IF(T12=0,0,X12/T12)</f>
        <v>-1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>0</f>
        <v>0</v>
      </c>
      <c r="E13" s="2"/>
      <c r="F13" s="19"/>
      <c r="G13" s="2"/>
      <c r="H13" s="2"/>
      <c r="I13" s="2"/>
      <c r="J13" s="19"/>
      <c r="K13" s="2"/>
      <c r="L13" s="2">
        <f t="shared" si="0"/>
        <v>0</v>
      </c>
      <c r="M13" s="2"/>
      <c r="N13" s="19">
        <f t="shared" si="1"/>
        <v>0</v>
      </c>
      <c r="O13" s="11"/>
      <c r="P13" s="2">
        <f>0</f>
        <v>0</v>
      </c>
      <c r="Q13" s="2"/>
      <c r="R13" s="19"/>
      <c r="S13" s="2"/>
      <c r="T13" s="2">
        <v>200</v>
      </c>
      <c r="U13" s="2"/>
      <c r="V13" s="19"/>
      <c r="W13" s="2"/>
      <c r="X13" s="2">
        <f t="shared" si="2"/>
        <v>-200</v>
      </c>
      <c r="Y13" s="2"/>
      <c r="Z13" s="19">
        <f t="shared" si="3"/>
        <v>-1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x14ac:dyDescent="0.25">
      <c r="A15" s="10"/>
      <c r="B15" s="28" t="s">
        <v>8</v>
      </c>
      <c r="C15" s="10"/>
      <c r="D15" s="4">
        <f>SUM(0)</f>
        <v>0</v>
      </c>
      <c r="E15" s="4"/>
      <c r="F15" s="13">
        <f>IF(D$12=0,0,D15/D$12)</f>
        <v>0</v>
      </c>
      <c r="G15" s="4"/>
      <c r="H15" s="4">
        <f>SUM(0)</f>
        <v>0</v>
      </c>
      <c r="I15" s="4"/>
      <c r="J15" s="13">
        <f>IF(H$12=0,0,H15/H$12)</f>
        <v>0</v>
      </c>
      <c r="K15" s="4"/>
      <c r="L15" s="4">
        <f>+D15-H15</f>
        <v>0</v>
      </c>
      <c r="M15" s="4"/>
      <c r="N15" s="13">
        <f>IF(H15=0,0,L15/H15)</f>
        <v>0</v>
      </c>
      <c r="O15" s="10"/>
      <c r="P15" s="4">
        <f>SUM(0)</f>
        <v>0</v>
      </c>
      <c r="Q15" s="4"/>
      <c r="R15" s="13">
        <f>IF(P$12=0,0,P15/P$12)</f>
        <v>0</v>
      </c>
      <c r="S15" s="4"/>
      <c r="T15" s="4">
        <f>SUM(0)</f>
        <v>0</v>
      </c>
      <c r="U15" s="4"/>
      <c r="V15" s="13">
        <f>IF(T$12=0,0,T15/T$12)</f>
        <v>0</v>
      </c>
      <c r="W15" s="4"/>
      <c r="X15" s="4">
        <f>+P15-T15</f>
        <v>0</v>
      </c>
      <c r="Y15" s="4"/>
      <c r="Z15" s="13">
        <f>IF(T15=0,0,X15/T15)</f>
        <v>0</v>
      </c>
    </row>
    <row r="16" spans="1:26" x14ac:dyDescent="0.25">
      <c r="A16" s="9"/>
      <c r="B16" s="10"/>
      <c r="C16" s="10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O16" s="10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3" customFormat="1" x14ac:dyDescent="0.25">
      <c r="A17" s="10"/>
      <c r="B17" s="29" t="s">
        <v>6</v>
      </c>
      <c r="C17" s="29"/>
      <c r="D17" s="20">
        <f>D12-D15</f>
        <v>0</v>
      </c>
      <c r="E17" s="14"/>
      <c r="F17" s="22">
        <f>IF(D$12=0,0,D17/D$12)</f>
        <v>0</v>
      </c>
      <c r="G17" s="14"/>
      <c r="H17" s="20">
        <f>H12-H15</f>
        <v>0</v>
      </c>
      <c r="I17" s="14"/>
      <c r="J17" s="22">
        <f>IF(H$12=0,0,H17/H$12)</f>
        <v>0</v>
      </c>
      <c r="K17" s="16"/>
      <c r="L17" s="20">
        <f>+D17-H17</f>
        <v>0</v>
      </c>
      <c r="M17" s="16"/>
      <c r="N17" s="22">
        <f>IF(H17=0,0,L17/H17)</f>
        <v>0</v>
      </c>
      <c r="O17" s="28"/>
      <c r="P17" s="20">
        <f>P12-P15</f>
        <v>0</v>
      </c>
      <c r="Q17" s="14"/>
      <c r="R17" s="22">
        <f>IF(P$12=0,0,P17/P$12)</f>
        <v>0</v>
      </c>
      <c r="S17" s="14"/>
      <c r="T17" s="20">
        <f>T12-T15</f>
        <v>200</v>
      </c>
      <c r="U17" s="14"/>
      <c r="V17" s="22">
        <f>IF(T$12=0,0,T17/T$12)</f>
        <v>1</v>
      </c>
      <c r="W17" s="16"/>
      <c r="X17" s="20">
        <f>+P17-T17</f>
        <v>-200</v>
      </c>
      <c r="Y17" s="16"/>
      <c r="Z17" s="22">
        <f>IF(T17=0,0,X17/T17)</f>
        <v>-1</v>
      </c>
    </row>
    <row r="18" spans="1:26" x14ac:dyDescent="0.25">
      <c r="A18" s="9"/>
      <c r="B18" s="10"/>
      <c r="C18" s="9"/>
      <c r="D18" s="1"/>
      <c r="E18" s="1"/>
      <c r="F18" s="5"/>
      <c r="G18" s="1"/>
      <c r="H18" s="1"/>
      <c r="I18" s="1"/>
      <c r="J18" s="5"/>
      <c r="K18" s="1"/>
      <c r="L18" s="1"/>
      <c r="M18" s="1"/>
      <c r="N18" s="5"/>
      <c r="O18" s="36"/>
      <c r="P18" s="1"/>
      <c r="Q18" s="1"/>
      <c r="R18" s="5"/>
      <c r="S18" s="1"/>
      <c r="T18" s="1"/>
      <c r="U18" s="1"/>
      <c r="V18" s="5"/>
      <c r="W18" s="1"/>
      <c r="X18" s="1"/>
      <c r="Y18" s="1"/>
      <c r="Z18" s="5"/>
    </row>
    <row r="19" spans="1:26" s="23" customFormat="1" x14ac:dyDescent="0.25">
      <c r="A19" s="10"/>
      <c r="B19" s="28" t="s">
        <v>9</v>
      </c>
      <c r="C19" s="10"/>
      <c r="D19" s="21">
        <f>SUM(OSRRefD22x_0)</f>
        <v>45869.249999999985</v>
      </c>
      <c r="E19" s="21"/>
      <c r="F19" s="30">
        <f t="shared" ref="F19:F30" si="4">IF(D$12=0,0,D19/D$12)</f>
        <v>0</v>
      </c>
      <c r="G19" s="21"/>
      <c r="H19" s="21">
        <f>SUM(OSRRefH22x_0)</f>
        <v>63450.765232076883</v>
      </c>
      <c r="I19" s="21"/>
      <c r="J19" s="30">
        <f t="shared" ref="J19:J30" si="5">IF(H$12=0,0,H19/H$12)</f>
        <v>0</v>
      </c>
      <c r="K19" s="4"/>
      <c r="L19" s="21">
        <f t="shared" ref="L19:L30" si="6">+D19-H19</f>
        <v>-17581.515232076898</v>
      </c>
      <c r="M19" s="4"/>
      <c r="N19" s="30">
        <f t="shared" ref="N19:N30" si="7">IF(H19=0,0,L19/H19)</f>
        <v>-0.27708909684179417</v>
      </c>
      <c r="O19" s="10"/>
      <c r="P19" s="21">
        <f>SUM(OSRRefP22x_0)</f>
        <v>637097.89999999991</v>
      </c>
      <c r="Q19" s="21"/>
      <c r="R19" s="30">
        <f t="shared" ref="R19:R30" si="8">IF(P$12=0,0,P19/P$12)</f>
        <v>0</v>
      </c>
      <c r="S19" s="21"/>
      <c r="T19" s="21">
        <f>SUM(OSRRefT22x_0)</f>
        <v>756547.34045715351</v>
      </c>
      <c r="U19" s="21"/>
      <c r="V19" s="30">
        <f t="shared" ref="V19:V30" si="9">IF(T$12=0,0,T19/T$12)</f>
        <v>3782.7367022857675</v>
      </c>
      <c r="W19" s="4"/>
      <c r="X19" s="21">
        <f t="shared" ref="X19:X30" si="10">+P19-T19</f>
        <v>-119449.4404571536</v>
      </c>
      <c r="Y19" s="4"/>
      <c r="Z19" s="30">
        <f t="shared" ref="Z19:Z30" si="11">IF(T19=0,0,X19/T19)</f>
        <v>-0.15788759548738185</v>
      </c>
    </row>
    <row r="20" spans="1:26" s="27" customFormat="1" outlineLevel="1" collapsed="1" x14ac:dyDescent="0.25">
      <c r="A20" s="25"/>
      <c r="B20" s="12" t="str">
        <f>CONCATENATE("     ","*Benefits                                         ")</f>
        <v xml:space="preserve">     *Benefits                                         </v>
      </c>
      <c r="C20" s="12"/>
      <c r="D20" s="1">
        <f>SUM(OSRRefD22_0x_0)</f>
        <v>11851.73</v>
      </c>
      <c r="E20" s="1"/>
      <c r="F20" s="5">
        <f t="shared" si="4"/>
        <v>0</v>
      </c>
      <c r="G20" s="1"/>
      <c r="H20" s="1">
        <f>SUM(OSRRefH22_0x_0)</f>
        <v>13849.540693615387</v>
      </c>
      <c r="I20" s="1"/>
      <c r="J20" s="5">
        <f t="shared" si="5"/>
        <v>0</v>
      </c>
      <c r="K20" s="1"/>
      <c r="L20" s="1">
        <f t="shared" si="6"/>
        <v>-1997.8106936153872</v>
      </c>
      <c r="M20" s="1"/>
      <c r="N20" s="5">
        <f t="shared" si="7"/>
        <v>-0.14425104325202454</v>
      </c>
      <c r="O20" s="12"/>
      <c r="P20" s="1">
        <f>SUM(OSRRefP22_0x_0)</f>
        <v>141882.03999999998</v>
      </c>
      <c r="Q20" s="1"/>
      <c r="R20" s="5">
        <f t="shared" si="8"/>
        <v>0</v>
      </c>
      <c r="S20" s="1"/>
      <c r="T20" s="1">
        <f>SUM(OSRRefT22_0x_0)</f>
        <v>164256.72499561548</v>
      </c>
      <c r="U20" s="1"/>
      <c r="V20" s="5">
        <f t="shared" si="9"/>
        <v>821.28362497807746</v>
      </c>
      <c r="W20" s="1"/>
      <c r="X20" s="1">
        <f t="shared" si="10"/>
        <v>-22374.684995615506</v>
      </c>
      <c r="Y20" s="1"/>
      <c r="Z20" s="5">
        <f t="shared" si="11"/>
        <v>-0.1362177712736739</v>
      </c>
    </row>
    <row r="21" spans="1:26" s="24" customFormat="1" hidden="1" outlineLevel="2" x14ac:dyDescent="0.25">
      <c r="A21" s="26"/>
      <c r="B21" s="11" t="str">
        <f>CONCATENATE("          ", "6111", " - ", "F.I.C.A.")</f>
        <v xml:space="preserve">          6111 - F.I.C.A.</v>
      </c>
      <c r="C21" s="11"/>
      <c r="D21" s="7">
        <v>1638.25</v>
      </c>
      <c r="E21" s="2"/>
      <c r="F21" s="6">
        <f t="shared" si="4"/>
        <v>0</v>
      </c>
      <c r="G21" s="2"/>
      <c r="H21" s="7">
        <v>2309.1979705384601</v>
      </c>
      <c r="I21" s="2"/>
      <c r="J21" s="6">
        <f t="shared" si="5"/>
        <v>0</v>
      </c>
      <c r="K21" s="2"/>
      <c r="L21" s="7">
        <f t="shared" si="6"/>
        <v>-670.94797053846014</v>
      </c>
      <c r="M21" s="2"/>
      <c r="N21" s="6">
        <f t="shared" si="7"/>
        <v>-0.29055454711923556</v>
      </c>
      <c r="O21" s="11"/>
      <c r="P21" s="7">
        <v>22910.809999999998</v>
      </c>
      <c r="Q21" s="2"/>
      <c r="R21" s="6">
        <f t="shared" si="8"/>
        <v>0</v>
      </c>
      <c r="S21" s="2"/>
      <c r="T21" s="7">
        <v>28774.53294946154</v>
      </c>
      <c r="U21" s="2"/>
      <c r="V21" s="6">
        <f t="shared" si="9"/>
        <v>143.87266474730771</v>
      </c>
      <c r="W21" s="2"/>
      <c r="X21" s="7">
        <f t="shared" si="10"/>
        <v>-5863.7229494615422</v>
      </c>
      <c r="Y21" s="2"/>
      <c r="Z21" s="6">
        <f t="shared" si="11"/>
        <v>-0.20378168986305895</v>
      </c>
    </row>
    <row r="22" spans="1:26" s="24" customFormat="1" hidden="1" outlineLevel="2" x14ac:dyDescent="0.25">
      <c r="A22" s="26"/>
      <c r="B22" s="11" t="str">
        <f>CONCATENATE("          ", "6112", " - ", "COMPENSATION INSURANCE")</f>
        <v xml:space="preserve">          6112 - COMPENSATION INSURANCE</v>
      </c>
      <c r="C22" s="11"/>
      <c r="D22" s="7">
        <v>109.54</v>
      </c>
      <c r="E22" s="2"/>
      <c r="F22" s="6">
        <f t="shared" si="4"/>
        <v>0</v>
      </c>
      <c r="G22" s="2"/>
      <c r="H22" s="7">
        <v>102.590789230769</v>
      </c>
      <c r="I22" s="2"/>
      <c r="J22" s="6">
        <f t="shared" si="5"/>
        <v>0</v>
      </c>
      <c r="K22" s="2"/>
      <c r="L22" s="7">
        <f t="shared" si="6"/>
        <v>6.9492107692310014</v>
      </c>
      <c r="M22" s="2"/>
      <c r="N22" s="6">
        <f t="shared" si="7"/>
        <v>6.7737180124419941E-2</v>
      </c>
      <c r="O22" s="11"/>
      <c r="P22" s="7">
        <v>921.63</v>
      </c>
      <c r="Q22" s="2"/>
      <c r="R22" s="6">
        <f t="shared" si="8"/>
        <v>0</v>
      </c>
      <c r="S22" s="2"/>
      <c r="T22" s="7">
        <v>1291.694810769231</v>
      </c>
      <c r="U22" s="2"/>
      <c r="V22" s="6">
        <f t="shared" si="9"/>
        <v>6.4584740538461549</v>
      </c>
      <c r="W22" s="2"/>
      <c r="X22" s="7">
        <f t="shared" si="10"/>
        <v>-370.06481076923103</v>
      </c>
      <c r="Y22" s="2"/>
      <c r="Z22" s="6">
        <f t="shared" si="11"/>
        <v>-0.28649554653614329</v>
      </c>
    </row>
    <row r="23" spans="1:26" s="24" customFormat="1" hidden="1" outlineLevel="2" x14ac:dyDescent="0.25">
      <c r="A23" s="26"/>
      <c r="B23" s="11" t="str">
        <f>CONCATENATE("          ", "6113", " - ", "GROUP INSURANCE")</f>
        <v xml:space="preserve">          6113 - GROUP INSURANCE</v>
      </c>
      <c r="C23" s="11"/>
      <c r="D23" s="7">
        <v>5567.87</v>
      </c>
      <c r="E23" s="2"/>
      <c r="F23" s="6">
        <f t="shared" si="4"/>
        <v>0</v>
      </c>
      <c r="G23" s="2"/>
      <c r="H23" s="7">
        <v>7007.1923076923094</v>
      </c>
      <c r="I23" s="2"/>
      <c r="J23" s="6">
        <f t="shared" si="5"/>
        <v>0</v>
      </c>
      <c r="K23" s="2"/>
      <c r="L23" s="7">
        <f t="shared" si="6"/>
        <v>-1439.3223076923096</v>
      </c>
      <c r="M23" s="2"/>
      <c r="N23" s="6">
        <f t="shared" si="7"/>
        <v>-0.20540642307080109</v>
      </c>
      <c r="O23" s="11"/>
      <c r="P23" s="7">
        <v>58815.13</v>
      </c>
      <c r="Q23" s="2"/>
      <c r="R23" s="6">
        <f t="shared" si="8"/>
        <v>0</v>
      </c>
      <c r="S23" s="2"/>
      <c r="T23" s="7">
        <v>80266.038461538483</v>
      </c>
      <c r="U23" s="2"/>
      <c r="V23" s="6">
        <f t="shared" si="9"/>
        <v>401.33019230769241</v>
      </c>
      <c r="W23" s="2"/>
      <c r="X23" s="7">
        <f t="shared" si="10"/>
        <v>-21450.908461538485</v>
      </c>
      <c r="Y23" s="2"/>
      <c r="Z23" s="6">
        <f t="shared" si="11"/>
        <v>-0.26724762891863951</v>
      </c>
    </row>
    <row r="24" spans="1:26" s="24" customFormat="1" hidden="1" outlineLevel="2" x14ac:dyDescent="0.25">
      <c r="A24" s="26"/>
      <c r="B24" s="11" t="str">
        <f>CONCATENATE("          ", "6114", " - ", "STATE UNEMPLOYMENT INSURANCE")</f>
        <v xml:space="preserve">          6114 - STATE UNEMPLOYMENT INSURANCE</v>
      </c>
      <c r="C24" s="11"/>
      <c r="D24" s="7">
        <v>83.76</v>
      </c>
      <c r="E24" s="2"/>
      <c r="F24" s="6">
        <f t="shared" si="4"/>
        <v>0</v>
      </c>
      <c r="G24" s="2"/>
      <c r="H24" s="7">
        <v>78.451779999999999</v>
      </c>
      <c r="I24" s="2"/>
      <c r="J24" s="6">
        <f t="shared" si="5"/>
        <v>0</v>
      </c>
      <c r="K24" s="2"/>
      <c r="L24" s="7">
        <f t="shared" si="6"/>
        <v>5.3082200000000057</v>
      </c>
      <c r="M24" s="2"/>
      <c r="N24" s="6">
        <f t="shared" si="7"/>
        <v>6.7662199633966316E-2</v>
      </c>
      <c r="O24" s="11"/>
      <c r="P24" s="7">
        <v>830.65</v>
      </c>
      <c r="Q24" s="2"/>
      <c r="R24" s="6">
        <f t="shared" si="8"/>
        <v>0</v>
      </c>
      <c r="S24" s="2"/>
      <c r="T24" s="7">
        <v>987.76661999999999</v>
      </c>
      <c r="U24" s="2"/>
      <c r="V24" s="6">
        <f t="shared" si="9"/>
        <v>4.9388331000000001</v>
      </c>
      <c r="W24" s="2"/>
      <c r="X24" s="7">
        <f t="shared" si="10"/>
        <v>-157.11662000000001</v>
      </c>
      <c r="Y24" s="2"/>
      <c r="Z24" s="6">
        <f t="shared" si="11"/>
        <v>-0.1590624919072483</v>
      </c>
    </row>
    <row r="25" spans="1:26" s="24" customFormat="1" hidden="1" outlineLevel="2" x14ac:dyDescent="0.25">
      <c r="A25" s="26"/>
      <c r="B25" s="11" t="str">
        <f>CONCATENATE("          ", "6115", " - ", "P.E.R.S.")</f>
        <v xml:space="preserve">          6115 - P.E.R.S.</v>
      </c>
      <c r="C25" s="11"/>
      <c r="D25" s="7">
        <v>1716.08</v>
      </c>
      <c r="E25" s="2"/>
      <c r="F25" s="6">
        <f t="shared" si="4"/>
        <v>0</v>
      </c>
      <c r="G25" s="2"/>
      <c r="H25" s="7">
        <v>1608.0676923076899</v>
      </c>
      <c r="I25" s="2"/>
      <c r="J25" s="6">
        <f t="shared" si="5"/>
        <v>0</v>
      </c>
      <c r="K25" s="2"/>
      <c r="L25" s="7">
        <f t="shared" si="6"/>
        <v>108.01230769231006</v>
      </c>
      <c r="M25" s="2"/>
      <c r="N25" s="6">
        <f t="shared" si="7"/>
        <v>6.7169005514503458E-2</v>
      </c>
      <c r="O25" s="11"/>
      <c r="P25" s="7">
        <v>18003.64</v>
      </c>
      <c r="Q25" s="2"/>
      <c r="R25" s="6">
        <f t="shared" si="8"/>
        <v>0</v>
      </c>
      <c r="S25" s="2"/>
      <c r="T25" s="7">
        <v>19296.812307692311</v>
      </c>
      <c r="U25" s="2"/>
      <c r="V25" s="6">
        <f t="shared" si="9"/>
        <v>96.48406153846156</v>
      </c>
      <c r="W25" s="2"/>
      <c r="X25" s="7">
        <f t="shared" si="10"/>
        <v>-1293.1723076923117</v>
      </c>
      <c r="Y25" s="2"/>
      <c r="Z25" s="6">
        <f t="shared" si="11"/>
        <v>-6.7014815041591763E-2</v>
      </c>
    </row>
    <row r="26" spans="1:26" s="24" customFormat="1" hidden="1" outlineLevel="2" x14ac:dyDescent="0.25">
      <c r="A26" s="26"/>
      <c r="B26" s="11" t="str">
        <f>CONCATENATE("          ", "6116", " - ", "EDUCATIONAL BENEFITS")</f>
        <v xml:space="preserve">          6116 - EDUCATIONAL BENEFITS</v>
      </c>
      <c r="C26" s="11"/>
      <c r="D26" s="7"/>
      <c r="E26" s="2"/>
      <c r="F26" s="6">
        <f t="shared" si="4"/>
        <v>0</v>
      </c>
      <c r="G26" s="2"/>
      <c r="H26" s="7">
        <v>0</v>
      </c>
      <c r="I26" s="2"/>
      <c r="J26" s="6">
        <f t="shared" si="5"/>
        <v>0</v>
      </c>
      <c r="K26" s="2"/>
      <c r="L26" s="7">
        <f t="shared" si="6"/>
        <v>0</v>
      </c>
      <c r="M26" s="2"/>
      <c r="N26" s="6">
        <f t="shared" si="7"/>
        <v>0</v>
      </c>
      <c r="O26" s="11"/>
      <c r="P26" s="7">
        <v>134</v>
      </c>
      <c r="Q26" s="2"/>
      <c r="R26" s="6">
        <f t="shared" si="8"/>
        <v>0</v>
      </c>
      <c r="S26" s="2"/>
      <c r="T26" s="7">
        <v>0</v>
      </c>
      <c r="U26" s="2"/>
      <c r="V26" s="6">
        <f t="shared" si="9"/>
        <v>0</v>
      </c>
      <c r="W26" s="2"/>
      <c r="X26" s="7">
        <f t="shared" si="10"/>
        <v>134</v>
      </c>
      <c r="Y26" s="2"/>
      <c r="Z26" s="6">
        <f t="shared" si="11"/>
        <v>0</v>
      </c>
    </row>
    <row r="27" spans="1:26" s="24" customFormat="1" hidden="1" outlineLevel="2" x14ac:dyDescent="0.25">
      <c r="A27" s="26"/>
      <c r="B27" s="11" t="str">
        <f>CONCATENATE("          ", "6117", " - ", "RETIREMENT STAFF HOURLY")</f>
        <v xml:space="preserve">          6117 - RETIREMENT STAFF HOURLY</v>
      </c>
      <c r="C27" s="11"/>
      <c r="D27" s="7">
        <v>158.55000000000001</v>
      </c>
      <c r="E27" s="2"/>
      <c r="F27" s="6">
        <f t="shared" si="4"/>
        <v>0</v>
      </c>
      <c r="G27" s="2"/>
      <c r="H27" s="7"/>
      <c r="I27" s="2"/>
      <c r="J27" s="6">
        <f t="shared" si="5"/>
        <v>0</v>
      </c>
      <c r="K27" s="2"/>
      <c r="L27" s="7">
        <f t="shared" si="6"/>
        <v>158.55000000000001</v>
      </c>
      <c r="M27" s="2"/>
      <c r="N27" s="6">
        <f t="shared" si="7"/>
        <v>0</v>
      </c>
      <c r="O27" s="11"/>
      <c r="P27" s="7">
        <v>4232.32</v>
      </c>
      <c r="Q27" s="2"/>
      <c r="R27" s="6">
        <f t="shared" si="8"/>
        <v>0</v>
      </c>
      <c r="S27" s="2"/>
      <c r="T27" s="7"/>
      <c r="U27" s="2"/>
      <c r="V27" s="6">
        <f t="shared" si="9"/>
        <v>0</v>
      </c>
      <c r="W27" s="2"/>
      <c r="X27" s="7">
        <f t="shared" si="10"/>
        <v>4232.32</v>
      </c>
      <c r="Y27" s="2"/>
      <c r="Z27" s="6">
        <f t="shared" si="11"/>
        <v>0</v>
      </c>
    </row>
    <row r="28" spans="1:26" s="24" customFormat="1" hidden="1" outlineLevel="2" x14ac:dyDescent="0.25">
      <c r="A28" s="26"/>
      <c r="B28" s="11" t="str">
        <f>CONCATENATE("          ", "6118", " - ", "VACATION")</f>
        <v xml:space="preserve">          6118 - VACATION</v>
      </c>
      <c r="C28" s="11"/>
      <c r="D28" s="7">
        <v>1474.64</v>
      </c>
      <c r="E28" s="2"/>
      <c r="F28" s="6">
        <f t="shared" si="4"/>
        <v>0</v>
      </c>
      <c r="G28" s="2"/>
      <c r="H28" s="7">
        <v>1313.44807692308</v>
      </c>
      <c r="I28" s="2"/>
      <c r="J28" s="6">
        <f t="shared" si="5"/>
        <v>0</v>
      </c>
      <c r="K28" s="2"/>
      <c r="L28" s="7">
        <f t="shared" si="6"/>
        <v>161.19192307692015</v>
      </c>
      <c r="M28" s="2"/>
      <c r="N28" s="6">
        <f t="shared" si="7"/>
        <v>0.12272424461158209</v>
      </c>
      <c r="O28" s="11"/>
      <c r="P28" s="7">
        <v>18206.919999999998</v>
      </c>
      <c r="Q28" s="2"/>
      <c r="R28" s="6">
        <f t="shared" si="8"/>
        <v>0</v>
      </c>
      <c r="S28" s="2"/>
      <c r="T28" s="7">
        <v>15887.551923076959</v>
      </c>
      <c r="U28" s="2"/>
      <c r="V28" s="6">
        <f t="shared" si="9"/>
        <v>79.437759615384792</v>
      </c>
      <c r="W28" s="2"/>
      <c r="X28" s="7">
        <f t="shared" si="10"/>
        <v>2319.3680769230396</v>
      </c>
      <c r="Y28" s="2"/>
      <c r="Z28" s="6">
        <f t="shared" si="11"/>
        <v>0.14598649862186225</v>
      </c>
    </row>
    <row r="29" spans="1:26" s="24" customFormat="1" hidden="1" outlineLevel="2" x14ac:dyDescent="0.25">
      <c r="A29" s="26"/>
      <c r="B29" s="11" t="str">
        <f>CONCATENATE("          ", "6119", " - ", "SICK LEAVE")</f>
        <v xml:space="preserve">          6119 - SICK LEAVE</v>
      </c>
      <c r="C29" s="11"/>
      <c r="D29" s="7">
        <v>999.04</v>
      </c>
      <c r="E29" s="2"/>
      <c r="F29" s="6">
        <f t="shared" si="4"/>
        <v>0</v>
      </c>
      <c r="G29" s="2"/>
      <c r="H29" s="7">
        <v>1430.59207692308</v>
      </c>
      <c r="I29" s="2"/>
      <c r="J29" s="6">
        <f t="shared" si="5"/>
        <v>0</v>
      </c>
      <c r="K29" s="2"/>
      <c r="L29" s="7">
        <f t="shared" si="6"/>
        <v>-431.55207692307999</v>
      </c>
      <c r="M29" s="2"/>
      <c r="N29" s="6">
        <f t="shared" si="7"/>
        <v>-0.30165977002421474</v>
      </c>
      <c r="O29" s="11"/>
      <c r="P29" s="7">
        <v>12223.14</v>
      </c>
      <c r="Q29" s="2"/>
      <c r="R29" s="6">
        <f t="shared" si="8"/>
        <v>0</v>
      </c>
      <c r="S29" s="2"/>
      <c r="T29" s="7">
        <v>17752.327923076959</v>
      </c>
      <c r="U29" s="2"/>
      <c r="V29" s="6">
        <f t="shared" si="9"/>
        <v>88.761639615384794</v>
      </c>
      <c r="W29" s="2"/>
      <c r="X29" s="7">
        <f t="shared" si="10"/>
        <v>-5529.1879230769591</v>
      </c>
      <c r="Y29" s="2"/>
      <c r="Z29" s="6">
        <f t="shared" si="11"/>
        <v>-0.31146269644384766</v>
      </c>
    </row>
    <row r="30" spans="1:26" s="24" customFormat="1" hidden="1" outlineLevel="2" x14ac:dyDescent="0.25">
      <c r="A30" s="26"/>
      <c r="B30" s="11" t="str">
        <f>CONCATENATE("          ", "6156", " - ", "EMPLOYEE MEALS")</f>
        <v xml:space="preserve">          6156 - EMPLOYEE MEALS</v>
      </c>
      <c r="C30" s="11"/>
      <c r="D30" s="7">
        <v>104</v>
      </c>
      <c r="E30" s="2"/>
      <c r="F30" s="6">
        <f t="shared" si="4"/>
        <v>0</v>
      </c>
      <c r="G30" s="2"/>
      <c r="H30" s="7"/>
      <c r="I30" s="2"/>
      <c r="J30" s="6">
        <f t="shared" si="5"/>
        <v>0</v>
      </c>
      <c r="K30" s="2"/>
      <c r="L30" s="7">
        <f t="shared" si="6"/>
        <v>104</v>
      </c>
      <c r="M30" s="2"/>
      <c r="N30" s="6">
        <f t="shared" si="7"/>
        <v>0</v>
      </c>
      <c r="O30" s="11"/>
      <c r="P30" s="7">
        <v>5603.8</v>
      </c>
      <c r="Q30" s="2"/>
      <c r="R30" s="6">
        <f t="shared" si="8"/>
        <v>0</v>
      </c>
      <c r="S30" s="2"/>
      <c r="T30" s="7"/>
      <c r="U30" s="2"/>
      <c r="V30" s="6">
        <f t="shared" si="9"/>
        <v>0</v>
      </c>
      <c r="W30" s="2"/>
      <c r="X30" s="7">
        <f t="shared" si="10"/>
        <v>5603.8</v>
      </c>
      <c r="Y30" s="2"/>
      <c r="Z30" s="6">
        <f t="shared" si="11"/>
        <v>0</v>
      </c>
    </row>
    <row r="31" spans="1:26" s="27" customFormat="1" outlineLevel="1" collapsed="1" x14ac:dyDescent="0.25">
      <c r="A31" s="25"/>
      <c r="B31" s="12" t="str">
        <f>CONCATENATE("     ","*Payroll                                          ")</f>
        <v xml:space="preserve">     *Payroll                                          </v>
      </c>
      <c r="C31" s="12"/>
      <c r="D31" s="1">
        <f>SUM(OSRRefD22_1x_0)</f>
        <v>15843.26</v>
      </c>
      <c r="E31" s="1"/>
      <c r="F31" s="5">
        <f t="shared" ref="F31:F41" si="12">IF(D$12=0,0,D31/D$12)</f>
        <v>0</v>
      </c>
      <c r="G31" s="1"/>
      <c r="H31" s="1">
        <f>SUM(OSRRefH22_1x_0)</f>
        <v>27920.224538461502</v>
      </c>
      <c r="I31" s="1"/>
      <c r="J31" s="5">
        <f t="shared" ref="J31:J41" si="13">IF(H$12=0,0,H31/H$12)</f>
        <v>0</v>
      </c>
      <c r="K31" s="1"/>
      <c r="L31" s="1">
        <f t="shared" ref="L31:L41" si="14">+D31-H31</f>
        <v>-12076.964538461501</v>
      </c>
      <c r="M31" s="1"/>
      <c r="N31" s="5">
        <f t="shared" ref="N31:N41" si="15">IF(H31=0,0,L31/H31)</f>
        <v>-0.43255255779998764</v>
      </c>
      <c r="O31" s="12"/>
      <c r="P31" s="1">
        <f>SUM(OSRRefP22_1x_0)</f>
        <v>274980.47999999998</v>
      </c>
      <c r="Q31" s="1"/>
      <c r="R31" s="5">
        <f t="shared" ref="R31:R41" si="16">IF(P$12=0,0,P31/P$12)</f>
        <v>0</v>
      </c>
      <c r="S31" s="1"/>
      <c r="T31" s="1">
        <f>SUM(OSRRefT22_1x_0)</f>
        <v>352116.61546153814</v>
      </c>
      <c r="U31" s="1"/>
      <c r="V31" s="5">
        <f t="shared" ref="V31:V41" si="17">IF(T$12=0,0,T31/T$12)</f>
        <v>1760.5830773076907</v>
      </c>
      <c r="W31" s="1"/>
      <c r="X31" s="1">
        <f t="shared" ref="X31:X41" si="18">+P31-T31</f>
        <v>-77136.135461538157</v>
      </c>
      <c r="Y31" s="1"/>
      <c r="Z31" s="5">
        <f t="shared" ref="Z31:Z41" si="19">IF(T31=0,0,X31/T31)</f>
        <v>-0.21906417384033891</v>
      </c>
    </row>
    <row r="32" spans="1:26" s="24" customFormat="1" hidden="1" outlineLevel="2" x14ac:dyDescent="0.25">
      <c r="A32" s="26"/>
      <c r="B32" s="11" t="str">
        <f>CONCATENATE("          ", "6001", " - ", "ADMINISTRATIVE SALARIES")</f>
        <v xml:space="preserve">          6001 - ADMINISTRATIVE SALARIES</v>
      </c>
      <c r="C32" s="11"/>
      <c r="D32" s="7"/>
      <c r="E32" s="2"/>
      <c r="F32" s="6">
        <f t="shared" si="12"/>
        <v>0</v>
      </c>
      <c r="G32" s="2"/>
      <c r="H32" s="7">
        <v>0</v>
      </c>
      <c r="I32" s="2"/>
      <c r="J32" s="6">
        <f t="shared" si="13"/>
        <v>0</v>
      </c>
      <c r="K32" s="2"/>
      <c r="L32" s="7">
        <f t="shared" si="14"/>
        <v>0</v>
      </c>
      <c r="M32" s="2"/>
      <c r="N32" s="6">
        <f t="shared" si="15"/>
        <v>0</v>
      </c>
      <c r="O32" s="11"/>
      <c r="P32" s="7"/>
      <c r="Q32" s="2"/>
      <c r="R32" s="6">
        <f t="shared" si="16"/>
        <v>0</v>
      </c>
      <c r="S32" s="2"/>
      <c r="T32" s="7">
        <v>0</v>
      </c>
      <c r="U32" s="2"/>
      <c r="V32" s="6">
        <f t="shared" si="17"/>
        <v>0</v>
      </c>
      <c r="W32" s="2"/>
      <c r="X32" s="7">
        <f t="shared" si="18"/>
        <v>0</v>
      </c>
      <c r="Y32" s="2"/>
      <c r="Z32" s="6">
        <f t="shared" si="19"/>
        <v>0</v>
      </c>
    </row>
    <row r="33" spans="1:26" s="24" customFormat="1" hidden="1" outlineLevel="2" x14ac:dyDescent="0.25">
      <c r="A33" s="26"/>
      <c r="B33" s="11" t="str">
        <f>CONCATENATE("          ", "6002", " - ", "STAFF SALARIES")</f>
        <v xml:space="preserve">          6002 - STAFF SALARIES</v>
      </c>
      <c r="C33" s="11"/>
      <c r="D33" s="7">
        <v>12840.26</v>
      </c>
      <c r="E33" s="2"/>
      <c r="F33" s="6">
        <f t="shared" si="12"/>
        <v>0</v>
      </c>
      <c r="G33" s="2"/>
      <c r="H33" s="7">
        <v>18698.461538461499</v>
      </c>
      <c r="I33" s="2"/>
      <c r="J33" s="6">
        <f t="shared" si="13"/>
        <v>0</v>
      </c>
      <c r="K33" s="2"/>
      <c r="L33" s="7">
        <f t="shared" si="14"/>
        <v>-5858.2015384614988</v>
      </c>
      <c r="M33" s="2"/>
      <c r="N33" s="6">
        <f t="shared" si="15"/>
        <v>-0.31329858482803868</v>
      </c>
      <c r="O33" s="11"/>
      <c r="P33" s="7">
        <v>145157.13999999998</v>
      </c>
      <c r="Q33" s="2"/>
      <c r="R33" s="6">
        <f t="shared" si="16"/>
        <v>0</v>
      </c>
      <c r="S33" s="2"/>
      <c r="T33" s="7">
        <v>224381.53846153812</v>
      </c>
      <c r="U33" s="2"/>
      <c r="V33" s="6">
        <f t="shared" si="17"/>
        <v>1121.9076923076907</v>
      </c>
      <c r="W33" s="2"/>
      <c r="X33" s="7">
        <f t="shared" si="18"/>
        <v>-79224.398461538134</v>
      </c>
      <c r="Y33" s="2"/>
      <c r="Z33" s="6">
        <f t="shared" si="19"/>
        <v>-0.35307895205967765</v>
      </c>
    </row>
    <row r="34" spans="1:26" s="24" customFormat="1" hidden="1" outlineLevel="2" x14ac:dyDescent="0.25">
      <c r="A34" s="26"/>
      <c r="B34" s="11" t="str">
        <f>CONCATENATE("          ", "6003", " - ", "STAFF HOURLY-9 MONTH")</f>
        <v xml:space="preserve">          6003 - STAFF HOURLY-9 MONTH</v>
      </c>
      <c r="C34" s="11"/>
      <c r="D34" s="7"/>
      <c r="E34" s="2"/>
      <c r="F34" s="6">
        <f t="shared" si="12"/>
        <v>0</v>
      </c>
      <c r="G34" s="2"/>
      <c r="H34" s="7">
        <v>0</v>
      </c>
      <c r="I34" s="2"/>
      <c r="J34" s="6">
        <f t="shared" si="13"/>
        <v>0</v>
      </c>
      <c r="K34" s="2"/>
      <c r="L34" s="7">
        <f t="shared" si="14"/>
        <v>0</v>
      </c>
      <c r="M34" s="2"/>
      <c r="N34" s="6">
        <f t="shared" si="15"/>
        <v>0</v>
      </c>
      <c r="O34" s="11"/>
      <c r="P34" s="7"/>
      <c r="Q34" s="2"/>
      <c r="R34" s="6">
        <f t="shared" si="16"/>
        <v>0</v>
      </c>
      <c r="S34" s="2"/>
      <c r="T34" s="7">
        <v>0</v>
      </c>
      <c r="U34" s="2"/>
      <c r="V34" s="6">
        <f t="shared" si="17"/>
        <v>0</v>
      </c>
      <c r="W34" s="2"/>
      <c r="X34" s="7">
        <f t="shared" si="18"/>
        <v>0</v>
      </c>
      <c r="Y34" s="2"/>
      <c r="Z34" s="6">
        <f t="shared" si="19"/>
        <v>0</v>
      </c>
    </row>
    <row r="35" spans="1:26" s="24" customFormat="1" hidden="1" outlineLevel="2" x14ac:dyDescent="0.25">
      <c r="A35" s="26"/>
      <c r="B35" s="11" t="str">
        <f>CONCATENATE("          ", "6004", " - ", "STAFF HOURLY")</f>
        <v xml:space="preserve">          6004 - STAFF HOURLY</v>
      </c>
      <c r="C35" s="11"/>
      <c r="D35" s="7">
        <v>3003</v>
      </c>
      <c r="E35" s="2"/>
      <c r="F35" s="6">
        <f t="shared" si="12"/>
        <v>0</v>
      </c>
      <c r="G35" s="2"/>
      <c r="H35" s="7">
        <v>7541.7630000000008</v>
      </c>
      <c r="I35" s="2"/>
      <c r="J35" s="6">
        <f t="shared" si="13"/>
        <v>0</v>
      </c>
      <c r="K35" s="2"/>
      <c r="L35" s="7">
        <f t="shared" si="14"/>
        <v>-4538.7630000000008</v>
      </c>
      <c r="M35" s="2"/>
      <c r="N35" s="6">
        <f t="shared" si="15"/>
        <v>-0.6018172408759066</v>
      </c>
      <c r="O35" s="11"/>
      <c r="P35" s="7">
        <v>77259.600000000006</v>
      </c>
      <c r="Q35" s="2"/>
      <c r="R35" s="6">
        <f t="shared" si="16"/>
        <v>0</v>
      </c>
      <c r="S35" s="2"/>
      <c r="T35" s="7">
        <v>93015.077000000005</v>
      </c>
      <c r="U35" s="2"/>
      <c r="V35" s="6">
        <f t="shared" si="17"/>
        <v>465.07538500000004</v>
      </c>
      <c r="W35" s="2"/>
      <c r="X35" s="7">
        <f t="shared" si="18"/>
        <v>-15755.476999999999</v>
      </c>
      <c r="Y35" s="2"/>
      <c r="Z35" s="6">
        <f t="shared" si="19"/>
        <v>-0.16938627057202779</v>
      </c>
    </row>
    <row r="36" spans="1:26" s="24" customFormat="1" hidden="1" outlineLevel="2" x14ac:dyDescent="0.25">
      <c r="A36" s="26"/>
      <c r="B36" s="11" t="str">
        <f>CONCATENATE("          ", "6005", " - ", "TEMPORARY WAGES-HOURLY")</f>
        <v xml:space="preserve">          6005 - TEMPORARY WAGES-HOURLY</v>
      </c>
      <c r="C36" s="11"/>
      <c r="D36" s="7"/>
      <c r="E36" s="2"/>
      <c r="F36" s="6">
        <f t="shared" si="12"/>
        <v>0</v>
      </c>
      <c r="G36" s="2"/>
      <c r="H36" s="7">
        <v>0</v>
      </c>
      <c r="I36" s="2"/>
      <c r="J36" s="6">
        <f t="shared" si="13"/>
        <v>0</v>
      </c>
      <c r="K36" s="2"/>
      <c r="L36" s="7">
        <f t="shared" si="14"/>
        <v>0</v>
      </c>
      <c r="M36" s="2"/>
      <c r="N36" s="6">
        <f t="shared" si="15"/>
        <v>0</v>
      </c>
      <c r="O36" s="11"/>
      <c r="P36" s="7">
        <v>23545.86</v>
      </c>
      <c r="Q36" s="2"/>
      <c r="R36" s="6">
        <f t="shared" si="16"/>
        <v>0</v>
      </c>
      <c r="S36" s="2"/>
      <c r="T36" s="7">
        <v>0</v>
      </c>
      <c r="U36" s="2"/>
      <c r="V36" s="6">
        <f t="shared" si="17"/>
        <v>0</v>
      </c>
      <c r="W36" s="2"/>
      <c r="X36" s="7">
        <f t="shared" si="18"/>
        <v>23545.86</v>
      </c>
      <c r="Y36" s="2"/>
      <c r="Z36" s="6">
        <f t="shared" si="19"/>
        <v>0</v>
      </c>
    </row>
    <row r="37" spans="1:26" s="24" customFormat="1" hidden="1" outlineLevel="2" x14ac:dyDescent="0.25">
      <c r="A37" s="26"/>
      <c r="B37" s="11" t="str">
        <f>CONCATENATE("          ", "6006", " - ", "TEMPORARY PART TIME")</f>
        <v xml:space="preserve">          6006 - TEMPORARY PART TIME</v>
      </c>
      <c r="C37" s="11"/>
      <c r="D37" s="7"/>
      <c r="E37" s="2"/>
      <c r="F37" s="6">
        <f t="shared" si="12"/>
        <v>0</v>
      </c>
      <c r="G37" s="2"/>
      <c r="H37" s="7">
        <v>0</v>
      </c>
      <c r="I37" s="2"/>
      <c r="J37" s="6">
        <f t="shared" si="13"/>
        <v>0</v>
      </c>
      <c r="K37" s="2"/>
      <c r="L37" s="7">
        <f t="shared" si="14"/>
        <v>0</v>
      </c>
      <c r="M37" s="2"/>
      <c r="N37" s="6">
        <f t="shared" si="15"/>
        <v>0</v>
      </c>
      <c r="O37" s="11"/>
      <c r="P37" s="7"/>
      <c r="Q37" s="2"/>
      <c r="R37" s="6">
        <f t="shared" si="16"/>
        <v>0</v>
      </c>
      <c r="S37" s="2"/>
      <c r="T37" s="7">
        <v>0</v>
      </c>
      <c r="U37" s="2"/>
      <c r="V37" s="6">
        <f t="shared" si="17"/>
        <v>0</v>
      </c>
      <c r="W37" s="2"/>
      <c r="X37" s="7">
        <f t="shared" si="18"/>
        <v>0</v>
      </c>
      <c r="Y37" s="2"/>
      <c r="Z37" s="6">
        <f t="shared" si="19"/>
        <v>0</v>
      </c>
    </row>
    <row r="38" spans="1:26" s="24" customFormat="1" hidden="1" outlineLevel="2" x14ac:dyDescent="0.25">
      <c r="A38" s="26"/>
      <c r="B38" s="11" t="str">
        <f>CONCATENATE("          ", "6007", " - ", "STUDENT HOURLY")</f>
        <v xml:space="preserve">          6007 - STUDENT HOURLY</v>
      </c>
      <c r="C38" s="11"/>
      <c r="D38" s="7"/>
      <c r="E38" s="2"/>
      <c r="F38" s="6">
        <f t="shared" si="12"/>
        <v>0</v>
      </c>
      <c r="G38" s="2"/>
      <c r="H38" s="7">
        <v>1680</v>
      </c>
      <c r="I38" s="2"/>
      <c r="J38" s="6">
        <f t="shared" si="13"/>
        <v>0</v>
      </c>
      <c r="K38" s="2"/>
      <c r="L38" s="7">
        <f t="shared" si="14"/>
        <v>-1680</v>
      </c>
      <c r="M38" s="2"/>
      <c r="N38" s="6">
        <f t="shared" si="15"/>
        <v>-1</v>
      </c>
      <c r="O38" s="11"/>
      <c r="P38" s="7">
        <v>26497.88</v>
      </c>
      <c r="Q38" s="2"/>
      <c r="R38" s="6">
        <f t="shared" si="16"/>
        <v>0</v>
      </c>
      <c r="S38" s="2"/>
      <c r="T38" s="7">
        <v>30800</v>
      </c>
      <c r="U38" s="2"/>
      <c r="V38" s="6">
        <f t="shared" si="17"/>
        <v>154</v>
      </c>
      <c r="W38" s="2"/>
      <c r="X38" s="7">
        <f t="shared" si="18"/>
        <v>-4302.119999999999</v>
      </c>
      <c r="Y38" s="2"/>
      <c r="Z38" s="6">
        <f t="shared" si="19"/>
        <v>-0.13967922077922074</v>
      </c>
    </row>
    <row r="39" spans="1:26" s="24" customFormat="1" hidden="1" outlineLevel="2" x14ac:dyDescent="0.25">
      <c r="A39" s="26"/>
      <c r="B39" s="11" t="str">
        <f>CONCATENATE("          ", "6008", " - ", "STUDENT HOURLY-FICA EXEMPT")</f>
        <v xml:space="preserve">          6008 - STUDENT HOURLY-FICA EXEMPT</v>
      </c>
      <c r="C39" s="11"/>
      <c r="D39" s="7"/>
      <c r="E39" s="2"/>
      <c r="F39" s="6">
        <f t="shared" si="12"/>
        <v>0</v>
      </c>
      <c r="G39" s="2"/>
      <c r="H39" s="7">
        <v>0</v>
      </c>
      <c r="I39" s="2"/>
      <c r="J39" s="6">
        <f t="shared" si="13"/>
        <v>0</v>
      </c>
      <c r="K39" s="2"/>
      <c r="L39" s="7">
        <f t="shared" si="14"/>
        <v>0</v>
      </c>
      <c r="M39" s="2"/>
      <c r="N39" s="6">
        <f t="shared" si="15"/>
        <v>0</v>
      </c>
      <c r="O39" s="11"/>
      <c r="P39" s="7">
        <v>2520</v>
      </c>
      <c r="Q39" s="2"/>
      <c r="R39" s="6">
        <f t="shared" si="16"/>
        <v>0</v>
      </c>
      <c r="S39" s="2"/>
      <c r="T39" s="7">
        <v>3920</v>
      </c>
      <c r="U39" s="2"/>
      <c r="V39" s="6">
        <f t="shared" si="17"/>
        <v>19.600000000000001</v>
      </c>
      <c r="W39" s="2"/>
      <c r="X39" s="7">
        <f t="shared" si="18"/>
        <v>-1400</v>
      </c>
      <c r="Y39" s="2"/>
      <c r="Z39" s="6">
        <f t="shared" si="19"/>
        <v>-0.35714285714285715</v>
      </c>
    </row>
    <row r="40" spans="1:26" s="24" customFormat="1" hidden="1" outlineLevel="2" x14ac:dyDescent="0.25">
      <c r="A40" s="26"/>
      <c r="B40" s="11" t="str">
        <f>CONCATENATE("          ", "6009", " - ", "TEMPORARY-SEASONAL")</f>
        <v xml:space="preserve">          6009 - TEMPORARY-SEASONAL</v>
      </c>
      <c r="C40" s="11"/>
      <c r="D40" s="7"/>
      <c r="E40" s="2"/>
      <c r="F40" s="6">
        <f t="shared" si="12"/>
        <v>0</v>
      </c>
      <c r="G40" s="2"/>
      <c r="H40" s="7">
        <v>0</v>
      </c>
      <c r="I40" s="2"/>
      <c r="J40" s="6">
        <f t="shared" si="13"/>
        <v>0</v>
      </c>
      <c r="K40" s="2"/>
      <c r="L40" s="7">
        <f t="shared" si="14"/>
        <v>0</v>
      </c>
      <c r="M40" s="2"/>
      <c r="N40" s="6">
        <f t="shared" si="15"/>
        <v>0</v>
      </c>
      <c r="O40" s="11"/>
      <c r="P40" s="7"/>
      <c r="Q40" s="2"/>
      <c r="R40" s="6">
        <f t="shared" si="16"/>
        <v>0</v>
      </c>
      <c r="S40" s="2"/>
      <c r="T40" s="7">
        <v>0</v>
      </c>
      <c r="U40" s="2"/>
      <c r="V40" s="6">
        <f t="shared" si="17"/>
        <v>0</v>
      </c>
      <c r="W40" s="2"/>
      <c r="X40" s="7">
        <f t="shared" si="18"/>
        <v>0</v>
      </c>
      <c r="Y40" s="2"/>
      <c r="Z40" s="6">
        <f t="shared" si="19"/>
        <v>0</v>
      </c>
    </row>
    <row r="41" spans="1:26" s="24" customFormat="1" hidden="1" outlineLevel="2" x14ac:dyDescent="0.25">
      <c r="A41" s="26"/>
      <c r="B41" s="11" t="str">
        <f>CONCATENATE("          ", "6010", " - ", "GRATUITY")</f>
        <v xml:space="preserve">          6010 - GRATUITY</v>
      </c>
      <c r="C41" s="11"/>
      <c r="D41" s="7"/>
      <c r="E41" s="2"/>
      <c r="F41" s="6">
        <f t="shared" si="12"/>
        <v>0</v>
      </c>
      <c r="G41" s="2"/>
      <c r="H41" s="7">
        <v>0</v>
      </c>
      <c r="I41" s="2"/>
      <c r="J41" s="6">
        <f t="shared" si="13"/>
        <v>0</v>
      </c>
      <c r="K41" s="2"/>
      <c r="L41" s="7">
        <f t="shared" si="14"/>
        <v>0</v>
      </c>
      <c r="M41" s="2"/>
      <c r="N41" s="6">
        <f t="shared" si="15"/>
        <v>0</v>
      </c>
      <c r="O41" s="11"/>
      <c r="P41" s="7"/>
      <c r="Q41" s="2"/>
      <c r="R41" s="6">
        <f t="shared" si="16"/>
        <v>0</v>
      </c>
      <c r="S41" s="2"/>
      <c r="T41" s="7">
        <v>0</v>
      </c>
      <c r="U41" s="2"/>
      <c r="V41" s="6">
        <f t="shared" si="17"/>
        <v>0</v>
      </c>
      <c r="W41" s="2"/>
      <c r="X41" s="7">
        <f t="shared" si="18"/>
        <v>0</v>
      </c>
      <c r="Y41" s="2"/>
      <c r="Z41" s="6">
        <f t="shared" si="19"/>
        <v>0</v>
      </c>
    </row>
    <row r="42" spans="1:26" s="27" customFormat="1" outlineLevel="1" collapsed="1" x14ac:dyDescent="0.25">
      <c r="A42" s="25"/>
      <c r="B42" s="12" t="str">
        <f>CONCATENATE("     ","Advertising/Promo                                 ")</f>
        <v xml:space="preserve">     Advertising/Promo                                 </v>
      </c>
      <c r="C42" s="12"/>
      <c r="D42" s="1">
        <f>SUM(OSRRefD22_2x_0)</f>
        <v>0</v>
      </c>
      <c r="E42" s="1"/>
      <c r="F42" s="5">
        <f t="shared" ref="F42:F46" si="20">IF(D$12=0,0,D42/D$12)</f>
        <v>0</v>
      </c>
      <c r="G42" s="1"/>
      <c r="H42" s="1">
        <f>SUM(OSRRefH22_2x_0)</f>
        <v>0</v>
      </c>
      <c r="I42" s="1"/>
      <c r="J42" s="5">
        <f t="shared" ref="J42:J46" si="21">IF(H$12=0,0,H42/H$12)</f>
        <v>0</v>
      </c>
      <c r="K42" s="1"/>
      <c r="L42" s="1">
        <f t="shared" ref="L42:L46" si="22">+D42-H42</f>
        <v>0</v>
      </c>
      <c r="M42" s="1"/>
      <c r="N42" s="5">
        <f t="shared" ref="N42:N46" si="23">IF(H42=0,0,L42/H42)</f>
        <v>0</v>
      </c>
      <c r="O42" s="12"/>
      <c r="P42" s="1">
        <f>SUM(OSRRefP22_2x_0)</f>
        <v>9.99</v>
      </c>
      <c r="Q42" s="1"/>
      <c r="R42" s="5">
        <f t="shared" ref="R42:R46" si="24">IF(P$12=0,0,P42/P$12)</f>
        <v>0</v>
      </c>
      <c r="S42" s="1"/>
      <c r="T42" s="1">
        <f>SUM(OSRRefT22_2x_0)</f>
        <v>0</v>
      </c>
      <c r="U42" s="1"/>
      <c r="V42" s="5">
        <f t="shared" ref="V42:V46" si="25">IF(T$12=0,0,T42/T$12)</f>
        <v>0</v>
      </c>
      <c r="W42" s="1"/>
      <c r="X42" s="1">
        <f t="shared" ref="X42:X46" si="26">+P42-T42</f>
        <v>9.99</v>
      </c>
      <c r="Y42" s="1"/>
      <c r="Z42" s="5">
        <f t="shared" ref="Z42:Z46" si="27">IF(T42=0,0,X42/T42)</f>
        <v>0</v>
      </c>
    </row>
    <row r="43" spans="1:26" s="24" customFormat="1" hidden="1" outlineLevel="2" x14ac:dyDescent="0.25">
      <c r="A43" s="26"/>
      <c r="B43" s="11" t="str">
        <f>CONCATENATE("          ", "6362", " - ", "ADVERTISING EXPENSE")</f>
        <v xml:space="preserve">          6362 - ADVERTISING EXPENSE</v>
      </c>
      <c r="C43" s="11"/>
      <c r="D43" s="7"/>
      <c r="E43" s="2"/>
      <c r="F43" s="6">
        <f t="shared" si="20"/>
        <v>0</v>
      </c>
      <c r="G43" s="2"/>
      <c r="H43" s="7"/>
      <c r="I43" s="2"/>
      <c r="J43" s="6">
        <f t="shared" si="21"/>
        <v>0</v>
      </c>
      <c r="K43" s="2"/>
      <c r="L43" s="7">
        <f t="shared" si="22"/>
        <v>0</v>
      </c>
      <c r="M43" s="2"/>
      <c r="N43" s="6">
        <f t="shared" si="23"/>
        <v>0</v>
      </c>
      <c r="O43" s="11"/>
      <c r="P43" s="7">
        <v>9.99</v>
      </c>
      <c r="Q43" s="2"/>
      <c r="R43" s="6">
        <f t="shared" si="24"/>
        <v>0</v>
      </c>
      <c r="S43" s="2"/>
      <c r="T43" s="7"/>
      <c r="U43" s="2"/>
      <c r="V43" s="6">
        <f t="shared" si="25"/>
        <v>0</v>
      </c>
      <c r="W43" s="2"/>
      <c r="X43" s="7">
        <f t="shared" si="26"/>
        <v>9.99</v>
      </c>
      <c r="Y43" s="2"/>
      <c r="Z43" s="6">
        <f t="shared" si="27"/>
        <v>0</v>
      </c>
    </row>
    <row r="44" spans="1:26" s="27" customFormat="1" outlineLevel="1" collapsed="1" x14ac:dyDescent="0.25">
      <c r="A44" s="25"/>
      <c r="B44" s="12" t="str">
        <f>CONCATENATE("     ","Depreciation                                      ")</f>
        <v xml:space="preserve">     Depreciation                                      </v>
      </c>
      <c r="C44" s="12"/>
      <c r="D44" s="1">
        <f>SUM(OSRRefD22_3x_0)</f>
        <v>5462.14</v>
      </c>
      <c r="E44" s="1"/>
      <c r="F44" s="5">
        <f t="shared" si="20"/>
        <v>0</v>
      </c>
      <c r="G44" s="1"/>
      <c r="H44" s="1">
        <f>SUM(OSRRefH22_3x_0)</f>
        <v>6476</v>
      </c>
      <c r="I44" s="1"/>
      <c r="J44" s="5">
        <f t="shared" si="21"/>
        <v>0</v>
      </c>
      <c r="K44" s="1"/>
      <c r="L44" s="1">
        <f t="shared" si="22"/>
        <v>-1013.8599999999997</v>
      </c>
      <c r="M44" s="1"/>
      <c r="N44" s="5">
        <f t="shared" si="23"/>
        <v>-0.15655651636812842</v>
      </c>
      <c r="O44" s="12"/>
      <c r="P44" s="1">
        <f>SUM(OSRRefP22_3x_0)</f>
        <v>66863.490000000005</v>
      </c>
      <c r="Q44" s="1"/>
      <c r="R44" s="5">
        <f t="shared" si="24"/>
        <v>0</v>
      </c>
      <c r="S44" s="1"/>
      <c r="T44" s="1">
        <f>SUM(OSRRefT22_3x_0)</f>
        <v>69619</v>
      </c>
      <c r="U44" s="1"/>
      <c r="V44" s="5">
        <f t="shared" si="25"/>
        <v>348.09500000000003</v>
      </c>
      <c r="W44" s="1"/>
      <c r="X44" s="1">
        <f t="shared" si="26"/>
        <v>-2755.5099999999948</v>
      </c>
      <c r="Y44" s="1"/>
      <c r="Z44" s="5">
        <f t="shared" si="27"/>
        <v>-3.9579856073772887E-2</v>
      </c>
    </row>
    <row r="45" spans="1:26" s="24" customFormat="1" hidden="1" outlineLevel="2" x14ac:dyDescent="0.25">
      <c r="A45" s="26"/>
      <c r="B45" s="11" t="str">
        <f>CONCATENATE("          ", "6322", " - ", "EQUIPMENT DEPRECIATION EXPENSE")</f>
        <v xml:space="preserve">          6322 - EQUIPMENT DEPRECIATION EXPENSE</v>
      </c>
      <c r="C45" s="11"/>
      <c r="D45" s="7">
        <v>5462.14</v>
      </c>
      <c r="E45" s="2"/>
      <c r="F45" s="6">
        <f t="shared" si="20"/>
        <v>0</v>
      </c>
      <c r="G45" s="2"/>
      <c r="H45" s="7">
        <v>6176</v>
      </c>
      <c r="I45" s="2"/>
      <c r="J45" s="6">
        <f t="shared" si="21"/>
        <v>0</v>
      </c>
      <c r="K45" s="2"/>
      <c r="L45" s="7">
        <f t="shared" si="22"/>
        <v>-713.85999999999967</v>
      </c>
      <c r="M45" s="2"/>
      <c r="N45" s="6">
        <f t="shared" si="23"/>
        <v>-0.11558613989637301</v>
      </c>
      <c r="O45" s="11"/>
      <c r="P45" s="7">
        <v>66863.490000000005</v>
      </c>
      <c r="Q45" s="2"/>
      <c r="R45" s="6">
        <f t="shared" si="24"/>
        <v>0</v>
      </c>
      <c r="S45" s="2"/>
      <c r="T45" s="7">
        <v>67936</v>
      </c>
      <c r="U45" s="2"/>
      <c r="V45" s="6">
        <f t="shared" si="25"/>
        <v>339.68</v>
      </c>
      <c r="W45" s="2"/>
      <c r="X45" s="7">
        <f t="shared" si="26"/>
        <v>-1072.5099999999948</v>
      </c>
      <c r="Y45" s="2"/>
      <c r="Z45" s="6">
        <f t="shared" si="27"/>
        <v>-1.5787064295807743E-2</v>
      </c>
    </row>
    <row r="46" spans="1:26" s="24" customFormat="1" hidden="1" outlineLevel="2" x14ac:dyDescent="0.25">
      <c r="A46" s="26"/>
      <c r="B46" s="11" t="str">
        <f>CONCATENATE("          ", "6324", " - ", "FURNITURE + FIXT DEPRECIATION")</f>
        <v xml:space="preserve">          6324 - FURNITURE + FIXT DEPRECIATION</v>
      </c>
      <c r="C46" s="11"/>
      <c r="D46" s="7"/>
      <c r="E46" s="2"/>
      <c r="F46" s="6">
        <f t="shared" si="20"/>
        <v>0</v>
      </c>
      <c r="G46" s="2"/>
      <c r="H46" s="7">
        <v>300</v>
      </c>
      <c r="I46" s="2"/>
      <c r="J46" s="6">
        <f t="shared" si="21"/>
        <v>0</v>
      </c>
      <c r="K46" s="2"/>
      <c r="L46" s="7">
        <f t="shared" si="22"/>
        <v>-300</v>
      </c>
      <c r="M46" s="2"/>
      <c r="N46" s="6">
        <f t="shared" si="23"/>
        <v>-1</v>
      </c>
      <c r="O46" s="11"/>
      <c r="P46" s="7"/>
      <c r="Q46" s="2"/>
      <c r="R46" s="6">
        <f t="shared" si="24"/>
        <v>0</v>
      </c>
      <c r="S46" s="2"/>
      <c r="T46" s="7">
        <v>1683</v>
      </c>
      <c r="U46" s="2"/>
      <c r="V46" s="6">
        <f t="shared" si="25"/>
        <v>8.4149999999999991</v>
      </c>
      <c r="W46" s="2"/>
      <c r="X46" s="7">
        <f t="shared" si="26"/>
        <v>-1683</v>
      </c>
      <c r="Y46" s="2"/>
      <c r="Z46" s="6">
        <f t="shared" si="27"/>
        <v>-1</v>
      </c>
    </row>
    <row r="47" spans="1:26" s="27" customFormat="1" outlineLevel="1" collapsed="1" x14ac:dyDescent="0.25">
      <c r="A47" s="25"/>
      <c r="B47" s="12" t="str">
        <f>CONCATENATE("     ","Employees' Appreciation                           ")</f>
        <v xml:space="preserve">     Employees' Appreciation                           </v>
      </c>
      <c r="C47" s="12"/>
      <c r="D47" s="1">
        <f>SUM(OSRRefD22_4x_0)</f>
        <v>0</v>
      </c>
      <c r="E47" s="1"/>
      <c r="F47" s="5">
        <f t="shared" ref="F47:F57" si="28">IF(D$12=0,0,D47/D$12)</f>
        <v>0</v>
      </c>
      <c r="G47" s="1"/>
      <c r="H47" s="1">
        <f>SUM(OSRRefH22_4x_0)</f>
        <v>100</v>
      </c>
      <c r="I47" s="1"/>
      <c r="J47" s="5">
        <f t="shared" ref="J47:J57" si="29">IF(H$12=0,0,H47/H$12)</f>
        <v>0</v>
      </c>
      <c r="K47" s="1"/>
      <c r="L47" s="1">
        <f t="shared" ref="L47:L57" si="30">+D47-H47</f>
        <v>-100</v>
      </c>
      <c r="M47" s="1"/>
      <c r="N47" s="5">
        <f t="shared" ref="N47:N57" si="31">IF(H47=0,0,L47/H47)</f>
        <v>-1</v>
      </c>
      <c r="O47" s="12"/>
      <c r="P47" s="1">
        <f>SUM(OSRRefP22_4x_0)</f>
        <v>0</v>
      </c>
      <c r="Q47" s="1"/>
      <c r="R47" s="5">
        <f t="shared" ref="R47:R57" si="32">IF(P$12=0,0,P47/P$12)</f>
        <v>0</v>
      </c>
      <c r="S47" s="1"/>
      <c r="T47" s="1">
        <f>SUM(OSRRefT22_4x_0)</f>
        <v>1100</v>
      </c>
      <c r="U47" s="1"/>
      <c r="V47" s="5">
        <f t="shared" ref="V47:V57" si="33">IF(T$12=0,0,T47/T$12)</f>
        <v>5.5</v>
      </c>
      <c r="W47" s="1"/>
      <c r="X47" s="1">
        <f t="shared" ref="X47:X57" si="34">+P47-T47</f>
        <v>-1100</v>
      </c>
      <c r="Y47" s="1"/>
      <c r="Z47" s="5">
        <f t="shared" ref="Z47:Z57" si="35">IF(T47=0,0,X47/T47)</f>
        <v>-1</v>
      </c>
    </row>
    <row r="48" spans="1:26" s="24" customFormat="1" hidden="1" outlineLevel="2" x14ac:dyDescent="0.25">
      <c r="A48" s="26"/>
      <c r="B48" s="11" t="str">
        <f>CONCATENATE("          ", "6277", " - ", "EMPLOYEE APPRECIATION")</f>
        <v xml:space="preserve">          6277 - EMPLOYEE APPRECIATION</v>
      </c>
      <c r="C48" s="11"/>
      <c r="D48" s="7"/>
      <c r="E48" s="2"/>
      <c r="F48" s="6">
        <f t="shared" si="28"/>
        <v>0</v>
      </c>
      <c r="G48" s="2"/>
      <c r="H48" s="7">
        <v>100</v>
      </c>
      <c r="I48" s="2"/>
      <c r="J48" s="6">
        <f t="shared" si="29"/>
        <v>0</v>
      </c>
      <c r="K48" s="2"/>
      <c r="L48" s="7">
        <f t="shared" si="30"/>
        <v>-100</v>
      </c>
      <c r="M48" s="2"/>
      <c r="N48" s="6">
        <f t="shared" si="31"/>
        <v>-1</v>
      </c>
      <c r="O48" s="11"/>
      <c r="P48" s="7"/>
      <c r="Q48" s="2"/>
      <c r="R48" s="6">
        <f t="shared" si="32"/>
        <v>0</v>
      </c>
      <c r="S48" s="2"/>
      <c r="T48" s="7">
        <v>1100</v>
      </c>
      <c r="U48" s="2"/>
      <c r="V48" s="6">
        <f t="shared" si="33"/>
        <v>5.5</v>
      </c>
      <c r="W48" s="2"/>
      <c r="X48" s="7">
        <f t="shared" si="34"/>
        <v>-1100</v>
      </c>
      <c r="Y48" s="2"/>
      <c r="Z48" s="6">
        <f t="shared" si="35"/>
        <v>-1</v>
      </c>
    </row>
    <row r="49" spans="1:26" s="27" customFormat="1" outlineLevel="1" collapsed="1" x14ac:dyDescent="0.25">
      <c r="A49" s="25"/>
      <c r="B49" s="12" t="str">
        <f>CONCATENATE("     ","Insurance                                         ")</f>
        <v xml:space="preserve">     Insurance                                         </v>
      </c>
      <c r="C49" s="12"/>
      <c r="D49" s="1">
        <f>SUM(OSRRefD22_5x_0)</f>
        <v>56.34</v>
      </c>
      <c r="E49" s="1"/>
      <c r="F49" s="5">
        <f t="shared" si="28"/>
        <v>0</v>
      </c>
      <c r="G49" s="1"/>
      <c r="H49" s="1">
        <f>SUM(OSRRefH22_5x_0)</f>
        <v>55</v>
      </c>
      <c r="I49" s="1"/>
      <c r="J49" s="5">
        <f t="shared" si="29"/>
        <v>0</v>
      </c>
      <c r="K49" s="1"/>
      <c r="L49" s="1">
        <f t="shared" si="30"/>
        <v>1.3400000000000034</v>
      </c>
      <c r="M49" s="1"/>
      <c r="N49" s="5">
        <f t="shared" si="31"/>
        <v>2.4363636363636424E-2</v>
      </c>
      <c r="O49" s="12"/>
      <c r="P49" s="1">
        <f>SUM(OSRRefP22_5x_0)</f>
        <v>619.74</v>
      </c>
      <c r="Q49" s="1"/>
      <c r="R49" s="5">
        <f t="shared" si="32"/>
        <v>0</v>
      </c>
      <c r="S49" s="1"/>
      <c r="T49" s="1">
        <f>SUM(OSRRefT22_5x_0)</f>
        <v>605</v>
      </c>
      <c r="U49" s="1"/>
      <c r="V49" s="5">
        <f t="shared" si="33"/>
        <v>3.0249999999999999</v>
      </c>
      <c r="W49" s="1"/>
      <c r="X49" s="1">
        <f t="shared" si="34"/>
        <v>14.740000000000009</v>
      </c>
      <c r="Y49" s="1"/>
      <c r="Z49" s="5">
        <f t="shared" si="35"/>
        <v>2.4363636363636379E-2</v>
      </c>
    </row>
    <row r="50" spans="1:26" s="24" customFormat="1" hidden="1" outlineLevel="2" x14ac:dyDescent="0.25">
      <c r="A50" s="26"/>
      <c r="B50" s="11" t="str">
        <f>CONCATENATE("          ", "6314", " - ", "LIABILITY INSURANCE")</f>
        <v xml:space="preserve">          6314 - LIABILITY INSURANCE</v>
      </c>
      <c r="C50" s="11"/>
      <c r="D50" s="7">
        <v>56.34</v>
      </c>
      <c r="E50" s="2"/>
      <c r="F50" s="6">
        <f t="shared" si="28"/>
        <v>0</v>
      </c>
      <c r="G50" s="2"/>
      <c r="H50" s="7">
        <v>55</v>
      </c>
      <c r="I50" s="2"/>
      <c r="J50" s="6">
        <f t="shared" si="29"/>
        <v>0</v>
      </c>
      <c r="K50" s="2"/>
      <c r="L50" s="7">
        <f t="shared" si="30"/>
        <v>1.3400000000000034</v>
      </c>
      <c r="M50" s="2"/>
      <c r="N50" s="6">
        <f t="shared" si="31"/>
        <v>2.4363636363636424E-2</v>
      </c>
      <c r="O50" s="11"/>
      <c r="P50" s="7">
        <v>619.74</v>
      </c>
      <c r="Q50" s="2"/>
      <c r="R50" s="6">
        <f t="shared" si="32"/>
        <v>0</v>
      </c>
      <c r="S50" s="2"/>
      <c r="T50" s="7">
        <v>605</v>
      </c>
      <c r="U50" s="2"/>
      <c r="V50" s="6">
        <f t="shared" si="33"/>
        <v>3.0249999999999999</v>
      </c>
      <c r="W50" s="2"/>
      <c r="X50" s="7">
        <f t="shared" si="34"/>
        <v>14.740000000000009</v>
      </c>
      <c r="Y50" s="2"/>
      <c r="Z50" s="6">
        <f t="shared" si="35"/>
        <v>2.4363636363636379E-2</v>
      </c>
    </row>
    <row r="51" spans="1:26" s="27" customFormat="1" outlineLevel="1" collapsed="1" x14ac:dyDescent="0.25">
      <c r="A51" s="25"/>
      <c r="B51" s="12" t="str">
        <f>CONCATENATE("     ","Professional Services                             ")</f>
        <v xml:space="preserve">     Professional Services                             </v>
      </c>
      <c r="C51" s="12"/>
      <c r="D51" s="1">
        <f>SUM(OSRRefD22_6x_0)</f>
        <v>0</v>
      </c>
      <c r="E51" s="1"/>
      <c r="F51" s="5">
        <f t="shared" si="28"/>
        <v>0</v>
      </c>
      <c r="G51" s="1"/>
      <c r="H51" s="1">
        <f>SUM(OSRRefH22_6x_0)</f>
        <v>500</v>
      </c>
      <c r="I51" s="1"/>
      <c r="J51" s="5">
        <f t="shared" si="29"/>
        <v>0</v>
      </c>
      <c r="K51" s="1"/>
      <c r="L51" s="1">
        <f t="shared" si="30"/>
        <v>-500</v>
      </c>
      <c r="M51" s="1"/>
      <c r="N51" s="5">
        <f t="shared" si="31"/>
        <v>-1</v>
      </c>
      <c r="O51" s="12"/>
      <c r="P51" s="1">
        <f>SUM(OSRRefP22_6x_0)</f>
        <v>0</v>
      </c>
      <c r="Q51" s="1"/>
      <c r="R51" s="5">
        <f t="shared" si="32"/>
        <v>0</v>
      </c>
      <c r="S51" s="1"/>
      <c r="T51" s="1">
        <f>SUM(OSRRefT22_6x_0)</f>
        <v>5500</v>
      </c>
      <c r="U51" s="1"/>
      <c r="V51" s="5">
        <f t="shared" si="33"/>
        <v>27.5</v>
      </c>
      <c r="W51" s="1"/>
      <c r="X51" s="1">
        <f t="shared" si="34"/>
        <v>-5500</v>
      </c>
      <c r="Y51" s="1"/>
      <c r="Z51" s="5">
        <f t="shared" si="35"/>
        <v>-1</v>
      </c>
    </row>
    <row r="52" spans="1:26" s="24" customFormat="1" hidden="1" outlineLevel="2" x14ac:dyDescent="0.25">
      <c r="A52" s="26"/>
      <c r="B52" s="11" t="str">
        <f>CONCATENATE("          ", "6332", " - ", "CONSULTANT FEES")</f>
        <v xml:space="preserve">          6332 - CONSULTANT FEES</v>
      </c>
      <c r="C52" s="11"/>
      <c r="D52" s="7"/>
      <c r="E52" s="2"/>
      <c r="F52" s="6">
        <f t="shared" si="28"/>
        <v>0</v>
      </c>
      <c r="G52" s="2"/>
      <c r="H52" s="7">
        <v>500</v>
      </c>
      <c r="I52" s="2"/>
      <c r="J52" s="6">
        <f t="shared" si="29"/>
        <v>0</v>
      </c>
      <c r="K52" s="2"/>
      <c r="L52" s="7">
        <f t="shared" si="30"/>
        <v>-500</v>
      </c>
      <c r="M52" s="2"/>
      <c r="N52" s="6">
        <f t="shared" si="31"/>
        <v>-1</v>
      </c>
      <c r="O52" s="11"/>
      <c r="P52" s="7"/>
      <c r="Q52" s="2"/>
      <c r="R52" s="6">
        <f t="shared" si="32"/>
        <v>0</v>
      </c>
      <c r="S52" s="2"/>
      <c r="T52" s="7">
        <v>5500</v>
      </c>
      <c r="U52" s="2"/>
      <c r="V52" s="6">
        <f t="shared" si="33"/>
        <v>27.5</v>
      </c>
      <c r="W52" s="2"/>
      <c r="X52" s="7">
        <f t="shared" si="34"/>
        <v>-5500</v>
      </c>
      <c r="Y52" s="2"/>
      <c r="Z52" s="6">
        <f t="shared" si="35"/>
        <v>-1</v>
      </c>
    </row>
    <row r="53" spans="1:26" s="27" customFormat="1" outlineLevel="1" collapsed="1" x14ac:dyDescent="0.25">
      <c r="A53" s="25"/>
      <c r="B53" s="12" t="str">
        <f>CONCATENATE("     ","Repair and Maintenance                            ")</f>
        <v xml:space="preserve">     Repair and Maintenance                            </v>
      </c>
      <c r="C53" s="12"/>
      <c r="D53" s="1">
        <f>SUM(OSRRefD22_7x_0)</f>
        <v>11662.95</v>
      </c>
      <c r="E53" s="1"/>
      <c r="F53" s="5">
        <f t="shared" si="28"/>
        <v>0</v>
      </c>
      <c r="G53" s="1"/>
      <c r="H53" s="1">
        <f>SUM(OSRRefH22_7x_0)</f>
        <v>12600</v>
      </c>
      <c r="I53" s="1"/>
      <c r="J53" s="5">
        <f t="shared" si="29"/>
        <v>0</v>
      </c>
      <c r="K53" s="1"/>
      <c r="L53" s="1">
        <f t="shared" si="30"/>
        <v>-937.04999999999927</v>
      </c>
      <c r="M53" s="1"/>
      <c r="N53" s="5">
        <f t="shared" si="31"/>
        <v>-7.4369047619047557E-2</v>
      </c>
      <c r="O53" s="12"/>
      <c r="P53" s="1">
        <f>SUM(OSRRefP22_7x_0)</f>
        <v>107724.67</v>
      </c>
      <c r="Q53" s="1"/>
      <c r="R53" s="5">
        <f t="shared" si="32"/>
        <v>0</v>
      </c>
      <c r="S53" s="1"/>
      <c r="T53" s="1">
        <f>SUM(OSRRefT22_7x_0)</f>
        <v>132000</v>
      </c>
      <c r="U53" s="1"/>
      <c r="V53" s="5">
        <f t="shared" si="33"/>
        <v>660</v>
      </c>
      <c r="W53" s="1"/>
      <c r="X53" s="1">
        <f t="shared" si="34"/>
        <v>-24275.33</v>
      </c>
      <c r="Y53" s="1"/>
      <c r="Z53" s="5">
        <f t="shared" si="35"/>
        <v>-0.18390401515151517</v>
      </c>
    </row>
    <row r="54" spans="1:26" s="24" customFormat="1" hidden="1" outlineLevel="2" x14ac:dyDescent="0.25">
      <c r="A54" s="26"/>
      <c r="B54" s="11" t="str">
        <f>CONCATENATE("          ", "6371", " - ", "COMPUTER SOFTWARE MAINTENANCE")</f>
        <v xml:space="preserve">          6371 - COMPUTER SOFTWARE MAINTENANCE</v>
      </c>
      <c r="C54" s="11"/>
      <c r="D54" s="7">
        <v>2255.9499999999998</v>
      </c>
      <c r="E54" s="2"/>
      <c r="F54" s="6">
        <f t="shared" si="28"/>
        <v>0</v>
      </c>
      <c r="G54" s="2"/>
      <c r="H54" s="7">
        <v>500</v>
      </c>
      <c r="I54" s="2"/>
      <c r="J54" s="6">
        <f t="shared" si="29"/>
        <v>0</v>
      </c>
      <c r="K54" s="2"/>
      <c r="L54" s="7">
        <f t="shared" si="30"/>
        <v>1755.9499999999998</v>
      </c>
      <c r="M54" s="2"/>
      <c r="N54" s="6">
        <f t="shared" si="31"/>
        <v>3.5118999999999998</v>
      </c>
      <c r="O54" s="11"/>
      <c r="P54" s="7">
        <v>3502.2</v>
      </c>
      <c r="Q54" s="2"/>
      <c r="R54" s="6">
        <f t="shared" si="32"/>
        <v>0</v>
      </c>
      <c r="S54" s="2"/>
      <c r="T54" s="7">
        <v>7000</v>
      </c>
      <c r="U54" s="2"/>
      <c r="V54" s="6">
        <f t="shared" si="33"/>
        <v>35</v>
      </c>
      <c r="W54" s="2"/>
      <c r="X54" s="7">
        <f t="shared" si="34"/>
        <v>-3497.8</v>
      </c>
      <c r="Y54" s="2"/>
      <c r="Z54" s="6">
        <f t="shared" si="35"/>
        <v>-0.49968571428571429</v>
      </c>
    </row>
    <row r="55" spans="1:26" s="24" customFormat="1" hidden="1" outlineLevel="2" x14ac:dyDescent="0.25">
      <c r="A55" s="26"/>
      <c r="B55" s="11" t="str">
        <f>CONCATENATE("          ", "6372", " - ", "COMPUTER HARDWARE MAINTENANCE")</f>
        <v xml:space="preserve">          6372 - COMPUTER HARDWARE MAINTENANCE</v>
      </c>
      <c r="C55" s="11"/>
      <c r="D55" s="7"/>
      <c r="E55" s="2"/>
      <c r="F55" s="6">
        <f t="shared" si="28"/>
        <v>0</v>
      </c>
      <c r="G55" s="2"/>
      <c r="H55" s="7">
        <v>500</v>
      </c>
      <c r="I55" s="2"/>
      <c r="J55" s="6">
        <f t="shared" si="29"/>
        <v>0</v>
      </c>
      <c r="K55" s="2"/>
      <c r="L55" s="7">
        <f t="shared" si="30"/>
        <v>-500</v>
      </c>
      <c r="M55" s="2"/>
      <c r="N55" s="6">
        <f t="shared" si="31"/>
        <v>-1</v>
      </c>
      <c r="O55" s="11"/>
      <c r="P55" s="7"/>
      <c r="Q55" s="2"/>
      <c r="R55" s="6">
        <f t="shared" si="32"/>
        <v>0</v>
      </c>
      <c r="S55" s="2"/>
      <c r="T55" s="7">
        <v>9000</v>
      </c>
      <c r="U55" s="2"/>
      <c r="V55" s="6">
        <f t="shared" si="33"/>
        <v>45</v>
      </c>
      <c r="W55" s="2"/>
      <c r="X55" s="7">
        <f t="shared" si="34"/>
        <v>-9000</v>
      </c>
      <c r="Y55" s="2"/>
      <c r="Z55" s="6">
        <f t="shared" si="35"/>
        <v>-1</v>
      </c>
    </row>
    <row r="56" spans="1:26" s="24" customFormat="1" hidden="1" outlineLevel="2" x14ac:dyDescent="0.25">
      <c r="A56" s="26"/>
      <c r="B56" s="11" t="str">
        <f>CONCATENATE("          ", "6373", " - ", "MAINTENANCE CONTRACTS")</f>
        <v xml:space="preserve">          6373 - MAINTENANCE CONTRACTS</v>
      </c>
      <c r="C56" s="11"/>
      <c r="D56" s="7">
        <v>9407</v>
      </c>
      <c r="E56" s="2"/>
      <c r="F56" s="6">
        <f t="shared" si="28"/>
        <v>0</v>
      </c>
      <c r="G56" s="2"/>
      <c r="H56" s="7">
        <v>11600</v>
      </c>
      <c r="I56" s="2"/>
      <c r="J56" s="6">
        <f t="shared" si="29"/>
        <v>0</v>
      </c>
      <c r="K56" s="2"/>
      <c r="L56" s="7">
        <f t="shared" si="30"/>
        <v>-2193</v>
      </c>
      <c r="M56" s="2"/>
      <c r="N56" s="6">
        <f t="shared" si="31"/>
        <v>-0.18905172413793103</v>
      </c>
      <c r="O56" s="11"/>
      <c r="P56" s="7">
        <v>104064.07</v>
      </c>
      <c r="Q56" s="2"/>
      <c r="R56" s="6">
        <f t="shared" si="32"/>
        <v>0</v>
      </c>
      <c r="S56" s="2"/>
      <c r="T56" s="7">
        <v>116000</v>
      </c>
      <c r="U56" s="2"/>
      <c r="V56" s="6">
        <f t="shared" si="33"/>
        <v>580</v>
      </c>
      <c r="W56" s="2"/>
      <c r="X56" s="7">
        <f t="shared" si="34"/>
        <v>-11935.929999999993</v>
      </c>
      <c r="Y56" s="2"/>
      <c r="Z56" s="6">
        <f t="shared" si="35"/>
        <v>-0.10289594827586201</v>
      </c>
    </row>
    <row r="57" spans="1:26" s="24" customFormat="1" hidden="1" outlineLevel="2" x14ac:dyDescent="0.25">
      <c r="A57" s="26"/>
      <c r="B57" s="11" t="str">
        <f>CONCATENATE("          ", "6375", " - ", "OUTSIDE REPAIRS &amp; MAINTENANCE")</f>
        <v xml:space="preserve">          6375 - OUTSIDE REPAIRS &amp; MAINTENANCE</v>
      </c>
      <c r="C57" s="11"/>
      <c r="D57" s="7"/>
      <c r="E57" s="2"/>
      <c r="F57" s="6">
        <f t="shared" si="28"/>
        <v>0</v>
      </c>
      <c r="G57" s="2"/>
      <c r="H57" s="7"/>
      <c r="I57" s="2"/>
      <c r="J57" s="6">
        <f t="shared" si="29"/>
        <v>0</v>
      </c>
      <c r="K57" s="2"/>
      <c r="L57" s="7">
        <f t="shared" si="30"/>
        <v>0</v>
      </c>
      <c r="M57" s="2"/>
      <c r="N57" s="6">
        <f t="shared" si="31"/>
        <v>0</v>
      </c>
      <c r="O57" s="11"/>
      <c r="P57" s="7">
        <v>158.4</v>
      </c>
      <c r="Q57" s="2"/>
      <c r="R57" s="6">
        <f t="shared" si="32"/>
        <v>0</v>
      </c>
      <c r="S57" s="2"/>
      <c r="T57" s="7"/>
      <c r="U57" s="2"/>
      <c r="V57" s="6">
        <f t="shared" si="33"/>
        <v>0</v>
      </c>
      <c r="W57" s="2"/>
      <c r="X57" s="7">
        <f t="shared" si="34"/>
        <v>158.4</v>
      </c>
      <c r="Y57" s="2"/>
      <c r="Z57" s="6">
        <f t="shared" si="35"/>
        <v>0</v>
      </c>
    </row>
    <row r="58" spans="1:26" s="27" customFormat="1" outlineLevel="1" collapsed="1" x14ac:dyDescent="0.25">
      <c r="A58" s="25"/>
      <c r="B58" s="12" t="str">
        <f>CONCATENATE("     ","Subscriptions &amp; Dues                              ")</f>
        <v xml:space="preserve">     Subscriptions &amp; Dues                              </v>
      </c>
      <c r="C58" s="12"/>
      <c r="D58" s="1">
        <f>SUM(OSRRefD22_8x_0)</f>
        <v>0</v>
      </c>
      <c r="E58" s="1"/>
      <c r="F58" s="5">
        <f t="shared" ref="F58:F62" si="36">IF(D$12=0,0,D58/D$12)</f>
        <v>0</v>
      </c>
      <c r="G58" s="1"/>
      <c r="H58" s="1">
        <f>SUM(OSRRefH22_8x_0)</f>
        <v>100</v>
      </c>
      <c r="I58" s="1"/>
      <c r="J58" s="5">
        <f t="shared" ref="J58:J62" si="37">IF(H$12=0,0,H58/H$12)</f>
        <v>0</v>
      </c>
      <c r="K58" s="1"/>
      <c r="L58" s="1">
        <f t="shared" ref="L58:L62" si="38">+D58-H58</f>
        <v>-100</v>
      </c>
      <c r="M58" s="1"/>
      <c r="N58" s="5">
        <f t="shared" ref="N58:N62" si="39">IF(H58=0,0,L58/H58)</f>
        <v>-1</v>
      </c>
      <c r="O58" s="12"/>
      <c r="P58" s="1">
        <f>SUM(OSRRefP22_8x_0)</f>
        <v>0</v>
      </c>
      <c r="Q58" s="1"/>
      <c r="R58" s="5">
        <f t="shared" ref="R58:R62" si="40">IF(P$12=0,0,P58/P$12)</f>
        <v>0</v>
      </c>
      <c r="S58" s="1"/>
      <c r="T58" s="1">
        <f>SUM(OSRRefT22_8x_0)</f>
        <v>1200</v>
      </c>
      <c r="U58" s="1"/>
      <c r="V58" s="5">
        <f t="shared" ref="V58:V62" si="41">IF(T$12=0,0,T58/T$12)</f>
        <v>6</v>
      </c>
      <c r="W58" s="1"/>
      <c r="X58" s="1">
        <f t="shared" ref="X58:X62" si="42">+P58-T58</f>
        <v>-1200</v>
      </c>
      <c r="Y58" s="1"/>
      <c r="Z58" s="5">
        <f t="shared" ref="Z58:Z62" si="43">IF(T58=0,0,X58/T58)</f>
        <v>-1</v>
      </c>
    </row>
    <row r="59" spans="1:26" s="24" customFormat="1" hidden="1" outlineLevel="2" x14ac:dyDescent="0.25">
      <c r="A59" s="26"/>
      <c r="B59" s="11" t="str">
        <f>CONCATENATE("          ", "6275", " - ", "SUBSCRIPTIONS")</f>
        <v xml:space="preserve">          6275 - SUBSCRIPTIONS</v>
      </c>
      <c r="C59" s="11"/>
      <c r="D59" s="7"/>
      <c r="E59" s="2"/>
      <c r="F59" s="6">
        <f t="shared" si="36"/>
        <v>0</v>
      </c>
      <c r="G59" s="2"/>
      <c r="H59" s="7">
        <v>100</v>
      </c>
      <c r="I59" s="2"/>
      <c r="J59" s="6">
        <f t="shared" si="37"/>
        <v>0</v>
      </c>
      <c r="K59" s="2"/>
      <c r="L59" s="7">
        <f t="shared" si="38"/>
        <v>-100</v>
      </c>
      <c r="M59" s="2"/>
      <c r="N59" s="6">
        <f t="shared" si="39"/>
        <v>-1</v>
      </c>
      <c r="O59" s="11"/>
      <c r="P59" s="7"/>
      <c r="Q59" s="2"/>
      <c r="R59" s="6">
        <f t="shared" si="40"/>
        <v>0</v>
      </c>
      <c r="S59" s="2"/>
      <c r="T59" s="7">
        <v>1200</v>
      </c>
      <c r="U59" s="2"/>
      <c r="V59" s="6">
        <f t="shared" si="41"/>
        <v>6</v>
      </c>
      <c r="W59" s="2"/>
      <c r="X59" s="7">
        <f t="shared" si="42"/>
        <v>-1200</v>
      </c>
      <c r="Y59" s="2"/>
      <c r="Z59" s="6">
        <f t="shared" si="43"/>
        <v>-1</v>
      </c>
    </row>
    <row r="60" spans="1:26" s="27" customFormat="1" outlineLevel="1" collapsed="1" x14ac:dyDescent="0.25">
      <c r="A60" s="25"/>
      <c r="B60" s="12" t="str">
        <f>CONCATENATE("     ","Supplies                                          ")</f>
        <v xml:space="preserve">     Supplies                                          </v>
      </c>
      <c r="C60" s="12"/>
      <c r="D60" s="1">
        <f>SUM(OSRRefD22_9x_0)</f>
        <v>276.64</v>
      </c>
      <c r="E60" s="1"/>
      <c r="F60" s="5">
        <f t="shared" si="36"/>
        <v>0</v>
      </c>
      <c r="G60" s="1"/>
      <c r="H60" s="1">
        <f>SUM(OSRRefH22_9x_0)</f>
        <v>400</v>
      </c>
      <c r="I60" s="1"/>
      <c r="J60" s="5">
        <f t="shared" si="37"/>
        <v>0</v>
      </c>
      <c r="K60" s="1"/>
      <c r="L60" s="1">
        <f t="shared" si="38"/>
        <v>-123.36000000000001</v>
      </c>
      <c r="M60" s="1"/>
      <c r="N60" s="5">
        <f t="shared" si="39"/>
        <v>-0.30840000000000001</v>
      </c>
      <c r="O60" s="12"/>
      <c r="P60" s="1">
        <f>SUM(OSRRefP22_9x_0)</f>
        <v>26123.449999999997</v>
      </c>
      <c r="Q60" s="1"/>
      <c r="R60" s="5">
        <f t="shared" si="40"/>
        <v>0</v>
      </c>
      <c r="S60" s="1"/>
      <c r="T60" s="1">
        <f>SUM(OSRRefT22_9x_0)</f>
        <v>5000</v>
      </c>
      <c r="U60" s="1"/>
      <c r="V60" s="5">
        <f t="shared" si="41"/>
        <v>25</v>
      </c>
      <c r="W60" s="1"/>
      <c r="X60" s="1">
        <f t="shared" si="42"/>
        <v>21123.449999999997</v>
      </c>
      <c r="Y60" s="1"/>
      <c r="Z60" s="5">
        <f t="shared" si="43"/>
        <v>4.2246899999999998</v>
      </c>
    </row>
    <row r="61" spans="1:26" s="24" customFormat="1" hidden="1" outlineLevel="2" x14ac:dyDescent="0.25">
      <c r="A61" s="26"/>
      <c r="B61" s="11" t="str">
        <f>CONCATENATE("          ", "6241", " - ", "OFFICE EXPENSE")</f>
        <v xml:space="preserve">          6241 - OFFICE EXPENSE</v>
      </c>
      <c r="C61" s="11"/>
      <c r="D61" s="7">
        <v>276.64</v>
      </c>
      <c r="E61" s="2"/>
      <c r="F61" s="6">
        <f t="shared" si="36"/>
        <v>0</v>
      </c>
      <c r="G61" s="2"/>
      <c r="H61" s="7">
        <v>400</v>
      </c>
      <c r="I61" s="2"/>
      <c r="J61" s="6">
        <f t="shared" si="37"/>
        <v>0</v>
      </c>
      <c r="K61" s="2"/>
      <c r="L61" s="7">
        <f t="shared" si="38"/>
        <v>-123.36000000000001</v>
      </c>
      <c r="M61" s="2"/>
      <c r="N61" s="6">
        <f t="shared" si="39"/>
        <v>-0.30840000000000001</v>
      </c>
      <c r="O61" s="11"/>
      <c r="P61" s="7">
        <v>26123.449999999997</v>
      </c>
      <c r="Q61" s="2"/>
      <c r="R61" s="6">
        <f t="shared" si="40"/>
        <v>0</v>
      </c>
      <c r="S61" s="2"/>
      <c r="T61" s="7">
        <v>4300</v>
      </c>
      <c r="U61" s="2"/>
      <c r="V61" s="6">
        <f t="shared" si="41"/>
        <v>21.5</v>
      </c>
      <c r="W61" s="2"/>
      <c r="X61" s="7">
        <f t="shared" si="42"/>
        <v>21823.449999999997</v>
      </c>
      <c r="Y61" s="2"/>
      <c r="Z61" s="6">
        <f t="shared" si="43"/>
        <v>5.0752209302325575</v>
      </c>
    </row>
    <row r="62" spans="1:26" s="24" customFormat="1" hidden="1" outlineLevel="2" x14ac:dyDescent="0.25">
      <c r="A62" s="26"/>
      <c r="B62" s="11" t="str">
        <f>CONCATENATE("          ", "6248", " - ", "UNIFORMS")</f>
        <v xml:space="preserve">          6248 - UNIFORMS</v>
      </c>
      <c r="C62" s="11"/>
      <c r="D62" s="7"/>
      <c r="E62" s="2"/>
      <c r="F62" s="6">
        <f t="shared" si="36"/>
        <v>0</v>
      </c>
      <c r="G62" s="2"/>
      <c r="H62" s="7"/>
      <c r="I62" s="2"/>
      <c r="J62" s="6">
        <f t="shared" si="37"/>
        <v>0</v>
      </c>
      <c r="K62" s="2"/>
      <c r="L62" s="7">
        <f t="shared" si="38"/>
        <v>0</v>
      </c>
      <c r="M62" s="2"/>
      <c r="N62" s="6">
        <f t="shared" si="39"/>
        <v>0</v>
      </c>
      <c r="O62" s="11"/>
      <c r="P62" s="7"/>
      <c r="Q62" s="2"/>
      <c r="R62" s="6">
        <f t="shared" si="40"/>
        <v>0</v>
      </c>
      <c r="S62" s="2"/>
      <c r="T62" s="7">
        <v>700</v>
      </c>
      <c r="U62" s="2"/>
      <c r="V62" s="6">
        <f t="shared" si="41"/>
        <v>3.5</v>
      </c>
      <c r="W62" s="2"/>
      <c r="X62" s="7">
        <f t="shared" si="42"/>
        <v>-700</v>
      </c>
      <c r="Y62" s="2"/>
      <c r="Z62" s="6">
        <f t="shared" si="43"/>
        <v>-1</v>
      </c>
    </row>
    <row r="63" spans="1:26" s="27" customFormat="1" outlineLevel="1" collapsed="1" x14ac:dyDescent="0.25">
      <c r="A63" s="25"/>
      <c r="B63" s="12" t="str">
        <f>CONCATENATE("     ","Telephone/Data Lines                              ")</f>
        <v xml:space="preserve">     Telephone/Data Lines                              </v>
      </c>
      <c r="C63" s="12"/>
      <c r="D63" s="1">
        <f>SUM(OSRRefD22_10x_0)</f>
        <v>716.19</v>
      </c>
      <c r="E63" s="1"/>
      <c r="F63" s="5">
        <f t="shared" ref="F63:F65" si="44">IF(D$12=0,0,D63/D$12)</f>
        <v>0</v>
      </c>
      <c r="G63" s="1"/>
      <c r="H63" s="1">
        <f>SUM(OSRRefH22_10x_0)</f>
        <v>450</v>
      </c>
      <c r="I63" s="1"/>
      <c r="J63" s="5">
        <f t="shared" ref="J63:J65" si="45">IF(H$12=0,0,H63/H$12)</f>
        <v>0</v>
      </c>
      <c r="K63" s="1"/>
      <c r="L63" s="1">
        <f t="shared" ref="L63:L65" si="46">+D63-H63</f>
        <v>266.19000000000005</v>
      </c>
      <c r="M63" s="1"/>
      <c r="N63" s="5">
        <f t="shared" ref="N63:N65" si="47">IF(H63=0,0,L63/H63)</f>
        <v>0.59153333333333347</v>
      </c>
      <c r="O63" s="12"/>
      <c r="P63" s="1">
        <f>SUM(OSRRefP22_10x_0)</f>
        <v>13164.98</v>
      </c>
      <c r="Q63" s="1"/>
      <c r="R63" s="5">
        <f t="shared" ref="R63:R65" si="48">IF(P$12=0,0,P63/P$12)</f>
        <v>0</v>
      </c>
      <c r="S63" s="1"/>
      <c r="T63" s="1">
        <f>SUM(OSRRefT22_10x_0)</f>
        <v>5150</v>
      </c>
      <c r="U63" s="1"/>
      <c r="V63" s="5">
        <f t="shared" ref="V63:V65" si="49">IF(T$12=0,0,T63/T$12)</f>
        <v>25.75</v>
      </c>
      <c r="W63" s="1"/>
      <c r="X63" s="1">
        <f t="shared" ref="X63:X65" si="50">+P63-T63</f>
        <v>8014.98</v>
      </c>
      <c r="Y63" s="1"/>
      <c r="Z63" s="5">
        <f t="shared" ref="Z63:Z65" si="51">IF(T63=0,0,X63/T63)</f>
        <v>1.5563067961165047</v>
      </c>
    </row>
    <row r="64" spans="1:26" s="24" customFormat="1" hidden="1" outlineLevel="2" x14ac:dyDescent="0.25">
      <c r="A64" s="26"/>
      <c r="B64" s="11" t="str">
        <f>CONCATENATE("          ", "6303", " - ", "DATA PHONE LINES")</f>
        <v xml:space="preserve">          6303 - DATA PHONE LINES</v>
      </c>
      <c r="C64" s="11"/>
      <c r="D64" s="7">
        <v>78.989999999999995</v>
      </c>
      <c r="E64" s="2"/>
      <c r="F64" s="6">
        <f t="shared" si="44"/>
        <v>0</v>
      </c>
      <c r="G64" s="2"/>
      <c r="H64" s="7">
        <v>200</v>
      </c>
      <c r="I64" s="2"/>
      <c r="J64" s="6">
        <f t="shared" si="45"/>
        <v>0</v>
      </c>
      <c r="K64" s="2"/>
      <c r="L64" s="7">
        <f t="shared" si="46"/>
        <v>-121.01</v>
      </c>
      <c r="M64" s="2"/>
      <c r="N64" s="6">
        <f t="shared" si="47"/>
        <v>-0.60504999999999998</v>
      </c>
      <c r="O64" s="11"/>
      <c r="P64" s="7">
        <v>1680.98</v>
      </c>
      <c r="Q64" s="2"/>
      <c r="R64" s="6">
        <f t="shared" si="48"/>
        <v>0</v>
      </c>
      <c r="S64" s="2"/>
      <c r="T64" s="7">
        <v>2400</v>
      </c>
      <c r="U64" s="2"/>
      <c r="V64" s="6">
        <f t="shared" si="49"/>
        <v>12</v>
      </c>
      <c r="W64" s="2"/>
      <c r="X64" s="7">
        <f t="shared" si="50"/>
        <v>-719.02</v>
      </c>
      <c r="Y64" s="2"/>
      <c r="Z64" s="6">
        <f t="shared" si="51"/>
        <v>-0.29959166666666665</v>
      </c>
    </row>
    <row r="65" spans="1:26" s="24" customFormat="1" hidden="1" outlineLevel="2" x14ac:dyDescent="0.25">
      <c r="A65" s="26"/>
      <c r="B65" s="11" t="str">
        <f>CONCATENATE("          ", "6309", " - ", "TELEPHONE")</f>
        <v xml:space="preserve">          6309 - TELEPHONE</v>
      </c>
      <c r="C65" s="11"/>
      <c r="D65" s="7">
        <v>637.20000000000005</v>
      </c>
      <c r="E65" s="2"/>
      <c r="F65" s="6">
        <f t="shared" si="44"/>
        <v>0</v>
      </c>
      <c r="G65" s="2"/>
      <c r="H65" s="7">
        <v>250</v>
      </c>
      <c r="I65" s="2"/>
      <c r="J65" s="6">
        <f t="shared" si="45"/>
        <v>0</v>
      </c>
      <c r="K65" s="2"/>
      <c r="L65" s="7">
        <f t="shared" si="46"/>
        <v>387.20000000000005</v>
      </c>
      <c r="M65" s="2"/>
      <c r="N65" s="6">
        <f t="shared" si="47"/>
        <v>1.5488000000000002</v>
      </c>
      <c r="O65" s="11"/>
      <c r="P65" s="7">
        <v>11484</v>
      </c>
      <c r="Q65" s="2"/>
      <c r="R65" s="6">
        <f t="shared" si="48"/>
        <v>0</v>
      </c>
      <c r="S65" s="2"/>
      <c r="T65" s="7">
        <v>2750</v>
      </c>
      <c r="U65" s="2"/>
      <c r="V65" s="6">
        <f t="shared" si="49"/>
        <v>13.75</v>
      </c>
      <c r="W65" s="2"/>
      <c r="X65" s="7">
        <f t="shared" si="50"/>
        <v>8734</v>
      </c>
      <c r="Y65" s="2"/>
      <c r="Z65" s="6">
        <f t="shared" si="51"/>
        <v>3.1760000000000002</v>
      </c>
    </row>
    <row r="66" spans="1:26" s="27" customFormat="1" outlineLevel="1" collapsed="1" x14ac:dyDescent="0.25">
      <c r="A66" s="25"/>
      <c r="B66" s="12" t="str">
        <f>CONCATENATE("     ","Training                                          ")</f>
        <v xml:space="preserve">     Training                                          </v>
      </c>
      <c r="C66" s="12"/>
      <c r="D66" s="1">
        <f>SUM(OSRRefD22_11x_0)</f>
        <v>0</v>
      </c>
      <c r="E66" s="1"/>
      <c r="F66" s="5">
        <f t="shared" ref="F66:F70" si="52">IF(D$12=0,0,D66/D$12)</f>
        <v>0</v>
      </c>
      <c r="G66" s="1"/>
      <c r="H66" s="1">
        <f>SUM(OSRRefH22_11x_0)</f>
        <v>1000</v>
      </c>
      <c r="I66" s="1"/>
      <c r="J66" s="5">
        <f t="shared" ref="J66:J70" si="53">IF(H$12=0,0,H66/H$12)</f>
        <v>0</v>
      </c>
      <c r="K66" s="1"/>
      <c r="L66" s="1">
        <f t="shared" ref="L66:L70" si="54">+D66-H66</f>
        <v>-1000</v>
      </c>
      <c r="M66" s="1"/>
      <c r="N66" s="5">
        <f t="shared" ref="N66:N70" si="55">IF(H66=0,0,L66/H66)</f>
        <v>-1</v>
      </c>
      <c r="O66" s="12"/>
      <c r="P66" s="1">
        <f>SUM(OSRRefP22_11x_0)</f>
        <v>4345.8500000000004</v>
      </c>
      <c r="Q66" s="1"/>
      <c r="R66" s="5">
        <f t="shared" ref="R66:R70" si="56">IF(P$12=0,0,P66/P$12)</f>
        <v>0</v>
      </c>
      <c r="S66" s="1"/>
      <c r="T66" s="1">
        <f>SUM(OSRRefT22_11x_0)</f>
        <v>11000</v>
      </c>
      <c r="U66" s="1"/>
      <c r="V66" s="5">
        <f t="shared" ref="V66:V70" si="57">IF(T$12=0,0,T66/T$12)</f>
        <v>55</v>
      </c>
      <c r="W66" s="1"/>
      <c r="X66" s="1">
        <f t="shared" ref="X66:X70" si="58">+P66-T66</f>
        <v>-6654.15</v>
      </c>
      <c r="Y66" s="1"/>
      <c r="Z66" s="5">
        <f t="shared" ref="Z66:Z70" si="59">IF(T66=0,0,X66/T66)</f>
        <v>-0.60492272727272722</v>
      </c>
    </row>
    <row r="67" spans="1:26" s="24" customFormat="1" hidden="1" outlineLevel="2" x14ac:dyDescent="0.25">
      <c r="A67" s="26"/>
      <c r="B67" s="11" t="str">
        <f>CONCATENATE("          ", "6376", " - ", "TRAINING")</f>
        <v xml:space="preserve">          6376 - TRAINING</v>
      </c>
      <c r="C67" s="11"/>
      <c r="D67" s="7"/>
      <c r="E67" s="2"/>
      <c r="F67" s="6">
        <f t="shared" si="52"/>
        <v>0</v>
      </c>
      <c r="G67" s="2"/>
      <c r="H67" s="7">
        <v>1000</v>
      </c>
      <c r="I67" s="2"/>
      <c r="J67" s="6">
        <f t="shared" si="53"/>
        <v>0</v>
      </c>
      <c r="K67" s="2"/>
      <c r="L67" s="7">
        <f t="shared" si="54"/>
        <v>-1000</v>
      </c>
      <c r="M67" s="2"/>
      <c r="N67" s="6">
        <f t="shared" si="55"/>
        <v>-1</v>
      </c>
      <c r="O67" s="11"/>
      <c r="P67" s="7">
        <v>4345.8500000000004</v>
      </c>
      <c r="Q67" s="2"/>
      <c r="R67" s="6">
        <f t="shared" si="56"/>
        <v>0</v>
      </c>
      <c r="S67" s="2"/>
      <c r="T67" s="7">
        <v>11000</v>
      </c>
      <c r="U67" s="2"/>
      <c r="V67" s="6">
        <f t="shared" si="57"/>
        <v>55</v>
      </c>
      <c r="W67" s="2"/>
      <c r="X67" s="7">
        <f t="shared" si="58"/>
        <v>-6654.15</v>
      </c>
      <c r="Y67" s="2"/>
      <c r="Z67" s="6">
        <f t="shared" si="59"/>
        <v>-0.60492272727272722</v>
      </c>
    </row>
    <row r="68" spans="1:26" s="27" customFormat="1" outlineLevel="1" collapsed="1" x14ac:dyDescent="0.25">
      <c r="A68" s="25"/>
      <c r="B68" s="12" t="str">
        <f>CONCATENATE("     ","Travel                                            ")</f>
        <v xml:space="preserve">     Travel                                            </v>
      </c>
      <c r="C68" s="12"/>
      <c r="D68" s="1">
        <f>SUM(OSRRefD22_12x_0)</f>
        <v>0</v>
      </c>
      <c r="E68" s="1"/>
      <c r="F68" s="5">
        <f t="shared" si="52"/>
        <v>0</v>
      </c>
      <c r="G68" s="1"/>
      <c r="H68" s="1">
        <f>SUM(OSRRefH22_12x_0)</f>
        <v>0</v>
      </c>
      <c r="I68" s="1"/>
      <c r="J68" s="5">
        <f t="shared" si="53"/>
        <v>0</v>
      </c>
      <c r="K68" s="1"/>
      <c r="L68" s="1">
        <f t="shared" si="54"/>
        <v>0</v>
      </c>
      <c r="M68" s="1"/>
      <c r="N68" s="5">
        <f t="shared" si="55"/>
        <v>0</v>
      </c>
      <c r="O68" s="12"/>
      <c r="P68" s="1">
        <f>SUM(OSRRefP22_12x_0)</f>
        <v>1383.21</v>
      </c>
      <c r="Q68" s="1"/>
      <c r="R68" s="5">
        <f t="shared" si="56"/>
        <v>0</v>
      </c>
      <c r="S68" s="1"/>
      <c r="T68" s="1">
        <f>SUM(OSRRefT22_12x_0)</f>
        <v>9000</v>
      </c>
      <c r="U68" s="1"/>
      <c r="V68" s="5">
        <f t="shared" si="57"/>
        <v>45</v>
      </c>
      <c r="W68" s="1"/>
      <c r="X68" s="1">
        <f t="shared" si="58"/>
        <v>-7616.79</v>
      </c>
      <c r="Y68" s="1"/>
      <c r="Z68" s="5">
        <f t="shared" si="59"/>
        <v>-0.84631000000000001</v>
      </c>
    </row>
    <row r="69" spans="1:26" s="24" customFormat="1" hidden="1" outlineLevel="2" x14ac:dyDescent="0.25">
      <c r="A69" s="26"/>
      <c r="B69" s="11" t="str">
        <f>CONCATENATE("          ", "6292", " - ", "TRAVEL/CONFERENCE")</f>
        <v xml:space="preserve">          6292 - TRAVEL/CONFERENCE</v>
      </c>
      <c r="C69" s="11"/>
      <c r="D69" s="7"/>
      <c r="E69" s="2"/>
      <c r="F69" s="6">
        <f t="shared" si="52"/>
        <v>0</v>
      </c>
      <c r="G69" s="2"/>
      <c r="H69" s="7"/>
      <c r="I69" s="2"/>
      <c r="J69" s="6">
        <f t="shared" si="53"/>
        <v>0</v>
      </c>
      <c r="K69" s="2"/>
      <c r="L69" s="7">
        <f t="shared" si="54"/>
        <v>0</v>
      </c>
      <c r="M69" s="2"/>
      <c r="N69" s="6">
        <f t="shared" si="55"/>
        <v>0</v>
      </c>
      <c r="O69" s="11"/>
      <c r="P69" s="7">
        <v>1359.31</v>
      </c>
      <c r="Q69" s="2"/>
      <c r="R69" s="6">
        <f t="shared" si="56"/>
        <v>0</v>
      </c>
      <c r="S69" s="2"/>
      <c r="T69" s="7">
        <v>9000</v>
      </c>
      <c r="U69" s="2"/>
      <c r="V69" s="6">
        <f t="shared" si="57"/>
        <v>45</v>
      </c>
      <c r="W69" s="2"/>
      <c r="X69" s="7">
        <f t="shared" si="58"/>
        <v>-7640.6900000000005</v>
      </c>
      <c r="Y69" s="2"/>
      <c r="Z69" s="6">
        <f t="shared" si="59"/>
        <v>-0.84896555555555564</v>
      </c>
    </row>
    <row r="70" spans="1:26" s="24" customFormat="1" hidden="1" outlineLevel="2" x14ac:dyDescent="0.25">
      <c r="A70" s="26"/>
      <c r="B70" s="11" t="str">
        <f>CONCATENATE("          ", "6294", " - ", "TRAVEL OPERATIONAL")</f>
        <v xml:space="preserve">          6294 - TRAVEL OPERATIONAL</v>
      </c>
      <c r="C70" s="11"/>
      <c r="D70" s="7"/>
      <c r="E70" s="2"/>
      <c r="F70" s="6">
        <f t="shared" si="52"/>
        <v>0</v>
      </c>
      <c r="G70" s="2"/>
      <c r="H70" s="7"/>
      <c r="I70" s="2"/>
      <c r="J70" s="6">
        <f t="shared" si="53"/>
        <v>0</v>
      </c>
      <c r="K70" s="2"/>
      <c r="L70" s="7">
        <f t="shared" si="54"/>
        <v>0</v>
      </c>
      <c r="M70" s="2"/>
      <c r="N70" s="6">
        <f t="shared" si="55"/>
        <v>0</v>
      </c>
      <c r="O70" s="11"/>
      <c r="P70" s="7">
        <v>23.9</v>
      </c>
      <c r="Q70" s="2"/>
      <c r="R70" s="6">
        <f t="shared" si="56"/>
        <v>0</v>
      </c>
      <c r="S70" s="2"/>
      <c r="T70" s="7"/>
      <c r="U70" s="2"/>
      <c r="V70" s="6">
        <f t="shared" si="57"/>
        <v>0</v>
      </c>
      <c r="W70" s="2"/>
      <c r="X70" s="7">
        <f t="shared" si="58"/>
        <v>23.9</v>
      </c>
      <c r="Y70" s="2"/>
      <c r="Z70" s="6">
        <f t="shared" si="59"/>
        <v>0</v>
      </c>
    </row>
    <row r="71" spans="1:26" s="62" customFormat="1" x14ac:dyDescent="0.25">
      <c r="A71" s="36"/>
      <c r="B71" s="36"/>
      <c r="C71" s="36"/>
      <c r="D71" s="1"/>
      <c r="E71" s="1"/>
      <c r="F71" s="5"/>
      <c r="G71" s="1"/>
      <c r="H71" s="1"/>
      <c r="I71" s="1"/>
      <c r="J71" s="5"/>
      <c r="K71" s="1"/>
      <c r="L71" s="1"/>
      <c r="M71" s="1"/>
      <c r="N71" s="5"/>
      <c r="O71" s="36"/>
      <c r="P71" s="1"/>
      <c r="Q71" s="1"/>
      <c r="R71" s="5"/>
      <c r="S71" s="1"/>
      <c r="T71" s="1"/>
      <c r="U71" s="1"/>
      <c r="V71" s="5"/>
      <c r="W71" s="1"/>
      <c r="X71" s="1"/>
      <c r="Y71" s="1"/>
      <c r="Z71" s="5"/>
    </row>
    <row r="72" spans="1:26" s="23" customFormat="1" x14ac:dyDescent="0.25">
      <c r="A72" s="10"/>
      <c r="B72" s="28" t="s">
        <v>0</v>
      </c>
      <c r="C72" s="10"/>
      <c r="D72" s="4">
        <f>SUM(0)</f>
        <v>0</v>
      </c>
      <c r="E72" s="4"/>
      <c r="F72" s="13">
        <f>IF(D$12=0,0,D72/D$12)</f>
        <v>0</v>
      </c>
      <c r="G72" s="4"/>
      <c r="H72" s="4">
        <f>SUM(0)</f>
        <v>0</v>
      </c>
      <c r="I72" s="4"/>
      <c r="J72" s="13">
        <f>IF(H$12=0,0,H72/H$12)</f>
        <v>0</v>
      </c>
      <c r="K72" s="4"/>
      <c r="L72" s="4">
        <f>+D72-H72</f>
        <v>0</v>
      </c>
      <c r="M72" s="4"/>
      <c r="N72" s="13">
        <f>IF(H72=0,0,L72/H72)</f>
        <v>0</v>
      </c>
      <c r="O72" s="10"/>
      <c r="P72" s="4">
        <f>SUM(0)</f>
        <v>0</v>
      </c>
      <c r="Q72" s="4"/>
      <c r="R72" s="13">
        <f>IF(P$12=0,0,P72/P$12)</f>
        <v>0</v>
      </c>
      <c r="S72" s="4"/>
      <c r="T72" s="4">
        <f>SUM(0)</f>
        <v>0</v>
      </c>
      <c r="U72" s="4"/>
      <c r="V72" s="13">
        <f>IF(T$12=0,0,T72/T$12)</f>
        <v>0</v>
      </c>
      <c r="W72" s="4"/>
      <c r="X72" s="4">
        <f>+P72-T72</f>
        <v>0</v>
      </c>
      <c r="Y72" s="4"/>
      <c r="Z72" s="13">
        <f>IF(T72=0,0,X72/T72)</f>
        <v>0</v>
      </c>
    </row>
    <row r="73" spans="1:26" x14ac:dyDescent="0.25">
      <c r="A73" s="9"/>
      <c r="B73" s="10"/>
      <c r="C73" s="10"/>
      <c r="D73" s="3"/>
      <c r="E73" s="3"/>
      <c r="F73" s="8"/>
      <c r="G73" s="3"/>
      <c r="H73" s="3"/>
      <c r="I73" s="3"/>
      <c r="J73" s="8"/>
      <c r="K73" s="3"/>
      <c r="L73" s="3"/>
      <c r="M73" s="3"/>
      <c r="N73" s="8"/>
      <c r="O73" s="10"/>
      <c r="P73" s="3"/>
      <c r="Q73" s="3"/>
      <c r="R73" s="8"/>
      <c r="S73" s="3"/>
      <c r="T73" s="3"/>
      <c r="U73" s="3"/>
      <c r="V73" s="8"/>
      <c r="W73" s="3"/>
      <c r="X73" s="3"/>
      <c r="Y73" s="3"/>
      <c r="Z73" s="8"/>
    </row>
    <row r="74" spans="1:26" s="23" customFormat="1" x14ac:dyDescent="0.25">
      <c r="A74" s="10"/>
      <c r="B74" s="29" t="s">
        <v>3</v>
      </c>
      <c r="C74" s="29"/>
      <c r="D74" s="20">
        <f>+D17-D19+D72</f>
        <v>-45869.249999999985</v>
      </c>
      <c r="E74" s="14"/>
      <c r="F74" s="22">
        <f>IF(D$12=0,0,D74/D$12)</f>
        <v>0</v>
      </c>
      <c r="G74" s="14"/>
      <c r="H74" s="20">
        <f>+H17-H19+H72</f>
        <v>-63450.765232076883</v>
      </c>
      <c r="I74" s="14"/>
      <c r="J74" s="22">
        <f>IF(H$12=0,0,H74/H$12)</f>
        <v>0</v>
      </c>
      <c r="K74" s="16"/>
      <c r="L74" s="20">
        <f>+D74-H74</f>
        <v>17581.515232076898</v>
      </c>
      <c r="M74" s="16"/>
      <c r="N74" s="22">
        <f>IF(H74=0,0,L74/H74)</f>
        <v>-0.27708909684179417</v>
      </c>
      <c r="O74" s="28"/>
      <c r="P74" s="20">
        <f>+P17-P19+P72</f>
        <v>-637097.89999999991</v>
      </c>
      <c r="Q74" s="14"/>
      <c r="R74" s="22">
        <f>IF(P$12=0,0,P74/P$12)</f>
        <v>0</v>
      </c>
      <c r="S74" s="14"/>
      <c r="T74" s="20">
        <f>+T17-T19+T72</f>
        <v>-756347.34045715351</v>
      </c>
      <c r="U74" s="14"/>
      <c r="V74" s="22">
        <f>IF(T$12=0,0,T74/T$12)</f>
        <v>-3781.7367022857675</v>
      </c>
      <c r="W74" s="16"/>
      <c r="X74" s="20">
        <f>+P74-T74</f>
        <v>119249.4404571536</v>
      </c>
      <c r="Y74" s="16"/>
      <c r="Z74" s="22">
        <f>IF(T74=0,0,X74/T74)</f>
        <v>-0.15766491673663655</v>
      </c>
    </row>
    <row r="75" spans="1:26" x14ac:dyDescent="0.25">
      <c r="A75" s="9"/>
      <c r="B75" s="10"/>
      <c r="C75" s="9"/>
      <c r="D75" s="3"/>
      <c r="E75" s="3"/>
      <c r="F75" s="8"/>
      <c r="G75" s="3"/>
      <c r="H75" s="3"/>
      <c r="I75" s="3"/>
      <c r="J75" s="8"/>
      <c r="K75" s="3"/>
      <c r="L75" s="3"/>
      <c r="M75" s="3"/>
      <c r="N75" s="8"/>
      <c r="P75" s="3"/>
      <c r="Q75" s="3"/>
      <c r="R75" s="8"/>
      <c r="S75" s="3"/>
      <c r="T75" s="3"/>
      <c r="U75" s="3"/>
      <c r="V75" s="8"/>
      <c r="W75" s="3"/>
      <c r="X75" s="3"/>
      <c r="Y75" s="3"/>
      <c r="Z75" s="8"/>
    </row>
    <row r="76" spans="1:26" s="23" customFormat="1" x14ac:dyDescent="0.25">
      <c r="A76" s="52"/>
      <c r="B76" s="10" t="s">
        <v>14</v>
      </c>
      <c r="C76" s="10"/>
      <c r="D76" s="4"/>
      <c r="E76" s="4"/>
      <c r="F76" s="13">
        <f>IF(D$12=0,0,D76/D$12)</f>
        <v>0</v>
      </c>
      <c r="G76" s="4"/>
      <c r="H76" s="4"/>
      <c r="I76" s="4"/>
      <c r="J76" s="13">
        <f>IF(H$12=0,0,H76/H$12)</f>
        <v>0</v>
      </c>
      <c r="K76" s="4"/>
      <c r="L76" s="4">
        <f>+D76-H76</f>
        <v>0</v>
      </c>
      <c r="M76" s="4"/>
      <c r="N76" s="13">
        <f>IF(H76=0,0,L76/H76)</f>
        <v>0</v>
      </c>
      <c r="O76" s="10"/>
      <c r="P76" s="4"/>
      <c r="Q76" s="4"/>
      <c r="R76" s="13">
        <f>IF(P$12=0,0,P76/P$12)</f>
        <v>0</v>
      </c>
      <c r="S76" s="4"/>
      <c r="T76" s="4"/>
      <c r="U76" s="4"/>
      <c r="V76" s="13">
        <f>IF(T$12=0,0,T76/T$12)</f>
        <v>0</v>
      </c>
      <c r="W76" s="4"/>
      <c r="X76" s="4">
        <f>+P76-T76</f>
        <v>0</v>
      </c>
      <c r="Y76" s="4"/>
      <c r="Z76" s="13">
        <f>IF(T76=0,0,X76/T76)</f>
        <v>0</v>
      </c>
    </row>
    <row r="77" spans="1:26" x14ac:dyDescent="0.25">
      <c r="A77" s="9"/>
      <c r="B77" s="10"/>
      <c r="C77" s="10"/>
      <c r="D77" s="3"/>
      <c r="E77" s="3"/>
      <c r="F77" s="8"/>
      <c r="G77" s="3"/>
      <c r="H77" s="3"/>
      <c r="I77" s="3"/>
      <c r="J77" s="8"/>
      <c r="K77" s="3"/>
      <c r="L77" s="3"/>
      <c r="M77" s="3"/>
      <c r="N77" s="8"/>
      <c r="O77" s="10"/>
      <c r="P77" s="3"/>
      <c r="Q77" s="3"/>
      <c r="R77" s="8"/>
      <c r="S77" s="3"/>
      <c r="T77" s="3"/>
      <c r="U77" s="3"/>
      <c r="V77" s="8"/>
      <c r="W77" s="3"/>
      <c r="X77" s="3"/>
      <c r="Y77" s="3"/>
      <c r="Z77" s="8"/>
    </row>
    <row r="78" spans="1:26" s="23" customFormat="1" ht="15.75" thickBot="1" x14ac:dyDescent="0.3">
      <c r="A78" s="10"/>
      <c r="B78" s="29" t="s">
        <v>4</v>
      </c>
      <c r="C78" s="29"/>
      <c r="D78" s="35">
        <f>+D74-D76</f>
        <v>-45869.249999999985</v>
      </c>
      <c r="E78" s="14"/>
      <c r="F78" s="32">
        <f>IF(D$12=0,0,D78/D$12)</f>
        <v>0</v>
      </c>
      <c r="G78" s="14"/>
      <c r="H78" s="35">
        <f>+H74-H76</f>
        <v>-63450.765232076883</v>
      </c>
      <c r="I78" s="14"/>
      <c r="J78" s="32">
        <f>IF(H$12=0,0,H78/H$12)</f>
        <v>0</v>
      </c>
      <c r="K78" s="16"/>
      <c r="L78" s="35">
        <f>D78-H78</f>
        <v>17581.515232076898</v>
      </c>
      <c r="M78" s="16"/>
      <c r="N78" s="32">
        <f>IF(H78=0,0,L78/H78)</f>
        <v>-0.27708909684179417</v>
      </c>
      <c r="O78" s="28"/>
      <c r="P78" s="35">
        <f>+P74-P76</f>
        <v>-637097.89999999991</v>
      </c>
      <c r="Q78" s="14"/>
      <c r="R78" s="32">
        <f>IF(P$12=0,0,P78/P$12)</f>
        <v>0</v>
      </c>
      <c r="S78" s="14"/>
      <c r="T78" s="35">
        <f>+T74-T76</f>
        <v>-756347.34045715351</v>
      </c>
      <c r="U78" s="14"/>
      <c r="V78" s="32">
        <f>IF(T$12=0,0,T78/T$12)</f>
        <v>-3781.7367022857675</v>
      </c>
      <c r="W78" s="16"/>
      <c r="X78" s="35">
        <f>P78-T78</f>
        <v>119249.4404571536</v>
      </c>
      <c r="Y78" s="16"/>
      <c r="Z78" s="32">
        <f>IF(T78=0,0,X78/T78)</f>
        <v>-0.15766491673663655</v>
      </c>
    </row>
    <row r="79" spans="1:26" ht="15.75" thickTop="1" x14ac:dyDescent="0.25">
      <c r="A79" s="9"/>
      <c r="B79" s="9"/>
      <c r="C79" s="9"/>
      <c r="D79" s="3"/>
      <c r="E79" s="3"/>
      <c r="F79" s="8"/>
      <c r="G79" s="3"/>
      <c r="H79" s="3"/>
      <c r="I79" s="3"/>
      <c r="J79" s="8"/>
      <c r="K79" s="3"/>
      <c r="L79" s="3"/>
      <c r="M79" s="3"/>
      <c r="N79" s="8"/>
      <c r="P79" s="3"/>
      <c r="Q79" s="3"/>
      <c r="R79" s="8"/>
      <c r="S79" s="3"/>
      <c r="T79" s="3"/>
      <c r="U79" s="3"/>
      <c r="V79" s="8"/>
      <c r="W79" s="3"/>
      <c r="X79" s="3"/>
      <c r="Y79" s="3"/>
      <c r="Z79" s="8"/>
    </row>
    <row r="80" spans="1:26" x14ac:dyDescent="0.25">
      <c r="A80" s="9"/>
      <c r="B80" s="9"/>
      <c r="C80" s="9"/>
      <c r="D80" s="3"/>
      <c r="E80" s="3"/>
      <c r="F80" s="8"/>
      <c r="G80" s="3"/>
      <c r="H80" s="3"/>
      <c r="I80" s="3"/>
      <c r="J80" s="8"/>
      <c r="K80" s="3"/>
      <c r="L80" s="3"/>
      <c r="M80" s="3"/>
      <c r="N80" s="8"/>
      <c r="P80" s="3"/>
      <c r="Q80" s="3"/>
      <c r="R80" s="8"/>
      <c r="S80" s="3"/>
      <c r="T80" s="3"/>
      <c r="U80" s="3"/>
      <c r="V80" s="8"/>
      <c r="W80" s="3"/>
      <c r="X80" s="3"/>
      <c r="Y80" s="3"/>
      <c r="Z80" s="8"/>
    </row>
    <row r="81" spans="1:26" s="23" customFormat="1" ht="15.75" thickBot="1" x14ac:dyDescent="0.3">
      <c r="A81" s="10"/>
      <c r="B81" s="29" t="s">
        <v>5</v>
      </c>
      <c r="C81" s="29"/>
      <c r="D81" s="34">
        <f>SUM(D78:D80)</f>
        <v>-45869.249999999985</v>
      </c>
      <c r="E81" s="14"/>
      <c r="F81" s="31">
        <f>IF(D$12=0,0,D81/D$12)</f>
        <v>0</v>
      </c>
      <c r="G81" s="14"/>
      <c r="H81" s="34">
        <f>SUM(H78:H80)</f>
        <v>-63450.765232076883</v>
      </c>
      <c r="I81" s="14"/>
      <c r="J81" s="31">
        <f>IF(H$12=0,0,H81/H$12)</f>
        <v>0</v>
      </c>
      <c r="K81" s="16"/>
      <c r="L81" s="34">
        <f>+D81-H81</f>
        <v>17581.515232076898</v>
      </c>
      <c r="M81" s="16"/>
      <c r="N81" s="31">
        <f>IF(H81=0,0,L81/H81)</f>
        <v>-0.27708909684179417</v>
      </c>
      <c r="O81" s="28"/>
      <c r="P81" s="34">
        <f>SUM(P78:P80)</f>
        <v>-637097.89999999991</v>
      </c>
      <c r="Q81" s="14"/>
      <c r="R81" s="31">
        <f>IF(P$12=0,0,P81/P$12)</f>
        <v>0</v>
      </c>
      <c r="S81" s="14"/>
      <c r="T81" s="34">
        <f>SUM(T78:T80)</f>
        <v>-756347.34045715351</v>
      </c>
      <c r="U81" s="14"/>
      <c r="V81" s="31">
        <f>IF(T$12=0,0,T81/T$12)</f>
        <v>-3781.7367022857675</v>
      </c>
      <c r="W81" s="16"/>
      <c r="X81" s="34">
        <f>+P81-T81</f>
        <v>119249.4404571536</v>
      </c>
      <c r="Y81" s="16"/>
      <c r="Z81" s="31">
        <f>IF(T81=0,0,X81/T81)</f>
        <v>-0.15766491673663655</v>
      </c>
    </row>
    <row r="82" spans="1:26" ht="15.75" thickTop="1" x14ac:dyDescent="0.25">
      <c r="A82" s="9"/>
      <c r="C82" s="9"/>
      <c r="D82" s="18"/>
      <c r="E82" s="18"/>
      <c r="G82" s="18"/>
      <c r="H82" s="18"/>
      <c r="I82" s="18"/>
      <c r="J82" s="42"/>
      <c r="K82" s="18"/>
      <c r="L82" s="18"/>
      <c r="M82" s="18"/>
      <c r="P82" s="18"/>
      <c r="Q82" s="18"/>
      <c r="R82" s="42"/>
      <c r="S82" s="18"/>
      <c r="T82" s="18"/>
      <c r="U82" s="18"/>
      <c r="V82" s="42"/>
      <c r="W82" s="18"/>
      <c r="X82" s="18"/>
    </row>
    <row r="83" spans="1:26" x14ac:dyDescent="0.25">
      <c r="A83" s="9"/>
      <c r="B83" s="59">
        <v>43992.371374965274</v>
      </c>
      <c r="D83" s="18"/>
      <c r="E83" s="18"/>
      <c r="G83" s="18"/>
      <c r="H83" s="18"/>
      <c r="I83" s="18"/>
      <c r="J83" s="42"/>
      <c r="K83" s="18"/>
      <c r="L83" s="18"/>
      <c r="M83" s="18"/>
      <c r="P83" s="18"/>
      <c r="Q83" s="18"/>
      <c r="R83" s="42"/>
      <c r="S83" s="18"/>
      <c r="T83" s="18"/>
      <c r="U83" s="18"/>
      <c r="V83" s="42"/>
      <c r="W83" s="18"/>
      <c r="X83" s="18"/>
    </row>
    <row r="84" spans="1:26" x14ac:dyDescent="0.25">
      <c r="A84" s="9"/>
      <c r="B84" s="56" t="s">
        <v>314</v>
      </c>
      <c r="D84" s="18"/>
      <c r="E84" s="18"/>
      <c r="G84" s="18"/>
      <c r="H84" s="18"/>
      <c r="I84" s="18"/>
      <c r="J84" s="42"/>
      <c r="K84" s="18"/>
      <c r="L84" s="18"/>
      <c r="M84" s="18"/>
      <c r="P84" s="18"/>
      <c r="Q84" s="18"/>
      <c r="R84" s="42"/>
      <c r="S84" s="18"/>
      <c r="T84" s="18"/>
      <c r="U84" s="18"/>
      <c r="V84" s="42"/>
      <c r="W84" s="18"/>
      <c r="X84" s="18"/>
    </row>
    <row r="85" spans="1:26" x14ac:dyDescent="0.25">
      <c r="A85" s="9"/>
      <c r="B85" s="54"/>
      <c r="D85" s="18"/>
      <c r="E85" s="18"/>
      <c r="G85" s="18"/>
      <c r="H85" s="18"/>
      <c r="I85" s="18"/>
      <c r="J85" s="42"/>
      <c r="K85" s="18"/>
      <c r="L85" s="18"/>
      <c r="M85" s="18"/>
      <c r="P85" s="18"/>
      <c r="Q85" s="18"/>
      <c r="R85" s="42"/>
      <c r="S85" s="18"/>
      <c r="T85" s="18"/>
      <c r="U85" s="18"/>
      <c r="V85" s="42"/>
      <c r="W85" s="18"/>
      <c r="X85" s="18"/>
    </row>
    <row r="86" spans="1:26" x14ac:dyDescent="0.25">
      <c r="D86" s="18"/>
      <c r="E86" s="18"/>
      <c r="G86" s="18"/>
      <c r="H86" s="18"/>
      <c r="I86" s="18"/>
      <c r="J86" s="42"/>
      <c r="K86" s="18"/>
      <c r="L86" s="18"/>
      <c r="M86" s="18"/>
      <c r="P86" s="18"/>
      <c r="Q86" s="18"/>
      <c r="R86" s="42"/>
      <c r="S86" s="18"/>
      <c r="T86" s="18"/>
      <c r="U86" s="18"/>
      <c r="V86" s="42"/>
      <c r="W86" s="18"/>
      <c r="X86" s="18"/>
    </row>
  </sheetData>
  <pageMargins left="0.25" right="0.25" top="0.75" bottom="0.75" header="0.3" footer="0.3"/>
  <pageSetup scale="55" fitToWidth="2" orientation="landscape"/>
  <drawing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74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63" t="s">
        <v>13</v>
      </c>
    </row>
    <row r="3" spans="1:26" x14ac:dyDescent="0.25">
      <c r="D3" s="63" t="s">
        <v>296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61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63" t="str">
        <f>CONCATENATE("Period ",RIGHT(202011,2),", ",2020)</f>
        <v>Period 11, 2020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61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4">
        <v>43981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61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51"/>
      <c r="C6" s="51"/>
      <c r="D6" s="23" t="str">
        <f>CONCATENATE("Department ","205", " - ", "Maintenance")</f>
        <v>Department 205 - Maintenance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57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5" t="s">
        <v>294</v>
      </c>
      <c r="E9" s="15"/>
      <c r="F9" s="38"/>
      <c r="G9" s="15"/>
      <c r="H9" s="15"/>
      <c r="I9" s="15"/>
      <c r="J9" s="46"/>
      <c r="K9" s="15"/>
      <c r="L9" s="15"/>
      <c r="M9" s="15"/>
      <c r="N9" s="38"/>
      <c r="P9" s="15" t="s">
        <v>295</v>
      </c>
      <c r="Q9" s="15"/>
      <c r="R9" s="38"/>
      <c r="S9" s="15"/>
      <c r="T9" s="15"/>
      <c r="U9" s="15"/>
      <c r="V9" s="46"/>
      <c r="W9" s="15"/>
      <c r="X9" s="15"/>
      <c r="Y9" s="15"/>
      <c r="Z9" s="38"/>
    </row>
    <row r="10" spans="1:26" x14ac:dyDescent="0.25">
      <c r="A10" s="10"/>
      <c r="B10" s="55"/>
      <c r="C10" s="10"/>
      <c r="D10" s="43" t="s">
        <v>10</v>
      </c>
      <c r="E10" s="33"/>
      <c r="F10" s="40" t="s">
        <v>15</v>
      </c>
      <c r="G10" s="33"/>
      <c r="H10" s="47" t="s">
        <v>11</v>
      </c>
      <c r="I10" s="33"/>
      <c r="J10" s="45" t="s">
        <v>16</v>
      </c>
      <c r="K10" s="10"/>
      <c r="L10" s="43" t="s">
        <v>12</v>
      </c>
      <c r="M10" s="10"/>
      <c r="N10" s="40" t="s">
        <v>17</v>
      </c>
      <c r="O10" s="10"/>
      <c r="P10" s="53" t="s">
        <v>10</v>
      </c>
      <c r="Q10" s="33"/>
      <c r="R10" s="40" t="s">
        <v>15</v>
      </c>
      <c r="S10" s="33"/>
      <c r="T10" s="47" t="s">
        <v>11</v>
      </c>
      <c r="U10" s="33"/>
      <c r="V10" s="45" t="s">
        <v>16</v>
      </c>
      <c r="W10" s="10"/>
      <c r="X10" s="43" t="s">
        <v>12</v>
      </c>
      <c r="Y10" s="10"/>
      <c r="Z10" s="40" t="s">
        <v>17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x14ac:dyDescent="0.25">
      <c r="A12" s="10"/>
      <c r="B12" s="28" t="s">
        <v>7</v>
      </c>
      <c r="C12" s="10"/>
      <c r="D12" s="4">
        <f>SUM(0)</f>
        <v>0</v>
      </c>
      <c r="E12" s="4"/>
      <c r="F12" s="13"/>
      <c r="G12" s="4"/>
      <c r="H12" s="4">
        <f>SUM(0)</f>
        <v>0</v>
      </c>
      <c r="I12" s="4"/>
      <c r="J12" s="13"/>
      <c r="K12" s="4"/>
      <c r="L12" s="4">
        <f>+D12-H12</f>
        <v>0</v>
      </c>
      <c r="M12" s="4"/>
      <c r="N12" s="13">
        <f>IF(H12=0,0,L12/H12)</f>
        <v>0</v>
      </c>
      <c r="O12" s="10"/>
      <c r="P12" s="4">
        <f>SUM(0)</f>
        <v>0</v>
      </c>
      <c r="Q12" s="4"/>
      <c r="R12" s="13"/>
      <c r="S12" s="4"/>
      <c r="T12" s="4">
        <f>SUM(0)</f>
        <v>0</v>
      </c>
      <c r="U12" s="4"/>
      <c r="V12" s="13"/>
      <c r="W12" s="4"/>
      <c r="X12" s="4">
        <f>+P12-T12</f>
        <v>0</v>
      </c>
      <c r="Y12" s="4"/>
      <c r="Z12" s="13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8" t="s">
        <v>8</v>
      </c>
      <c r="C14" s="10"/>
      <c r="D14" s="4">
        <f>SUM(0)</f>
        <v>0</v>
      </c>
      <c r="E14" s="4"/>
      <c r="F14" s="13">
        <f>IF(D$12=0,0,D14/D$12)</f>
        <v>0</v>
      </c>
      <c r="G14" s="4"/>
      <c r="H14" s="4">
        <f>SUM(0)</f>
        <v>0</v>
      </c>
      <c r="I14" s="4"/>
      <c r="J14" s="13">
        <f>IF(H$12=0,0,H14/H$12)</f>
        <v>0</v>
      </c>
      <c r="K14" s="4"/>
      <c r="L14" s="4">
        <f>+D14-H14</f>
        <v>0</v>
      </c>
      <c r="M14" s="4"/>
      <c r="N14" s="13">
        <f>IF(H14=0,0,L14/H14)</f>
        <v>0</v>
      </c>
      <c r="O14" s="10"/>
      <c r="P14" s="4">
        <f>SUM(0)</f>
        <v>0</v>
      </c>
      <c r="Q14" s="4"/>
      <c r="R14" s="13">
        <f>IF(P$12=0,0,P14/P$12)</f>
        <v>0</v>
      </c>
      <c r="S14" s="4"/>
      <c r="T14" s="4">
        <f>SUM(0)</f>
        <v>0</v>
      </c>
      <c r="U14" s="4"/>
      <c r="V14" s="13">
        <f>IF(T$12=0,0,T14/T$12)</f>
        <v>0</v>
      </c>
      <c r="W14" s="4"/>
      <c r="X14" s="4">
        <f>+P14-T14</f>
        <v>0</v>
      </c>
      <c r="Y14" s="4"/>
      <c r="Z14" s="13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9" t="s">
        <v>6</v>
      </c>
      <c r="C16" s="29"/>
      <c r="D16" s="20">
        <f>D12-D14</f>
        <v>0</v>
      </c>
      <c r="E16" s="14"/>
      <c r="F16" s="22">
        <f>IF(D$12=0,0,D16/D$12)</f>
        <v>0</v>
      </c>
      <c r="G16" s="14"/>
      <c r="H16" s="20">
        <f>H12-H14</f>
        <v>0</v>
      </c>
      <c r="I16" s="14"/>
      <c r="J16" s="22">
        <f>IF(H$12=0,0,H16/H$12)</f>
        <v>0</v>
      </c>
      <c r="K16" s="16"/>
      <c r="L16" s="20">
        <f>+D16-H16</f>
        <v>0</v>
      </c>
      <c r="M16" s="16"/>
      <c r="N16" s="22">
        <f>IF(H16=0,0,L16/H16)</f>
        <v>0</v>
      </c>
      <c r="O16" s="28"/>
      <c r="P16" s="20">
        <f>P12-P14</f>
        <v>0</v>
      </c>
      <c r="Q16" s="14"/>
      <c r="R16" s="22">
        <f>IF(P$12=0,0,P16/P$12)</f>
        <v>0</v>
      </c>
      <c r="S16" s="14"/>
      <c r="T16" s="20">
        <f>T12-T14</f>
        <v>0</v>
      </c>
      <c r="U16" s="14"/>
      <c r="V16" s="22">
        <f>IF(T$12=0,0,T16/T$12)</f>
        <v>0</v>
      </c>
      <c r="W16" s="16"/>
      <c r="X16" s="20">
        <f>+P16-T16</f>
        <v>0</v>
      </c>
      <c r="Y16" s="16"/>
      <c r="Z16" s="22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8" t="s">
        <v>9</v>
      </c>
      <c r="C18" s="10"/>
      <c r="D18" s="21">
        <f>SUM(OSRRefD22x_0)</f>
        <v>3332.2499999999995</v>
      </c>
      <c r="E18" s="21"/>
      <c r="F18" s="30">
        <f t="shared" ref="F18:F28" si="0">IF(D$12=0,0,D18/D$12)</f>
        <v>0</v>
      </c>
      <c r="G18" s="21"/>
      <c r="H18" s="21">
        <f>SUM(OSRRefH22x_0)</f>
        <v>7260.5090453384582</v>
      </c>
      <c r="I18" s="21"/>
      <c r="J18" s="30">
        <f t="shared" ref="J18:J28" si="1">IF(H$12=0,0,H18/H$12)</f>
        <v>0</v>
      </c>
      <c r="K18" s="4"/>
      <c r="L18" s="21">
        <f t="shared" ref="L18:L28" si="2">+D18-H18</f>
        <v>-3928.2590453384587</v>
      </c>
      <c r="M18" s="4"/>
      <c r="N18" s="30">
        <f t="shared" ref="N18:N28" si="3">IF(H18=0,0,L18/H18)</f>
        <v>-0.54104457701358566</v>
      </c>
      <c r="O18" s="10"/>
      <c r="P18" s="21">
        <f>SUM(OSRRefP22x_0)</f>
        <v>84171.829999999973</v>
      </c>
      <c r="Q18" s="21"/>
      <c r="R18" s="30">
        <f t="shared" ref="R18:R28" si="4">IF(P$12=0,0,P18/P$12)</f>
        <v>0</v>
      </c>
      <c r="S18" s="21"/>
      <c r="T18" s="21">
        <f>SUM(OSRRefT22x_0)</f>
        <v>91153.108544061542</v>
      </c>
      <c r="U18" s="21"/>
      <c r="V18" s="30">
        <f t="shared" ref="V18:V28" si="5">IF(T$12=0,0,T18/T$12)</f>
        <v>0</v>
      </c>
      <c r="W18" s="4"/>
      <c r="X18" s="21">
        <f t="shared" ref="X18:X28" si="6">+P18-T18</f>
        <v>-6981.2785440615698</v>
      </c>
      <c r="Y18" s="4"/>
      <c r="Z18" s="30">
        <f t="shared" ref="Z18:Z28" si="7">IF(T18=0,0,X18/T18)</f>
        <v>-7.6588485632247669E-2</v>
      </c>
    </row>
    <row r="19" spans="1:26" s="27" customFormat="1" outlineLevel="1" collapsed="1" x14ac:dyDescent="0.25">
      <c r="A19" s="25"/>
      <c r="B19" s="12" t="str">
        <f>CONCATENATE("     ","*Benefits                                         ")</f>
        <v xml:space="preserve">     *Benefits                                         </v>
      </c>
      <c r="C19" s="12"/>
      <c r="D19" s="1">
        <f>SUM(OSRRefD22_0x_0)</f>
        <v>2098.7199999999998</v>
      </c>
      <c r="E19" s="1"/>
      <c r="F19" s="5">
        <f t="shared" si="0"/>
        <v>0</v>
      </c>
      <c r="G19" s="1"/>
      <c r="H19" s="1">
        <f>SUM(OSRRefH22_0x_0)</f>
        <v>2294.782322261538</v>
      </c>
      <c r="I19" s="1"/>
      <c r="J19" s="5">
        <f t="shared" si="1"/>
        <v>0</v>
      </c>
      <c r="K19" s="1"/>
      <c r="L19" s="1">
        <f t="shared" si="2"/>
        <v>-196.06232226153816</v>
      </c>
      <c r="M19" s="1"/>
      <c r="N19" s="5">
        <f t="shared" si="3"/>
        <v>-8.5438309489989525E-2</v>
      </c>
      <c r="O19" s="12"/>
      <c r="P19" s="1">
        <f>SUM(OSRRefP22_0x_0)</f>
        <v>28633.19</v>
      </c>
      <c r="Q19" s="1"/>
      <c r="R19" s="5">
        <f t="shared" si="4"/>
        <v>0</v>
      </c>
      <c r="S19" s="1"/>
      <c r="T19" s="1">
        <f>SUM(OSRRefT22_0x_0)</f>
        <v>26724.387867138459</v>
      </c>
      <c r="U19" s="1"/>
      <c r="V19" s="5">
        <f t="shared" si="5"/>
        <v>0</v>
      </c>
      <c r="W19" s="1"/>
      <c r="X19" s="1">
        <f t="shared" si="6"/>
        <v>1908.8021328615396</v>
      </c>
      <c r="Y19" s="1"/>
      <c r="Z19" s="5">
        <f t="shared" si="7"/>
        <v>7.1425476323395631E-2</v>
      </c>
    </row>
    <row r="20" spans="1:26" s="24" customFormat="1" hidden="1" outlineLevel="2" x14ac:dyDescent="0.25">
      <c r="A20" s="26"/>
      <c r="B20" s="11" t="str">
        <f>CONCATENATE("          ", "6111", " - ", "F.I.C.A.")</f>
        <v xml:space="preserve">          6111 - F.I.C.A.</v>
      </c>
      <c r="C20" s="11"/>
      <c r="D20" s="7">
        <v>315.83999999999997</v>
      </c>
      <c r="E20" s="2"/>
      <c r="F20" s="6">
        <f t="shared" si="0"/>
        <v>0</v>
      </c>
      <c r="G20" s="2"/>
      <c r="H20" s="7">
        <v>321.40351195384602</v>
      </c>
      <c r="I20" s="2"/>
      <c r="J20" s="6">
        <f t="shared" si="1"/>
        <v>0</v>
      </c>
      <c r="K20" s="2"/>
      <c r="L20" s="7">
        <f t="shared" si="2"/>
        <v>-5.5635119538460458</v>
      </c>
      <c r="M20" s="2"/>
      <c r="N20" s="6">
        <f t="shared" si="3"/>
        <v>-1.7310053396818431E-2</v>
      </c>
      <c r="O20" s="11"/>
      <c r="P20" s="7">
        <v>3881.72</v>
      </c>
      <c r="Q20" s="2"/>
      <c r="R20" s="6">
        <f t="shared" si="4"/>
        <v>0</v>
      </c>
      <c r="S20" s="2"/>
      <c r="T20" s="7">
        <v>3856.8421434461538</v>
      </c>
      <c r="U20" s="2"/>
      <c r="V20" s="6">
        <f t="shared" si="5"/>
        <v>0</v>
      </c>
      <c r="W20" s="2"/>
      <c r="X20" s="7">
        <f t="shared" si="6"/>
        <v>24.877856553845959</v>
      </c>
      <c r="Y20" s="2"/>
      <c r="Z20" s="6">
        <f t="shared" si="7"/>
        <v>6.4503175469912211E-3</v>
      </c>
    </row>
    <row r="21" spans="1:26" s="24" customFormat="1" hidden="1" outlineLevel="2" x14ac:dyDescent="0.25">
      <c r="A21" s="26"/>
      <c r="B21" s="11" t="str">
        <f>CONCATENATE("          ", "6112", " - ", "COMPENSATION INSURANCE")</f>
        <v xml:space="preserve">          6112 - COMPENSATION INSURANCE</v>
      </c>
      <c r="C21" s="11"/>
      <c r="D21" s="7">
        <v>419.29</v>
      </c>
      <c r="E21" s="2"/>
      <c r="F21" s="6">
        <f t="shared" si="0"/>
        <v>0</v>
      </c>
      <c r="G21" s="2"/>
      <c r="H21" s="7">
        <v>284.32010661538499</v>
      </c>
      <c r="I21" s="2"/>
      <c r="J21" s="6">
        <f t="shared" si="1"/>
        <v>0</v>
      </c>
      <c r="K21" s="2"/>
      <c r="L21" s="7">
        <f t="shared" si="2"/>
        <v>134.96989338461503</v>
      </c>
      <c r="M21" s="2"/>
      <c r="N21" s="6">
        <f t="shared" si="3"/>
        <v>0.47471103957904753</v>
      </c>
      <c r="O21" s="11"/>
      <c r="P21" s="7">
        <v>3071.26</v>
      </c>
      <c r="Q21" s="2"/>
      <c r="R21" s="6">
        <f t="shared" si="4"/>
        <v>0</v>
      </c>
      <c r="S21" s="2"/>
      <c r="T21" s="7">
        <v>3411.8412793846192</v>
      </c>
      <c r="U21" s="2"/>
      <c r="V21" s="6">
        <f t="shared" si="5"/>
        <v>0</v>
      </c>
      <c r="W21" s="2"/>
      <c r="X21" s="7">
        <f t="shared" si="6"/>
        <v>-340.58127938461894</v>
      </c>
      <c r="Y21" s="2"/>
      <c r="Z21" s="6">
        <f t="shared" si="7"/>
        <v>-9.9823306975771242E-2</v>
      </c>
    </row>
    <row r="22" spans="1:26" s="24" customFormat="1" hidden="1" outlineLevel="2" x14ac:dyDescent="0.25">
      <c r="A22" s="26"/>
      <c r="B22" s="11" t="str">
        <f>CONCATENATE("          ", "6113", " - ", "GROUP INSURANCE")</f>
        <v xml:space="preserve">          6113 - GROUP INSURANCE</v>
      </c>
      <c r="C22" s="11"/>
      <c r="D22" s="7">
        <v>696.16</v>
      </c>
      <c r="E22" s="2"/>
      <c r="F22" s="6">
        <f t="shared" si="0"/>
        <v>0</v>
      </c>
      <c r="G22" s="2"/>
      <c r="H22" s="7">
        <v>663</v>
      </c>
      <c r="I22" s="2"/>
      <c r="J22" s="6">
        <f t="shared" si="1"/>
        <v>0</v>
      </c>
      <c r="K22" s="2"/>
      <c r="L22" s="7">
        <f t="shared" si="2"/>
        <v>33.159999999999968</v>
      </c>
      <c r="M22" s="2"/>
      <c r="N22" s="6">
        <f t="shared" si="3"/>
        <v>5.001508295625938E-2</v>
      </c>
      <c r="O22" s="11"/>
      <c r="P22" s="7">
        <v>7651.64</v>
      </c>
      <c r="Q22" s="2"/>
      <c r="R22" s="6">
        <f t="shared" si="4"/>
        <v>0</v>
      </c>
      <c r="S22" s="2"/>
      <c r="T22" s="7">
        <v>7293</v>
      </c>
      <c r="U22" s="2"/>
      <c r="V22" s="6">
        <f t="shared" si="5"/>
        <v>0</v>
      </c>
      <c r="W22" s="2"/>
      <c r="X22" s="7">
        <f t="shared" si="6"/>
        <v>358.64000000000033</v>
      </c>
      <c r="Y22" s="2"/>
      <c r="Z22" s="6">
        <f t="shared" si="7"/>
        <v>4.9175922117098633E-2</v>
      </c>
    </row>
    <row r="23" spans="1:26" s="24" customFormat="1" hidden="1" outlineLevel="2" x14ac:dyDescent="0.25">
      <c r="A23" s="26"/>
      <c r="B23" s="11" t="str">
        <f>CONCATENATE("          ", "6114", " - ", "STATE UNEMPLOYMENT INSURANCE")</f>
        <v xml:space="preserve">          6114 - STATE UNEMPLOYMENT INSURANCE</v>
      </c>
      <c r="C23" s="11"/>
      <c r="D23" s="7">
        <v>16.100000000000001</v>
      </c>
      <c r="E23" s="2"/>
      <c r="F23" s="6">
        <f t="shared" si="0"/>
        <v>0</v>
      </c>
      <c r="G23" s="2"/>
      <c r="H23" s="7">
        <v>10.919236</v>
      </c>
      <c r="I23" s="2"/>
      <c r="J23" s="6">
        <f t="shared" si="1"/>
        <v>0</v>
      </c>
      <c r="K23" s="2"/>
      <c r="L23" s="7">
        <f t="shared" si="2"/>
        <v>5.1807640000000017</v>
      </c>
      <c r="M23" s="2"/>
      <c r="N23" s="6">
        <f t="shared" si="3"/>
        <v>0.4744621326986615</v>
      </c>
      <c r="O23" s="11"/>
      <c r="P23" s="7">
        <v>131</v>
      </c>
      <c r="Q23" s="2"/>
      <c r="R23" s="6">
        <f t="shared" si="4"/>
        <v>0</v>
      </c>
      <c r="S23" s="2"/>
      <c r="T23" s="7">
        <v>131.030832</v>
      </c>
      <c r="U23" s="2"/>
      <c r="V23" s="6">
        <f t="shared" si="5"/>
        <v>0</v>
      </c>
      <c r="W23" s="2"/>
      <c r="X23" s="7">
        <f t="shared" si="6"/>
        <v>-3.0832000000003745E-2</v>
      </c>
      <c r="Y23" s="2"/>
      <c r="Z23" s="6">
        <f t="shared" si="7"/>
        <v>-2.3530339790564517E-4</v>
      </c>
    </row>
    <row r="24" spans="1:26" s="24" customFormat="1" hidden="1" outlineLevel="2" x14ac:dyDescent="0.25">
      <c r="A24" s="26"/>
      <c r="B24" s="11" t="str">
        <f>CONCATENATE("          ", "6115", " - ", "P.E.R.S.")</f>
        <v xml:space="preserve">          6115 - P.E.R.S.</v>
      </c>
      <c r="C24" s="11"/>
      <c r="D24" s="7">
        <v>429.26</v>
      </c>
      <c r="E24" s="2"/>
      <c r="F24" s="6">
        <f t="shared" si="0"/>
        <v>0</v>
      </c>
      <c r="G24" s="2"/>
      <c r="H24" s="7">
        <v>361.174729230769</v>
      </c>
      <c r="I24" s="2"/>
      <c r="J24" s="6">
        <f t="shared" si="1"/>
        <v>0</v>
      </c>
      <c r="K24" s="2"/>
      <c r="L24" s="7">
        <f t="shared" si="2"/>
        <v>68.085270769230988</v>
      </c>
      <c r="M24" s="2"/>
      <c r="N24" s="6">
        <f t="shared" si="3"/>
        <v>0.18851061621680784</v>
      </c>
      <c r="O24" s="11"/>
      <c r="P24" s="7">
        <v>4936.4799999999996</v>
      </c>
      <c r="Q24" s="2"/>
      <c r="R24" s="6">
        <f t="shared" si="4"/>
        <v>0</v>
      </c>
      <c r="S24" s="2"/>
      <c r="T24" s="7">
        <v>4334.0967507692303</v>
      </c>
      <c r="U24" s="2"/>
      <c r="V24" s="6">
        <f t="shared" si="5"/>
        <v>0</v>
      </c>
      <c r="W24" s="2"/>
      <c r="X24" s="7">
        <f t="shared" si="6"/>
        <v>602.38324923076925</v>
      </c>
      <c r="Y24" s="2"/>
      <c r="Z24" s="6">
        <f t="shared" si="7"/>
        <v>0.13898703325528122</v>
      </c>
    </row>
    <row r="25" spans="1:26" s="24" customFormat="1" hidden="1" outlineLevel="2" x14ac:dyDescent="0.25">
      <c r="A25" s="26"/>
      <c r="B25" s="11" t="str">
        <f>CONCATENATE("          ", "6116", " - ", "EDUCATIONAL BENEFITS")</f>
        <v xml:space="preserve">          6116 - EDUCATIONAL BENEFITS</v>
      </c>
      <c r="C25" s="11"/>
      <c r="D25" s="7"/>
      <c r="E25" s="2"/>
      <c r="F25" s="6">
        <f t="shared" si="0"/>
        <v>0</v>
      </c>
      <c r="G25" s="2"/>
      <c r="H25" s="7">
        <v>0</v>
      </c>
      <c r="I25" s="2"/>
      <c r="J25" s="6">
        <f t="shared" si="1"/>
        <v>0</v>
      </c>
      <c r="K25" s="2"/>
      <c r="L25" s="7">
        <f t="shared" si="2"/>
        <v>0</v>
      </c>
      <c r="M25" s="2"/>
      <c r="N25" s="6">
        <f t="shared" si="3"/>
        <v>0</v>
      </c>
      <c r="O25" s="11"/>
      <c r="P25" s="7"/>
      <c r="Q25" s="2"/>
      <c r="R25" s="6">
        <f t="shared" si="4"/>
        <v>0</v>
      </c>
      <c r="S25" s="2"/>
      <c r="T25" s="7">
        <v>0</v>
      </c>
      <c r="U25" s="2"/>
      <c r="V25" s="6">
        <f t="shared" si="5"/>
        <v>0</v>
      </c>
      <c r="W25" s="2"/>
      <c r="X25" s="7">
        <f t="shared" si="6"/>
        <v>0</v>
      </c>
      <c r="Y25" s="2"/>
      <c r="Z25" s="6">
        <f t="shared" si="7"/>
        <v>0</v>
      </c>
    </row>
    <row r="26" spans="1:26" s="24" customFormat="1" hidden="1" outlineLevel="2" x14ac:dyDescent="0.25">
      <c r="A26" s="26"/>
      <c r="B26" s="11" t="str">
        <f>CONCATENATE("          ", "6118", " - ", "VACATION")</f>
        <v xml:space="preserve">          6118 - VACATION</v>
      </c>
      <c r="C26" s="11"/>
      <c r="D26" s="7">
        <v>28.35</v>
      </c>
      <c r="E26" s="2"/>
      <c r="F26" s="6">
        <f t="shared" si="0"/>
        <v>0</v>
      </c>
      <c r="G26" s="2"/>
      <c r="H26" s="7">
        <v>419.97061538461503</v>
      </c>
      <c r="I26" s="2"/>
      <c r="J26" s="6">
        <f t="shared" si="1"/>
        <v>0</v>
      </c>
      <c r="K26" s="2"/>
      <c r="L26" s="7">
        <f t="shared" si="2"/>
        <v>-391.62061538461501</v>
      </c>
      <c r="M26" s="2"/>
      <c r="N26" s="6">
        <f t="shared" si="3"/>
        <v>-0.93249527714210034</v>
      </c>
      <c r="O26" s="11"/>
      <c r="P26" s="7">
        <v>4611.1400000000003</v>
      </c>
      <c r="Q26" s="2"/>
      <c r="R26" s="6">
        <f t="shared" si="4"/>
        <v>0</v>
      </c>
      <c r="S26" s="2"/>
      <c r="T26" s="7">
        <v>5039.6473846153804</v>
      </c>
      <c r="U26" s="2"/>
      <c r="V26" s="6">
        <f t="shared" si="5"/>
        <v>0</v>
      </c>
      <c r="W26" s="2"/>
      <c r="X26" s="7">
        <f t="shared" si="6"/>
        <v>-428.50738461538003</v>
      </c>
      <c r="Y26" s="2"/>
      <c r="Z26" s="6">
        <f t="shared" si="7"/>
        <v>-8.5027255264622681E-2</v>
      </c>
    </row>
    <row r="27" spans="1:26" s="24" customFormat="1" hidden="1" outlineLevel="2" x14ac:dyDescent="0.25">
      <c r="A27" s="26"/>
      <c r="B27" s="11" t="str">
        <f>CONCATENATE("          ", "6119", " - ", "SICK LEAVE")</f>
        <v xml:space="preserve">          6119 - SICK LEAVE</v>
      </c>
      <c r="C27" s="11"/>
      <c r="D27" s="7">
        <v>193.72</v>
      </c>
      <c r="E27" s="2"/>
      <c r="F27" s="6">
        <f t="shared" si="0"/>
        <v>0</v>
      </c>
      <c r="G27" s="2"/>
      <c r="H27" s="7">
        <v>83.994123076923103</v>
      </c>
      <c r="I27" s="2"/>
      <c r="J27" s="6">
        <f t="shared" si="1"/>
        <v>0</v>
      </c>
      <c r="K27" s="2"/>
      <c r="L27" s="7">
        <f t="shared" si="2"/>
        <v>109.7258769230769</v>
      </c>
      <c r="M27" s="2"/>
      <c r="N27" s="6">
        <f t="shared" si="3"/>
        <v>1.3063518363372668</v>
      </c>
      <c r="O27" s="11"/>
      <c r="P27" s="7">
        <v>3169.68</v>
      </c>
      <c r="Q27" s="2"/>
      <c r="R27" s="6">
        <f t="shared" si="4"/>
        <v>0</v>
      </c>
      <c r="S27" s="2"/>
      <c r="T27" s="7">
        <v>1007.9294769230778</v>
      </c>
      <c r="U27" s="2"/>
      <c r="V27" s="6">
        <f t="shared" si="5"/>
        <v>0</v>
      </c>
      <c r="W27" s="2"/>
      <c r="X27" s="7">
        <f t="shared" si="6"/>
        <v>2161.750523076922</v>
      </c>
      <c r="Y27" s="2"/>
      <c r="Z27" s="6">
        <f t="shared" si="7"/>
        <v>2.1447438263995728</v>
      </c>
    </row>
    <row r="28" spans="1:26" s="24" customFormat="1" hidden="1" outlineLevel="2" x14ac:dyDescent="0.25">
      <c r="A28" s="26"/>
      <c r="B28" s="11" t="str">
        <f>CONCATENATE("          ", "6156", " - ", "EMPLOYEE MEALS")</f>
        <v xml:space="preserve">          6156 - EMPLOYEE MEALS</v>
      </c>
      <c r="C28" s="11"/>
      <c r="D28" s="7"/>
      <c r="E28" s="2"/>
      <c r="F28" s="6">
        <f t="shared" si="0"/>
        <v>0</v>
      </c>
      <c r="G28" s="2"/>
      <c r="H28" s="7">
        <v>150</v>
      </c>
      <c r="I28" s="2"/>
      <c r="J28" s="6">
        <f t="shared" si="1"/>
        <v>0</v>
      </c>
      <c r="K28" s="2"/>
      <c r="L28" s="7">
        <f t="shared" si="2"/>
        <v>-150</v>
      </c>
      <c r="M28" s="2"/>
      <c r="N28" s="6">
        <f t="shared" si="3"/>
        <v>-1</v>
      </c>
      <c r="O28" s="11"/>
      <c r="P28" s="7">
        <v>1180.27</v>
      </c>
      <c r="Q28" s="2"/>
      <c r="R28" s="6">
        <f t="shared" si="4"/>
        <v>0</v>
      </c>
      <c r="S28" s="2"/>
      <c r="T28" s="7">
        <v>1650</v>
      </c>
      <c r="U28" s="2"/>
      <c r="V28" s="6">
        <f t="shared" si="5"/>
        <v>0</v>
      </c>
      <c r="W28" s="2"/>
      <c r="X28" s="7">
        <f t="shared" si="6"/>
        <v>-469.73</v>
      </c>
      <c r="Y28" s="2"/>
      <c r="Z28" s="6">
        <f t="shared" si="7"/>
        <v>-0.28468484848484849</v>
      </c>
    </row>
    <row r="29" spans="1:26" s="27" customFormat="1" outlineLevel="1" collapsed="1" x14ac:dyDescent="0.25">
      <c r="A29" s="25"/>
      <c r="B29" s="12" t="str">
        <f>CONCATENATE("     ","*Payroll                                          ")</f>
        <v xml:space="preserve">     *Payroll                                          </v>
      </c>
      <c r="C29" s="12"/>
      <c r="D29" s="1">
        <f>SUM(OSRRefD22_1x_0)</f>
        <v>419.97</v>
      </c>
      <c r="E29" s="1"/>
      <c r="F29" s="5">
        <f t="shared" ref="F29:F39" si="8">IF(D$12=0,0,D29/D$12)</f>
        <v>0</v>
      </c>
      <c r="G29" s="1"/>
      <c r="H29" s="1">
        <f>SUM(OSRRefH22_1x_0)</f>
        <v>3905.7267230769203</v>
      </c>
      <c r="I29" s="1"/>
      <c r="J29" s="5">
        <f t="shared" ref="J29:J39" si="9">IF(H$12=0,0,H29/H$12)</f>
        <v>0</v>
      </c>
      <c r="K29" s="1"/>
      <c r="L29" s="1">
        <f t="shared" ref="L29:L39" si="10">+D29-H29</f>
        <v>-3485.75672307692</v>
      </c>
      <c r="M29" s="1"/>
      <c r="N29" s="5">
        <f t="shared" ref="N29:N39" si="11">IF(H29=0,0,L29/H29)</f>
        <v>-0.89247327583913783</v>
      </c>
      <c r="O29" s="12"/>
      <c r="P29" s="1">
        <f>SUM(OSRRefP22_1x_0)</f>
        <v>32928.659999999996</v>
      </c>
      <c r="Q29" s="1"/>
      <c r="R29" s="5">
        <f t="shared" ref="R29:R39" si="12">IF(P$12=0,0,P29/P$12)</f>
        <v>0</v>
      </c>
      <c r="S29" s="1"/>
      <c r="T29" s="1">
        <f>SUM(OSRRefT22_1x_0)</f>
        <v>46868.720676923083</v>
      </c>
      <c r="U29" s="1"/>
      <c r="V29" s="5">
        <f t="shared" ref="V29:V39" si="13">IF(T$12=0,0,T29/T$12)</f>
        <v>0</v>
      </c>
      <c r="W29" s="1"/>
      <c r="X29" s="1">
        <f t="shared" ref="X29:X39" si="14">+P29-T29</f>
        <v>-13940.060676923087</v>
      </c>
      <c r="Y29" s="1"/>
      <c r="Z29" s="5">
        <f t="shared" ref="Z29:Z39" si="15">IF(T29=0,0,X29/T29)</f>
        <v>-0.29742780420688553</v>
      </c>
    </row>
    <row r="30" spans="1:26" s="24" customFormat="1" hidden="1" outlineLevel="2" x14ac:dyDescent="0.25">
      <c r="A30" s="26"/>
      <c r="B30" s="11" t="str">
        <f>CONCATENATE("          ", "6001", " - ", "ADMINISTRATIVE SALARIES")</f>
        <v xml:space="preserve">          6001 - ADMINISTRATIVE SALARIES</v>
      </c>
      <c r="C30" s="11"/>
      <c r="D30" s="7"/>
      <c r="E30" s="2"/>
      <c r="F30" s="6">
        <f t="shared" si="8"/>
        <v>0</v>
      </c>
      <c r="G30" s="2"/>
      <c r="H30" s="7">
        <v>0</v>
      </c>
      <c r="I30" s="2"/>
      <c r="J30" s="6">
        <f t="shared" si="9"/>
        <v>0</v>
      </c>
      <c r="K30" s="2"/>
      <c r="L30" s="7">
        <f t="shared" si="10"/>
        <v>0</v>
      </c>
      <c r="M30" s="2"/>
      <c r="N30" s="6">
        <f t="shared" si="11"/>
        <v>0</v>
      </c>
      <c r="O30" s="11"/>
      <c r="P30" s="7"/>
      <c r="Q30" s="2"/>
      <c r="R30" s="6">
        <f t="shared" si="12"/>
        <v>0</v>
      </c>
      <c r="S30" s="2"/>
      <c r="T30" s="7">
        <v>0</v>
      </c>
      <c r="U30" s="2"/>
      <c r="V30" s="6">
        <f t="shared" si="13"/>
        <v>0</v>
      </c>
      <c r="W30" s="2"/>
      <c r="X30" s="7">
        <f t="shared" si="14"/>
        <v>0</v>
      </c>
      <c r="Y30" s="2"/>
      <c r="Z30" s="6">
        <f t="shared" si="15"/>
        <v>0</v>
      </c>
    </row>
    <row r="31" spans="1:26" s="24" customFormat="1" hidden="1" outlineLevel="2" x14ac:dyDescent="0.25">
      <c r="A31" s="26"/>
      <c r="B31" s="11" t="str">
        <f>CONCATENATE("          ", "6002", " - ", "STAFF SALARIES")</f>
        <v xml:space="preserve">          6002 - STAFF SALARIES</v>
      </c>
      <c r="C31" s="11"/>
      <c r="D31" s="7">
        <v>419.97</v>
      </c>
      <c r="E31" s="2"/>
      <c r="F31" s="6">
        <f t="shared" si="8"/>
        <v>0</v>
      </c>
      <c r="G31" s="2"/>
      <c r="H31" s="7">
        <v>3905.7267230769203</v>
      </c>
      <c r="I31" s="2"/>
      <c r="J31" s="6">
        <f t="shared" si="9"/>
        <v>0</v>
      </c>
      <c r="K31" s="2"/>
      <c r="L31" s="7">
        <f t="shared" si="10"/>
        <v>-3485.75672307692</v>
      </c>
      <c r="M31" s="2"/>
      <c r="N31" s="6">
        <f t="shared" si="11"/>
        <v>-0.89247327583913783</v>
      </c>
      <c r="O31" s="11"/>
      <c r="P31" s="7">
        <v>32928.659999999996</v>
      </c>
      <c r="Q31" s="2"/>
      <c r="R31" s="6">
        <f t="shared" si="12"/>
        <v>0</v>
      </c>
      <c r="S31" s="2"/>
      <c r="T31" s="7">
        <v>46868.720676923083</v>
      </c>
      <c r="U31" s="2"/>
      <c r="V31" s="6">
        <f t="shared" si="13"/>
        <v>0</v>
      </c>
      <c r="W31" s="2"/>
      <c r="X31" s="7">
        <f t="shared" si="14"/>
        <v>-13940.060676923087</v>
      </c>
      <c r="Y31" s="2"/>
      <c r="Z31" s="6">
        <f t="shared" si="15"/>
        <v>-0.29742780420688553</v>
      </c>
    </row>
    <row r="32" spans="1:26" s="24" customFormat="1" hidden="1" outlineLevel="2" x14ac:dyDescent="0.25">
      <c r="A32" s="26"/>
      <c r="B32" s="11" t="str">
        <f>CONCATENATE("          ", "6003", " - ", "STAFF HOURLY-9 MONTH")</f>
        <v xml:space="preserve">          6003 - STAFF HOURLY-9 MONTH</v>
      </c>
      <c r="C32" s="11"/>
      <c r="D32" s="7"/>
      <c r="E32" s="2"/>
      <c r="F32" s="6">
        <f t="shared" si="8"/>
        <v>0</v>
      </c>
      <c r="G32" s="2"/>
      <c r="H32" s="7">
        <v>0</v>
      </c>
      <c r="I32" s="2"/>
      <c r="J32" s="6">
        <f t="shared" si="9"/>
        <v>0</v>
      </c>
      <c r="K32" s="2"/>
      <c r="L32" s="7">
        <f t="shared" si="10"/>
        <v>0</v>
      </c>
      <c r="M32" s="2"/>
      <c r="N32" s="6">
        <f t="shared" si="11"/>
        <v>0</v>
      </c>
      <c r="O32" s="11"/>
      <c r="P32" s="7"/>
      <c r="Q32" s="2"/>
      <c r="R32" s="6">
        <f t="shared" si="12"/>
        <v>0</v>
      </c>
      <c r="S32" s="2"/>
      <c r="T32" s="7">
        <v>0</v>
      </c>
      <c r="U32" s="2"/>
      <c r="V32" s="6">
        <f t="shared" si="13"/>
        <v>0</v>
      </c>
      <c r="W32" s="2"/>
      <c r="X32" s="7">
        <f t="shared" si="14"/>
        <v>0</v>
      </c>
      <c r="Y32" s="2"/>
      <c r="Z32" s="6">
        <f t="shared" si="15"/>
        <v>0</v>
      </c>
    </row>
    <row r="33" spans="1:26" s="24" customFormat="1" hidden="1" outlineLevel="2" x14ac:dyDescent="0.25">
      <c r="A33" s="26"/>
      <c r="B33" s="11" t="str">
        <f>CONCATENATE("          ", "6004", " - ", "STAFF HOURLY")</f>
        <v xml:space="preserve">          6004 - STAFF HOURLY</v>
      </c>
      <c r="C33" s="11"/>
      <c r="D33" s="7"/>
      <c r="E33" s="2"/>
      <c r="F33" s="6">
        <f t="shared" si="8"/>
        <v>0</v>
      </c>
      <c r="G33" s="2"/>
      <c r="H33" s="7">
        <v>0</v>
      </c>
      <c r="I33" s="2"/>
      <c r="J33" s="6">
        <f t="shared" si="9"/>
        <v>0</v>
      </c>
      <c r="K33" s="2"/>
      <c r="L33" s="7">
        <f t="shared" si="10"/>
        <v>0</v>
      </c>
      <c r="M33" s="2"/>
      <c r="N33" s="6">
        <f t="shared" si="11"/>
        <v>0</v>
      </c>
      <c r="O33" s="11"/>
      <c r="P33" s="7"/>
      <c r="Q33" s="2"/>
      <c r="R33" s="6">
        <f t="shared" si="12"/>
        <v>0</v>
      </c>
      <c r="S33" s="2"/>
      <c r="T33" s="7">
        <v>0</v>
      </c>
      <c r="U33" s="2"/>
      <c r="V33" s="6">
        <f t="shared" si="13"/>
        <v>0</v>
      </c>
      <c r="W33" s="2"/>
      <c r="X33" s="7">
        <f t="shared" si="14"/>
        <v>0</v>
      </c>
      <c r="Y33" s="2"/>
      <c r="Z33" s="6">
        <f t="shared" si="15"/>
        <v>0</v>
      </c>
    </row>
    <row r="34" spans="1:26" s="24" customFormat="1" hidden="1" outlineLevel="2" x14ac:dyDescent="0.25">
      <c r="A34" s="26"/>
      <c r="B34" s="11" t="str">
        <f>CONCATENATE("          ", "6005", " - ", "TEMPORARY WAGES-HOURLY")</f>
        <v xml:space="preserve">          6005 - TEMPORARY WAGES-HOURLY</v>
      </c>
      <c r="C34" s="11"/>
      <c r="D34" s="7"/>
      <c r="E34" s="2"/>
      <c r="F34" s="6">
        <f t="shared" si="8"/>
        <v>0</v>
      </c>
      <c r="G34" s="2"/>
      <c r="H34" s="7">
        <v>0</v>
      </c>
      <c r="I34" s="2"/>
      <c r="J34" s="6">
        <f t="shared" si="9"/>
        <v>0</v>
      </c>
      <c r="K34" s="2"/>
      <c r="L34" s="7">
        <f t="shared" si="10"/>
        <v>0</v>
      </c>
      <c r="M34" s="2"/>
      <c r="N34" s="6">
        <f t="shared" si="11"/>
        <v>0</v>
      </c>
      <c r="O34" s="11"/>
      <c r="P34" s="7"/>
      <c r="Q34" s="2"/>
      <c r="R34" s="6">
        <f t="shared" si="12"/>
        <v>0</v>
      </c>
      <c r="S34" s="2"/>
      <c r="T34" s="7">
        <v>0</v>
      </c>
      <c r="U34" s="2"/>
      <c r="V34" s="6">
        <f t="shared" si="13"/>
        <v>0</v>
      </c>
      <c r="W34" s="2"/>
      <c r="X34" s="7">
        <f t="shared" si="14"/>
        <v>0</v>
      </c>
      <c r="Y34" s="2"/>
      <c r="Z34" s="6">
        <f t="shared" si="15"/>
        <v>0</v>
      </c>
    </row>
    <row r="35" spans="1:26" s="24" customFormat="1" hidden="1" outlineLevel="2" x14ac:dyDescent="0.25">
      <c r="A35" s="26"/>
      <c r="B35" s="11" t="str">
        <f>CONCATENATE("          ", "6006", " - ", "TEMPORARY PART TIME")</f>
        <v xml:space="preserve">          6006 - TEMPORARY PART TIME</v>
      </c>
      <c r="C35" s="11"/>
      <c r="D35" s="7"/>
      <c r="E35" s="2"/>
      <c r="F35" s="6">
        <f t="shared" si="8"/>
        <v>0</v>
      </c>
      <c r="G35" s="2"/>
      <c r="H35" s="7">
        <v>0</v>
      </c>
      <c r="I35" s="2"/>
      <c r="J35" s="6">
        <f t="shared" si="9"/>
        <v>0</v>
      </c>
      <c r="K35" s="2"/>
      <c r="L35" s="7">
        <f t="shared" si="10"/>
        <v>0</v>
      </c>
      <c r="M35" s="2"/>
      <c r="N35" s="6">
        <f t="shared" si="11"/>
        <v>0</v>
      </c>
      <c r="O35" s="11"/>
      <c r="P35" s="7"/>
      <c r="Q35" s="2"/>
      <c r="R35" s="6">
        <f t="shared" si="12"/>
        <v>0</v>
      </c>
      <c r="S35" s="2"/>
      <c r="T35" s="7">
        <v>0</v>
      </c>
      <c r="U35" s="2"/>
      <c r="V35" s="6">
        <f t="shared" si="13"/>
        <v>0</v>
      </c>
      <c r="W35" s="2"/>
      <c r="X35" s="7">
        <f t="shared" si="14"/>
        <v>0</v>
      </c>
      <c r="Y35" s="2"/>
      <c r="Z35" s="6">
        <f t="shared" si="15"/>
        <v>0</v>
      </c>
    </row>
    <row r="36" spans="1:26" s="24" customFormat="1" hidden="1" outlineLevel="2" x14ac:dyDescent="0.25">
      <c r="A36" s="26"/>
      <c r="B36" s="11" t="str">
        <f>CONCATENATE("          ", "6007", " - ", "STUDENT HOURLY")</f>
        <v xml:space="preserve">          6007 - STUDENT HOURLY</v>
      </c>
      <c r="C36" s="11"/>
      <c r="D36" s="7"/>
      <c r="E36" s="2"/>
      <c r="F36" s="6">
        <f t="shared" si="8"/>
        <v>0</v>
      </c>
      <c r="G36" s="2"/>
      <c r="H36" s="7">
        <v>0</v>
      </c>
      <c r="I36" s="2"/>
      <c r="J36" s="6">
        <f t="shared" si="9"/>
        <v>0</v>
      </c>
      <c r="K36" s="2"/>
      <c r="L36" s="7">
        <f t="shared" si="10"/>
        <v>0</v>
      </c>
      <c r="M36" s="2"/>
      <c r="N36" s="6">
        <f t="shared" si="11"/>
        <v>0</v>
      </c>
      <c r="O36" s="11"/>
      <c r="P36" s="7"/>
      <c r="Q36" s="2"/>
      <c r="R36" s="6">
        <f t="shared" si="12"/>
        <v>0</v>
      </c>
      <c r="S36" s="2"/>
      <c r="T36" s="7">
        <v>0</v>
      </c>
      <c r="U36" s="2"/>
      <c r="V36" s="6">
        <f t="shared" si="13"/>
        <v>0</v>
      </c>
      <c r="W36" s="2"/>
      <c r="X36" s="7">
        <f t="shared" si="14"/>
        <v>0</v>
      </c>
      <c r="Y36" s="2"/>
      <c r="Z36" s="6">
        <f t="shared" si="15"/>
        <v>0</v>
      </c>
    </row>
    <row r="37" spans="1:26" s="24" customFormat="1" hidden="1" outlineLevel="2" x14ac:dyDescent="0.25">
      <c r="A37" s="26"/>
      <c r="B37" s="11" t="str">
        <f>CONCATENATE("          ", "6008", " - ", "STUDENT HOURLY-FICA EXEMPT")</f>
        <v xml:space="preserve">          6008 - STUDENT HOURLY-FICA EXEMPT</v>
      </c>
      <c r="C37" s="11"/>
      <c r="D37" s="7"/>
      <c r="E37" s="2"/>
      <c r="F37" s="6">
        <f t="shared" si="8"/>
        <v>0</v>
      </c>
      <c r="G37" s="2"/>
      <c r="H37" s="7">
        <v>0</v>
      </c>
      <c r="I37" s="2"/>
      <c r="J37" s="6">
        <f t="shared" si="9"/>
        <v>0</v>
      </c>
      <c r="K37" s="2"/>
      <c r="L37" s="7">
        <f t="shared" si="10"/>
        <v>0</v>
      </c>
      <c r="M37" s="2"/>
      <c r="N37" s="6">
        <f t="shared" si="11"/>
        <v>0</v>
      </c>
      <c r="O37" s="11"/>
      <c r="P37" s="7"/>
      <c r="Q37" s="2"/>
      <c r="R37" s="6">
        <f t="shared" si="12"/>
        <v>0</v>
      </c>
      <c r="S37" s="2"/>
      <c r="T37" s="7">
        <v>0</v>
      </c>
      <c r="U37" s="2"/>
      <c r="V37" s="6">
        <f t="shared" si="13"/>
        <v>0</v>
      </c>
      <c r="W37" s="2"/>
      <c r="X37" s="7">
        <f t="shared" si="14"/>
        <v>0</v>
      </c>
      <c r="Y37" s="2"/>
      <c r="Z37" s="6">
        <f t="shared" si="15"/>
        <v>0</v>
      </c>
    </row>
    <row r="38" spans="1:26" s="24" customFormat="1" hidden="1" outlineLevel="2" x14ac:dyDescent="0.25">
      <c r="A38" s="26"/>
      <c r="B38" s="11" t="str">
        <f>CONCATENATE("          ", "6009", " - ", "TEMPORARY-SEASONAL")</f>
        <v xml:space="preserve">          6009 - TEMPORARY-SEASONAL</v>
      </c>
      <c r="C38" s="11"/>
      <c r="D38" s="7"/>
      <c r="E38" s="2"/>
      <c r="F38" s="6">
        <f t="shared" si="8"/>
        <v>0</v>
      </c>
      <c r="G38" s="2"/>
      <c r="H38" s="7">
        <v>0</v>
      </c>
      <c r="I38" s="2"/>
      <c r="J38" s="6">
        <f t="shared" si="9"/>
        <v>0</v>
      </c>
      <c r="K38" s="2"/>
      <c r="L38" s="7">
        <f t="shared" si="10"/>
        <v>0</v>
      </c>
      <c r="M38" s="2"/>
      <c r="N38" s="6">
        <f t="shared" si="11"/>
        <v>0</v>
      </c>
      <c r="O38" s="11"/>
      <c r="P38" s="7"/>
      <c r="Q38" s="2"/>
      <c r="R38" s="6">
        <f t="shared" si="12"/>
        <v>0</v>
      </c>
      <c r="S38" s="2"/>
      <c r="T38" s="7">
        <v>0</v>
      </c>
      <c r="U38" s="2"/>
      <c r="V38" s="6">
        <f t="shared" si="13"/>
        <v>0</v>
      </c>
      <c r="W38" s="2"/>
      <c r="X38" s="7">
        <f t="shared" si="14"/>
        <v>0</v>
      </c>
      <c r="Y38" s="2"/>
      <c r="Z38" s="6">
        <f t="shared" si="15"/>
        <v>0</v>
      </c>
    </row>
    <row r="39" spans="1:26" s="24" customFormat="1" hidden="1" outlineLevel="2" x14ac:dyDescent="0.25">
      <c r="A39" s="26"/>
      <c r="B39" s="11" t="str">
        <f>CONCATENATE("          ", "6010", " - ", "GRATUITY")</f>
        <v xml:space="preserve">          6010 - GRATUITY</v>
      </c>
      <c r="C39" s="11"/>
      <c r="D39" s="7"/>
      <c r="E39" s="2"/>
      <c r="F39" s="6">
        <f t="shared" si="8"/>
        <v>0</v>
      </c>
      <c r="G39" s="2"/>
      <c r="H39" s="7">
        <v>0</v>
      </c>
      <c r="I39" s="2"/>
      <c r="J39" s="6">
        <f t="shared" si="9"/>
        <v>0</v>
      </c>
      <c r="K39" s="2"/>
      <c r="L39" s="7">
        <f t="shared" si="10"/>
        <v>0</v>
      </c>
      <c r="M39" s="2"/>
      <c r="N39" s="6">
        <f t="shared" si="11"/>
        <v>0</v>
      </c>
      <c r="O39" s="11"/>
      <c r="P39" s="7"/>
      <c r="Q39" s="2"/>
      <c r="R39" s="6">
        <f t="shared" si="12"/>
        <v>0</v>
      </c>
      <c r="S39" s="2"/>
      <c r="T39" s="7">
        <v>0</v>
      </c>
      <c r="U39" s="2"/>
      <c r="V39" s="6">
        <f t="shared" si="13"/>
        <v>0</v>
      </c>
      <c r="W39" s="2"/>
      <c r="X39" s="7">
        <f t="shared" si="14"/>
        <v>0</v>
      </c>
      <c r="Y39" s="2"/>
      <c r="Z39" s="6">
        <f t="shared" si="15"/>
        <v>0</v>
      </c>
    </row>
    <row r="40" spans="1:26" s="27" customFormat="1" outlineLevel="1" collapsed="1" x14ac:dyDescent="0.25">
      <c r="A40" s="25"/>
      <c r="B40" s="12" t="str">
        <f>CONCATENATE("     ","General                                           ")</f>
        <v xml:space="preserve">     General                                           </v>
      </c>
      <c r="C40" s="12"/>
      <c r="D40" s="1">
        <f>SUM(OSRRefD22_2x_0)</f>
        <v>0</v>
      </c>
      <c r="E40" s="1"/>
      <c r="F40" s="5">
        <f t="shared" ref="F40:F49" si="16">IF(D$12=0,0,D40/D$12)</f>
        <v>0</v>
      </c>
      <c r="G40" s="1"/>
      <c r="H40" s="1">
        <f>SUM(OSRRefH22_2x_0)</f>
        <v>-500</v>
      </c>
      <c r="I40" s="1"/>
      <c r="J40" s="5">
        <f t="shared" ref="J40:J49" si="17">IF(H$12=0,0,H40/H$12)</f>
        <v>0</v>
      </c>
      <c r="K40" s="1"/>
      <c r="L40" s="1">
        <f t="shared" ref="L40:L49" si="18">+D40-H40</f>
        <v>500</v>
      </c>
      <c r="M40" s="1"/>
      <c r="N40" s="5">
        <f t="shared" ref="N40:N49" si="19">IF(H40=0,0,L40/H40)</f>
        <v>-1</v>
      </c>
      <c r="O40" s="12"/>
      <c r="P40" s="1">
        <f>SUM(OSRRefP22_2x_0)</f>
        <v>-908.94</v>
      </c>
      <c r="Q40" s="1"/>
      <c r="R40" s="5">
        <f t="shared" ref="R40:R49" si="20">IF(P$12=0,0,P40/P$12)</f>
        <v>0</v>
      </c>
      <c r="S40" s="1"/>
      <c r="T40" s="1">
        <f>SUM(OSRRefT22_2x_0)</f>
        <v>-5500</v>
      </c>
      <c r="U40" s="1"/>
      <c r="V40" s="5">
        <f t="shared" ref="V40:V49" si="21">IF(T$12=0,0,T40/T$12)</f>
        <v>0</v>
      </c>
      <c r="W40" s="1"/>
      <c r="X40" s="1">
        <f t="shared" ref="X40:X49" si="22">+P40-T40</f>
        <v>4591.0599999999995</v>
      </c>
      <c r="Y40" s="1"/>
      <c r="Z40" s="5">
        <f t="shared" ref="Z40:Z49" si="23">IF(T40=0,0,X40/T40)</f>
        <v>-0.83473818181818171</v>
      </c>
    </row>
    <row r="41" spans="1:26" s="24" customFormat="1" hidden="1" outlineLevel="2" x14ac:dyDescent="0.25">
      <c r="A41" s="26"/>
      <c r="B41" s="11" t="str">
        <f>CONCATENATE("          ", "6279", " - ", "GENERAL EXPENSE")</f>
        <v xml:space="preserve">          6279 - GENERAL EXPENSE</v>
      </c>
      <c r="C41" s="11"/>
      <c r="D41" s="7"/>
      <c r="E41" s="2"/>
      <c r="F41" s="6">
        <f t="shared" si="16"/>
        <v>0</v>
      </c>
      <c r="G41" s="2"/>
      <c r="H41" s="7">
        <v>-500</v>
      </c>
      <c r="I41" s="2"/>
      <c r="J41" s="6">
        <f t="shared" si="17"/>
        <v>0</v>
      </c>
      <c r="K41" s="2"/>
      <c r="L41" s="7">
        <f t="shared" si="18"/>
        <v>500</v>
      </c>
      <c r="M41" s="2"/>
      <c r="N41" s="6">
        <f t="shared" si="19"/>
        <v>-1</v>
      </c>
      <c r="O41" s="11"/>
      <c r="P41" s="7">
        <v>-908.94</v>
      </c>
      <c r="Q41" s="2"/>
      <c r="R41" s="6">
        <f t="shared" si="20"/>
        <v>0</v>
      </c>
      <c r="S41" s="2"/>
      <c r="T41" s="7">
        <v>-5500</v>
      </c>
      <c r="U41" s="2"/>
      <c r="V41" s="6">
        <f t="shared" si="21"/>
        <v>0</v>
      </c>
      <c r="W41" s="2"/>
      <c r="X41" s="7">
        <f t="shared" si="22"/>
        <v>4591.0599999999995</v>
      </c>
      <c r="Y41" s="2"/>
      <c r="Z41" s="6">
        <f t="shared" si="23"/>
        <v>-0.83473818181818171</v>
      </c>
    </row>
    <row r="42" spans="1:26" s="27" customFormat="1" outlineLevel="1" collapsed="1" x14ac:dyDescent="0.25">
      <c r="A42" s="25"/>
      <c r="B42" s="12" t="str">
        <f>CONCATENATE("     ","Insurance                                         ")</f>
        <v xml:space="preserve">     Insurance                                         </v>
      </c>
      <c r="C42" s="12"/>
      <c r="D42" s="1">
        <f>SUM(OSRRefD22_3x_0)</f>
        <v>24.56</v>
      </c>
      <c r="E42" s="1"/>
      <c r="F42" s="5">
        <f t="shared" si="16"/>
        <v>0</v>
      </c>
      <c r="G42" s="1"/>
      <c r="H42" s="1">
        <f>SUM(OSRRefH22_3x_0)</f>
        <v>25</v>
      </c>
      <c r="I42" s="1"/>
      <c r="J42" s="5">
        <f t="shared" si="17"/>
        <v>0</v>
      </c>
      <c r="K42" s="1"/>
      <c r="L42" s="1">
        <f t="shared" si="18"/>
        <v>-0.44000000000000128</v>
      </c>
      <c r="M42" s="1"/>
      <c r="N42" s="5">
        <f t="shared" si="19"/>
        <v>-1.760000000000005E-2</v>
      </c>
      <c r="O42" s="12"/>
      <c r="P42" s="1">
        <f>SUM(OSRRefP22_3x_0)</f>
        <v>270.16000000000003</v>
      </c>
      <c r="Q42" s="1"/>
      <c r="R42" s="5">
        <f t="shared" si="20"/>
        <v>0</v>
      </c>
      <c r="S42" s="1"/>
      <c r="T42" s="1">
        <f>SUM(OSRRefT22_3x_0)</f>
        <v>275</v>
      </c>
      <c r="U42" s="1"/>
      <c r="V42" s="5">
        <f t="shared" si="21"/>
        <v>0</v>
      </c>
      <c r="W42" s="1"/>
      <c r="X42" s="1">
        <f t="shared" si="22"/>
        <v>-4.839999999999975</v>
      </c>
      <c r="Y42" s="1"/>
      <c r="Z42" s="5">
        <f t="shared" si="23"/>
        <v>-1.7599999999999907E-2</v>
      </c>
    </row>
    <row r="43" spans="1:26" s="24" customFormat="1" hidden="1" outlineLevel="2" x14ac:dyDescent="0.25">
      <c r="A43" s="26"/>
      <c r="B43" s="11" t="str">
        <f>CONCATENATE("          ", "6314", " - ", "LIABILITY INSURANCE")</f>
        <v xml:space="preserve">          6314 - LIABILITY INSURANCE</v>
      </c>
      <c r="C43" s="11"/>
      <c r="D43" s="7">
        <v>24.56</v>
      </c>
      <c r="E43" s="2"/>
      <c r="F43" s="6">
        <f t="shared" si="16"/>
        <v>0</v>
      </c>
      <c r="G43" s="2"/>
      <c r="H43" s="7">
        <v>25</v>
      </c>
      <c r="I43" s="2"/>
      <c r="J43" s="6">
        <f t="shared" si="17"/>
        <v>0</v>
      </c>
      <c r="K43" s="2"/>
      <c r="L43" s="7">
        <f t="shared" si="18"/>
        <v>-0.44000000000000128</v>
      </c>
      <c r="M43" s="2"/>
      <c r="N43" s="6">
        <f t="shared" si="19"/>
        <v>-1.760000000000005E-2</v>
      </c>
      <c r="O43" s="11"/>
      <c r="P43" s="7">
        <v>270.16000000000003</v>
      </c>
      <c r="Q43" s="2"/>
      <c r="R43" s="6">
        <f t="shared" si="20"/>
        <v>0</v>
      </c>
      <c r="S43" s="2"/>
      <c r="T43" s="7">
        <v>275</v>
      </c>
      <c r="U43" s="2"/>
      <c r="V43" s="6">
        <f t="shared" si="21"/>
        <v>0</v>
      </c>
      <c r="W43" s="2"/>
      <c r="X43" s="7">
        <f t="shared" si="22"/>
        <v>-4.839999999999975</v>
      </c>
      <c r="Y43" s="2"/>
      <c r="Z43" s="6">
        <f t="shared" si="23"/>
        <v>-1.7599999999999907E-2</v>
      </c>
    </row>
    <row r="44" spans="1:26" s="27" customFormat="1" outlineLevel="1" collapsed="1" x14ac:dyDescent="0.25">
      <c r="A44" s="25"/>
      <c r="B44" s="12" t="str">
        <f>CONCATENATE("     ","Professional Services                             ")</f>
        <v xml:space="preserve">     Professional Services                             </v>
      </c>
      <c r="C44" s="12"/>
      <c r="D44" s="1">
        <f>SUM(OSRRefD22_4x_0)</f>
        <v>0</v>
      </c>
      <c r="E44" s="1"/>
      <c r="F44" s="5">
        <f t="shared" si="16"/>
        <v>0</v>
      </c>
      <c r="G44" s="1"/>
      <c r="H44" s="1">
        <f>SUM(OSRRefH22_4x_0)</f>
        <v>0</v>
      </c>
      <c r="I44" s="1"/>
      <c r="J44" s="5">
        <f t="shared" si="17"/>
        <v>0</v>
      </c>
      <c r="K44" s="1"/>
      <c r="L44" s="1">
        <f t="shared" si="18"/>
        <v>0</v>
      </c>
      <c r="M44" s="1"/>
      <c r="N44" s="5">
        <f t="shared" si="19"/>
        <v>0</v>
      </c>
      <c r="O44" s="12"/>
      <c r="P44" s="1">
        <f>SUM(OSRRefP22_4x_0)</f>
        <v>0</v>
      </c>
      <c r="Q44" s="1"/>
      <c r="R44" s="5">
        <f t="shared" si="20"/>
        <v>0</v>
      </c>
      <c r="S44" s="1"/>
      <c r="T44" s="1">
        <f>SUM(OSRRefT22_4x_0)</f>
        <v>4500</v>
      </c>
      <c r="U44" s="1"/>
      <c r="V44" s="5">
        <f t="shared" si="21"/>
        <v>0</v>
      </c>
      <c r="W44" s="1"/>
      <c r="X44" s="1">
        <f t="shared" si="22"/>
        <v>-4500</v>
      </c>
      <c r="Y44" s="1"/>
      <c r="Z44" s="5">
        <f t="shared" si="23"/>
        <v>-1</v>
      </c>
    </row>
    <row r="45" spans="1:26" s="24" customFormat="1" hidden="1" outlineLevel="2" x14ac:dyDescent="0.25">
      <c r="A45" s="26"/>
      <c r="B45" s="11" t="str">
        <f>CONCATENATE("          ", "6336", " - ", "PROFESSIONAL SERVICES")</f>
        <v xml:space="preserve">          6336 - PROFESSIONAL SERVICES</v>
      </c>
      <c r="C45" s="11"/>
      <c r="D45" s="7"/>
      <c r="E45" s="2"/>
      <c r="F45" s="6">
        <f t="shared" si="16"/>
        <v>0</v>
      </c>
      <c r="G45" s="2"/>
      <c r="H45" s="7"/>
      <c r="I45" s="2"/>
      <c r="J45" s="6">
        <f t="shared" si="17"/>
        <v>0</v>
      </c>
      <c r="K45" s="2"/>
      <c r="L45" s="7">
        <f t="shared" si="18"/>
        <v>0</v>
      </c>
      <c r="M45" s="2"/>
      <c r="N45" s="6">
        <f t="shared" si="19"/>
        <v>0</v>
      </c>
      <c r="O45" s="11"/>
      <c r="P45" s="7"/>
      <c r="Q45" s="2"/>
      <c r="R45" s="6">
        <f t="shared" si="20"/>
        <v>0</v>
      </c>
      <c r="S45" s="2"/>
      <c r="T45" s="7">
        <v>4500</v>
      </c>
      <c r="U45" s="2"/>
      <c r="V45" s="6">
        <f t="shared" si="21"/>
        <v>0</v>
      </c>
      <c r="W45" s="2"/>
      <c r="X45" s="7">
        <f t="shared" si="22"/>
        <v>-4500</v>
      </c>
      <c r="Y45" s="2"/>
      <c r="Z45" s="6">
        <f t="shared" si="23"/>
        <v>-1</v>
      </c>
    </row>
    <row r="46" spans="1:26" s="27" customFormat="1" outlineLevel="1" collapsed="1" x14ac:dyDescent="0.25">
      <c r="A46" s="25"/>
      <c r="B46" s="12" t="str">
        <f>CONCATENATE("     ","Repair and Maintenance                            ")</f>
        <v xml:space="preserve">     Repair and Maintenance                            </v>
      </c>
      <c r="C46" s="12"/>
      <c r="D46" s="1">
        <f>SUM(OSRRefD22_5x_0)</f>
        <v>866</v>
      </c>
      <c r="E46" s="1"/>
      <c r="F46" s="5">
        <f t="shared" si="16"/>
        <v>0</v>
      </c>
      <c r="G46" s="1"/>
      <c r="H46" s="1">
        <f>SUM(OSRRefH22_5x_0)</f>
        <v>1500</v>
      </c>
      <c r="I46" s="1"/>
      <c r="J46" s="5">
        <f t="shared" si="17"/>
        <v>0</v>
      </c>
      <c r="K46" s="1"/>
      <c r="L46" s="1">
        <f t="shared" si="18"/>
        <v>-634</v>
      </c>
      <c r="M46" s="1"/>
      <c r="N46" s="5">
        <f t="shared" si="19"/>
        <v>-0.42266666666666669</v>
      </c>
      <c r="O46" s="12"/>
      <c r="P46" s="1">
        <f>SUM(OSRRefP22_5x_0)</f>
        <v>21028.82</v>
      </c>
      <c r="Q46" s="1"/>
      <c r="R46" s="5">
        <f t="shared" si="20"/>
        <v>0</v>
      </c>
      <c r="S46" s="1"/>
      <c r="T46" s="1">
        <f>SUM(OSRRefT22_5x_0)</f>
        <v>16500</v>
      </c>
      <c r="U46" s="1"/>
      <c r="V46" s="5">
        <f t="shared" si="21"/>
        <v>0</v>
      </c>
      <c r="W46" s="1"/>
      <c r="X46" s="1">
        <f t="shared" si="22"/>
        <v>4528.82</v>
      </c>
      <c r="Y46" s="1"/>
      <c r="Z46" s="5">
        <f t="shared" si="23"/>
        <v>0.27447393939393938</v>
      </c>
    </row>
    <row r="47" spans="1:26" s="24" customFormat="1" hidden="1" outlineLevel="2" x14ac:dyDescent="0.25">
      <c r="A47" s="26"/>
      <c r="B47" s="11" t="str">
        <f>CONCATENATE("          ", "6371", " - ", "COMPUTER SOFTWARE MAINTENANCE")</f>
        <v xml:space="preserve">          6371 - COMPUTER SOFTWARE MAINTENANCE</v>
      </c>
      <c r="C47" s="11"/>
      <c r="D47" s="7"/>
      <c r="E47" s="2"/>
      <c r="F47" s="6">
        <f t="shared" si="16"/>
        <v>0</v>
      </c>
      <c r="G47" s="2"/>
      <c r="H47" s="7"/>
      <c r="I47" s="2"/>
      <c r="J47" s="6">
        <f t="shared" si="17"/>
        <v>0</v>
      </c>
      <c r="K47" s="2"/>
      <c r="L47" s="7">
        <f t="shared" si="18"/>
        <v>0</v>
      </c>
      <c r="M47" s="2"/>
      <c r="N47" s="6">
        <f t="shared" si="19"/>
        <v>0</v>
      </c>
      <c r="O47" s="11"/>
      <c r="P47" s="7">
        <v>4968.9799999999996</v>
      </c>
      <c r="Q47" s="2"/>
      <c r="R47" s="6">
        <f t="shared" si="20"/>
        <v>0</v>
      </c>
      <c r="S47" s="2"/>
      <c r="T47" s="7"/>
      <c r="U47" s="2"/>
      <c r="V47" s="6">
        <f t="shared" si="21"/>
        <v>0</v>
      </c>
      <c r="W47" s="2"/>
      <c r="X47" s="7">
        <f t="shared" si="22"/>
        <v>4968.9799999999996</v>
      </c>
      <c r="Y47" s="2"/>
      <c r="Z47" s="6">
        <f t="shared" si="23"/>
        <v>0</v>
      </c>
    </row>
    <row r="48" spans="1:26" s="24" customFormat="1" hidden="1" outlineLevel="2" x14ac:dyDescent="0.25">
      <c r="A48" s="26"/>
      <c r="B48" s="11" t="str">
        <f>CONCATENATE("          ", "6373", " - ", "MAINTENANCE CONTRACTS")</f>
        <v xml:space="preserve">          6373 - MAINTENANCE CONTRACTS</v>
      </c>
      <c r="C48" s="11"/>
      <c r="D48" s="7">
        <v>866</v>
      </c>
      <c r="E48" s="2"/>
      <c r="F48" s="6">
        <f t="shared" si="16"/>
        <v>0</v>
      </c>
      <c r="G48" s="2"/>
      <c r="H48" s="7">
        <v>1500</v>
      </c>
      <c r="I48" s="2"/>
      <c r="J48" s="6">
        <f t="shared" si="17"/>
        <v>0</v>
      </c>
      <c r="K48" s="2"/>
      <c r="L48" s="7">
        <f t="shared" si="18"/>
        <v>-634</v>
      </c>
      <c r="M48" s="2"/>
      <c r="N48" s="6">
        <f t="shared" si="19"/>
        <v>-0.42266666666666669</v>
      </c>
      <c r="O48" s="11"/>
      <c r="P48" s="7">
        <v>13653.91</v>
      </c>
      <c r="Q48" s="2"/>
      <c r="R48" s="6">
        <f t="shared" si="20"/>
        <v>0</v>
      </c>
      <c r="S48" s="2"/>
      <c r="T48" s="7">
        <v>16500</v>
      </c>
      <c r="U48" s="2"/>
      <c r="V48" s="6">
        <f t="shared" si="21"/>
        <v>0</v>
      </c>
      <c r="W48" s="2"/>
      <c r="X48" s="7">
        <f t="shared" si="22"/>
        <v>-2846.09</v>
      </c>
      <c r="Y48" s="2"/>
      <c r="Z48" s="6">
        <f t="shared" si="23"/>
        <v>-0.17249030303030305</v>
      </c>
    </row>
    <row r="49" spans="1:26" s="24" customFormat="1" hidden="1" outlineLevel="2" x14ac:dyDescent="0.25">
      <c r="A49" s="26"/>
      <c r="B49" s="11" t="str">
        <f>CONCATENATE("          ", "6375", " - ", "OUTSIDE REPAIRS &amp; MAINTENANCE")</f>
        <v xml:space="preserve">          6375 - OUTSIDE REPAIRS &amp; MAINTENANCE</v>
      </c>
      <c r="C49" s="11"/>
      <c r="D49" s="7"/>
      <c r="E49" s="2"/>
      <c r="F49" s="6">
        <f t="shared" si="16"/>
        <v>0</v>
      </c>
      <c r="G49" s="2"/>
      <c r="H49" s="7"/>
      <c r="I49" s="2"/>
      <c r="J49" s="6">
        <f t="shared" si="17"/>
        <v>0</v>
      </c>
      <c r="K49" s="2"/>
      <c r="L49" s="7">
        <f t="shared" si="18"/>
        <v>0</v>
      </c>
      <c r="M49" s="2"/>
      <c r="N49" s="6">
        <f t="shared" si="19"/>
        <v>0</v>
      </c>
      <c r="O49" s="11"/>
      <c r="P49" s="7">
        <v>2405.9299999999998</v>
      </c>
      <c r="Q49" s="2"/>
      <c r="R49" s="6">
        <f t="shared" si="20"/>
        <v>0</v>
      </c>
      <c r="S49" s="2"/>
      <c r="T49" s="7"/>
      <c r="U49" s="2"/>
      <c r="V49" s="6">
        <f t="shared" si="21"/>
        <v>0</v>
      </c>
      <c r="W49" s="2"/>
      <c r="X49" s="7">
        <f t="shared" si="22"/>
        <v>2405.9299999999998</v>
      </c>
      <c r="Y49" s="2"/>
      <c r="Z49" s="6">
        <f t="shared" si="23"/>
        <v>0</v>
      </c>
    </row>
    <row r="50" spans="1:26" s="27" customFormat="1" outlineLevel="1" collapsed="1" x14ac:dyDescent="0.25">
      <c r="A50" s="25"/>
      <c r="B50" s="12" t="str">
        <f>CONCATENATE("     ","Services                                          ")</f>
        <v xml:space="preserve">     Services                                          </v>
      </c>
      <c r="C50" s="12"/>
      <c r="D50" s="1">
        <f>SUM(OSRRefD22_6x_0)</f>
        <v>0</v>
      </c>
      <c r="E50" s="1"/>
      <c r="F50" s="5">
        <f t="shared" ref="F50:F54" si="24">IF(D$12=0,0,D50/D$12)</f>
        <v>0</v>
      </c>
      <c r="G50" s="1"/>
      <c r="H50" s="1">
        <f>SUM(OSRRefH22_6x_0)</f>
        <v>10</v>
      </c>
      <c r="I50" s="1"/>
      <c r="J50" s="5">
        <f t="shared" ref="J50:J54" si="25">IF(H$12=0,0,H50/H$12)</f>
        <v>0</v>
      </c>
      <c r="K50" s="1"/>
      <c r="L50" s="1">
        <f t="shared" ref="L50:L54" si="26">+D50-H50</f>
        <v>-10</v>
      </c>
      <c r="M50" s="1"/>
      <c r="N50" s="5">
        <f t="shared" ref="N50:N54" si="27">IF(H50=0,0,L50/H50)</f>
        <v>-1</v>
      </c>
      <c r="O50" s="12"/>
      <c r="P50" s="1">
        <f>SUM(OSRRefP22_6x_0)</f>
        <v>83.98</v>
      </c>
      <c r="Q50" s="1"/>
      <c r="R50" s="5">
        <f t="shared" ref="R50:R54" si="28">IF(P$12=0,0,P50/P$12)</f>
        <v>0</v>
      </c>
      <c r="S50" s="1"/>
      <c r="T50" s="1">
        <f>SUM(OSRRefT22_6x_0)</f>
        <v>110</v>
      </c>
      <c r="U50" s="1"/>
      <c r="V50" s="5">
        <f t="shared" ref="V50:V54" si="29">IF(T$12=0,0,T50/T$12)</f>
        <v>0</v>
      </c>
      <c r="W50" s="1"/>
      <c r="X50" s="1">
        <f t="shared" ref="X50:X54" si="30">+P50-T50</f>
        <v>-26.019999999999996</v>
      </c>
      <c r="Y50" s="1"/>
      <c r="Z50" s="5">
        <f t="shared" ref="Z50:Z54" si="31">IF(T50=0,0,X50/T50)</f>
        <v>-0.2365454545454545</v>
      </c>
    </row>
    <row r="51" spans="1:26" s="24" customFormat="1" hidden="1" outlineLevel="2" x14ac:dyDescent="0.25">
      <c r="A51" s="26"/>
      <c r="B51" s="11" t="str">
        <f>CONCATENATE("          ", "6286", " - ", "LAUNDRY EXPENSE")</f>
        <v xml:space="preserve">          6286 - LAUNDRY EXPENSE</v>
      </c>
      <c r="C51" s="11"/>
      <c r="D51" s="7"/>
      <c r="E51" s="2"/>
      <c r="F51" s="6">
        <f t="shared" si="24"/>
        <v>0</v>
      </c>
      <c r="G51" s="2"/>
      <c r="H51" s="7">
        <v>10</v>
      </c>
      <c r="I51" s="2"/>
      <c r="J51" s="6">
        <f t="shared" si="25"/>
        <v>0</v>
      </c>
      <c r="K51" s="2"/>
      <c r="L51" s="7">
        <f t="shared" si="26"/>
        <v>-10</v>
      </c>
      <c r="M51" s="2"/>
      <c r="N51" s="6">
        <f t="shared" si="27"/>
        <v>-1</v>
      </c>
      <c r="O51" s="11"/>
      <c r="P51" s="7">
        <v>83.98</v>
      </c>
      <c r="Q51" s="2"/>
      <c r="R51" s="6">
        <f t="shared" si="28"/>
        <v>0</v>
      </c>
      <c r="S51" s="2"/>
      <c r="T51" s="7">
        <v>110</v>
      </c>
      <c r="U51" s="2"/>
      <c r="V51" s="6">
        <f t="shared" si="29"/>
        <v>0</v>
      </c>
      <c r="W51" s="2"/>
      <c r="X51" s="7">
        <f t="shared" si="30"/>
        <v>-26.019999999999996</v>
      </c>
      <c r="Y51" s="2"/>
      <c r="Z51" s="6">
        <f t="shared" si="31"/>
        <v>-0.2365454545454545</v>
      </c>
    </row>
    <row r="52" spans="1:26" s="27" customFormat="1" outlineLevel="1" collapsed="1" x14ac:dyDescent="0.25">
      <c r="A52" s="25"/>
      <c r="B52" s="12" t="str">
        <f>CONCATENATE("     ","Supplies                                          ")</f>
        <v xml:space="preserve">     Supplies                                          </v>
      </c>
      <c r="C52" s="12"/>
      <c r="D52" s="1">
        <f>SUM(OSRRefD22_7x_0)</f>
        <v>0</v>
      </c>
      <c r="E52" s="1"/>
      <c r="F52" s="5">
        <f t="shared" si="24"/>
        <v>0</v>
      </c>
      <c r="G52" s="1"/>
      <c r="H52" s="1">
        <f>SUM(OSRRefH22_7x_0)</f>
        <v>10</v>
      </c>
      <c r="I52" s="1"/>
      <c r="J52" s="5">
        <f t="shared" si="25"/>
        <v>0</v>
      </c>
      <c r="K52" s="1"/>
      <c r="L52" s="1">
        <f t="shared" si="26"/>
        <v>-10</v>
      </c>
      <c r="M52" s="1"/>
      <c r="N52" s="5">
        <f t="shared" si="27"/>
        <v>-1</v>
      </c>
      <c r="O52" s="12"/>
      <c r="P52" s="1">
        <f>SUM(OSRRefP22_7x_0)</f>
        <v>1123.9000000000001</v>
      </c>
      <c r="Q52" s="1"/>
      <c r="R52" s="5">
        <f t="shared" si="28"/>
        <v>0</v>
      </c>
      <c r="S52" s="1"/>
      <c r="T52" s="1">
        <f>SUM(OSRRefT22_7x_0)</f>
        <v>910</v>
      </c>
      <c r="U52" s="1"/>
      <c r="V52" s="5">
        <f t="shared" si="29"/>
        <v>0</v>
      </c>
      <c r="W52" s="1"/>
      <c r="X52" s="1">
        <f t="shared" si="30"/>
        <v>213.90000000000009</v>
      </c>
      <c r="Y52" s="1"/>
      <c r="Z52" s="5">
        <f t="shared" si="31"/>
        <v>0.23505494505494515</v>
      </c>
    </row>
    <row r="53" spans="1:26" s="24" customFormat="1" hidden="1" outlineLevel="2" x14ac:dyDescent="0.25">
      <c r="A53" s="26"/>
      <c r="B53" s="11" t="str">
        <f>CONCATENATE("          ", "6234", " - ", "EXPENDABLE SUPPLIES &amp; EQUIPMEN")</f>
        <v xml:space="preserve">          6234 - EXPENDABLE SUPPLIES &amp; EQUIPMEN</v>
      </c>
      <c r="C53" s="11"/>
      <c r="D53" s="7"/>
      <c r="E53" s="2"/>
      <c r="F53" s="6">
        <f t="shared" si="24"/>
        <v>0</v>
      </c>
      <c r="G53" s="2"/>
      <c r="H53" s="7">
        <v>0</v>
      </c>
      <c r="I53" s="2"/>
      <c r="J53" s="6">
        <f t="shared" si="25"/>
        <v>0</v>
      </c>
      <c r="K53" s="2"/>
      <c r="L53" s="7">
        <f t="shared" si="26"/>
        <v>0</v>
      </c>
      <c r="M53" s="2"/>
      <c r="N53" s="6">
        <f t="shared" si="27"/>
        <v>0</v>
      </c>
      <c r="O53" s="11"/>
      <c r="P53" s="7">
        <v>1006.59</v>
      </c>
      <c r="Q53" s="2"/>
      <c r="R53" s="6">
        <f t="shared" si="28"/>
        <v>0</v>
      </c>
      <c r="S53" s="2"/>
      <c r="T53" s="7">
        <v>800</v>
      </c>
      <c r="U53" s="2"/>
      <c r="V53" s="6">
        <f t="shared" si="29"/>
        <v>0</v>
      </c>
      <c r="W53" s="2"/>
      <c r="X53" s="7">
        <f t="shared" si="30"/>
        <v>206.59000000000003</v>
      </c>
      <c r="Y53" s="2"/>
      <c r="Z53" s="6">
        <f t="shared" si="31"/>
        <v>0.25823750000000006</v>
      </c>
    </row>
    <row r="54" spans="1:26" s="24" customFormat="1" hidden="1" outlineLevel="2" x14ac:dyDescent="0.25">
      <c r="A54" s="26"/>
      <c r="B54" s="11" t="str">
        <f>CONCATENATE("          ", "6241", " - ", "OFFICE EXPENSE")</f>
        <v xml:space="preserve">          6241 - OFFICE EXPENSE</v>
      </c>
      <c r="C54" s="11"/>
      <c r="D54" s="7"/>
      <c r="E54" s="2"/>
      <c r="F54" s="6">
        <f t="shared" si="24"/>
        <v>0</v>
      </c>
      <c r="G54" s="2"/>
      <c r="H54" s="7">
        <v>10</v>
      </c>
      <c r="I54" s="2"/>
      <c r="J54" s="6">
        <f t="shared" si="25"/>
        <v>0</v>
      </c>
      <c r="K54" s="2"/>
      <c r="L54" s="7">
        <f t="shared" si="26"/>
        <v>-10</v>
      </c>
      <c r="M54" s="2"/>
      <c r="N54" s="6">
        <f t="shared" si="27"/>
        <v>-1</v>
      </c>
      <c r="O54" s="11"/>
      <c r="P54" s="7">
        <v>117.31</v>
      </c>
      <c r="Q54" s="2"/>
      <c r="R54" s="6">
        <f t="shared" si="28"/>
        <v>0</v>
      </c>
      <c r="S54" s="2"/>
      <c r="T54" s="7">
        <v>110</v>
      </c>
      <c r="U54" s="2"/>
      <c r="V54" s="6">
        <f t="shared" si="29"/>
        <v>0</v>
      </c>
      <c r="W54" s="2"/>
      <c r="X54" s="7">
        <f t="shared" si="30"/>
        <v>7.3100000000000023</v>
      </c>
      <c r="Y54" s="2"/>
      <c r="Z54" s="6">
        <f t="shared" si="31"/>
        <v>6.6454545454545474E-2</v>
      </c>
    </row>
    <row r="55" spans="1:26" s="27" customFormat="1" outlineLevel="1" collapsed="1" x14ac:dyDescent="0.25">
      <c r="A55" s="25"/>
      <c r="B55" s="12" t="str">
        <f>CONCATENATE("     ","Telephone/Data Lines                              ")</f>
        <v xml:space="preserve">     Telephone/Data Lines                              </v>
      </c>
      <c r="C55" s="12"/>
      <c r="D55" s="1">
        <f>SUM(OSRRefD22_8x_0)</f>
        <v>-77</v>
      </c>
      <c r="E55" s="1"/>
      <c r="F55" s="5">
        <f t="shared" ref="F55:F58" si="32">IF(D$12=0,0,D55/D$12)</f>
        <v>0</v>
      </c>
      <c r="G55" s="1"/>
      <c r="H55" s="1">
        <f>SUM(OSRRefH22_8x_0)</f>
        <v>15</v>
      </c>
      <c r="I55" s="1"/>
      <c r="J55" s="5">
        <f t="shared" ref="J55:J58" si="33">IF(H$12=0,0,H55/H$12)</f>
        <v>0</v>
      </c>
      <c r="K55" s="1"/>
      <c r="L55" s="1">
        <f t="shared" ref="L55:L58" si="34">+D55-H55</f>
        <v>-92</v>
      </c>
      <c r="M55" s="1"/>
      <c r="N55" s="5">
        <f t="shared" ref="N55:N58" si="35">IF(H55=0,0,L55/H55)</f>
        <v>-6.1333333333333337</v>
      </c>
      <c r="O55" s="12"/>
      <c r="P55" s="1">
        <f>SUM(OSRRefP22_8x_0)</f>
        <v>755.2</v>
      </c>
      <c r="Q55" s="1"/>
      <c r="R55" s="5">
        <f t="shared" ref="R55:R58" si="36">IF(P$12=0,0,P55/P$12)</f>
        <v>0</v>
      </c>
      <c r="S55" s="1"/>
      <c r="T55" s="1">
        <f>SUM(OSRRefT22_8x_0)</f>
        <v>765</v>
      </c>
      <c r="U55" s="1"/>
      <c r="V55" s="5">
        <f t="shared" ref="V55:V58" si="37">IF(T$12=0,0,T55/T$12)</f>
        <v>0</v>
      </c>
      <c r="W55" s="1"/>
      <c r="X55" s="1">
        <f t="shared" ref="X55:X58" si="38">+P55-T55</f>
        <v>-9.7999999999999545</v>
      </c>
      <c r="Y55" s="1"/>
      <c r="Z55" s="5">
        <f t="shared" ref="Z55:Z58" si="39">IF(T55=0,0,X55/T55)</f>
        <v>-1.281045751633981E-2</v>
      </c>
    </row>
    <row r="56" spans="1:26" s="24" customFormat="1" hidden="1" outlineLevel="2" x14ac:dyDescent="0.25">
      <c r="A56" s="26"/>
      <c r="B56" s="11" t="str">
        <f>CONCATENATE("          ", "6309", " - ", "TELEPHONE")</f>
        <v xml:space="preserve">          6309 - TELEPHONE</v>
      </c>
      <c r="C56" s="11"/>
      <c r="D56" s="7">
        <v>-77</v>
      </c>
      <c r="E56" s="2"/>
      <c r="F56" s="6">
        <f t="shared" si="32"/>
        <v>0</v>
      </c>
      <c r="G56" s="2"/>
      <c r="H56" s="7">
        <v>15</v>
      </c>
      <c r="I56" s="2"/>
      <c r="J56" s="6">
        <f t="shared" si="33"/>
        <v>0</v>
      </c>
      <c r="K56" s="2"/>
      <c r="L56" s="7">
        <f t="shared" si="34"/>
        <v>-92</v>
      </c>
      <c r="M56" s="2"/>
      <c r="N56" s="6">
        <f t="shared" si="35"/>
        <v>-6.1333333333333337</v>
      </c>
      <c r="O56" s="11"/>
      <c r="P56" s="7">
        <v>755.2</v>
      </c>
      <c r="Q56" s="2"/>
      <c r="R56" s="6">
        <f t="shared" si="36"/>
        <v>0</v>
      </c>
      <c r="S56" s="2"/>
      <c r="T56" s="7">
        <v>765</v>
      </c>
      <c r="U56" s="2"/>
      <c r="V56" s="6">
        <f t="shared" si="37"/>
        <v>0</v>
      </c>
      <c r="W56" s="2"/>
      <c r="X56" s="7">
        <f t="shared" si="38"/>
        <v>-9.7999999999999545</v>
      </c>
      <c r="Y56" s="2"/>
      <c r="Z56" s="6">
        <f t="shared" si="39"/>
        <v>-1.281045751633981E-2</v>
      </c>
    </row>
    <row r="57" spans="1:26" s="27" customFormat="1" outlineLevel="1" collapsed="1" x14ac:dyDescent="0.25">
      <c r="A57" s="25"/>
      <c r="B57" s="12" t="str">
        <f>CONCATENATE("     ","Travel                                            ")</f>
        <v xml:space="preserve">     Travel                                            </v>
      </c>
      <c r="C57" s="12"/>
      <c r="D57" s="1">
        <f>SUM(OSRRefD22_9x_0)</f>
        <v>0</v>
      </c>
      <c r="E57" s="1"/>
      <c r="F57" s="5">
        <f t="shared" si="32"/>
        <v>0</v>
      </c>
      <c r="G57" s="1"/>
      <c r="H57" s="1">
        <f>SUM(OSRRefH22_9x_0)</f>
        <v>0</v>
      </c>
      <c r="I57" s="1"/>
      <c r="J57" s="5">
        <f t="shared" si="33"/>
        <v>0</v>
      </c>
      <c r="K57" s="1"/>
      <c r="L57" s="1">
        <f t="shared" si="34"/>
        <v>0</v>
      </c>
      <c r="M57" s="1"/>
      <c r="N57" s="5">
        <f t="shared" si="35"/>
        <v>0</v>
      </c>
      <c r="O57" s="12"/>
      <c r="P57" s="1">
        <f>SUM(OSRRefP22_9x_0)</f>
        <v>256.86</v>
      </c>
      <c r="Q57" s="1"/>
      <c r="R57" s="5">
        <f t="shared" si="36"/>
        <v>0</v>
      </c>
      <c r="S57" s="1"/>
      <c r="T57" s="1">
        <f>SUM(OSRRefT22_9x_0)</f>
        <v>0</v>
      </c>
      <c r="U57" s="1"/>
      <c r="V57" s="5">
        <f t="shared" si="37"/>
        <v>0</v>
      </c>
      <c r="W57" s="1"/>
      <c r="X57" s="1">
        <f t="shared" si="38"/>
        <v>256.86</v>
      </c>
      <c r="Y57" s="1"/>
      <c r="Z57" s="5">
        <f t="shared" si="39"/>
        <v>0</v>
      </c>
    </row>
    <row r="58" spans="1:26" s="24" customFormat="1" hidden="1" outlineLevel="2" x14ac:dyDescent="0.25">
      <c r="A58" s="26"/>
      <c r="B58" s="11" t="str">
        <f>CONCATENATE("          ", "6292", " - ", "TRAVEL/CONFERENCE")</f>
        <v xml:space="preserve">          6292 - TRAVEL/CONFERENCE</v>
      </c>
      <c r="C58" s="11"/>
      <c r="D58" s="7"/>
      <c r="E58" s="2"/>
      <c r="F58" s="6">
        <f t="shared" si="32"/>
        <v>0</v>
      </c>
      <c r="G58" s="2"/>
      <c r="H58" s="7"/>
      <c r="I58" s="2"/>
      <c r="J58" s="6">
        <f t="shared" si="33"/>
        <v>0</v>
      </c>
      <c r="K58" s="2"/>
      <c r="L58" s="7">
        <f t="shared" si="34"/>
        <v>0</v>
      </c>
      <c r="M58" s="2"/>
      <c r="N58" s="6">
        <f t="shared" si="35"/>
        <v>0</v>
      </c>
      <c r="O58" s="11"/>
      <c r="P58" s="7">
        <v>256.86</v>
      </c>
      <c r="Q58" s="2"/>
      <c r="R58" s="6">
        <f t="shared" si="36"/>
        <v>0</v>
      </c>
      <c r="S58" s="2"/>
      <c r="T58" s="7"/>
      <c r="U58" s="2"/>
      <c r="V58" s="6">
        <f t="shared" si="37"/>
        <v>0</v>
      </c>
      <c r="W58" s="2"/>
      <c r="X58" s="7">
        <f t="shared" si="38"/>
        <v>256.86</v>
      </c>
      <c r="Y58" s="2"/>
      <c r="Z58" s="6">
        <f t="shared" si="39"/>
        <v>0</v>
      </c>
    </row>
    <row r="59" spans="1:26" s="62" customFormat="1" x14ac:dyDescent="0.25">
      <c r="A59" s="36"/>
      <c r="B59" s="36"/>
      <c r="C59" s="36"/>
      <c r="D59" s="1"/>
      <c r="E59" s="1"/>
      <c r="F59" s="5"/>
      <c r="G59" s="1"/>
      <c r="H59" s="1"/>
      <c r="I59" s="1"/>
      <c r="J59" s="5"/>
      <c r="K59" s="1"/>
      <c r="L59" s="1"/>
      <c r="M59" s="1"/>
      <c r="N59" s="5"/>
      <c r="O59" s="36"/>
      <c r="P59" s="1"/>
      <c r="Q59" s="1"/>
      <c r="R59" s="5"/>
      <c r="S59" s="1"/>
      <c r="T59" s="1"/>
      <c r="U59" s="1"/>
      <c r="V59" s="5"/>
      <c r="W59" s="1"/>
      <c r="X59" s="1"/>
      <c r="Y59" s="1"/>
      <c r="Z59" s="5"/>
    </row>
    <row r="60" spans="1:26" s="23" customFormat="1" x14ac:dyDescent="0.25">
      <c r="A60" s="10"/>
      <c r="B60" s="28" t="s">
        <v>0</v>
      </c>
      <c r="C60" s="10"/>
      <c r="D60" s="4">
        <f>SUM(0)</f>
        <v>0</v>
      </c>
      <c r="E60" s="4"/>
      <c r="F60" s="13">
        <f>IF(D$12=0,0,D60/D$12)</f>
        <v>0</v>
      </c>
      <c r="G60" s="4"/>
      <c r="H60" s="4">
        <f>SUM(0)</f>
        <v>0</v>
      </c>
      <c r="I60" s="4"/>
      <c r="J60" s="13">
        <f>IF(H$12=0,0,H60/H$12)</f>
        <v>0</v>
      </c>
      <c r="K60" s="4"/>
      <c r="L60" s="4">
        <f>+D60-H60</f>
        <v>0</v>
      </c>
      <c r="M60" s="4"/>
      <c r="N60" s="13">
        <f>IF(H60=0,0,L60/H60)</f>
        <v>0</v>
      </c>
      <c r="O60" s="10"/>
      <c r="P60" s="4">
        <f>SUM(0)</f>
        <v>0</v>
      </c>
      <c r="Q60" s="4"/>
      <c r="R60" s="13">
        <f>IF(P$12=0,0,P60/P$12)</f>
        <v>0</v>
      </c>
      <c r="S60" s="4"/>
      <c r="T60" s="4">
        <f>SUM(0)</f>
        <v>0</v>
      </c>
      <c r="U60" s="4"/>
      <c r="V60" s="13">
        <f>IF(T$12=0,0,T60/T$12)</f>
        <v>0</v>
      </c>
      <c r="W60" s="4"/>
      <c r="X60" s="4">
        <f>+P60-T60</f>
        <v>0</v>
      </c>
      <c r="Y60" s="4"/>
      <c r="Z60" s="13">
        <f>IF(T60=0,0,X60/T60)</f>
        <v>0</v>
      </c>
    </row>
    <row r="61" spans="1:26" x14ac:dyDescent="0.25">
      <c r="A61" s="9"/>
      <c r="B61" s="10"/>
      <c r="C61" s="10"/>
      <c r="D61" s="3"/>
      <c r="E61" s="3"/>
      <c r="F61" s="8"/>
      <c r="G61" s="3"/>
      <c r="H61" s="3"/>
      <c r="I61" s="3"/>
      <c r="J61" s="8"/>
      <c r="K61" s="3"/>
      <c r="L61" s="3"/>
      <c r="M61" s="3"/>
      <c r="N61" s="8"/>
      <c r="O61" s="10"/>
      <c r="P61" s="3"/>
      <c r="Q61" s="3"/>
      <c r="R61" s="8"/>
      <c r="S61" s="3"/>
      <c r="T61" s="3"/>
      <c r="U61" s="3"/>
      <c r="V61" s="8"/>
      <c r="W61" s="3"/>
      <c r="X61" s="3"/>
      <c r="Y61" s="3"/>
      <c r="Z61" s="8"/>
    </row>
    <row r="62" spans="1:26" s="23" customFormat="1" x14ac:dyDescent="0.25">
      <c r="A62" s="10"/>
      <c r="B62" s="29" t="s">
        <v>3</v>
      </c>
      <c r="C62" s="29"/>
      <c r="D62" s="20">
        <f>+D16-D18+D60</f>
        <v>-3332.2499999999995</v>
      </c>
      <c r="E62" s="14"/>
      <c r="F62" s="22">
        <f>IF(D$12=0,0,D62/D$12)</f>
        <v>0</v>
      </c>
      <c r="G62" s="14"/>
      <c r="H62" s="20">
        <f>+H16-H18+H60</f>
        <v>-7260.5090453384582</v>
      </c>
      <c r="I62" s="14"/>
      <c r="J62" s="22">
        <f>IF(H$12=0,0,H62/H$12)</f>
        <v>0</v>
      </c>
      <c r="K62" s="16"/>
      <c r="L62" s="20">
        <f>+D62-H62</f>
        <v>3928.2590453384587</v>
      </c>
      <c r="M62" s="16"/>
      <c r="N62" s="22">
        <f>IF(H62=0,0,L62/H62)</f>
        <v>-0.54104457701358566</v>
      </c>
      <c r="O62" s="28"/>
      <c r="P62" s="20">
        <f>+P16-P18+P60</f>
        <v>-84171.829999999973</v>
      </c>
      <c r="Q62" s="14"/>
      <c r="R62" s="22">
        <f>IF(P$12=0,0,P62/P$12)</f>
        <v>0</v>
      </c>
      <c r="S62" s="14"/>
      <c r="T62" s="20">
        <f>+T16-T18+T60</f>
        <v>-91153.108544061542</v>
      </c>
      <c r="U62" s="14"/>
      <c r="V62" s="22">
        <f>IF(T$12=0,0,T62/T$12)</f>
        <v>0</v>
      </c>
      <c r="W62" s="16"/>
      <c r="X62" s="20">
        <f>+P62-T62</f>
        <v>6981.2785440615698</v>
      </c>
      <c r="Y62" s="16"/>
      <c r="Z62" s="22">
        <f>IF(T62=0,0,X62/T62)</f>
        <v>-7.6588485632247669E-2</v>
      </c>
    </row>
    <row r="63" spans="1:26" x14ac:dyDescent="0.25">
      <c r="A63" s="9"/>
      <c r="B63" s="10"/>
      <c r="C63" s="9"/>
      <c r="D63" s="3"/>
      <c r="E63" s="3"/>
      <c r="F63" s="8"/>
      <c r="G63" s="3"/>
      <c r="H63" s="3"/>
      <c r="I63" s="3"/>
      <c r="J63" s="8"/>
      <c r="K63" s="3"/>
      <c r="L63" s="3"/>
      <c r="M63" s="3"/>
      <c r="N63" s="8"/>
      <c r="P63" s="3"/>
      <c r="Q63" s="3"/>
      <c r="R63" s="8"/>
      <c r="S63" s="3"/>
      <c r="T63" s="3"/>
      <c r="U63" s="3"/>
      <c r="V63" s="8"/>
      <c r="W63" s="3"/>
      <c r="X63" s="3"/>
      <c r="Y63" s="3"/>
      <c r="Z63" s="8"/>
    </row>
    <row r="64" spans="1:26" s="23" customFormat="1" x14ac:dyDescent="0.25">
      <c r="A64" s="52"/>
      <c r="B64" s="10" t="s">
        <v>14</v>
      </c>
      <c r="C64" s="10"/>
      <c r="D64" s="4"/>
      <c r="E64" s="4"/>
      <c r="F64" s="13">
        <f>IF(D$12=0,0,D64/D$12)</f>
        <v>0</v>
      </c>
      <c r="G64" s="4"/>
      <c r="H64" s="4"/>
      <c r="I64" s="4"/>
      <c r="J64" s="13">
        <f>IF(H$12=0,0,H64/H$12)</f>
        <v>0</v>
      </c>
      <c r="K64" s="4"/>
      <c r="L64" s="4">
        <f>+D64-H64</f>
        <v>0</v>
      </c>
      <c r="M64" s="4"/>
      <c r="N64" s="13">
        <f>IF(H64=0,0,L64/H64)</f>
        <v>0</v>
      </c>
      <c r="O64" s="10"/>
      <c r="P64" s="4"/>
      <c r="Q64" s="4"/>
      <c r="R64" s="13">
        <f>IF(P$12=0,0,P64/P$12)</f>
        <v>0</v>
      </c>
      <c r="S64" s="4"/>
      <c r="T64" s="4">
        <v>0</v>
      </c>
      <c r="U64" s="4"/>
      <c r="V64" s="13">
        <f>IF(T$12=0,0,T64/T$12)</f>
        <v>0</v>
      </c>
      <c r="W64" s="4"/>
      <c r="X64" s="4">
        <f>+P64-T64</f>
        <v>0</v>
      </c>
      <c r="Y64" s="4"/>
      <c r="Z64" s="13">
        <f>IF(T64=0,0,X64/T64)</f>
        <v>0</v>
      </c>
    </row>
    <row r="65" spans="1:26" x14ac:dyDescent="0.25">
      <c r="A65" s="9"/>
      <c r="B65" s="10"/>
      <c r="C65" s="10"/>
      <c r="D65" s="3"/>
      <c r="E65" s="3"/>
      <c r="F65" s="8"/>
      <c r="G65" s="3"/>
      <c r="H65" s="3"/>
      <c r="I65" s="3"/>
      <c r="J65" s="8"/>
      <c r="K65" s="3"/>
      <c r="L65" s="3"/>
      <c r="M65" s="3"/>
      <c r="N65" s="8"/>
      <c r="O65" s="10"/>
      <c r="P65" s="3"/>
      <c r="Q65" s="3"/>
      <c r="R65" s="8"/>
      <c r="S65" s="3"/>
      <c r="T65" s="3"/>
      <c r="U65" s="3"/>
      <c r="V65" s="8"/>
      <c r="W65" s="3"/>
      <c r="X65" s="3"/>
      <c r="Y65" s="3"/>
      <c r="Z65" s="8"/>
    </row>
    <row r="66" spans="1:26" s="23" customFormat="1" ht="15.75" thickBot="1" x14ac:dyDescent="0.3">
      <c r="A66" s="10"/>
      <c r="B66" s="29" t="s">
        <v>4</v>
      </c>
      <c r="C66" s="29"/>
      <c r="D66" s="35">
        <f>+D62-D64</f>
        <v>-3332.2499999999995</v>
      </c>
      <c r="E66" s="14"/>
      <c r="F66" s="32">
        <f>IF(D$12=0,0,D66/D$12)</f>
        <v>0</v>
      </c>
      <c r="G66" s="14"/>
      <c r="H66" s="35">
        <f>+H62-H64</f>
        <v>-7260.5090453384582</v>
      </c>
      <c r="I66" s="14"/>
      <c r="J66" s="32">
        <f>IF(H$12=0,0,H66/H$12)</f>
        <v>0</v>
      </c>
      <c r="K66" s="16"/>
      <c r="L66" s="35">
        <f>D66-H66</f>
        <v>3928.2590453384587</v>
      </c>
      <c r="M66" s="16"/>
      <c r="N66" s="32">
        <f>IF(H66=0,0,L66/H66)</f>
        <v>-0.54104457701358566</v>
      </c>
      <c r="O66" s="28"/>
      <c r="P66" s="35">
        <f>+P62-P64</f>
        <v>-84171.829999999973</v>
      </c>
      <c r="Q66" s="14"/>
      <c r="R66" s="32">
        <f>IF(P$12=0,0,P66/P$12)</f>
        <v>0</v>
      </c>
      <c r="S66" s="14"/>
      <c r="T66" s="35">
        <f>+T62-T64</f>
        <v>-91153.108544061542</v>
      </c>
      <c r="U66" s="14"/>
      <c r="V66" s="32">
        <f>IF(T$12=0,0,T66/T$12)</f>
        <v>0</v>
      </c>
      <c r="W66" s="16"/>
      <c r="X66" s="35">
        <f>P66-T66</f>
        <v>6981.2785440615698</v>
      </c>
      <c r="Y66" s="16"/>
      <c r="Z66" s="32">
        <f>IF(T66=0,0,X66/T66)</f>
        <v>-7.6588485632247669E-2</v>
      </c>
    </row>
    <row r="67" spans="1:26" ht="15.75" thickTop="1" x14ac:dyDescent="0.25">
      <c r="A67" s="9"/>
      <c r="B67" s="9"/>
      <c r="C67" s="9"/>
      <c r="D67" s="3"/>
      <c r="E67" s="3"/>
      <c r="F67" s="8"/>
      <c r="G67" s="3"/>
      <c r="H67" s="3"/>
      <c r="I67" s="3"/>
      <c r="J67" s="8"/>
      <c r="K67" s="3"/>
      <c r="L67" s="3"/>
      <c r="M67" s="3"/>
      <c r="N67" s="8"/>
      <c r="P67" s="3"/>
      <c r="Q67" s="3"/>
      <c r="R67" s="8"/>
      <c r="S67" s="3"/>
      <c r="T67" s="3"/>
      <c r="U67" s="3"/>
      <c r="V67" s="8"/>
      <c r="W67" s="3"/>
      <c r="X67" s="3"/>
      <c r="Y67" s="3"/>
      <c r="Z67" s="8"/>
    </row>
    <row r="68" spans="1:26" x14ac:dyDescent="0.25">
      <c r="A68" s="9"/>
      <c r="B68" s="9"/>
      <c r="C68" s="9"/>
      <c r="D68" s="3"/>
      <c r="E68" s="3"/>
      <c r="F68" s="8"/>
      <c r="G68" s="3"/>
      <c r="H68" s="3"/>
      <c r="I68" s="3"/>
      <c r="J68" s="8"/>
      <c r="K68" s="3"/>
      <c r="L68" s="3"/>
      <c r="M68" s="3"/>
      <c r="N68" s="8"/>
      <c r="P68" s="3"/>
      <c r="Q68" s="3"/>
      <c r="R68" s="8"/>
      <c r="S68" s="3"/>
      <c r="T68" s="3"/>
      <c r="U68" s="3"/>
      <c r="V68" s="8"/>
      <c r="W68" s="3"/>
      <c r="X68" s="3"/>
      <c r="Y68" s="3"/>
      <c r="Z68" s="8"/>
    </row>
    <row r="69" spans="1:26" s="23" customFormat="1" ht="15.75" thickBot="1" x14ac:dyDescent="0.3">
      <c r="A69" s="10"/>
      <c r="B69" s="29" t="s">
        <v>5</v>
      </c>
      <c r="C69" s="29"/>
      <c r="D69" s="34">
        <f>SUM(D66:D68)</f>
        <v>-3332.2499999999995</v>
      </c>
      <c r="E69" s="14"/>
      <c r="F69" s="31">
        <f>IF(D$12=0,0,D69/D$12)</f>
        <v>0</v>
      </c>
      <c r="G69" s="14"/>
      <c r="H69" s="34">
        <f>SUM(H66:H68)</f>
        <v>-7260.5090453384582</v>
      </c>
      <c r="I69" s="14"/>
      <c r="J69" s="31">
        <f>IF(H$12=0,0,H69/H$12)</f>
        <v>0</v>
      </c>
      <c r="K69" s="16"/>
      <c r="L69" s="34">
        <f>+D69-H69</f>
        <v>3928.2590453384587</v>
      </c>
      <c r="M69" s="16"/>
      <c r="N69" s="31">
        <f>IF(H69=0,0,L69/H69)</f>
        <v>-0.54104457701358566</v>
      </c>
      <c r="O69" s="28"/>
      <c r="P69" s="34">
        <f>SUM(P66:P68)</f>
        <v>-84171.829999999973</v>
      </c>
      <c r="Q69" s="14"/>
      <c r="R69" s="31">
        <f>IF(P$12=0,0,P69/P$12)</f>
        <v>0</v>
      </c>
      <c r="S69" s="14"/>
      <c r="T69" s="34">
        <f>SUM(T66:T68)</f>
        <v>-91153.108544061542</v>
      </c>
      <c r="U69" s="14"/>
      <c r="V69" s="31">
        <f>IF(T$12=0,0,T69/T$12)</f>
        <v>0</v>
      </c>
      <c r="W69" s="16"/>
      <c r="X69" s="34">
        <f>+P69-T69</f>
        <v>6981.2785440615698</v>
      </c>
      <c r="Y69" s="16"/>
      <c r="Z69" s="31">
        <f>IF(T69=0,0,X69/T69)</f>
        <v>-7.6588485632247669E-2</v>
      </c>
    </row>
    <row r="70" spans="1:26" ht="15.75" thickTop="1" x14ac:dyDescent="0.25">
      <c r="A70" s="9"/>
      <c r="C70" s="9"/>
      <c r="D70" s="18"/>
      <c r="E70" s="18"/>
      <c r="G70" s="18"/>
      <c r="H70" s="18"/>
      <c r="I70" s="18"/>
      <c r="J70" s="42"/>
      <c r="K70" s="18"/>
      <c r="L70" s="18"/>
      <c r="M70" s="18"/>
      <c r="P70" s="18"/>
      <c r="Q70" s="18"/>
      <c r="R70" s="42"/>
      <c r="S70" s="18"/>
      <c r="T70" s="18"/>
      <c r="U70" s="18"/>
      <c r="V70" s="42"/>
      <c r="W70" s="18"/>
      <c r="X70" s="18"/>
    </row>
    <row r="71" spans="1:26" x14ac:dyDescent="0.25">
      <c r="A71" s="9"/>
      <c r="B71" s="59">
        <v>43992.37139039352</v>
      </c>
      <c r="D71" s="18"/>
      <c r="E71" s="18"/>
      <c r="G71" s="18"/>
      <c r="H71" s="18"/>
      <c r="I71" s="18"/>
      <c r="J71" s="42"/>
      <c r="K71" s="18"/>
      <c r="L71" s="18"/>
      <c r="M71" s="18"/>
      <c r="P71" s="18"/>
      <c r="Q71" s="18"/>
      <c r="R71" s="42"/>
      <c r="S71" s="18"/>
      <c r="T71" s="18"/>
      <c r="U71" s="18"/>
      <c r="V71" s="42"/>
      <c r="W71" s="18"/>
      <c r="X71" s="18"/>
    </row>
    <row r="72" spans="1:26" x14ac:dyDescent="0.25">
      <c r="A72" s="9"/>
      <c r="B72" s="56" t="s">
        <v>314</v>
      </c>
      <c r="D72" s="18"/>
      <c r="E72" s="18"/>
      <c r="G72" s="18"/>
      <c r="H72" s="18"/>
      <c r="I72" s="18"/>
      <c r="J72" s="42"/>
      <c r="K72" s="18"/>
      <c r="L72" s="18"/>
      <c r="M72" s="18"/>
      <c r="P72" s="18"/>
      <c r="Q72" s="18"/>
      <c r="R72" s="42"/>
      <c r="S72" s="18"/>
      <c r="T72" s="18"/>
      <c r="U72" s="18"/>
      <c r="V72" s="42"/>
      <c r="W72" s="18"/>
      <c r="X72" s="18"/>
    </row>
    <row r="73" spans="1:26" x14ac:dyDescent="0.25">
      <c r="A73" s="9"/>
      <c r="B73" s="54"/>
      <c r="D73" s="18"/>
      <c r="E73" s="18"/>
      <c r="G73" s="18"/>
      <c r="H73" s="18"/>
      <c r="I73" s="18"/>
      <c r="J73" s="42"/>
      <c r="K73" s="18"/>
      <c r="L73" s="18"/>
      <c r="M73" s="18"/>
      <c r="P73" s="18"/>
      <c r="Q73" s="18"/>
      <c r="R73" s="42"/>
      <c r="S73" s="18"/>
      <c r="T73" s="18"/>
      <c r="U73" s="18"/>
      <c r="V73" s="42"/>
      <c r="W73" s="18"/>
      <c r="X73" s="18"/>
    </row>
    <row r="74" spans="1:26" x14ac:dyDescent="0.25">
      <c r="D74" s="18"/>
      <c r="E74" s="18"/>
      <c r="G74" s="18"/>
      <c r="H74" s="18"/>
      <c r="I74" s="18"/>
      <c r="J74" s="42"/>
      <c r="K74" s="18"/>
      <c r="L74" s="18"/>
      <c r="M74" s="18"/>
      <c r="P74" s="18"/>
      <c r="Q74" s="18"/>
      <c r="R74" s="42"/>
      <c r="S74" s="18"/>
      <c r="T74" s="18"/>
      <c r="U74" s="18"/>
      <c r="V74" s="42"/>
      <c r="W74" s="18"/>
      <c r="X74" s="18"/>
    </row>
  </sheetData>
  <pageMargins left="0.25" right="0.25" top="0.75" bottom="0.75" header="0.3" footer="0.3"/>
  <pageSetup scale="55" fitToWidth="2" orientation="landscape"/>
  <drawing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74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63" t="s">
        <v>13</v>
      </c>
    </row>
    <row r="3" spans="1:26" x14ac:dyDescent="0.25">
      <c r="D3" s="63" t="s">
        <v>296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61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63" t="str">
        <f>CONCATENATE("Period ",RIGHT(202011,2),", ",2020)</f>
        <v>Period 11, 2020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61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4">
        <v>43981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61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51"/>
      <c r="C6" s="51"/>
      <c r="D6" s="23" t="str">
        <f>CONCATENATE("Department ","206", " - ", "Graphics")</f>
        <v>Department 206 - Graphics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57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5" t="s">
        <v>294</v>
      </c>
      <c r="E9" s="15"/>
      <c r="F9" s="38"/>
      <c r="G9" s="15"/>
      <c r="H9" s="15"/>
      <c r="I9" s="15"/>
      <c r="J9" s="46"/>
      <c r="K9" s="15"/>
      <c r="L9" s="15"/>
      <c r="M9" s="15"/>
      <c r="N9" s="38"/>
      <c r="P9" s="15" t="s">
        <v>295</v>
      </c>
      <c r="Q9" s="15"/>
      <c r="R9" s="38"/>
      <c r="S9" s="15"/>
      <c r="T9" s="15"/>
      <c r="U9" s="15"/>
      <c r="V9" s="46"/>
      <c r="W9" s="15"/>
      <c r="X9" s="15"/>
      <c r="Y9" s="15"/>
      <c r="Z9" s="38"/>
    </row>
    <row r="10" spans="1:26" x14ac:dyDescent="0.25">
      <c r="A10" s="10"/>
      <c r="B10" s="55"/>
      <c r="C10" s="10"/>
      <c r="D10" s="43" t="s">
        <v>10</v>
      </c>
      <c r="E10" s="33"/>
      <c r="F10" s="40" t="s">
        <v>15</v>
      </c>
      <c r="G10" s="33"/>
      <c r="H10" s="47" t="s">
        <v>11</v>
      </c>
      <c r="I10" s="33"/>
      <c r="J10" s="45" t="s">
        <v>16</v>
      </c>
      <c r="K10" s="10"/>
      <c r="L10" s="43" t="s">
        <v>12</v>
      </c>
      <c r="M10" s="10"/>
      <c r="N10" s="40" t="s">
        <v>17</v>
      </c>
      <c r="O10" s="10"/>
      <c r="P10" s="53" t="s">
        <v>10</v>
      </c>
      <c r="Q10" s="33"/>
      <c r="R10" s="40" t="s">
        <v>15</v>
      </c>
      <c r="S10" s="33"/>
      <c r="T10" s="47" t="s">
        <v>11</v>
      </c>
      <c r="U10" s="33"/>
      <c r="V10" s="45" t="s">
        <v>16</v>
      </c>
      <c r="W10" s="10"/>
      <c r="X10" s="43" t="s">
        <v>12</v>
      </c>
      <c r="Y10" s="10"/>
      <c r="Z10" s="40" t="s">
        <v>17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x14ac:dyDescent="0.25">
      <c r="A12" s="10"/>
      <c r="B12" s="28" t="s">
        <v>7</v>
      </c>
      <c r="C12" s="10"/>
      <c r="D12" s="4">
        <f>SUM(0)</f>
        <v>0</v>
      </c>
      <c r="E12" s="4"/>
      <c r="F12" s="13"/>
      <c r="G12" s="4"/>
      <c r="H12" s="4">
        <f>SUM(0)</f>
        <v>0</v>
      </c>
      <c r="I12" s="4"/>
      <c r="J12" s="13"/>
      <c r="K12" s="4"/>
      <c r="L12" s="4">
        <f>+D12-H12</f>
        <v>0</v>
      </c>
      <c r="M12" s="4"/>
      <c r="N12" s="13">
        <f>IF(H12=0,0,L12/H12)</f>
        <v>0</v>
      </c>
      <c r="O12" s="10"/>
      <c r="P12" s="4">
        <f>SUM(0)</f>
        <v>0</v>
      </c>
      <c r="Q12" s="4"/>
      <c r="R12" s="13"/>
      <c r="S12" s="4"/>
      <c r="T12" s="4">
        <f>SUM(0)</f>
        <v>0</v>
      </c>
      <c r="U12" s="4"/>
      <c r="V12" s="13"/>
      <c r="W12" s="4"/>
      <c r="X12" s="4">
        <f>+P12-T12</f>
        <v>0</v>
      </c>
      <c r="Y12" s="4"/>
      <c r="Z12" s="13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8" t="s">
        <v>8</v>
      </c>
      <c r="C14" s="10"/>
      <c r="D14" s="4">
        <f>SUM(0)</f>
        <v>0</v>
      </c>
      <c r="E14" s="4"/>
      <c r="F14" s="13">
        <f>IF(D$12=0,0,D14/D$12)</f>
        <v>0</v>
      </c>
      <c r="G14" s="4"/>
      <c r="H14" s="4">
        <f>SUM(0)</f>
        <v>0</v>
      </c>
      <c r="I14" s="4"/>
      <c r="J14" s="13">
        <f>IF(H$12=0,0,H14/H$12)</f>
        <v>0</v>
      </c>
      <c r="K14" s="4"/>
      <c r="L14" s="4">
        <f>+D14-H14</f>
        <v>0</v>
      </c>
      <c r="M14" s="4"/>
      <c r="N14" s="13">
        <f>IF(H14=0,0,L14/H14)</f>
        <v>0</v>
      </c>
      <c r="O14" s="10"/>
      <c r="P14" s="4">
        <f>SUM(0)</f>
        <v>0</v>
      </c>
      <c r="Q14" s="4"/>
      <c r="R14" s="13">
        <f>IF(P$12=0,0,P14/P$12)</f>
        <v>0</v>
      </c>
      <c r="S14" s="4"/>
      <c r="T14" s="4">
        <f>SUM(0)</f>
        <v>0</v>
      </c>
      <c r="U14" s="4"/>
      <c r="V14" s="13">
        <f>IF(T$12=0,0,T14/T$12)</f>
        <v>0</v>
      </c>
      <c r="W14" s="4"/>
      <c r="X14" s="4">
        <f>+P14-T14</f>
        <v>0</v>
      </c>
      <c r="Y14" s="4"/>
      <c r="Z14" s="13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9" t="s">
        <v>6</v>
      </c>
      <c r="C16" s="29"/>
      <c r="D16" s="20">
        <f>D12-D14</f>
        <v>0</v>
      </c>
      <c r="E16" s="14"/>
      <c r="F16" s="22">
        <f>IF(D$12=0,0,D16/D$12)</f>
        <v>0</v>
      </c>
      <c r="G16" s="14"/>
      <c r="H16" s="20">
        <f>H12-H14</f>
        <v>0</v>
      </c>
      <c r="I16" s="14"/>
      <c r="J16" s="22">
        <f>IF(H$12=0,0,H16/H$12)</f>
        <v>0</v>
      </c>
      <c r="K16" s="16"/>
      <c r="L16" s="20">
        <f>+D16-H16</f>
        <v>0</v>
      </c>
      <c r="M16" s="16"/>
      <c r="N16" s="22">
        <f>IF(H16=0,0,L16/H16)</f>
        <v>0</v>
      </c>
      <c r="O16" s="28"/>
      <c r="P16" s="20">
        <f>P12-P14</f>
        <v>0</v>
      </c>
      <c r="Q16" s="14"/>
      <c r="R16" s="22">
        <f>IF(P$12=0,0,P16/P$12)</f>
        <v>0</v>
      </c>
      <c r="S16" s="14"/>
      <c r="T16" s="20">
        <f>T12-T14</f>
        <v>0</v>
      </c>
      <c r="U16" s="14"/>
      <c r="V16" s="22">
        <f>IF(T$12=0,0,T16/T$12)</f>
        <v>0</v>
      </c>
      <c r="W16" s="16"/>
      <c r="X16" s="20">
        <f>+P16-T16</f>
        <v>0</v>
      </c>
      <c r="Y16" s="16"/>
      <c r="Z16" s="22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8" t="s">
        <v>9</v>
      </c>
      <c r="C18" s="10"/>
      <c r="D18" s="21">
        <f>SUM(OSRRefD22x_0)</f>
        <v>8403.91</v>
      </c>
      <c r="E18" s="21"/>
      <c r="F18" s="30">
        <f t="shared" ref="F18:F28" si="0">IF(D$12=0,0,D18/D$12)</f>
        <v>0</v>
      </c>
      <c r="G18" s="21"/>
      <c r="H18" s="21">
        <f>SUM(OSRRefH22x_0)</f>
        <v>14746.581221016</v>
      </c>
      <c r="I18" s="21"/>
      <c r="J18" s="30">
        <f t="shared" ref="J18:J28" si="1">IF(H$12=0,0,H18/H$12)</f>
        <v>0</v>
      </c>
      <c r="K18" s="4"/>
      <c r="L18" s="21">
        <f t="shared" ref="L18:L28" si="2">+D18-H18</f>
        <v>-6342.6712210160003</v>
      </c>
      <c r="M18" s="4"/>
      <c r="N18" s="30">
        <f t="shared" ref="N18:N28" si="3">IF(H18=0,0,L18/H18)</f>
        <v>-0.43011130010098758</v>
      </c>
      <c r="O18" s="10"/>
      <c r="P18" s="21">
        <f>SUM(OSRRefP22x_0)</f>
        <v>98248.739999999991</v>
      </c>
      <c r="Q18" s="21"/>
      <c r="R18" s="30">
        <f t="shared" ref="R18:R28" si="4">IF(P$12=0,0,P18/P$12)</f>
        <v>0</v>
      </c>
      <c r="S18" s="21"/>
      <c r="T18" s="21">
        <f>SUM(OSRRefT22x_0)</f>
        <v>175033.931147442</v>
      </c>
      <c r="U18" s="21"/>
      <c r="V18" s="30">
        <f t="shared" ref="V18:V28" si="5">IF(T$12=0,0,T18/T$12)</f>
        <v>0</v>
      </c>
      <c r="W18" s="4"/>
      <c r="X18" s="21">
        <f t="shared" ref="X18:X28" si="6">+P18-T18</f>
        <v>-76785.191147442005</v>
      </c>
      <c r="Y18" s="4"/>
      <c r="Z18" s="30">
        <f t="shared" ref="Z18:Z28" si="7">IF(T18=0,0,X18/T18)</f>
        <v>-0.43868746273407438</v>
      </c>
    </row>
    <row r="19" spans="1:26" s="27" customFormat="1" outlineLevel="1" collapsed="1" x14ac:dyDescent="0.25">
      <c r="A19" s="25"/>
      <c r="B19" s="12" t="str">
        <f>CONCATENATE("     ","*Benefits                                         ")</f>
        <v xml:space="preserve">     *Benefits                                         </v>
      </c>
      <c r="C19" s="12"/>
      <c r="D19" s="1">
        <f>SUM(OSRRefD22_0x_0)</f>
        <v>1529.3700000000001</v>
      </c>
      <c r="E19" s="1"/>
      <c r="F19" s="5">
        <f t="shared" si="0"/>
        <v>0</v>
      </c>
      <c r="G19" s="1"/>
      <c r="H19" s="1">
        <f>SUM(OSRRefH22_0x_0)</f>
        <v>5700.6917410160004</v>
      </c>
      <c r="I19" s="1"/>
      <c r="J19" s="5">
        <f t="shared" si="1"/>
        <v>0</v>
      </c>
      <c r="K19" s="1"/>
      <c r="L19" s="1">
        <f t="shared" si="2"/>
        <v>-4171.3217410160005</v>
      </c>
      <c r="M19" s="1"/>
      <c r="N19" s="5">
        <f t="shared" si="3"/>
        <v>-0.73172203138150571</v>
      </c>
      <c r="O19" s="12"/>
      <c r="P19" s="1">
        <f>SUM(OSRRefP22_0x_0)</f>
        <v>19626.11</v>
      </c>
      <c r="Q19" s="1"/>
      <c r="R19" s="5">
        <f t="shared" si="4"/>
        <v>0</v>
      </c>
      <c r="S19" s="1"/>
      <c r="T19" s="1">
        <f>SUM(OSRRefT22_0x_0)</f>
        <v>65220.332387442002</v>
      </c>
      <c r="U19" s="1"/>
      <c r="V19" s="5">
        <f t="shared" si="5"/>
        <v>0</v>
      </c>
      <c r="W19" s="1"/>
      <c r="X19" s="1">
        <f t="shared" si="6"/>
        <v>-45594.222387442001</v>
      </c>
      <c r="Y19" s="1"/>
      <c r="Z19" s="5">
        <f t="shared" si="7"/>
        <v>-0.69907988380968522</v>
      </c>
    </row>
    <row r="20" spans="1:26" s="24" customFormat="1" hidden="1" outlineLevel="2" x14ac:dyDescent="0.25">
      <c r="A20" s="26"/>
      <c r="B20" s="11" t="str">
        <f>CONCATENATE("          ", "6111", " - ", "F.I.C.A.")</f>
        <v xml:space="preserve">          6111 - F.I.C.A.</v>
      </c>
      <c r="C20" s="11"/>
      <c r="D20" s="7">
        <v>369.23</v>
      </c>
      <c r="E20" s="2"/>
      <c r="F20" s="6">
        <f t="shared" si="0"/>
        <v>0</v>
      </c>
      <c r="G20" s="2"/>
      <c r="H20" s="7">
        <v>1236.1835186160001</v>
      </c>
      <c r="I20" s="2"/>
      <c r="J20" s="6">
        <f t="shared" si="1"/>
        <v>0</v>
      </c>
      <c r="K20" s="2"/>
      <c r="L20" s="7">
        <f t="shared" si="2"/>
        <v>-866.95351861600011</v>
      </c>
      <c r="M20" s="2"/>
      <c r="N20" s="6">
        <f t="shared" si="3"/>
        <v>-0.70131457470539604</v>
      </c>
      <c r="O20" s="11"/>
      <c r="P20" s="7">
        <v>5082.66</v>
      </c>
      <c r="Q20" s="2"/>
      <c r="R20" s="6">
        <f t="shared" si="4"/>
        <v>0</v>
      </c>
      <c r="S20" s="2"/>
      <c r="T20" s="7">
        <v>13804.064418642</v>
      </c>
      <c r="U20" s="2"/>
      <c r="V20" s="6">
        <f t="shared" si="5"/>
        <v>0</v>
      </c>
      <c r="W20" s="2"/>
      <c r="X20" s="7">
        <f t="shared" si="6"/>
        <v>-8721.4044186419997</v>
      </c>
      <c r="Y20" s="2"/>
      <c r="Z20" s="6">
        <f t="shared" si="7"/>
        <v>-0.63179974782383574</v>
      </c>
    </row>
    <row r="21" spans="1:26" s="24" customFormat="1" hidden="1" outlineLevel="2" x14ac:dyDescent="0.25">
      <c r="A21" s="26"/>
      <c r="B21" s="11" t="str">
        <f>CONCATENATE("          ", "6112", " - ", "COMPENSATION INSURANCE")</f>
        <v xml:space="preserve">          6112 - COMPENSATION INSURANCE</v>
      </c>
      <c r="C21" s="11"/>
      <c r="D21" s="7">
        <v>30.07</v>
      </c>
      <c r="E21" s="2"/>
      <c r="F21" s="6">
        <f t="shared" si="0"/>
        <v>0</v>
      </c>
      <c r="G21" s="2"/>
      <c r="H21" s="7">
        <v>54.919952479999999</v>
      </c>
      <c r="I21" s="2"/>
      <c r="J21" s="6">
        <f t="shared" si="1"/>
        <v>0</v>
      </c>
      <c r="K21" s="2"/>
      <c r="L21" s="7">
        <f t="shared" si="2"/>
        <v>-24.849952479999999</v>
      </c>
      <c r="M21" s="2"/>
      <c r="N21" s="6">
        <f t="shared" si="3"/>
        <v>-0.45247585545616625</v>
      </c>
      <c r="O21" s="11"/>
      <c r="P21" s="7">
        <v>275.24</v>
      </c>
      <c r="Q21" s="2"/>
      <c r="R21" s="6">
        <f t="shared" si="4"/>
        <v>0</v>
      </c>
      <c r="S21" s="2"/>
      <c r="T21" s="7">
        <v>641.96097476</v>
      </c>
      <c r="U21" s="2"/>
      <c r="V21" s="6">
        <f t="shared" si="5"/>
        <v>0</v>
      </c>
      <c r="W21" s="2"/>
      <c r="X21" s="7">
        <f t="shared" si="6"/>
        <v>-366.72097475999999</v>
      </c>
      <c r="Y21" s="2"/>
      <c r="Z21" s="6">
        <f t="shared" si="7"/>
        <v>-0.57125119622279263</v>
      </c>
    </row>
    <row r="22" spans="1:26" s="24" customFormat="1" hidden="1" outlineLevel="2" x14ac:dyDescent="0.25">
      <c r="A22" s="26"/>
      <c r="B22" s="11" t="str">
        <f>CONCATENATE("          ", "6113", " - ", "GROUP INSURANCE")</f>
        <v xml:space="preserve">          6113 - GROUP INSURANCE</v>
      </c>
      <c r="C22" s="11"/>
      <c r="D22" s="7">
        <v>700.87</v>
      </c>
      <c r="E22" s="2"/>
      <c r="F22" s="6">
        <f t="shared" si="0"/>
        <v>0</v>
      </c>
      <c r="G22" s="2"/>
      <c r="H22" s="7">
        <v>2589</v>
      </c>
      <c r="I22" s="2"/>
      <c r="J22" s="6">
        <f t="shared" si="1"/>
        <v>0</v>
      </c>
      <c r="K22" s="2"/>
      <c r="L22" s="7">
        <f t="shared" si="2"/>
        <v>-1888.13</v>
      </c>
      <c r="M22" s="2"/>
      <c r="N22" s="6">
        <f t="shared" si="3"/>
        <v>-0.72928930088837396</v>
      </c>
      <c r="O22" s="11"/>
      <c r="P22" s="7">
        <v>7709.81</v>
      </c>
      <c r="Q22" s="2"/>
      <c r="R22" s="6">
        <f t="shared" si="4"/>
        <v>0</v>
      </c>
      <c r="S22" s="2"/>
      <c r="T22" s="7">
        <v>29091</v>
      </c>
      <c r="U22" s="2"/>
      <c r="V22" s="6">
        <f t="shared" si="5"/>
        <v>0</v>
      </c>
      <c r="W22" s="2"/>
      <c r="X22" s="7">
        <f t="shared" si="6"/>
        <v>-21381.19</v>
      </c>
      <c r="Y22" s="2"/>
      <c r="Z22" s="6">
        <f t="shared" si="7"/>
        <v>-0.73497610944965797</v>
      </c>
    </row>
    <row r="23" spans="1:26" s="24" customFormat="1" hidden="1" outlineLevel="2" x14ac:dyDescent="0.25">
      <c r="A23" s="26"/>
      <c r="B23" s="11" t="str">
        <f>CONCATENATE("          ", "6114", " - ", "STATE UNEMPLOYMENT INSURANCE")</f>
        <v xml:space="preserve">          6114 - STATE UNEMPLOYMENT INSURANCE</v>
      </c>
      <c r="C23" s="11"/>
      <c r="D23" s="7">
        <v>23</v>
      </c>
      <c r="E23" s="2"/>
      <c r="F23" s="6">
        <f t="shared" si="0"/>
        <v>0</v>
      </c>
      <c r="G23" s="2"/>
      <c r="H23" s="7">
        <v>41.997610719999997</v>
      </c>
      <c r="I23" s="2"/>
      <c r="J23" s="6">
        <f t="shared" si="1"/>
        <v>0</v>
      </c>
      <c r="K23" s="2"/>
      <c r="L23" s="7">
        <f t="shared" si="2"/>
        <v>-18.997610719999997</v>
      </c>
      <c r="M23" s="2"/>
      <c r="N23" s="6">
        <f t="shared" si="3"/>
        <v>-0.45234979786488194</v>
      </c>
      <c r="O23" s="11"/>
      <c r="P23" s="7">
        <v>286.66000000000003</v>
      </c>
      <c r="Q23" s="2"/>
      <c r="R23" s="6">
        <f t="shared" si="4"/>
        <v>0</v>
      </c>
      <c r="S23" s="2"/>
      <c r="T23" s="7">
        <v>490.91133364000001</v>
      </c>
      <c r="U23" s="2"/>
      <c r="V23" s="6">
        <f t="shared" si="5"/>
        <v>0</v>
      </c>
      <c r="W23" s="2"/>
      <c r="X23" s="7">
        <f t="shared" si="6"/>
        <v>-204.25133363999998</v>
      </c>
      <c r="Y23" s="2"/>
      <c r="Z23" s="6">
        <f t="shared" si="7"/>
        <v>-0.41606563068226821</v>
      </c>
    </row>
    <row r="24" spans="1:26" s="24" customFormat="1" hidden="1" outlineLevel="2" x14ac:dyDescent="0.25">
      <c r="A24" s="26"/>
      <c r="B24" s="11" t="str">
        <f>CONCATENATE("          ", "6115", " - ", "P.E.R.S.")</f>
        <v xml:space="preserve">          6115 - P.E.R.S.</v>
      </c>
      <c r="C24" s="11"/>
      <c r="D24" s="7"/>
      <c r="E24" s="2"/>
      <c r="F24" s="6">
        <f t="shared" si="0"/>
        <v>0</v>
      </c>
      <c r="G24" s="2"/>
      <c r="H24" s="7">
        <v>599.79643920000001</v>
      </c>
      <c r="I24" s="2"/>
      <c r="J24" s="6">
        <f t="shared" si="1"/>
        <v>0</v>
      </c>
      <c r="K24" s="2"/>
      <c r="L24" s="7">
        <f t="shared" si="2"/>
        <v>-599.79643920000001</v>
      </c>
      <c r="M24" s="2"/>
      <c r="N24" s="6">
        <f t="shared" si="3"/>
        <v>-1</v>
      </c>
      <c r="O24" s="11"/>
      <c r="P24" s="7"/>
      <c r="Q24" s="2"/>
      <c r="R24" s="6">
        <f t="shared" si="4"/>
        <v>0</v>
      </c>
      <c r="S24" s="2"/>
      <c r="T24" s="7">
        <v>7197.5572703999997</v>
      </c>
      <c r="U24" s="2"/>
      <c r="V24" s="6">
        <f t="shared" si="5"/>
        <v>0</v>
      </c>
      <c r="W24" s="2"/>
      <c r="X24" s="7">
        <f t="shared" si="6"/>
        <v>-7197.5572703999997</v>
      </c>
      <c r="Y24" s="2"/>
      <c r="Z24" s="6">
        <f t="shared" si="7"/>
        <v>-1</v>
      </c>
    </row>
    <row r="25" spans="1:26" s="24" customFormat="1" hidden="1" outlineLevel="2" x14ac:dyDescent="0.25">
      <c r="A25" s="26"/>
      <c r="B25" s="11" t="str">
        <f>CONCATENATE("          ", "6116", " - ", "EDUCATIONAL BENEFITS")</f>
        <v xml:space="preserve">          6116 - EDUCATIONAL BENEFITS</v>
      </c>
      <c r="C25" s="11"/>
      <c r="D25" s="7"/>
      <c r="E25" s="2"/>
      <c r="F25" s="6">
        <f t="shared" si="0"/>
        <v>0</v>
      </c>
      <c r="G25" s="2"/>
      <c r="H25" s="7">
        <v>0</v>
      </c>
      <c r="I25" s="2"/>
      <c r="J25" s="6">
        <f t="shared" si="1"/>
        <v>0</v>
      </c>
      <c r="K25" s="2"/>
      <c r="L25" s="7">
        <f t="shared" si="2"/>
        <v>0</v>
      </c>
      <c r="M25" s="2"/>
      <c r="N25" s="6">
        <f t="shared" si="3"/>
        <v>0</v>
      </c>
      <c r="O25" s="11"/>
      <c r="P25" s="7"/>
      <c r="Q25" s="2"/>
      <c r="R25" s="6">
        <f t="shared" si="4"/>
        <v>0</v>
      </c>
      <c r="S25" s="2"/>
      <c r="T25" s="7">
        <v>0</v>
      </c>
      <c r="U25" s="2"/>
      <c r="V25" s="6">
        <f t="shared" si="5"/>
        <v>0</v>
      </c>
      <c r="W25" s="2"/>
      <c r="X25" s="7">
        <f t="shared" si="6"/>
        <v>0</v>
      </c>
      <c r="Y25" s="2"/>
      <c r="Z25" s="6">
        <f t="shared" si="7"/>
        <v>0</v>
      </c>
    </row>
    <row r="26" spans="1:26" s="24" customFormat="1" hidden="1" outlineLevel="2" x14ac:dyDescent="0.25">
      <c r="A26" s="26"/>
      <c r="B26" s="11" t="str">
        <f>CONCATENATE("          ", "6118", " - ", "VACATION")</f>
        <v xml:space="preserve">          6118 - VACATION</v>
      </c>
      <c r="C26" s="11"/>
      <c r="D26" s="7">
        <v>184.8</v>
      </c>
      <c r="E26" s="2"/>
      <c r="F26" s="6">
        <f t="shared" si="0"/>
        <v>0</v>
      </c>
      <c r="G26" s="2"/>
      <c r="H26" s="7">
        <v>554.71885999999995</v>
      </c>
      <c r="I26" s="2"/>
      <c r="J26" s="6">
        <f t="shared" si="1"/>
        <v>0</v>
      </c>
      <c r="K26" s="2"/>
      <c r="L26" s="7">
        <f t="shared" si="2"/>
        <v>-369.91885999999994</v>
      </c>
      <c r="M26" s="2"/>
      <c r="N26" s="6">
        <f t="shared" si="3"/>
        <v>-0.66685827123310715</v>
      </c>
      <c r="O26" s="11"/>
      <c r="P26" s="7">
        <v>2217.6</v>
      </c>
      <c r="Q26" s="2"/>
      <c r="R26" s="6">
        <f t="shared" si="4"/>
        <v>0</v>
      </c>
      <c r="S26" s="2"/>
      <c r="T26" s="7">
        <v>6656.6263200000003</v>
      </c>
      <c r="U26" s="2"/>
      <c r="V26" s="6">
        <f t="shared" si="5"/>
        <v>0</v>
      </c>
      <c r="W26" s="2"/>
      <c r="X26" s="7">
        <f t="shared" si="6"/>
        <v>-4439.0263200000009</v>
      </c>
      <c r="Y26" s="2"/>
      <c r="Z26" s="6">
        <f t="shared" si="7"/>
        <v>-0.66685827123310726</v>
      </c>
    </row>
    <row r="27" spans="1:26" s="24" customFormat="1" hidden="1" outlineLevel="2" x14ac:dyDescent="0.25">
      <c r="A27" s="26"/>
      <c r="B27" s="11" t="str">
        <f>CONCATENATE("          ", "6119", " - ", "SICK LEAVE")</f>
        <v xml:space="preserve">          6119 - SICK LEAVE</v>
      </c>
      <c r="C27" s="11"/>
      <c r="D27" s="7">
        <v>221.4</v>
      </c>
      <c r="E27" s="2"/>
      <c r="F27" s="6">
        <f t="shared" si="0"/>
        <v>0</v>
      </c>
      <c r="G27" s="2"/>
      <c r="H27" s="7">
        <v>624.07536000000005</v>
      </c>
      <c r="I27" s="2"/>
      <c r="J27" s="6">
        <f t="shared" si="1"/>
        <v>0</v>
      </c>
      <c r="K27" s="2"/>
      <c r="L27" s="7">
        <f t="shared" si="2"/>
        <v>-402.67536000000007</v>
      </c>
      <c r="M27" s="2"/>
      <c r="N27" s="6">
        <f t="shared" si="3"/>
        <v>-0.64523515237006002</v>
      </c>
      <c r="O27" s="11"/>
      <c r="P27" s="7">
        <v>2656.8</v>
      </c>
      <c r="Q27" s="2"/>
      <c r="R27" s="6">
        <f t="shared" si="4"/>
        <v>0</v>
      </c>
      <c r="S27" s="2"/>
      <c r="T27" s="7">
        <v>7338.2120700000005</v>
      </c>
      <c r="U27" s="2"/>
      <c r="V27" s="6">
        <f t="shared" si="5"/>
        <v>0</v>
      </c>
      <c r="W27" s="2"/>
      <c r="X27" s="7">
        <f t="shared" si="6"/>
        <v>-4681.4120700000003</v>
      </c>
      <c r="Y27" s="2"/>
      <c r="Z27" s="6">
        <f t="shared" si="7"/>
        <v>-0.63794995638494811</v>
      </c>
    </row>
    <row r="28" spans="1:26" s="24" customFormat="1" hidden="1" outlineLevel="2" x14ac:dyDescent="0.25">
      <c r="A28" s="26"/>
      <c r="B28" s="11" t="str">
        <f>CONCATENATE("          ", "6156", " - ", "EMPLOYEE MEALS")</f>
        <v xml:space="preserve">          6156 - EMPLOYEE MEALS</v>
      </c>
      <c r="C28" s="11"/>
      <c r="D28" s="7"/>
      <c r="E28" s="2"/>
      <c r="F28" s="6">
        <f t="shared" si="0"/>
        <v>0</v>
      </c>
      <c r="G28" s="2"/>
      <c r="H28" s="7"/>
      <c r="I28" s="2"/>
      <c r="J28" s="6">
        <f t="shared" si="1"/>
        <v>0</v>
      </c>
      <c r="K28" s="2"/>
      <c r="L28" s="7">
        <f t="shared" si="2"/>
        <v>0</v>
      </c>
      <c r="M28" s="2"/>
      <c r="N28" s="6">
        <f t="shared" si="3"/>
        <v>0</v>
      </c>
      <c r="O28" s="11"/>
      <c r="P28" s="7">
        <v>1397.34</v>
      </c>
      <c r="Q28" s="2"/>
      <c r="R28" s="6">
        <f t="shared" si="4"/>
        <v>0</v>
      </c>
      <c r="S28" s="2"/>
      <c r="T28" s="7"/>
      <c r="U28" s="2"/>
      <c r="V28" s="6">
        <f t="shared" si="5"/>
        <v>0</v>
      </c>
      <c r="W28" s="2"/>
      <c r="X28" s="7">
        <f t="shared" si="6"/>
        <v>1397.34</v>
      </c>
      <c r="Y28" s="2"/>
      <c r="Z28" s="6">
        <f t="shared" si="7"/>
        <v>0</v>
      </c>
    </row>
    <row r="29" spans="1:26" s="27" customFormat="1" outlineLevel="1" collapsed="1" x14ac:dyDescent="0.25">
      <c r="A29" s="25"/>
      <c r="B29" s="12" t="str">
        <f>CONCATENATE("     ","*Payroll                                          ")</f>
        <v xml:space="preserve">     *Payroll                                          </v>
      </c>
      <c r="C29" s="12"/>
      <c r="D29" s="1">
        <f>SUM(OSRRefD22_1x_0)</f>
        <v>6394.0599999999995</v>
      </c>
      <c r="E29" s="1"/>
      <c r="F29" s="5">
        <f t="shared" ref="F29:F39" si="8">IF(D$12=0,0,D29/D$12)</f>
        <v>0</v>
      </c>
      <c r="G29" s="1"/>
      <c r="H29" s="1">
        <f>SUM(OSRRefH22_1x_0)</f>
        <v>15331.889480000002</v>
      </c>
      <c r="I29" s="1"/>
      <c r="J29" s="5">
        <f t="shared" ref="J29:J39" si="9">IF(H$12=0,0,H29/H$12)</f>
        <v>0</v>
      </c>
      <c r="K29" s="1"/>
      <c r="L29" s="1">
        <f t="shared" ref="L29:L39" si="10">+D29-H29</f>
        <v>-8937.8294800000021</v>
      </c>
      <c r="M29" s="1"/>
      <c r="N29" s="5">
        <f t="shared" ref="N29:N39" si="11">IF(H29=0,0,L29/H29)</f>
        <v>-0.58295681635711882</v>
      </c>
      <c r="O29" s="12"/>
      <c r="P29" s="1">
        <f>SUM(OSRRefP22_1x_0)</f>
        <v>113094.31999999999</v>
      </c>
      <c r="Q29" s="1"/>
      <c r="R29" s="5">
        <f t="shared" ref="R29:R39" si="12">IF(P$12=0,0,P29/P$12)</f>
        <v>0</v>
      </c>
      <c r="S29" s="1"/>
      <c r="T29" s="1">
        <f>SUM(OSRRefT22_1x_0)</f>
        <v>178959.59875999999</v>
      </c>
      <c r="U29" s="1"/>
      <c r="V29" s="5">
        <f t="shared" ref="V29:V39" si="13">IF(T$12=0,0,T29/T$12)</f>
        <v>0</v>
      </c>
      <c r="W29" s="1"/>
      <c r="X29" s="1">
        <f t="shared" ref="X29:X39" si="14">+P29-T29</f>
        <v>-65865.278760000001</v>
      </c>
      <c r="Y29" s="1"/>
      <c r="Z29" s="5">
        <f t="shared" ref="Z29:Z39" si="15">IF(T29=0,0,X29/T29)</f>
        <v>-0.36804552098002258</v>
      </c>
    </row>
    <row r="30" spans="1:26" s="24" customFormat="1" hidden="1" outlineLevel="2" x14ac:dyDescent="0.25">
      <c r="A30" s="26"/>
      <c r="B30" s="11" t="str">
        <f>CONCATENATE("          ", "6001", " - ", "ADMINISTRATIVE SALARIES")</f>
        <v xml:space="preserve">          6001 - ADMINISTRATIVE SALARIES</v>
      </c>
      <c r="C30" s="11"/>
      <c r="D30" s="7"/>
      <c r="E30" s="2"/>
      <c r="F30" s="6">
        <f t="shared" si="8"/>
        <v>0</v>
      </c>
      <c r="G30" s="2"/>
      <c r="H30" s="7">
        <v>6276.93948</v>
      </c>
      <c r="I30" s="2"/>
      <c r="J30" s="6">
        <f t="shared" si="9"/>
        <v>0</v>
      </c>
      <c r="K30" s="2"/>
      <c r="L30" s="7">
        <f t="shared" si="10"/>
        <v>-6276.93948</v>
      </c>
      <c r="M30" s="2"/>
      <c r="N30" s="6">
        <f t="shared" si="11"/>
        <v>-1</v>
      </c>
      <c r="O30" s="11"/>
      <c r="P30" s="7"/>
      <c r="Q30" s="2"/>
      <c r="R30" s="6">
        <f t="shared" si="12"/>
        <v>0</v>
      </c>
      <c r="S30" s="2"/>
      <c r="T30" s="7">
        <v>75323.273759999996</v>
      </c>
      <c r="U30" s="2"/>
      <c r="V30" s="6">
        <f t="shared" si="13"/>
        <v>0</v>
      </c>
      <c r="W30" s="2"/>
      <c r="X30" s="7">
        <f t="shared" si="14"/>
        <v>-75323.273759999996</v>
      </c>
      <c r="Y30" s="2"/>
      <c r="Z30" s="6">
        <f t="shared" si="15"/>
        <v>-1</v>
      </c>
    </row>
    <row r="31" spans="1:26" s="24" customFormat="1" hidden="1" outlineLevel="2" x14ac:dyDescent="0.25">
      <c r="A31" s="26"/>
      <c r="B31" s="11" t="str">
        <f>CONCATENATE("          ", "6002", " - ", "STAFF SALARIES")</f>
        <v xml:space="preserve">          6002 - STAFF SALARIES</v>
      </c>
      <c r="C31" s="11"/>
      <c r="D31" s="7"/>
      <c r="E31" s="2"/>
      <c r="F31" s="6">
        <f t="shared" si="8"/>
        <v>0</v>
      </c>
      <c r="G31" s="2"/>
      <c r="H31" s="7">
        <v>0</v>
      </c>
      <c r="I31" s="2"/>
      <c r="J31" s="6">
        <f t="shared" si="9"/>
        <v>0</v>
      </c>
      <c r="K31" s="2"/>
      <c r="L31" s="7">
        <f t="shared" si="10"/>
        <v>0</v>
      </c>
      <c r="M31" s="2"/>
      <c r="N31" s="6">
        <f t="shared" si="11"/>
        <v>0</v>
      </c>
      <c r="O31" s="11"/>
      <c r="P31" s="7"/>
      <c r="Q31" s="2"/>
      <c r="R31" s="6">
        <f t="shared" si="12"/>
        <v>0</v>
      </c>
      <c r="S31" s="2"/>
      <c r="T31" s="7">
        <v>0</v>
      </c>
      <c r="U31" s="2"/>
      <c r="V31" s="6">
        <f t="shared" si="13"/>
        <v>0</v>
      </c>
      <c r="W31" s="2"/>
      <c r="X31" s="7">
        <f t="shared" si="14"/>
        <v>0</v>
      </c>
      <c r="Y31" s="2"/>
      <c r="Z31" s="6">
        <f t="shared" si="15"/>
        <v>0</v>
      </c>
    </row>
    <row r="32" spans="1:26" s="24" customFormat="1" hidden="1" outlineLevel="2" x14ac:dyDescent="0.25">
      <c r="A32" s="26"/>
      <c r="B32" s="11" t="str">
        <f>CONCATENATE("          ", "6003", " - ", "STAFF HOURLY-9 MONTH")</f>
        <v xml:space="preserve">          6003 - STAFF HOURLY-9 MONTH</v>
      </c>
      <c r="C32" s="11"/>
      <c r="D32" s="7"/>
      <c r="E32" s="2"/>
      <c r="F32" s="6">
        <f t="shared" si="8"/>
        <v>0</v>
      </c>
      <c r="G32" s="2"/>
      <c r="H32" s="7">
        <v>0</v>
      </c>
      <c r="I32" s="2"/>
      <c r="J32" s="6">
        <f t="shared" si="9"/>
        <v>0</v>
      </c>
      <c r="K32" s="2"/>
      <c r="L32" s="7">
        <f t="shared" si="10"/>
        <v>0</v>
      </c>
      <c r="M32" s="2"/>
      <c r="N32" s="6">
        <f t="shared" si="11"/>
        <v>0</v>
      </c>
      <c r="O32" s="11"/>
      <c r="P32" s="7"/>
      <c r="Q32" s="2"/>
      <c r="R32" s="6">
        <f t="shared" si="12"/>
        <v>0</v>
      </c>
      <c r="S32" s="2"/>
      <c r="T32" s="7">
        <v>0</v>
      </c>
      <c r="U32" s="2"/>
      <c r="V32" s="6">
        <f t="shared" si="13"/>
        <v>0</v>
      </c>
      <c r="W32" s="2"/>
      <c r="X32" s="7">
        <f t="shared" si="14"/>
        <v>0</v>
      </c>
      <c r="Y32" s="2"/>
      <c r="Z32" s="6">
        <f t="shared" si="15"/>
        <v>0</v>
      </c>
    </row>
    <row r="33" spans="1:26" s="24" customFormat="1" hidden="1" outlineLevel="2" x14ac:dyDescent="0.25">
      <c r="A33" s="26"/>
      <c r="B33" s="11" t="str">
        <f>CONCATENATE("          ", "6004", " - ", "STAFF HOURLY")</f>
        <v xml:space="preserve">          6004 - STAFF HOURLY</v>
      </c>
      <c r="C33" s="11"/>
      <c r="D33" s="7">
        <v>5100</v>
      </c>
      <c r="E33" s="2"/>
      <c r="F33" s="6">
        <f t="shared" si="8"/>
        <v>0</v>
      </c>
      <c r="G33" s="2"/>
      <c r="H33" s="7">
        <v>3996.4</v>
      </c>
      <c r="I33" s="2"/>
      <c r="J33" s="6">
        <f t="shared" si="9"/>
        <v>0</v>
      </c>
      <c r="K33" s="2"/>
      <c r="L33" s="7">
        <f t="shared" si="10"/>
        <v>1103.5999999999999</v>
      </c>
      <c r="M33" s="2"/>
      <c r="N33" s="6">
        <f t="shared" si="11"/>
        <v>0.27614853368031222</v>
      </c>
      <c r="O33" s="11"/>
      <c r="P33" s="7">
        <v>57784.5</v>
      </c>
      <c r="Q33" s="2"/>
      <c r="R33" s="6">
        <f t="shared" si="12"/>
        <v>0</v>
      </c>
      <c r="S33" s="2"/>
      <c r="T33" s="7">
        <v>47956.800000000003</v>
      </c>
      <c r="U33" s="2"/>
      <c r="V33" s="6">
        <f t="shared" si="13"/>
        <v>0</v>
      </c>
      <c r="W33" s="2"/>
      <c r="X33" s="7">
        <f t="shared" si="14"/>
        <v>9827.6999999999971</v>
      </c>
      <c r="Y33" s="2"/>
      <c r="Z33" s="6">
        <f t="shared" si="15"/>
        <v>0.20492818536683008</v>
      </c>
    </row>
    <row r="34" spans="1:26" s="24" customFormat="1" hidden="1" outlineLevel="2" x14ac:dyDescent="0.25">
      <c r="A34" s="26"/>
      <c r="B34" s="11" t="str">
        <f>CONCATENATE("          ", "6005", " - ", "TEMPORARY WAGES-HOURLY")</f>
        <v xml:space="preserve">          6005 - TEMPORARY WAGES-HOURLY</v>
      </c>
      <c r="C34" s="11"/>
      <c r="D34" s="7"/>
      <c r="E34" s="2"/>
      <c r="F34" s="6">
        <f t="shared" si="8"/>
        <v>0</v>
      </c>
      <c r="G34" s="2"/>
      <c r="H34" s="7">
        <v>0</v>
      </c>
      <c r="I34" s="2"/>
      <c r="J34" s="6">
        <f t="shared" si="9"/>
        <v>0</v>
      </c>
      <c r="K34" s="2"/>
      <c r="L34" s="7">
        <f t="shared" si="10"/>
        <v>0</v>
      </c>
      <c r="M34" s="2"/>
      <c r="N34" s="6">
        <f t="shared" si="11"/>
        <v>0</v>
      </c>
      <c r="O34" s="11"/>
      <c r="P34" s="7"/>
      <c r="Q34" s="2"/>
      <c r="R34" s="6">
        <f t="shared" si="12"/>
        <v>0</v>
      </c>
      <c r="S34" s="2"/>
      <c r="T34" s="7">
        <v>0</v>
      </c>
      <c r="U34" s="2"/>
      <c r="V34" s="6">
        <f t="shared" si="13"/>
        <v>0</v>
      </c>
      <c r="W34" s="2"/>
      <c r="X34" s="7">
        <f t="shared" si="14"/>
        <v>0</v>
      </c>
      <c r="Y34" s="2"/>
      <c r="Z34" s="6">
        <f t="shared" si="15"/>
        <v>0</v>
      </c>
    </row>
    <row r="35" spans="1:26" s="24" customFormat="1" hidden="1" outlineLevel="2" x14ac:dyDescent="0.25">
      <c r="A35" s="26"/>
      <c r="B35" s="11" t="str">
        <f>CONCATENATE("          ", "6006", " - ", "TEMPORARY PART TIME")</f>
        <v xml:space="preserve">          6006 - TEMPORARY PART TIME</v>
      </c>
      <c r="C35" s="11"/>
      <c r="D35" s="7"/>
      <c r="E35" s="2"/>
      <c r="F35" s="6">
        <f t="shared" si="8"/>
        <v>0</v>
      </c>
      <c r="G35" s="2"/>
      <c r="H35" s="7">
        <v>0</v>
      </c>
      <c r="I35" s="2"/>
      <c r="J35" s="6">
        <f t="shared" si="9"/>
        <v>0</v>
      </c>
      <c r="K35" s="2"/>
      <c r="L35" s="7">
        <f t="shared" si="10"/>
        <v>0</v>
      </c>
      <c r="M35" s="2"/>
      <c r="N35" s="6">
        <f t="shared" si="11"/>
        <v>0</v>
      </c>
      <c r="O35" s="11"/>
      <c r="P35" s="7">
        <v>2361.4299999999998</v>
      </c>
      <c r="Q35" s="2"/>
      <c r="R35" s="6">
        <f t="shared" si="12"/>
        <v>0</v>
      </c>
      <c r="S35" s="2"/>
      <c r="T35" s="7">
        <v>0</v>
      </c>
      <c r="U35" s="2"/>
      <c r="V35" s="6">
        <f t="shared" si="13"/>
        <v>0</v>
      </c>
      <c r="W35" s="2"/>
      <c r="X35" s="7">
        <f t="shared" si="14"/>
        <v>2361.4299999999998</v>
      </c>
      <c r="Y35" s="2"/>
      <c r="Z35" s="6">
        <f t="shared" si="15"/>
        <v>0</v>
      </c>
    </row>
    <row r="36" spans="1:26" s="24" customFormat="1" hidden="1" outlineLevel="2" x14ac:dyDescent="0.25">
      <c r="A36" s="26"/>
      <c r="B36" s="11" t="str">
        <f>CONCATENATE("          ", "6007", " - ", "STUDENT HOURLY")</f>
        <v xml:space="preserve">          6007 - STUDENT HOURLY</v>
      </c>
      <c r="C36" s="11"/>
      <c r="D36" s="7"/>
      <c r="E36" s="2"/>
      <c r="F36" s="6">
        <f t="shared" si="8"/>
        <v>0</v>
      </c>
      <c r="G36" s="2"/>
      <c r="H36" s="7">
        <v>5058.55</v>
      </c>
      <c r="I36" s="2"/>
      <c r="J36" s="6">
        <f t="shared" si="9"/>
        <v>0</v>
      </c>
      <c r="K36" s="2"/>
      <c r="L36" s="7">
        <f t="shared" si="10"/>
        <v>-5058.55</v>
      </c>
      <c r="M36" s="2"/>
      <c r="N36" s="6">
        <f t="shared" si="11"/>
        <v>-1</v>
      </c>
      <c r="O36" s="11"/>
      <c r="P36" s="7">
        <v>41753.5</v>
      </c>
      <c r="Q36" s="2"/>
      <c r="R36" s="6">
        <f t="shared" si="12"/>
        <v>0</v>
      </c>
      <c r="S36" s="2"/>
      <c r="T36" s="7">
        <v>47242.025000000001</v>
      </c>
      <c r="U36" s="2"/>
      <c r="V36" s="6">
        <f t="shared" si="13"/>
        <v>0</v>
      </c>
      <c r="W36" s="2"/>
      <c r="X36" s="7">
        <f t="shared" si="14"/>
        <v>-5488.5250000000015</v>
      </c>
      <c r="Y36" s="2"/>
      <c r="Z36" s="6">
        <f t="shared" si="15"/>
        <v>-0.11617886828517621</v>
      </c>
    </row>
    <row r="37" spans="1:26" s="24" customFormat="1" hidden="1" outlineLevel="2" x14ac:dyDescent="0.25">
      <c r="A37" s="26"/>
      <c r="B37" s="11" t="str">
        <f>CONCATENATE("          ", "6008", " - ", "STUDENT HOURLY-FICA EXEMPT")</f>
        <v xml:space="preserve">          6008 - STUDENT HOURLY-FICA EXEMPT</v>
      </c>
      <c r="C37" s="11"/>
      <c r="D37" s="7">
        <v>1294.06</v>
      </c>
      <c r="E37" s="2"/>
      <c r="F37" s="6">
        <f t="shared" si="8"/>
        <v>0</v>
      </c>
      <c r="G37" s="2"/>
      <c r="H37" s="7">
        <v>0</v>
      </c>
      <c r="I37" s="2"/>
      <c r="J37" s="6">
        <f t="shared" si="9"/>
        <v>0</v>
      </c>
      <c r="K37" s="2"/>
      <c r="L37" s="7">
        <f t="shared" si="10"/>
        <v>1294.06</v>
      </c>
      <c r="M37" s="2"/>
      <c r="N37" s="6">
        <f t="shared" si="11"/>
        <v>0</v>
      </c>
      <c r="O37" s="11"/>
      <c r="P37" s="7">
        <v>11194.89</v>
      </c>
      <c r="Q37" s="2"/>
      <c r="R37" s="6">
        <f t="shared" si="12"/>
        <v>0</v>
      </c>
      <c r="S37" s="2"/>
      <c r="T37" s="7">
        <v>8437.5</v>
      </c>
      <c r="U37" s="2"/>
      <c r="V37" s="6">
        <f t="shared" si="13"/>
        <v>0</v>
      </c>
      <c r="W37" s="2"/>
      <c r="X37" s="7">
        <f t="shared" si="14"/>
        <v>2757.3899999999994</v>
      </c>
      <c r="Y37" s="2"/>
      <c r="Z37" s="6">
        <f t="shared" si="15"/>
        <v>0.32680177777777769</v>
      </c>
    </row>
    <row r="38" spans="1:26" s="24" customFormat="1" hidden="1" outlineLevel="2" x14ac:dyDescent="0.25">
      <c r="A38" s="26"/>
      <c r="B38" s="11" t="str">
        <f>CONCATENATE("          ", "6009", " - ", "TEMPORARY-SEASONAL")</f>
        <v xml:space="preserve">          6009 - TEMPORARY-SEASONAL</v>
      </c>
      <c r="C38" s="11"/>
      <c r="D38" s="7"/>
      <c r="E38" s="2"/>
      <c r="F38" s="6">
        <f t="shared" si="8"/>
        <v>0</v>
      </c>
      <c r="G38" s="2"/>
      <c r="H38" s="7">
        <v>0</v>
      </c>
      <c r="I38" s="2"/>
      <c r="J38" s="6">
        <f t="shared" si="9"/>
        <v>0</v>
      </c>
      <c r="K38" s="2"/>
      <c r="L38" s="7">
        <f t="shared" si="10"/>
        <v>0</v>
      </c>
      <c r="M38" s="2"/>
      <c r="N38" s="6">
        <f t="shared" si="11"/>
        <v>0</v>
      </c>
      <c r="O38" s="11"/>
      <c r="P38" s="7"/>
      <c r="Q38" s="2"/>
      <c r="R38" s="6">
        <f t="shared" si="12"/>
        <v>0</v>
      </c>
      <c r="S38" s="2"/>
      <c r="T38" s="7">
        <v>0</v>
      </c>
      <c r="U38" s="2"/>
      <c r="V38" s="6">
        <f t="shared" si="13"/>
        <v>0</v>
      </c>
      <c r="W38" s="2"/>
      <c r="X38" s="7">
        <f t="shared" si="14"/>
        <v>0</v>
      </c>
      <c r="Y38" s="2"/>
      <c r="Z38" s="6">
        <f t="shared" si="15"/>
        <v>0</v>
      </c>
    </row>
    <row r="39" spans="1:26" s="24" customFormat="1" hidden="1" outlineLevel="2" x14ac:dyDescent="0.25">
      <c r="A39" s="26"/>
      <c r="B39" s="11" t="str">
        <f>CONCATENATE("          ", "6010", " - ", "GRATUITY")</f>
        <v xml:space="preserve">          6010 - GRATUITY</v>
      </c>
      <c r="C39" s="11"/>
      <c r="D39" s="7"/>
      <c r="E39" s="2"/>
      <c r="F39" s="6">
        <f t="shared" si="8"/>
        <v>0</v>
      </c>
      <c r="G39" s="2"/>
      <c r="H39" s="7">
        <v>0</v>
      </c>
      <c r="I39" s="2"/>
      <c r="J39" s="6">
        <f t="shared" si="9"/>
        <v>0</v>
      </c>
      <c r="K39" s="2"/>
      <c r="L39" s="7">
        <f t="shared" si="10"/>
        <v>0</v>
      </c>
      <c r="M39" s="2"/>
      <c r="N39" s="6">
        <f t="shared" si="11"/>
        <v>0</v>
      </c>
      <c r="O39" s="11"/>
      <c r="P39" s="7"/>
      <c r="Q39" s="2"/>
      <c r="R39" s="6">
        <f t="shared" si="12"/>
        <v>0</v>
      </c>
      <c r="S39" s="2"/>
      <c r="T39" s="7">
        <v>0</v>
      </c>
      <c r="U39" s="2"/>
      <c r="V39" s="6">
        <f t="shared" si="13"/>
        <v>0</v>
      </c>
      <c r="W39" s="2"/>
      <c r="X39" s="7">
        <f t="shared" si="14"/>
        <v>0</v>
      </c>
      <c r="Y39" s="2"/>
      <c r="Z39" s="6">
        <f t="shared" si="15"/>
        <v>0</v>
      </c>
    </row>
    <row r="40" spans="1:26" s="27" customFormat="1" outlineLevel="1" collapsed="1" x14ac:dyDescent="0.25">
      <c r="A40" s="25"/>
      <c r="B40" s="12" t="str">
        <f>CONCATENATE("     ","Advertising/Promo                                 ")</f>
        <v xml:space="preserve">     Advertising/Promo                                 </v>
      </c>
      <c r="C40" s="12"/>
      <c r="D40" s="1">
        <f>SUM(OSRRefD22_2x_0)</f>
        <v>173.21</v>
      </c>
      <c r="E40" s="1"/>
      <c r="F40" s="5">
        <f t="shared" ref="F40:F52" si="16">IF(D$12=0,0,D40/D$12)</f>
        <v>0</v>
      </c>
      <c r="G40" s="1"/>
      <c r="H40" s="1">
        <f>SUM(OSRRefH22_2x_0)</f>
        <v>-9000</v>
      </c>
      <c r="I40" s="1"/>
      <c r="J40" s="5">
        <f t="shared" ref="J40:J52" si="17">IF(H$12=0,0,H40/H$12)</f>
        <v>0</v>
      </c>
      <c r="K40" s="1"/>
      <c r="L40" s="1">
        <f t="shared" ref="L40:L52" si="18">+D40-H40</f>
        <v>9173.2099999999991</v>
      </c>
      <c r="M40" s="1"/>
      <c r="N40" s="5">
        <f t="shared" ref="N40:N52" si="19">IF(H40=0,0,L40/H40)</f>
        <v>-1.0192455555555555</v>
      </c>
      <c r="O40" s="12"/>
      <c r="P40" s="1">
        <f>SUM(OSRRefP22_2x_0)</f>
        <v>-45889.990000000005</v>
      </c>
      <c r="Q40" s="1"/>
      <c r="R40" s="5">
        <f t="shared" ref="R40:R52" si="20">IF(P$12=0,0,P40/P$12)</f>
        <v>0</v>
      </c>
      <c r="S40" s="1"/>
      <c r="T40" s="1">
        <f>SUM(OSRRefT22_2x_0)</f>
        <v>-99000</v>
      </c>
      <c r="U40" s="1"/>
      <c r="V40" s="5">
        <f t="shared" ref="V40:V52" si="21">IF(T$12=0,0,T40/T$12)</f>
        <v>0</v>
      </c>
      <c r="W40" s="1"/>
      <c r="X40" s="1">
        <f t="shared" ref="X40:X52" si="22">+P40-T40</f>
        <v>53110.009999999995</v>
      </c>
      <c r="Y40" s="1"/>
      <c r="Z40" s="5">
        <f t="shared" ref="Z40:Z52" si="23">IF(T40=0,0,X40/T40)</f>
        <v>-0.53646474747474737</v>
      </c>
    </row>
    <row r="41" spans="1:26" s="24" customFormat="1" hidden="1" outlineLevel="2" x14ac:dyDescent="0.25">
      <c r="A41" s="26"/>
      <c r="B41" s="11" t="str">
        <f>CONCATENATE("          ", "6362", " - ", "ADVERTISING EXPENSE")</f>
        <v xml:space="preserve">          6362 - ADVERTISING EXPENSE</v>
      </c>
      <c r="C41" s="11"/>
      <c r="D41" s="7">
        <v>173.21</v>
      </c>
      <c r="E41" s="2"/>
      <c r="F41" s="6">
        <f t="shared" si="16"/>
        <v>0</v>
      </c>
      <c r="G41" s="2"/>
      <c r="H41" s="7">
        <v>-9000</v>
      </c>
      <c r="I41" s="2"/>
      <c r="J41" s="6">
        <f t="shared" si="17"/>
        <v>0</v>
      </c>
      <c r="K41" s="2"/>
      <c r="L41" s="7">
        <f t="shared" si="18"/>
        <v>9173.2099999999991</v>
      </c>
      <c r="M41" s="2"/>
      <c r="N41" s="6">
        <f t="shared" si="19"/>
        <v>-1.0192455555555555</v>
      </c>
      <c r="O41" s="11"/>
      <c r="P41" s="7">
        <v>-45889.990000000005</v>
      </c>
      <c r="Q41" s="2"/>
      <c r="R41" s="6">
        <f t="shared" si="20"/>
        <v>0</v>
      </c>
      <c r="S41" s="2"/>
      <c r="T41" s="7">
        <v>-99000</v>
      </c>
      <c r="U41" s="2"/>
      <c r="V41" s="6">
        <f t="shared" si="21"/>
        <v>0</v>
      </c>
      <c r="W41" s="2"/>
      <c r="X41" s="7">
        <f t="shared" si="22"/>
        <v>53110.009999999995</v>
      </c>
      <c r="Y41" s="2"/>
      <c r="Z41" s="6">
        <f t="shared" si="23"/>
        <v>-0.53646474747474737</v>
      </c>
    </row>
    <row r="42" spans="1:26" s="27" customFormat="1" outlineLevel="1" collapsed="1" x14ac:dyDescent="0.25">
      <c r="A42" s="25"/>
      <c r="B42" s="12" t="str">
        <f>CONCATENATE("     ","Depreciation                                      ")</f>
        <v xml:space="preserve">     Depreciation                                      </v>
      </c>
      <c r="C42" s="12"/>
      <c r="D42" s="1">
        <f>SUM(OSRRefD22_3x_0)</f>
        <v>271.27</v>
      </c>
      <c r="E42" s="1"/>
      <c r="F42" s="5">
        <f t="shared" si="16"/>
        <v>0</v>
      </c>
      <c r="G42" s="1"/>
      <c r="H42" s="1">
        <f>SUM(OSRRefH22_3x_0)</f>
        <v>289</v>
      </c>
      <c r="I42" s="1"/>
      <c r="J42" s="5">
        <f t="shared" si="17"/>
        <v>0</v>
      </c>
      <c r="K42" s="1"/>
      <c r="L42" s="1">
        <f t="shared" si="18"/>
        <v>-17.730000000000018</v>
      </c>
      <c r="M42" s="1"/>
      <c r="N42" s="5">
        <f t="shared" si="19"/>
        <v>-6.1349480968858193E-2</v>
      </c>
      <c r="O42" s="12"/>
      <c r="P42" s="1">
        <f>SUM(OSRRefP22_3x_0)</f>
        <v>3203.61</v>
      </c>
      <c r="Q42" s="1"/>
      <c r="R42" s="5">
        <f t="shared" si="20"/>
        <v>0</v>
      </c>
      <c r="S42" s="1"/>
      <c r="T42" s="1">
        <f>SUM(OSRRefT22_3x_0)</f>
        <v>3179</v>
      </c>
      <c r="U42" s="1"/>
      <c r="V42" s="5">
        <f t="shared" si="21"/>
        <v>0</v>
      </c>
      <c r="W42" s="1"/>
      <c r="X42" s="1">
        <f t="shared" si="22"/>
        <v>24.610000000000127</v>
      </c>
      <c r="Y42" s="1"/>
      <c r="Z42" s="5">
        <f t="shared" si="23"/>
        <v>7.7414281220509994E-3</v>
      </c>
    </row>
    <row r="43" spans="1:26" s="24" customFormat="1" hidden="1" outlineLevel="2" x14ac:dyDescent="0.25">
      <c r="A43" s="26"/>
      <c r="B43" s="11" t="str">
        <f>CONCATENATE("          ", "6322", " - ", "EQUIPMENT DEPRECIATION EXPENSE")</f>
        <v xml:space="preserve">          6322 - EQUIPMENT DEPRECIATION EXPENSE</v>
      </c>
      <c r="C43" s="11"/>
      <c r="D43" s="7">
        <v>271.27</v>
      </c>
      <c r="E43" s="2"/>
      <c r="F43" s="6">
        <f t="shared" si="16"/>
        <v>0</v>
      </c>
      <c r="G43" s="2"/>
      <c r="H43" s="7">
        <v>289</v>
      </c>
      <c r="I43" s="2"/>
      <c r="J43" s="6">
        <f t="shared" si="17"/>
        <v>0</v>
      </c>
      <c r="K43" s="2"/>
      <c r="L43" s="7">
        <f t="shared" si="18"/>
        <v>-17.730000000000018</v>
      </c>
      <c r="M43" s="2"/>
      <c r="N43" s="6">
        <f t="shared" si="19"/>
        <v>-6.1349480968858193E-2</v>
      </c>
      <c r="O43" s="11"/>
      <c r="P43" s="7">
        <v>3203.61</v>
      </c>
      <c r="Q43" s="2"/>
      <c r="R43" s="6">
        <f t="shared" si="20"/>
        <v>0</v>
      </c>
      <c r="S43" s="2"/>
      <c r="T43" s="7">
        <v>3179</v>
      </c>
      <c r="U43" s="2"/>
      <c r="V43" s="6">
        <f t="shared" si="21"/>
        <v>0</v>
      </c>
      <c r="W43" s="2"/>
      <c r="X43" s="7">
        <f t="shared" si="22"/>
        <v>24.610000000000127</v>
      </c>
      <c r="Y43" s="2"/>
      <c r="Z43" s="6">
        <f t="shared" si="23"/>
        <v>7.7414281220509994E-3</v>
      </c>
    </row>
    <row r="44" spans="1:26" s="27" customFormat="1" outlineLevel="1" collapsed="1" x14ac:dyDescent="0.25">
      <c r="A44" s="25"/>
      <c r="B44" s="12" t="str">
        <f>CONCATENATE("     ","Employees' Appreciation                           ")</f>
        <v xml:space="preserve">     Employees' Appreciation                           </v>
      </c>
      <c r="C44" s="12"/>
      <c r="D44" s="1">
        <f>SUM(OSRRefD22_4x_0)</f>
        <v>0</v>
      </c>
      <c r="E44" s="1"/>
      <c r="F44" s="5">
        <f t="shared" si="16"/>
        <v>0</v>
      </c>
      <c r="G44" s="1"/>
      <c r="H44" s="1">
        <f>SUM(OSRRefH22_4x_0)</f>
        <v>200</v>
      </c>
      <c r="I44" s="1"/>
      <c r="J44" s="5">
        <f t="shared" si="17"/>
        <v>0</v>
      </c>
      <c r="K44" s="1"/>
      <c r="L44" s="1">
        <f t="shared" si="18"/>
        <v>-200</v>
      </c>
      <c r="M44" s="1"/>
      <c r="N44" s="5">
        <f t="shared" si="19"/>
        <v>-1</v>
      </c>
      <c r="O44" s="12"/>
      <c r="P44" s="1">
        <f>SUM(OSRRefP22_4x_0)</f>
        <v>30.15</v>
      </c>
      <c r="Q44" s="1"/>
      <c r="R44" s="5">
        <f t="shared" si="20"/>
        <v>0</v>
      </c>
      <c r="S44" s="1"/>
      <c r="T44" s="1">
        <f>SUM(OSRRefT22_4x_0)</f>
        <v>2200</v>
      </c>
      <c r="U44" s="1"/>
      <c r="V44" s="5">
        <f t="shared" si="21"/>
        <v>0</v>
      </c>
      <c r="W44" s="1"/>
      <c r="X44" s="1">
        <f t="shared" si="22"/>
        <v>-2169.85</v>
      </c>
      <c r="Y44" s="1"/>
      <c r="Z44" s="5">
        <f t="shared" si="23"/>
        <v>-0.98629545454545453</v>
      </c>
    </row>
    <row r="45" spans="1:26" s="24" customFormat="1" hidden="1" outlineLevel="2" x14ac:dyDescent="0.25">
      <c r="A45" s="26"/>
      <c r="B45" s="11" t="str">
        <f>CONCATENATE("          ", "6277", " - ", "EMPLOYEE APPRECIATION")</f>
        <v xml:space="preserve">          6277 - EMPLOYEE APPRECIATION</v>
      </c>
      <c r="C45" s="11"/>
      <c r="D45" s="7"/>
      <c r="E45" s="2"/>
      <c r="F45" s="6">
        <f t="shared" si="16"/>
        <v>0</v>
      </c>
      <c r="G45" s="2"/>
      <c r="H45" s="7">
        <v>200</v>
      </c>
      <c r="I45" s="2"/>
      <c r="J45" s="6">
        <f t="shared" si="17"/>
        <v>0</v>
      </c>
      <c r="K45" s="2"/>
      <c r="L45" s="7">
        <f t="shared" si="18"/>
        <v>-200</v>
      </c>
      <c r="M45" s="2"/>
      <c r="N45" s="6">
        <f t="shared" si="19"/>
        <v>-1</v>
      </c>
      <c r="O45" s="11"/>
      <c r="P45" s="7">
        <v>30.15</v>
      </c>
      <c r="Q45" s="2"/>
      <c r="R45" s="6">
        <f t="shared" si="20"/>
        <v>0</v>
      </c>
      <c r="S45" s="2"/>
      <c r="T45" s="7">
        <v>2200</v>
      </c>
      <c r="U45" s="2"/>
      <c r="V45" s="6">
        <f t="shared" si="21"/>
        <v>0</v>
      </c>
      <c r="W45" s="2"/>
      <c r="X45" s="7">
        <f t="shared" si="22"/>
        <v>-2169.85</v>
      </c>
      <c r="Y45" s="2"/>
      <c r="Z45" s="6">
        <f t="shared" si="23"/>
        <v>-0.98629545454545453</v>
      </c>
    </row>
    <row r="46" spans="1:26" s="27" customFormat="1" outlineLevel="1" collapsed="1" x14ac:dyDescent="0.25">
      <c r="A46" s="25"/>
      <c r="B46" s="12" t="str">
        <f>CONCATENATE("     ","General                                           ")</f>
        <v xml:space="preserve">     General                                           </v>
      </c>
      <c r="C46" s="12"/>
      <c r="D46" s="1">
        <f>SUM(OSRRefD22_5x_0)</f>
        <v>0</v>
      </c>
      <c r="E46" s="1"/>
      <c r="F46" s="5">
        <f t="shared" si="16"/>
        <v>0</v>
      </c>
      <c r="G46" s="1"/>
      <c r="H46" s="1">
        <f>SUM(OSRRefH22_5x_0)</f>
        <v>0</v>
      </c>
      <c r="I46" s="1"/>
      <c r="J46" s="5">
        <f t="shared" si="17"/>
        <v>0</v>
      </c>
      <c r="K46" s="1"/>
      <c r="L46" s="1">
        <f t="shared" si="18"/>
        <v>0</v>
      </c>
      <c r="M46" s="1"/>
      <c r="N46" s="5">
        <f t="shared" si="19"/>
        <v>0</v>
      </c>
      <c r="O46" s="12"/>
      <c r="P46" s="1">
        <f>SUM(OSRRefP22_5x_0)</f>
        <v>1373.22</v>
      </c>
      <c r="Q46" s="1"/>
      <c r="R46" s="5">
        <f t="shared" si="20"/>
        <v>0</v>
      </c>
      <c r="S46" s="1"/>
      <c r="T46" s="1">
        <f>SUM(OSRRefT22_5x_0)</f>
        <v>0</v>
      </c>
      <c r="U46" s="1"/>
      <c r="V46" s="5">
        <f t="shared" si="21"/>
        <v>0</v>
      </c>
      <c r="W46" s="1"/>
      <c r="X46" s="1">
        <f t="shared" si="22"/>
        <v>1373.22</v>
      </c>
      <c r="Y46" s="1"/>
      <c r="Z46" s="5">
        <f t="shared" si="23"/>
        <v>0</v>
      </c>
    </row>
    <row r="47" spans="1:26" s="24" customFormat="1" hidden="1" outlineLevel="2" x14ac:dyDescent="0.25">
      <c r="A47" s="26"/>
      <c r="B47" s="11" t="str">
        <f>CONCATENATE("          ", "6279", " - ", "GENERAL EXPENSE")</f>
        <v xml:space="preserve">          6279 - GENERAL EXPENSE</v>
      </c>
      <c r="C47" s="11"/>
      <c r="D47" s="7"/>
      <c r="E47" s="2"/>
      <c r="F47" s="6">
        <f t="shared" si="16"/>
        <v>0</v>
      </c>
      <c r="G47" s="2"/>
      <c r="H47" s="7"/>
      <c r="I47" s="2"/>
      <c r="J47" s="6">
        <f t="shared" si="17"/>
        <v>0</v>
      </c>
      <c r="K47" s="2"/>
      <c r="L47" s="7">
        <f t="shared" si="18"/>
        <v>0</v>
      </c>
      <c r="M47" s="2"/>
      <c r="N47" s="6">
        <f t="shared" si="19"/>
        <v>0</v>
      </c>
      <c r="O47" s="11"/>
      <c r="P47" s="7">
        <v>1373.22</v>
      </c>
      <c r="Q47" s="2"/>
      <c r="R47" s="6">
        <f t="shared" si="20"/>
        <v>0</v>
      </c>
      <c r="S47" s="2"/>
      <c r="T47" s="7"/>
      <c r="U47" s="2"/>
      <c r="V47" s="6">
        <f t="shared" si="21"/>
        <v>0</v>
      </c>
      <c r="W47" s="2"/>
      <c r="X47" s="7">
        <f t="shared" si="22"/>
        <v>1373.22</v>
      </c>
      <c r="Y47" s="2"/>
      <c r="Z47" s="6">
        <f t="shared" si="23"/>
        <v>0</v>
      </c>
    </row>
    <row r="48" spans="1:26" s="27" customFormat="1" outlineLevel="1" collapsed="1" x14ac:dyDescent="0.25">
      <c r="A48" s="25"/>
      <c r="B48" s="12" t="str">
        <f>CONCATENATE("     ","Repair and Maintenance                            ")</f>
        <v xml:space="preserve">     Repair and Maintenance                            </v>
      </c>
      <c r="C48" s="12"/>
      <c r="D48" s="1">
        <f>SUM(OSRRefD22_6x_0)</f>
        <v>0</v>
      </c>
      <c r="E48" s="1"/>
      <c r="F48" s="5">
        <f t="shared" si="16"/>
        <v>0</v>
      </c>
      <c r="G48" s="1"/>
      <c r="H48" s="1">
        <f>SUM(OSRRefH22_6x_0)</f>
        <v>400</v>
      </c>
      <c r="I48" s="1"/>
      <c r="J48" s="5">
        <f t="shared" si="17"/>
        <v>0</v>
      </c>
      <c r="K48" s="1"/>
      <c r="L48" s="1">
        <f t="shared" si="18"/>
        <v>-400</v>
      </c>
      <c r="M48" s="1"/>
      <c r="N48" s="5">
        <f t="shared" si="19"/>
        <v>-1</v>
      </c>
      <c r="O48" s="12"/>
      <c r="P48" s="1">
        <f>SUM(OSRRefP22_6x_0)</f>
        <v>0</v>
      </c>
      <c r="Q48" s="1"/>
      <c r="R48" s="5">
        <f t="shared" si="20"/>
        <v>0</v>
      </c>
      <c r="S48" s="1"/>
      <c r="T48" s="1">
        <f>SUM(OSRRefT22_6x_0)</f>
        <v>4400</v>
      </c>
      <c r="U48" s="1"/>
      <c r="V48" s="5">
        <f t="shared" si="21"/>
        <v>0</v>
      </c>
      <c r="W48" s="1"/>
      <c r="X48" s="1">
        <f t="shared" si="22"/>
        <v>-4400</v>
      </c>
      <c r="Y48" s="1"/>
      <c r="Z48" s="5">
        <f t="shared" si="23"/>
        <v>-1</v>
      </c>
    </row>
    <row r="49" spans="1:26" s="24" customFormat="1" hidden="1" outlineLevel="2" x14ac:dyDescent="0.25">
      <c r="A49" s="26"/>
      <c r="B49" s="11" t="str">
        <f>CONCATENATE("          ", "6371", " - ", "COMPUTER SOFTWARE MAINTENANCE")</f>
        <v xml:space="preserve">          6371 - COMPUTER SOFTWARE MAINTENANCE</v>
      </c>
      <c r="C49" s="11"/>
      <c r="D49" s="7"/>
      <c r="E49" s="2"/>
      <c r="F49" s="6">
        <f t="shared" si="16"/>
        <v>0</v>
      </c>
      <c r="G49" s="2"/>
      <c r="H49" s="7">
        <v>400</v>
      </c>
      <c r="I49" s="2"/>
      <c r="J49" s="6">
        <f t="shared" si="17"/>
        <v>0</v>
      </c>
      <c r="K49" s="2"/>
      <c r="L49" s="7">
        <f t="shared" si="18"/>
        <v>-400</v>
      </c>
      <c r="M49" s="2"/>
      <c r="N49" s="6">
        <f t="shared" si="19"/>
        <v>-1</v>
      </c>
      <c r="O49" s="11"/>
      <c r="P49" s="7"/>
      <c r="Q49" s="2"/>
      <c r="R49" s="6">
        <f t="shared" si="20"/>
        <v>0</v>
      </c>
      <c r="S49" s="2"/>
      <c r="T49" s="7">
        <v>4400</v>
      </c>
      <c r="U49" s="2"/>
      <c r="V49" s="6">
        <f t="shared" si="21"/>
        <v>0</v>
      </c>
      <c r="W49" s="2"/>
      <c r="X49" s="7">
        <f t="shared" si="22"/>
        <v>-4400</v>
      </c>
      <c r="Y49" s="2"/>
      <c r="Z49" s="6">
        <f t="shared" si="23"/>
        <v>-1</v>
      </c>
    </row>
    <row r="50" spans="1:26" s="27" customFormat="1" outlineLevel="1" collapsed="1" x14ac:dyDescent="0.25">
      <c r="A50" s="25"/>
      <c r="B50" s="12" t="str">
        <f>CONCATENATE("     ","Supplies                                          ")</f>
        <v xml:space="preserve">     Supplies                                          </v>
      </c>
      <c r="C50" s="12"/>
      <c r="D50" s="1">
        <f>SUM(OSRRefD22_7x_0)</f>
        <v>0</v>
      </c>
      <c r="E50" s="1"/>
      <c r="F50" s="5">
        <f t="shared" si="16"/>
        <v>0</v>
      </c>
      <c r="G50" s="1"/>
      <c r="H50" s="1">
        <f>SUM(OSRRefH22_7x_0)</f>
        <v>975</v>
      </c>
      <c r="I50" s="1"/>
      <c r="J50" s="5">
        <f t="shared" si="17"/>
        <v>0</v>
      </c>
      <c r="K50" s="1"/>
      <c r="L50" s="1">
        <f t="shared" si="18"/>
        <v>-975</v>
      </c>
      <c r="M50" s="1"/>
      <c r="N50" s="5">
        <f t="shared" si="19"/>
        <v>-1</v>
      </c>
      <c r="O50" s="12"/>
      <c r="P50" s="1">
        <f>SUM(OSRRefP22_7x_0)</f>
        <v>2193.56</v>
      </c>
      <c r="Q50" s="1"/>
      <c r="R50" s="5">
        <f t="shared" si="20"/>
        <v>0</v>
      </c>
      <c r="S50" s="1"/>
      <c r="T50" s="1">
        <f>SUM(OSRRefT22_7x_0)</f>
        <v>10725</v>
      </c>
      <c r="U50" s="1"/>
      <c r="V50" s="5">
        <f t="shared" si="21"/>
        <v>0</v>
      </c>
      <c r="W50" s="1"/>
      <c r="X50" s="1">
        <f t="shared" si="22"/>
        <v>-8531.44</v>
      </c>
      <c r="Y50" s="1"/>
      <c r="Z50" s="5">
        <f t="shared" si="23"/>
        <v>-0.7954722610722611</v>
      </c>
    </row>
    <row r="51" spans="1:26" s="24" customFormat="1" hidden="1" outlineLevel="2" x14ac:dyDescent="0.25">
      <c r="A51" s="26"/>
      <c r="B51" s="11" t="str">
        <f>CONCATENATE("          ", "6241", " - ", "OFFICE EXPENSE")</f>
        <v xml:space="preserve">          6241 - OFFICE EXPENSE</v>
      </c>
      <c r="C51" s="11"/>
      <c r="D51" s="7"/>
      <c r="E51" s="2"/>
      <c r="F51" s="6">
        <f t="shared" si="16"/>
        <v>0</v>
      </c>
      <c r="G51" s="2"/>
      <c r="H51" s="7">
        <v>975</v>
      </c>
      <c r="I51" s="2"/>
      <c r="J51" s="6">
        <f t="shared" si="17"/>
        <v>0</v>
      </c>
      <c r="K51" s="2"/>
      <c r="L51" s="7">
        <f t="shared" si="18"/>
        <v>-975</v>
      </c>
      <c r="M51" s="2"/>
      <c r="N51" s="6">
        <f t="shared" si="19"/>
        <v>-1</v>
      </c>
      <c r="O51" s="11"/>
      <c r="P51" s="7">
        <v>1847.14</v>
      </c>
      <c r="Q51" s="2"/>
      <c r="R51" s="6">
        <f t="shared" si="20"/>
        <v>0</v>
      </c>
      <c r="S51" s="2"/>
      <c r="T51" s="7">
        <v>10725</v>
      </c>
      <c r="U51" s="2"/>
      <c r="V51" s="6">
        <f t="shared" si="21"/>
        <v>0</v>
      </c>
      <c r="W51" s="2"/>
      <c r="X51" s="7">
        <f t="shared" si="22"/>
        <v>-8877.86</v>
      </c>
      <c r="Y51" s="2"/>
      <c r="Z51" s="6">
        <f t="shared" si="23"/>
        <v>-0.82777249417249421</v>
      </c>
    </row>
    <row r="52" spans="1:26" s="24" customFormat="1" hidden="1" outlineLevel="2" x14ac:dyDescent="0.25">
      <c r="A52" s="26"/>
      <c r="B52" s="11" t="str">
        <f>CONCATENATE("          ", "6245", " - ", "PRINTING")</f>
        <v xml:space="preserve">          6245 - PRINTING</v>
      </c>
      <c r="C52" s="11"/>
      <c r="D52" s="7"/>
      <c r="E52" s="2"/>
      <c r="F52" s="6">
        <f t="shared" si="16"/>
        <v>0</v>
      </c>
      <c r="G52" s="2"/>
      <c r="H52" s="7"/>
      <c r="I52" s="2"/>
      <c r="J52" s="6">
        <f t="shared" si="17"/>
        <v>0</v>
      </c>
      <c r="K52" s="2"/>
      <c r="L52" s="7">
        <f t="shared" si="18"/>
        <v>0</v>
      </c>
      <c r="M52" s="2"/>
      <c r="N52" s="6">
        <f t="shared" si="19"/>
        <v>0</v>
      </c>
      <c r="O52" s="11"/>
      <c r="P52" s="7">
        <v>346.42</v>
      </c>
      <c r="Q52" s="2"/>
      <c r="R52" s="6">
        <f t="shared" si="20"/>
        <v>0</v>
      </c>
      <c r="S52" s="2"/>
      <c r="T52" s="7"/>
      <c r="U52" s="2"/>
      <c r="V52" s="6">
        <f t="shared" si="21"/>
        <v>0</v>
      </c>
      <c r="W52" s="2"/>
      <c r="X52" s="7">
        <f t="shared" si="22"/>
        <v>346.42</v>
      </c>
      <c r="Y52" s="2"/>
      <c r="Z52" s="6">
        <f t="shared" si="23"/>
        <v>0</v>
      </c>
    </row>
    <row r="53" spans="1:26" s="27" customFormat="1" outlineLevel="1" collapsed="1" x14ac:dyDescent="0.25">
      <c r="A53" s="25"/>
      <c r="B53" s="12" t="str">
        <f>CONCATENATE("     ","Telephone/Data Lines                              ")</f>
        <v xml:space="preserve">     Telephone/Data Lines                              </v>
      </c>
      <c r="C53" s="12"/>
      <c r="D53" s="1">
        <f>SUM(OSRRefD22_8x_0)</f>
        <v>36</v>
      </c>
      <c r="E53" s="1"/>
      <c r="F53" s="5">
        <f t="shared" ref="F53:F58" si="24">IF(D$12=0,0,D53/D$12)</f>
        <v>0</v>
      </c>
      <c r="G53" s="1"/>
      <c r="H53" s="1">
        <f>SUM(OSRRefH22_8x_0)</f>
        <v>150</v>
      </c>
      <c r="I53" s="1"/>
      <c r="J53" s="5">
        <f t="shared" ref="J53:J58" si="25">IF(H$12=0,0,H53/H$12)</f>
        <v>0</v>
      </c>
      <c r="K53" s="1"/>
      <c r="L53" s="1">
        <f t="shared" ref="L53:L58" si="26">+D53-H53</f>
        <v>-114</v>
      </c>
      <c r="M53" s="1"/>
      <c r="N53" s="5">
        <f t="shared" ref="N53:N58" si="27">IF(H53=0,0,L53/H53)</f>
        <v>-0.76</v>
      </c>
      <c r="O53" s="12"/>
      <c r="P53" s="1">
        <f>SUM(OSRRefP22_8x_0)</f>
        <v>696.38</v>
      </c>
      <c r="Q53" s="1"/>
      <c r="R53" s="5">
        <f t="shared" ref="R53:R58" si="28">IF(P$12=0,0,P53/P$12)</f>
        <v>0</v>
      </c>
      <c r="S53" s="1"/>
      <c r="T53" s="1">
        <f>SUM(OSRRefT22_8x_0)</f>
        <v>1650</v>
      </c>
      <c r="U53" s="1"/>
      <c r="V53" s="5">
        <f t="shared" ref="V53:V58" si="29">IF(T$12=0,0,T53/T$12)</f>
        <v>0</v>
      </c>
      <c r="W53" s="1"/>
      <c r="X53" s="1">
        <f t="shared" ref="X53:X58" si="30">+P53-T53</f>
        <v>-953.62</v>
      </c>
      <c r="Y53" s="1"/>
      <c r="Z53" s="5">
        <f t="shared" ref="Z53:Z58" si="31">IF(T53=0,0,X53/T53)</f>
        <v>-0.57795151515151511</v>
      </c>
    </row>
    <row r="54" spans="1:26" s="24" customFormat="1" hidden="1" outlineLevel="2" x14ac:dyDescent="0.25">
      <c r="A54" s="26"/>
      <c r="B54" s="11" t="str">
        <f>CONCATENATE("          ", "6309", " - ", "TELEPHONE")</f>
        <v xml:space="preserve">          6309 - TELEPHONE</v>
      </c>
      <c r="C54" s="11"/>
      <c r="D54" s="7">
        <v>36</v>
      </c>
      <c r="E54" s="2"/>
      <c r="F54" s="6">
        <f t="shared" si="24"/>
        <v>0</v>
      </c>
      <c r="G54" s="2"/>
      <c r="H54" s="7">
        <v>150</v>
      </c>
      <c r="I54" s="2"/>
      <c r="J54" s="6">
        <f t="shared" si="25"/>
        <v>0</v>
      </c>
      <c r="K54" s="2"/>
      <c r="L54" s="7">
        <f t="shared" si="26"/>
        <v>-114</v>
      </c>
      <c r="M54" s="2"/>
      <c r="N54" s="6">
        <f t="shared" si="27"/>
        <v>-0.76</v>
      </c>
      <c r="O54" s="11"/>
      <c r="P54" s="7">
        <v>696.38</v>
      </c>
      <c r="Q54" s="2"/>
      <c r="R54" s="6">
        <f t="shared" si="28"/>
        <v>0</v>
      </c>
      <c r="S54" s="2"/>
      <c r="T54" s="7">
        <v>1650</v>
      </c>
      <c r="U54" s="2"/>
      <c r="V54" s="6">
        <f t="shared" si="29"/>
        <v>0</v>
      </c>
      <c r="W54" s="2"/>
      <c r="X54" s="7">
        <f t="shared" si="30"/>
        <v>-953.62</v>
      </c>
      <c r="Y54" s="2"/>
      <c r="Z54" s="6">
        <f t="shared" si="31"/>
        <v>-0.57795151515151511</v>
      </c>
    </row>
    <row r="55" spans="1:26" s="27" customFormat="1" outlineLevel="1" collapsed="1" x14ac:dyDescent="0.25">
      <c r="A55" s="25"/>
      <c r="B55" s="12" t="str">
        <f>CONCATENATE("     ","Training                                          ")</f>
        <v xml:space="preserve">     Training                                          </v>
      </c>
      <c r="C55" s="12"/>
      <c r="D55" s="1">
        <f>SUM(OSRRefD22_9x_0)</f>
        <v>0</v>
      </c>
      <c r="E55" s="1"/>
      <c r="F55" s="5">
        <f t="shared" si="24"/>
        <v>0</v>
      </c>
      <c r="G55" s="1"/>
      <c r="H55" s="1">
        <f>SUM(OSRRefH22_9x_0)</f>
        <v>200</v>
      </c>
      <c r="I55" s="1"/>
      <c r="J55" s="5">
        <f t="shared" si="25"/>
        <v>0</v>
      </c>
      <c r="K55" s="1"/>
      <c r="L55" s="1">
        <f t="shared" si="26"/>
        <v>-200</v>
      </c>
      <c r="M55" s="1"/>
      <c r="N55" s="5">
        <f t="shared" si="27"/>
        <v>-1</v>
      </c>
      <c r="O55" s="12"/>
      <c r="P55" s="1">
        <f>SUM(OSRRefP22_9x_0)</f>
        <v>0</v>
      </c>
      <c r="Q55" s="1"/>
      <c r="R55" s="5">
        <f t="shared" si="28"/>
        <v>0</v>
      </c>
      <c r="S55" s="1"/>
      <c r="T55" s="1">
        <f>SUM(OSRRefT22_9x_0)</f>
        <v>2200</v>
      </c>
      <c r="U55" s="1"/>
      <c r="V55" s="5">
        <f t="shared" si="29"/>
        <v>0</v>
      </c>
      <c r="W55" s="1"/>
      <c r="X55" s="1">
        <f t="shared" si="30"/>
        <v>-2200</v>
      </c>
      <c r="Y55" s="1"/>
      <c r="Z55" s="5">
        <f t="shared" si="31"/>
        <v>-1</v>
      </c>
    </row>
    <row r="56" spans="1:26" s="24" customFormat="1" hidden="1" outlineLevel="2" x14ac:dyDescent="0.25">
      <c r="A56" s="26"/>
      <c r="B56" s="11" t="str">
        <f>CONCATENATE("          ", "6376", " - ", "TRAINING")</f>
        <v xml:space="preserve">          6376 - TRAINING</v>
      </c>
      <c r="C56" s="11"/>
      <c r="D56" s="7"/>
      <c r="E56" s="2"/>
      <c r="F56" s="6">
        <f t="shared" si="24"/>
        <v>0</v>
      </c>
      <c r="G56" s="2"/>
      <c r="H56" s="7">
        <v>200</v>
      </c>
      <c r="I56" s="2"/>
      <c r="J56" s="6">
        <f t="shared" si="25"/>
        <v>0</v>
      </c>
      <c r="K56" s="2"/>
      <c r="L56" s="7">
        <f t="shared" si="26"/>
        <v>-200</v>
      </c>
      <c r="M56" s="2"/>
      <c r="N56" s="6">
        <f t="shared" si="27"/>
        <v>-1</v>
      </c>
      <c r="O56" s="11"/>
      <c r="P56" s="7"/>
      <c r="Q56" s="2"/>
      <c r="R56" s="6">
        <f t="shared" si="28"/>
        <v>0</v>
      </c>
      <c r="S56" s="2"/>
      <c r="T56" s="7">
        <v>2200</v>
      </c>
      <c r="U56" s="2"/>
      <c r="V56" s="6">
        <f t="shared" si="29"/>
        <v>0</v>
      </c>
      <c r="W56" s="2"/>
      <c r="X56" s="7">
        <f t="shared" si="30"/>
        <v>-2200</v>
      </c>
      <c r="Y56" s="2"/>
      <c r="Z56" s="6">
        <f t="shared" si="31"/>
        <v>-1</v>
      </c>
    </row>
    <row r="57" spans="1:26" s="27" customFormat="1" outlineLevel="1" collapsed="1" x14ac:dyDescent="0.25">
      <c r="A57" s="25"/>
      <c r="B57" s="12" t="str">
        <f>CONCATENATE("     ","Travel                                            ")</f>
        <v xml:space="preserve">     Travel                                            </v>
      </c>
      <c r="C57" s="12"/>
      <c r="D57" s="1">
        <f>SUM(OSRRefD22_10x_0)</f>
        <v>0</v>
      </c>
      <c r="E57" s="1"/>
      <c r="F57" s="5">
        <f t="shared" si="24"/>
        <v>0</v>
      </c>
      <c r="G57" s="1"/>
      <c r="H57" s="1">
        <f>SUM(OSRRefH22_10x_0)</f>
        <v>500</v>
      </c>
      <c r="I57" s="1"/>
      <c r="J57" s="5">
        <f t="shared" si="25"/>
        <v>0</v>
      </c>
      <c r="K57" s="1"/>
      <c r="L57" s="1">
        <f t="shared" si="26"/>
        <v>-500</v>
      </c>
      <c r="M57" s="1"/>
      <c r="N57" s="5">
        <f t="shared" si="27"/>
        <v>-1</v>
      </c>
      <c r="O57" s="12"/>
      <c r="P57" s="1">
        <f>SUM(OSRRefP22_10x_0)</f>
        <v>3921.38</v>
      </c>
      <c r="Q57" s="1"/>
      <c r="R57" s="5">
        <f t="shared" si="28"/>
        <v>0</v>
      </c>
      <c r="S57" s="1"/>
      <c r="T57" s="1">
        <f>SUM(OSRRefT22_10x_0)</f>
        <v>5500</v>
      </c>
      <c r="U57" s="1"/>
      <c r="V57" s="5">
        <f t="shared" si="29"/>
        <v>0</v>
      </c>
      <c r="W57" s="1"/>
      <c r="X57" s="1">
        <f t="shared" si="30"/>
        <v>-1578.62</v>
      </c>
      <c r="Y57" s="1"/>
      <c r="Z57" s="5">
        <f t="shared" si="31"/>
        <v>-0.28702181818181816</v>
      </c>
    </row>
    <row r="58" spans="1:26" s="24" customFormat="1" hidden="1" outlineLevel="2" x14ac:dyDescent="0.25">
      <c r="A58" s="26"/>
      <c r="B58" s="11" t="str">
        <f>CONCATENATE("          ", "6292", " - ", "TRAVEL/CONFERENCE")</f>
        <v xml:space="preserve">          6292 - TRAVEL/CONFERENCE</v>
      </c>
      <c r="C58" s="11"/>
      <c r="D58" s="7"/>
      <c r="E58" s="2"/>
      <c r="F58" s="6">
        <f t="shared" si="24"/>
        <v>0</v>
      </c>
      <c r="G58" s="2"/>
      <c r="H58" s="7">
        <v>500</v>
      </c>
      <c r="I58" s="2"/>
      <c r="J58" s="6">
        <f t="shared" si="25"/>
        <v>0</v>
      </c>
      <c r="K58" s="2"/>
      <c r="L58" s="7">
        <f t="shared" si="26"/>
        <v>-500</v>
      </c>
      <c r="M58" s="2"/>
      <c r="N58" s="6">
        <f t="shared" si="27"/>
        <v>-1</v>
      </c>
      <c r="O58" s="11"/>
      <c r="P58" s="7">
        <v>3921.38</v>
      </c>
      <c r="Q58" s="2"/>
      <c r="R58" s="6">
        <f t="shared" si="28"/>
        <v>0</v>
      </c>
      <c r="S58" s="2"/>
      <c r="T58" s="7">
        <v>5500</v>
      </c>
      <c r="U58" s="2"/>
      <c r="V58" s="6">
        <f t="shared" si="29"/>
        <v>0</v>
      </c>
      <c r="W58" s="2"/>
      <c r="X58" s="7">
        <f t="shared" si="30"/>
        <v>-1578.62</v>
      </c>
      <c r="Y58" s="2"/>
      <c r="Z58" s="6">
        <f t="shared" si="31"/>
        <v>-0.28702181818181816</v>
      </c>
    </row>
    <row r="59" spans="1:26" s="62" customFormat="1" x14ac:dyDescent="0.25">
      <c r="A59" s="36"/>
      <c r="B59" s="36"/>
      <c r="C59" s="36"/>
      <c r="D59" s="1"/>
      <c r="E59" s="1"/>
      <c r="F59" s="5"/>
      <c r="G59" s="1"/>
      <c r="H59" s="1"/>
      <c r="I59" s="1"/>
      <c r="J59" s="5"/>
      <c r="K59" s="1"/>
      <c r="L59" s="1"/>
      <c r="M59" s="1"/>
      <c r="N59" s="5"/>
      <c r="O59" s="36"/>
      <c r="P59" s="1"/>
      <c r="Q59" s="1"/>
      <c r="R59" s="5"/>
      <c r="S59" s="1"/>
      <c r="T59" s="1"/>
      <c r="U59" s="1"/>
      <c r="V59" s="5"/>
      <c r="W59" s="1"/>
      <c r="X59" s="1"/>
      <c r="Y59" s="1"/>
      <c r="Z59" s="5"/>
    </row>
    <row r="60" spans="1:26" s="23" customFormat="1" x14ac:dyDescent="0.25">
      <c r="A60" s="10"/>
      <c r="B60" s="28" t="s">
        <v>0</v>
      </c>
      <c r="C60" s="10"/>
      <c r="D60" s="4">
        <f>SUM(0)</f>
        <v>0</v>
      </c>
      <c r="E60" s="4"/>
      <c r="F60" s="13">
        <f>IF(D$12=0,0,D60/D$12)</f>
        <v>0</v>
      </c>
      <c r="G60" s="4"/>
      <c r="H60" s="4">
        <f>SUM(0)</f>
        <v>0</v>
      </c>
      <c r="I60" s="4"/>
      <c r="J60" s="13">
        <f>IF(H$12=0,0,H60/H$12)</f>
        <v>0</v>
      </c>
      <c r="K60" s="4"/>
      <c r="L60" s="4">
        <f>+D60-H60</f>
        <v>0</v>
      </c>
      <c r="M60" s="4"/>
      <c r="N60" s="13">
        <f>IF(H60=0,0,L60/H60)</f>
        <v>0</v>
      </c>
      <c r="O60" s="10"/>
      <c r="P60" s="4">
        <f>SUM(0)</f>
        <v>0</v>
      </c>
      <c r="Q60" s="4"/>
      <c r="R60" s="13">
        <f>IF(P$12=0,0,P60/P$12)</f>
        <v>0</v>
      </c>
      <c r="S60" s="4"/>
      <c r="T60" s="4">
        <f>SUM(0)</f>
        <v>0</v>
      </c>
      <c r="U60" s="4"/>
      <c r="V60" s="13">
        <f>IF(T$12=0,0,T60/T$12)</f>
        <v>0</v>
      </c>
      <c r="W60" s="4"/>
      <c r="X60" s="4">
        <f>+P60-T60</f>
        <v>0</v>
      </c>
      <c r="Y60" s="4"/>
      <c r="Z60" s="13">
        <f>IF(T60=0,0,X60/T60)</f>
        <v>0</v>
      </c>
    </row>
    <row r="61" spans="1:26" x14ac:dyDescent="0.25">
      <c r="A61" s="9"/>
      <c r="B61" s="10"/>
      <c r="C61" s="10"/>
      <c r="D61" s="3"/>
      <c r="E61" s="3"/>
      <c r="F61" s="8"/>
      <c r="G61" s="3"/>
      <c r="H61" s="3"/>
      <c r="I61" s="3"/>
      <c r="J61" s="8"/>
      <c r="K61" s="3"/>
      <c r="L61" s="3"/>
      <c r="M61" s="3"/>
      <c r="N61" s="8"/>
      <c r="O61" s="10"/>
      <c r="P61" s="3"/>
      <c r="Q61" s="3"/>
      <c r="R61" s="8"/>
      <c r="S61" s="3"/>
      <c r="T61" s="3"/>
      <c r="U61" s="3"/>
      <c r="V61" s="8"/>
      <c r="W61" s="3"/>
      <c r="X61" s="3"/>
      <c r="Y61" s="3"/>
      <c r="Z61" s="8"/>
    </row>
    <row r="62" spans="1:26" s="23" customFormat="1" x14ac:dyDescent="0.25">
      <c r="A62" s="10"/>
      <c r="B62" s="29" t="s">
        <v>3</v>
      </c>
      <c r="C62" s="29"/>
      <c r="D62" s="20">
        <f>+D16-D18+D60</f>
        <v>-8403.91</v>
      </c>
      <c r="E62" s="14"/>
      <c r="F62" s="22">
        <f>IF(D$12=0,0,D62/D$12)</f>
        <v>0</v>
      </c>
      <c r="G62" s="14"/>
      <c r="H62" s="20">
        <f>+H16-H18+H60</f>
        <v>-14746.581221016</v>
      </c>
      <c r="I62" s="14"/>
      <c r="J62" s="22">
        <f>IF(H$12=0,0,H62/H$12)</f>
        <v>0</v>
      </c>
      <c r="K62" s="16"/>
      <c r="L62" s="20">
        <f>+D62-H62</f>
        <v>6342.6712210160003</v>
      </c>
      <c r="M62" s="16"/>
      <c r="N62" s="22">
        <f>IF(H62=0,0,L62/H62)</f>
        <v>-0.43011130010098758</v>
      </c>
      <c r="O62" s="28"/>
      <c r="P62" s="20">
        <f>+P16-P18+P60</f>
        <v>-98248.739999999991</v>
      </c>
      <c r="Q62" s="14"/>
      <c r="R62" s="22">
        <f>IF(P$12=0,0,P62/P$12)</f>
        <v>0</v>
      </c>
      <c r="S62" s="14"/>
      <c r="T62" s="20">
        <f>+T16-T18+T60</f>
        <v>-175033.931147442</v>
      </c>
      <c r="U62" s="14"/>
      <c r="V62" s="22">
        <f>IF(T$12=0,0,T62/T$12)</f>
        <v>0</v>
      </c>
      <c r="W62" s="16"/>
      <c r="X62" s="20">
        <f>+P62-T62</f>
        <v>76785.191147442005</v>
      </c>
      <c r="Y62" s="16"/>
      <c r="Z62" s="22">
        <f>IF(T62=0,0,X62/T62)</f>
        <v>-0.43868746273407438</v>
      </c>
    </row>
    <row r="63" spans="1:26" x14ac:dyDescent="0.25">
      <c r="A63" s="9"/>
      <c r="B63" s="10"/>
      <c r="C63" s="9"/>
      <c r="D63" s="3"/>
      <c r="E63" s="3"/>
      <c r="F63" s="8"/>
      <c r="G63" s="3"/>
      <c r="H63" s="3"/>
      <c r="I63" s="3"/>
      <c r="J63" s="8"/>
      <c r="K63" s="3"/>
      <c r="L63" s="3"/>
      <c r="M63" s="3"/>
      <c r="N63" s="8"/>
      <c r="P63" s="3"/>
      <c r="Q63" s="3"/>
      <c r="R63" s="8"/>
      <c r="S63" s="3"/>
      <c r="T63" s="3"/>
      <c r="U63" s="3"/>
      <c r="V63" s="8"/>
      <c r="W63" s="3"/>
      <c r="X63" s="3"/>
      <c r="Y63" s="3"/>
      <c r="Z63" s="8"/>
    </row>
    <row r="64" spans="1:26" s="23" customFormat="1" x14ac:dyDescent="0.25">
      <c r="A64" s="52"/>
      <c r="B64" s="10" t="s">
        <v>14</v>
      </c>
      <c r="C64" s="10"/>
      <c r="D64" s="4"/>
      <c r="E64" s="4"/>
      <c r="F64" s="13">
        <f>IF(D$12=0,0,D64/D$12)</f>
        <v>0</v>
      </c>
      <c r="G64" s="4"/>
      <c r="H64" s="4"/>
      <c r="I64" s="4"/>
      <c r="J64" s="13">
        <f>IF(H$12=0,0,H64/H$12)</f>
        <v>0</v>
      </c>
      <c r="K64" s="4"/>
      <c r="L64" s="4">
        <f>+D64-H64</f>
        <v>0</v>
      </c>
      <c r="M64" s="4"/>
      <c r="N64" s="13">
        <f>IF(H64=0,0,L64/H64)</f>
        <v>0</v>
      </c>
      <c r="O64" s="10"/>
      <c r="P64" s="4"/>
      <c r="Q64" s="4"/>
      <c r="R64" s="13">
        <f>IF(P$12=0,0,P64/P$12)</f>
        <v>0</v>
      </c>
      <c r="S64" s="4"/>
      <c r="T64" s="4">
        <v>0</v>
      </c>
      <c r="U64" s="4"/>
      <c r="V64" s="13">
        <f>IF(T$12=0,0,T64/T$12)</f>
        <v>0</v>
      </c>
      <c r="W64" s="4"/>
      <c r="X64" s="4">
        <f>+P64-T64</f>
        <v>0</v>
      </c>
      <c r="Y64" s="4"/>
      <c r="Z64" s="13">
        <f>IF(T64=0,0,X64/T64)</f>
        <v>0</v>
      </c>
    </row>
    <row r="65" spans="1:26" x14ac:dyDescent="0.25">
      <c r="A65" s="9"/>
      <c r="B65" s="10"/>
      <c r="C65" s="10"/>
      <c r="D65" s="3"/>
      <c r="E65" s="3"/>
      <c r="F65" s="8"/>
      <c r="G65" s="3"/>
      <c r="H65" s="3"/>
      <c r="I65" s="3"/>
      <c r="J65" s="8"/>
      <c r="K65" s="3"/>
      <c r="L65" s="3"/>
      <c r="M65" s="3"/>
      <c r="N65" s="8"/>
      <c r="O65" s="10"/>
      <c r="P65" s="3"/>
      <c r="Q65" s="3"/>
      <c r="R65" s="8"/>
      <c r="S65" s="3"/>
      <c r="T65" s="3"/>
      <c r="U65" s="3"/>
      <c r="V65" s="8"/>
      <c r="W65" s="3"/>
      <c r="X65" s="3"/>
      <c r="Y65" s="3"/>
      <c r="Z65" s="8"/>
    </row>
    <row r="66" spans="1:26" s="23" customFormat="1" ht="15.75" thickBot="1" x14ac:dyDescent="0.3">
      <c r="A66" s="10"/>
      <c r="B66" s="29" t="s">
        <v>4</v>
      </c>
      <c r="C66" s="29"/>
      <c r="D66" s="35">
        <f>+D62-D64</f>
        <v>-8403.91</v>
      </c>
      <c r="E66" s="14"/>
      <c r="F66" s="32">
        <f>IF(D$12=0,0,D66/D$12)</f>
        <v>0</v>
      </c>
      <c r="G66" s="14"/>
      <c r="H66" s="35">
        <f>+H62-H64</f>
        <v>-14746.581221016</v>
      </c>
      <c r="I66" s="14"/>
      <c r="J66" s="32">
        <f>IF(H$12=0,0,H66/H$12)</f>
        <v>0</v>
      </c>
      <c r="K66" s="16"/>
      <c r="L66" s="35">
        <f>D66-H66</f>
        <v>6342.6712210160003</v>
      </c>
      <c r="M66" s="16"/>
      <c r="N66" s="32">
        <f>IF(H66=0,0,L66/H66)</f>
        <v>-0.43011130010098758</v>
      </c>
      <c r="O66" s="28"/>
      <c r="P66" s="35">
        <f>+P62-P64</f>
        <v>-98248.739999999991</v>
      </c>
      <c r="Q66" s="14"/>
      <c r="R66" s="32">
        <f>IF(P$12=0,0,P66/P$12)</f>
        <v>0</v>
      </c>
      <c r="S66" s="14"/>
      <c r="T66" s="35">
        <f>+T62-T64</f>
        <v>-175033.931147442</v>
      </c>
      <c r="U66" s="14"/>
      <c r="V66" s="32">
        <f>IF(T$12=0,0,T66/T$12)</f>
        <v>0</v>
      </c>
      <c r="W66" s="16"/>
      <c r="X66" s="35">
        <f>P66-T66</f>
        <v>76785.191147442005</v>
      </c>
      <c r="Y66" s="16"/>
      <c r="Z66" s="32">
        <f>IF(T66=0,0,X66/T66)</f>
        <v>-0.43868746273407438</v>
      </c>
    </row>
    <row r="67" spans="1:26" ht="15.75" thickTop="1" x14ac:dyDescent="0.25">
      <c r="A67" s="9"/>
      <c r="B67" s="9"/>
      <c r="C67" s="9"/>
      <c r="D67" s="3"/>
      <c r="E67" s="3"/>
      <c r="F67" s="8"/>
      <c r="G67" s="3"/>
      <c r="H67" s="3"/>
      <c r="I67" s="3"/>
      <c r="J67" s="8"/>
      <c r="K67" s="3"/>
      <c r="L67" s="3"/>
      <c r="M67" s="3"/>
      <c r="N67" s="8"/>
      <c r="P67" s="3"/>
      <c r="Q67" s="3"/>
      <c r="R67" s="8"/>
      <c r="S67" s="3"/>
      <c r="T67" s="3"/>
      <c r="U67" s="3"/>
      <c r="V67" s="8"/>
      <c r="W67" s="3"/>
      <c r="X67" s="3"/>
      <c r="Y67" s="3"/>
      <c r="Z67" s="8"/>
    </row>
    <row r="68" spans="1:26" x14ac:dyDescent="0.25">
      <c r="A68" s="9"/>
      <c r="B68" s="9"/>
      <c r="C68" s="9"/>
      <c r="D68" s="3"/>
      <c r="E68" s="3"/>
      <c r="F68" s="8"/>
      <c r="G68" s="3"/>
      <c r="H68" s="3"/>
      <c r="I68" s="3"/>
      <c r="J68" s="8"/>
      <c r="K68" s="3"/>
      <c r="L68" s="3"/>
      <c r="M68" s="3"/>
      <c r="N68" s="8"/>
      <c r="P68" s="3"/>
      <c r="Q68" s="3"/>
      <c r="R68" s="8"/>
      <c r="S68" s="3"/>
      <c r="T68" s="3"/>
      <c r="U68" s="3"/>
      <c r="V68" s="8"/>
      <c r="W68" s="3"/>
      <c r="X68" s="3"/>
      <c r="Y68" s="3"/>
      <c r="Z68" s="8"/>
    </row>
    <row r="69" spans="1:26" s="23" customFormat="1" ht="15.75" thickBot="1" x14ac:dyDescent="0.3">
      <c r="A69" s="10"/>
      <c r="B69" s="29" t="s">
        <v>5</v>
      </c>
      <c r="C69" s="29"/>
      <c r="D69" s="34">
        <f>SUM(D66:D68)</f>
        <v>-8403.91</v>
      </c>
      <c r="E69" s="14"/>
      <c r="F69" s="31">
        <f>IF(D$12=0,0,D69/D$12)</f>
        <v>0</v>
      </c>
      <c r="G69" s="14"/>
      <c r="H69" s="34">
        <f>SUM(H66:H68)</f>
        <v>-14746.581221016</v>
      </c>
      <c r="I69" s="14"/>
      <c r="J69" s="31">
        <f>IF(H$12=0,0,H69/H$12)</f>
        <v>0</v>
      </c>
      <c r="K69" s="16"/>
      <c r="L69" s="34">
        <f>+D69-H69</f>
        <v>6342.6712210160003</v>
      </c>
      <c r="M69" s="16"/>
      <c r="N69" s="31">
        <f>IF(H69=0,0,L69/H69)</f>
        <v>-0.43011130010098758</v>
      </c>
      <c r="O69" s="28"/>
      <c r="P69" s="34">
        <f>SUM(P66:P68)</f>
        <v>-98248.739999999991</v>
      </c>
      <c r="Q69" s="14"/>
      <c r="R69" s="31">
        <f>IF(P$12=0,0,P69/P$12)</f>
        <v>0</v>
      </c>
      <c r="S69" s="14"/>
      <c r="T69" s="34">
        <f>SUM(T66:T68)</f>
        <v>-175033.931147442</v>
      </c>
      <c r="U69" s="14"/>
      <c r="V69" s="31">
        <f>IF(T$12=0,0,T69/T$12)</f>
        <v>0</v>
      </c>
      <c r="W69" s="16"/>
      <c r="X69" s="34">
        <f>+P69-T69</f>
        <v>76785.191147442005</v>
      </c>
      <c r="Y69" s="16"/>
      <c r="Z69" s="31">
        <f>IF(T69=0,0,X69/T69)</f>
        <v>-0.43868746273407438</v>
      </c>
    </row>
    <row r="70" spans="1:26" ht="15.75" thickTop="1" x14ac:dyDescent="0.25">
      <c r="A70" s="9"/>
      <c r="C70" s="9"/>
      <c r="D70" s="18"/>
      <c r="E70" s="18"/>
      <c r="G70" s="18"/>
      <c r="H70" s="18"/>
      <c r="I70" s="18"/>
      <c r="J70" s="42"/>
      <c r="K70" s="18"/>
      <c r="L70" s="18"/>
      <c r="M70" s="18"/>
      <c r="P70" s="18"/>
      <c r="Q70" s="18"/>
      <c r="R70" s="42"/>
      <c r="S70" s="18"/>
      <c r="T70" s="18"/>
      <c r="U70" s="18"/>
      <c r="V70" s="42"/>
      <c r="W70" s="18"/>
      <c r="X70" s="18"/>
    </row>
    <row r="71" spans="1:26" x14ac:dyDescent="0.25">
      <c r="A71" s="9"/>
      <c r="B71" s="59">
        <v>43992.371407256942</v>
      </c>
      <c r="D71" s="18"/>
      <c r="E71" s="18"/>
      <c r="G71" s="18"/>
      <c r="H71" s="18"/>
      <c r="I71" s="18"/>
      <c r="J71" s="42"/>
      <c r="K71" s="18"/>
      <c r="L71" s="18"/>
      <c r="M71" s="18"/>
      <c r="P71" s="18"/>
      <c r="Q71" s="18"/>
      <c r="R71" s="42"/>
      <c r="S71" s="18"/>
      <c r="T71" s="18"/>
      <c r="U71" s="18"/>
      <c r="V71" s="42"/>
      <c r="W71" s="18"/>
      <c r="X71" s="18"/>
    </row>
    <row r="72" spans="1:26" x14ac:dyDescent="0.25">
      <c r="A72" s="9"/>
      <c r="B72" s="56" t="s">
        <v>314</v>
      </c>
      <c r="D72" s="18"/>
      <c r="E72" s="18"/>
      <c r="G72" s="18"/>
      <c r="H72" s="18"/>
      <c r="I72" s="18"/>
      <c r="J72" s="42"/>
      <c r="K72" s="18"/>
      <c r="L72" s="18"/>
      <c r="M72" s="18"/>
      <c r="P72" s="18"/>
      <c r="Q72" s="18"/>
      <c r="R72" s="42"/>
      <c r="S72" s="18"/>
      <c r="T72" s="18"/>
      <c r="U72" s="18"/>
      <c r="V72" s="42"/>
      <c r="W72" s="18"/>
      <c r="X72" s="18"/>
    </row>
    <row r="73" spans="1:26" x14ac:dyDescent="0.25">
      <c r="A73" s="9"/>
      <c r="B73" s="54"/>
      <c r="D73" s="18"/>
      <c r="E73" s="18"/>
      <c r="G73" s="18"/>
      <c r="H73" s="18"/>
      <c r="I73" s="18"/>
      <c r="J73" s="42"/>
      <c r="K73" s="18"/>
      <c r="L73" s="18"/>
      <c r="M73" s="18"/>
      <c r="P73" s="18"/>
      <c r="Q73" s="18"/>
      <c r="R73" s="42"/>
      <c r="S73" s="18"/>
      <c r="T73" s="18"/>
      <c r="U73" s="18"/>
      <c r="V73" s="42"/>
      <c r="W73" s="18"/>
      <c r="X73" s="18"/>
    </row>
    <row r="74" spans="1:26" x14ac:dyDescent="0.25">
      <c r="D74" s="18"/>
      <c r="E74" s="18"/>
      <c r="G74" s="18"/>
      <c r="H74" s="18"/>
      <c r="I74" s="18"/>
      <c r="J74" s="42"/>
      <c r="K74" s="18"/>
      <c r="L74" s="18"/>
      <c r="M74" s="18"/>
      <c r="P74" s="18"/>
      <c r="Q74" s="18"/>
      <c r="R74" s="42"/>
      <c r="S74" s="18"/>
      <c r="T74" s="18"/>
      <c r="U74" s="18"/>
      <c r="V74" s="42"/>
      <c r="W74" s="18"/>
      <c r="X74" s="18"/>
    </row>
  </sheetData>
  <pageMargins left="0.25" right="0.25" top="0.75" bottom="0.75" header="0.3" footer="0.3"/>
  <pageSetup scale="55" fitToWidth="2" orientation="landscape"/>
  <drawing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301"/>
  <sheetViews>
    <sheetView zoomScale="80" workbookViewId="0">
      <pane xSplit="3" ySplit="10" topLeftCell="D185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63" t="s">
        <v>13</v>
      </c>
    </row>
    <row r="3" spans="1:26" x14ac:dyDescent="0.25">
      <c r="D3" s="63" t="s">
        <v>296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61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63" t="str">
        <f>CONCATENATE("Period ",RIGHT(202011,2),", ",2020)</f>
        <v>Period 11, 2020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61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4">
        <v>43981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61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51"/>
      <c r="C6" s="51"/>
      <c r="D6" s="23" t="s">
        <v>308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57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5" t="s">
        <v>294</v>
      </c>
      <c r="E9" s="15"/>
      <c r="F9" s="38"/>
      <c r="G9" s="15"/>
      <c r="H9" s="15"/>
      <c r="I9" s="15"/>
      <c r="J9" s="46"/>
      <c r="K9" s="15"/>
      <c r="L9" s="15"/>
      <c r="M9" s="15"/>
      <c r="N9" s="38"/>
      <c r="P9" s="15" t="s">
        <v>295</v>
      </c>
      <c r="Q9" s="15"/>
      <c r="R9" s="38"/>
      <c r="S9" s="15"/>
      <c r="T9" s="15"/>
      <c r="U9" s="15"/>
      <c r="V9" s="46"/>
      <c r="W9" s="15"/>
      <c r="X9" s="15"/>
      <c r="Y9" s="15"/>
      <c r="Z9" s="38"/>
    </row>
    <row r="10" spans="1:26" x14ac:dyDescent="0.25">
      <c r="A10" s="10"/>
      <c r="B10" s="55"/>
      <c r="C10" s="10"/>
      <c r="D10" s="43" t="s">
        <v>10</v>
      </c>
      <c r="E10" s="33"/>
      <c r="F10" s="40" t="s">
        <v>15</v>
      </c>
      <c r="G10" s="33"/>
      <c r="H10" s="47" t="s">
        <v>11</v>
      </c>
      <c r="I10" s="33"/>
      <c r="J10" s="45" t="s">
        <v>16</v>
      </c>
      <c r="K10" s="10"/>
      <c r="L10" s="43" t="s">
        <v>12</v>
      </c>
      <c r="M10" s="10"/>
      <c r="N10" s="40" t="s">
        <v>17</v>
      </c>
      <c r="O10" s="10"/>
      <c r="P10" s="53" t="s">
        <v>10</v>
      </c>
      <c r="Q10" s="33"/>
      <c r="R10" s="40" t="s">
        <v>15</v>
      </c>
      <c r="S10" s="33"/>
      <c r="T10" s="47" t="s">
        <v>11</v>
      </c>
      <c r="U10" s="33"/>
      <c r="V10" s="45" t="s">
        <v>16</v>
      </c>
      <c r="W10" s="10"/>
      <c r="X10" s="43" t="s">
        <v>12</v>
      </c>
      <c r="Y10" s="10"/>
      <c r="Z10" s="40" t="s">
        <v>17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263658.58999999985</v>
      </c>
      <c r="E12" s="4"/>
      <c r="F12" s="13"/>
      <c r="G12" s="4"/>
      <c r="H12" s="4">
        <f>SUM(OSRRefH13x_0)</f>
        <v>1362131.64855</v>
      </c>
      <c r="I12" s="4"/>
      <c r="J12" s="13"/>
      <c r="K12" s="4"/>
      <c r="L12" s="4">
        <f t="shared" ref="L12:L114" si="0">+D12-H12</f>
        <v>-1098473.0585500002</v>
      </c>
      <c r="M12" s="4"/>
      <c r="N12" s="13">
        <f t="shared" ref="N12:N114" si="1">IF(H12=0,0,L12/H12)</f>
        <v>-0.80643677850032591</v>
      </c>
      <c r="O12" s="10"/>
      <c r="P12" s="4">
        <f>SUM(OSRRefP13x_0)</f>
        <v>11391364.060000006</v>
      </c>
      <c r="Q12" s="4"/>
      <c r="R12" s="13"/>
      <c r="S12" s="4"/>
      <c r="T12" s="4">
        <f>SUM(OSRRefT13x_0)</f>
        <v>14789132.548699999</v>
      </c>
      <c r="U12" s="4"/>
      <c r="V12" s="13"/>
      <c r="W12" s="4"/>
      <c r="X12" s="4">
        <f t="shared" ref="X12:X114" si="2">+P12-T12</f>
        <v>-3397768.4886999931</v>
      </c>
      <c r="Y12" s="4"/>
      <c r="Z12" s="13">
        <f t="shared" ref="Z12:Z114" si="3">IF(T12=0,0,X12/T12)</f>
        <v>-0.22974765271129208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>0</f>
        <v>0</v>
      </c>
      <c r="E13" s="2"/>
      <c r="F13" s="19"/>
      <c r="G13" s="2"/>
      <c r="H13" s="2">
        <v>839922.64854999993</v>
      </c>
      <c r="I13" s="2"/>
      <c r="J13" s="19"/>
      <c r="K13" s="2"/>
      <c r="L13" s="2">
        <f t="shared" si="0"/>
        <v>-839922.64854999993</v>
      </c>
      <c r="M13" s="2"/>
      <c r="N13" s="19">
        <f t="shared" si="1"/>
        <v>-1</v>
      </c>
      <c r="O13" s="11"/>
      <c r="P13" s="2">
        <f>0</f>
        <v>0</v>
      </c>
      <c r="Q13" s="2"/>
      <c r="R13" s="19"/>
      <c r="S13" s="2"/>
      <c r="T13" s="2">
        <v>6172376.5486999992</v>
      </c>
      <c r="U13" s="2"/>
      <c r="V13" s="19"/>
      <c r="W13" s="2"/>
      <c r="X13" s="2">
        <f t="shared" si="2"/>
        <v>-6172376.5486999992</v>
      </c>
      <c r="Y13" s="2"/>
      <c r="Z13" s="19">
        <f t="shared" si="3"/>
        <v>-1</v>
      </c>
    </row>
    <row r="14" spans="1:26" s="24" customFormat="1" hidden="1" outlineLevel="1" x14ac:dyDescent="0.25">
      <c r="A14" s="44"/>
      <c r="B14" s="11" t="str">
        <f>CONCATENATE("          ", "4001", " - ", "TAXABLE SALES-NEW TEXT")</f>
        <v xml:space="preserve">          4001 - TAXABLE SALES-NEW TEXT</v>
      </c>
      <c r="C14" s="11"/>
      <c r="D14" s="2">
        <f>--37281.91</f>
        <v>37281.910000000003</v>
      </c>
      <c r="E14" s="2"/>
      <c r="F14" s="19"/>
      <c r="G14" s="2"/>
      <c r="H14" s="2"/>
      <c r="I14" s="2"/>
      <c r="J14" s="19"/>
      <c r="K14" s="2"/>
      <c r="L14" s="2">
        <f t="shared" si="0"/>
        <v>37281.910000000003</v>
      </c>
      <c r="M14" s="2"/>
      <c r="N14" s="19">
        <f t="shared" si="1"/>
        <v>0</v>
      </c>
      <c r="O14" s="11"/>
      <c r="P14" s="2">
        <f>--2435259.64</f>
        <v>2435259.64</v>
      </c>
      <c r="Q14" s="2"/>
      <c r="R14" s="19"/>
      <c r="S14" s="2"/>
      <c r="T14" s="2"/>
      <c r="U14" s="2"/>
      <c r="V14" s="19"/>
      <c r="W14" s="2"/>
      <c r="X14" s="2">
        <f t="shared" si="2"/>
        <v>2435259.64</v>
      </c>
      <c r="Y14" s="2"/>
      <c r="Z14" s="19">
        <f t="shared" si="3"/>
        <v>0</v>
      </c>
    </row>
    <row r="15" spans="1:26" s="24" customFormat="1" hidden="1" outlineLevel="1" x14ac:dyDescent="0.25">
      <c r="A15" s="44"/>
      <c r="B15" s="11" t="str">
        <f>CONCATENATE("          ", "4002", " - ", "TAXABLE SALES-USED TEXT")</f>
        <v xml:space="preserve">          4002 - TAXABLE SALES-USED TEXT</v>
      </c>
      <c r="C15" s="11"/>
      <c r="D15" s="2">
        <f>--11509.55</f>
        <v>11509.55</v>
      </c>
      <c r="E15" s="2"/>
      <c r="F15" s="19"/>
      <c r="G15" s="2"/>
      <c r="H15" s="2"/>
      <c r="I15" s="2"/>
      <c r="J15" s="19"/>
      <c r="K15" s="2"/>
      <c r="L15" s="2">
        <f t="shared" si="0"/>
        <v>11509.55</v>
      </c>
      <c r="M15" s="2"/>
      <c r="N15" s="19">
        <f t="shared" si="1"/>
        <v>0</v>
      </c>
      <c r="O15" s="11"/>
      <c r="P15" s="2">
        <f>--1256426.74</f>
        <v>1256426.74</v>
      </c>
      <c r="Q15" s="2"/>
      <c r="R15" s="19"/>
      <c r="S15" s="2"/>
      <c r="T15" s="2"/>
      <c r="U15" s="2"/>
      <c r="V15" s="19"/>
      <c r="W15" s="2"/>
      <c r="X15" s="2">
        <f t="shared" si="2"/>
        <v>1256426.74</v>
      </c>
      <c r="Y15" s="2"/>
      <c r="Z15" s="19">
        <f t="shared" si="3"/>
        <v>0</v>
      </c>
    </row>
    <row r="16" spans="1:26" s="24" customFormat="1" hidden="1" outlineLevel="1" x14ac:dyDescent="0.25">
      <c r="A16" s="44"/>
      <c r="B16" s="11" t="str">
        <f>CONCATENATE("          ", "4003", " - ", "TAXABLE SALES-RENTAL TEXT")</f>
        <v xml:space="preserve">          4003 - TAXABLE SALES-RENTAL TEXT</v>
      </c>
      <c r="C16" s="11"/>
      <c r="D16" s="2">
        <f>--69.99</f>
        <v>69.989999999999995</v>
      </c>
      <c r="E16" s="2"/>
      <c r="F16" s="19"/>
      <c r="G16" s="2"/>
      <c r="H16" s="2"/>
      <c r="I16" s="2"/>
      <c r="J16" s="19"/>
      <c r="K16" s="2"/>
      <c r="L16" s="2">
        <f t="shared" si="0"/>
        <v>69.989999999999995</v>
      </c>
      <c r="M16" s="2"/>
      <c r="N16" s="19">
        <f t="shared" si="1"/>
        <v>0</v>
      </c>
      <c r="O16" s="11"/>
      <c r="P16" s="2">
        <f>--33764.88</f>
        <v>33764.879999999997</v>
      </c>
      <c r="Q16" s="2"/>
      <c r="R16" s="19"/>
      <c r="S16" s="2"/>
      <c r="T16" s="2"/>
      <c r="U16" s="2"/>
      <c r="V16" s="19"/>
      <c r="W16" s="2"/>
      <c r="X16" s="2">
        <f t="shared" si="2"/>
        <v>33764.879999999997</v>
      </c>
      <c r="Y16" s="2"/>
      <c r="Z16" s="19">
        <f t="shared" si="3"/>
        <v>0</v>
      </c>
    </row>
    <row r="17" spans="1:26" s="24" customFormat="1" hidden="1" outlineLevel="1" x14ac:dyDescent="0.25">
      <c r="A17" s="44"/>
      <c r="B17" s="11" t="str">
        <f>CONCATENATE("          ", "4004", " - ", "TAXABLE SALES-DIGITAL TEXT")</f>
        <v xml:space="preserve">          4004 - TAXABLE SALES-DIGITAL TEXT</v>
      </c>
      <c r="C17" s="11"/>
      <c r="D17" s="2">
        <f t="shared" ref="D17:D19" si="4">0</f>
        <v>0</v>
      </c>
      <c r="E17" s="2"/>
      <c r="F17" s="19"/>
      <c r="G17" s="2"/>
      <c r="H17" s="2"/>
      <c r="I17" s="2"/>
      <c r="J17" s="19"/>
      <c r="K17" s="2"/>
      <c r="L17" s="2">
        <f t="shared" si="0"/>
        <v>0</v>
      </c>
      <c r="M17" s="2"/>
      <c r="N17" s="19">
        <f t="shared" si="1"/>
        <v>0</v>
      </c>
      <c r="O17" s="11"/>
      <c r="P17" s="2">
        <f>--42195.3</f>
        <v>42195.3</v>
      </c>
      <c r="Q17" s="2"/>
      <c r="R17" s="19"/>
      <c r="S17" s="2"/>
      <c r="T17" s="2"/>
      <c r="U17" s="2"/>
      <c r="V17" s="19"/>
      <c r="W17" s="2"/>
      <c r="X17" s="2">
        <f t="shared" si="2"/>
        <v>42195.3</v>
      </c>
      <c r="Y17" s="2"/>
      <c r="Z17" s="19">
        <f t="shared" si="3"/>
        <v>0</v>
      </c>
    </row>
    <row r="18" spans="1:26" s="24" customFormat="1" hidden="1" outlineLevel="1" x14ac:dyDescent="0.25">
      <c r="A18" s="44"/>
      <c r="B18" s="11" t="str">
        <f>CONCATENATE("          ", "4011", " - ", "TAXABLE SALES-NO VALUE TEXT")</f>
        <v xml:space="preserve">          4011 - TAXABLE SALES-NO VALUE TEXT</v>
      </c>
      <c r="C18" s="11"/>
      <c r="D18" s="2">
        <f t="shared" si="4"/>
        <v>0</v>
      </c>
      <c r="E18" s="2"/>
      <c r="F18" s="19"/>
      <c r="G18" s="2"/>
      <c r="H18" s="2"/>
      <c r="I18" s="2"/>
      <c r="J18" s="19"/>
      <c r="K18" s="2"/>
      <c r="L18" s="2">
        <f t="shared" si="0"/>
        <v>0</v>
      </c>
      <c r="M18" s="2"/>
      <c r="N18" s="19">
        <f t="shared" si="1"/>
        <v>0</v>
      </c>
      <c r="O18" s="11"/>
      <c r="P18" s="2">
        <f>--1052.48</f>
        <v>1052.48</v>
      </c>
      <c r="Q18" s="2"/>
      <c r="R18" s="19"/>
      <c r="S18" s="2"/>
      <c r="T18" s="2"/>
      <c r="U18" s="2"/>
      <c r="V18" s="19"/>
      <c r="W18" s="2"/>
      <c r="X18" s="2">
        <f t="shared" si="2"/>
        <v>1052.48</v>
      </c>
      <c r="Y18" s="2"/>
      <c r="Z18" s="19">
        <f t="shared" si="3"/>
        <v>0</v>
      </c>
    </row>
    <row r="19" spans="1:26" s="24" customFormat="1" hidden="1" outlineLevel="1" x14ac:dyDescent="0.25">
      <c r="A19" s="44"/>
      <c r="B19" s="11" t="str">
        <f>CONCATENATE("          ", "4013", " - ", "TAXABLE SALES-TRADE BOOKS")</f>
        <v xml:space="preserve">          4013 - TAXABLE SALES-TRADE BOOKS</v>
      </c>
      <c r="C19" s="11"/>
      <c r="D19" s="2">
        <f t="shared" si="4"/>
        <v>0</v>
      </c>
      <c r="E19" s="2"/>
      <c r="F19" s="19"/>
      <c r="G19" s="2"/>
      <c r="H19" s="2"/>
      <c r="I19" s="2"/>
      <c r="J19" s="19"/>
      <c r="K19" s="2"/>
      <c r="L19" s="2">
        <f t="shared" si="0"/>
        <v>0</v>
      </c>
      <c r="M19" s="2"/>
      <c r="N19" s="19">
        <f t="shared" si="1"/>
        <v>0</v>
      </c>
      <c r="O19" s="11"/>
      <c r="P19" s="2">
        <f>--2713.36</f>
        <v>2713.36</v>
      </c>
      <c r="Q19" s="2"/>
      <c r="R19" s="19"/>
      <c r="S19" s="2"/>
      <c r="T19" s="2"/>
      <c r="U19" s="2"/>
      <c r="V19" s="19"/>
      <c r="W19" s="2"/>
      <c r="X19" s="2">
        <f t="shared" si="2"/>
        <v>2713.36</v>
      </c>
      <c r="Y19" s="2"/>
      <c r="Z19" s="19">
        <f t="shared" si="3"/>
        <v>0</v>
      </c>
    </row>
    <row r="20" spans="1:26" s="24" customFormat="1" hidden="1" outlineLevel="1" x14ac:dyDescent="0.25">
      <c r="A20" s="44"/>
      <c r="B20" s="11" t="str">
        <f>CONCATENATE("          ", "4014", " - ", "TAXABLE SALES-REMAINDERS")</f>
        <v xml:space="preserve">          4014 - TAXABLE SALES-REMAINDERS</v>
      </c>
      <c r="C20" s="11"/>
      <c r="D20" s="2">
        <f>--0.8</f>
        <v>0.8</v>
      </c>
      <c r="E20" s="2"/>
      <c r="F20" s="19"/>
      <c r="G20" s="2"/>
      <c r="H20" s="2"/>
      <c r="I20" s="2"/>
      <c r="J20" s="19"/>
      <c r="K20" s="2"/>
      <c r="L20" s="2">
        <f t="shared" si="0"/>
        <v>0.8</v>
      </c>
      <c r="M20" s="2"/>
      <c r="N20" s="19">
        <f t="shared" si="1"/>
        <v>0</v>
      </c>
      <c r="O20" s="11"/>
      <c r="P20" s="2">
        <f>--1219.98</f>
        <v>1219.98</v>
      </c>
      <c r="Q20" s="2"/>
      <c r="R20" s="19"/>
      <c r="S20" s="2"/>
      <c r="T20" s="2"/>
      <c r="U20" s="2"/>
      <c r="V20" s="19"/>
      <c r="W20" s="2"/>
      <c r="X20" s="2">
        <f t="shared" si="2"/>
        <v>1219.98</v>
      </c>
      <c r="Y20" s="2"/>
      <c r="Z20" s="19">
        <f t="shared" si="3"/>
        <v>0</v>
      </c>
    </row>
    <row r="21" spans="1:26" s="24" customFormat="1" hidden="1" outlineLevel="1" x14ac:dyDescent="0.25">
      <c r="A21" s="44"/>
      <c r="B21" s="11" t="str">
        <f>CONCATENATE("          ", "4017", " - ", "TAXABLE SALES-DORM/HOUSEWARES")</f>
        <v xml:space="preserve">          4017 - TAXABLE SALES-DORM/HOUSEWARES</v>
      </c>
      <c r="C21" s="11"/>
      <c r="D21" s="2">
        <f>0</f>
        <v>0</v>
      </c>
      <c r="E21" s="2"/>
      <c r="F21" s="19"/>
      <c r="G21" s="2"/>
      <c r="H21" s="2"/>
      <c r="I21" s="2"/>
      <c r="J21" s="19"/>
      <c r="K21" s="2"/>
      <c r="L21" s="2">
        <f t="shared" si="0"/>
        <v>0</v>
      </c>
      <c r="M21" s="2"/>
      <c r="N21" s="19">
        <f t="shared" si="1"/>
        <v>0</v>
      </c>
      <c r="O21" s="11"/>
      <c r="P21" s="2">
        <f>--347.52</f>
        <v>347.52</v>
      </c>
      <c r="Q21" s="2"/>
      <c r="R21" s="19"/>
      <c r="S21" s="2"/>
      <c r="T21" s="2"/>
      <c r="U21" s="2"/>
      <c r="V21" s="19"/>
      <c r="W21" s="2"/>
      <c r="X21" s="2">
        <f t="shared" si="2"/>
        <v>347.52</v>
      </c>
      <c r="Y21" s="2"/>
      <c r="Z21" s="19">
        <f t="shared" si="3"/>
        <v>0</v>
      </c>
    </row>
    <row r="22" spans="1:26" s="24" customFormat="1" hidden="1" outlineLevel="1" x14ac:dyDescent="0.25">
      <c r="A22" s="44"/>
      <c r="B22" s="11" t="str">
        <f>CONCATENATE("          ", "4018", " - ", "TAXABLE SALES-STUDY GUIDES")</f>
        <v xml:space="preserve">          4018 - TAXABLE SALES-STUDY GUIDES</v>
      </c>
      <c r="C22" s="11"/>
      <c r="D22" s="2">
        <f>--24.99</f>
        <v>24.99</v>
      </c>
      <c r="E22" s="2"/>
      <c r="F22" s="19"/>
      <c r="G22" s="2"/>
      <c r="H22" s="2"/>
      <c r="I22" s="2"/>
      <c r="J22" s="19"/>
      <c r="K22" s="2"/>
      <c r="L22" s="2">
        <f t="shared" si="0"/>
        <v>24.99</v>
      </c>
      <c r="M22" s="2"/>
      <c r="N22" s="19">
        <f t="shared" si="1"/>
        <v>0</v>
      </c>
      <c r="O22" s="11"/>
      <c r="P22" s="2">
        <f>--4179.3</f>
        <v>4179.3</v>
      </c>
      <c r="Q22" s="2"/>
      <c r="R22" s="19"/>
      <c r="S22" s="2"/>
      <c r="T22" s="2"/>
      <c r="U22" s="2"/>
      <c r="V22" s="19"/>
      <c r="W22" s="2"/>
      <c r="X22" s="2">
        <f t="shared" si="2"/>
        <v>4179.3</v>
      </c>
      <c r="Y22" s="2"/>
      <c r="Z22" s="19">
        <f t="shared" si="3"/>
        <v>0</v>
      </c>
    </row>
    <row r="23" spans="1:26" s="24" customFormat="1" hidden="1" outlineLevel="1" x14ac:dyDescent="0.25">
      <c r="A23" s="44"/>
      <c r="B23" s="11" t="str">
        <f>CONCATENATE("          ", "4019", " - ", "TAXABLE SALES-BOOK RELATED")</f>
        <v xml:space="preserve">          4019 - TAXABLE SALES-BOOK RELATED</v>
      </c>
      <c r="C23" s="11"/>
      <c r="D23" s="2">
        <f>0</f>
        <v>0</v>
      </c>
      <c r="E23" s="2"/>
      <c r="F23" s="19"/>
      <c r="G23" s="2"/>
      <c r="H23" s="2"/>
      <c r="I23" s="2"/>
      <c r="J23" s="19"/>
      <c r="K23" s="2"/>
      <c r="L23" s="2">
        <f t="shared" si="0"/>
        <v>0</v>
      </c>
      <c r="M23" s="2"/>
      <c r="N23" s="19">
        <f t="shared" si="1"/>
        <v>0</v>
      </c>
      <c r="O23" s="11"/>
      <c r="P23" s="2">
        <f>--42.85</f>
        <v>42.85</v>
      </c>
      <c r="Q23" s="2"/>
      <c r="R23" s="19"/>
      <c r="S23" s="2"/>
      <c r="T23" s="2"/>
      <c r="U23" s="2"/>
      <c r="V23" s="19"/>
      <c r="W23" s="2"/>
      <c r="X23" s="2">
        <f t="shared" si="2"/>
        <v>42.85</v>
      </c>
      <c r="Y23" s="2"/>
      <c r="Z23" s="19">
        <f t="shared" si="3"/>
        <v>0</v>
      </c>
    </row>
    <row r="24" spans="1:26" s="24" customFormat="1" hidden="1" outlineLevel="1" x14ac:dyDescent="0.25">
      <c r="A24" s="44"/>
      <c r="B24" s="11" t="str">
        <f>CONCATENATE("          ", "4025", " - ", "TAXABLE SALES-TEST FORMS")</f>
        <v xml:space="preserve">          4025 - TAXABLE SALES-TEST FORMS</v>
      </c>
      <c r="C24" s="11"/>
      <c r="D24" s="2">
        <f>--17.25</f>
        <v>17.25</v>
      </c>
      <c r="E24" s="2"/>
      <c r="F24" s="19"/>
      <c r="G24" s="2"/>
      <c r="H24" s="2"/>
      <c r="I24" s="2"/>
      <c r="J24" s="19"/>
      <c r="K24" s="2"/>
      <c r="L24" s="2">
        <f t="shared" si="0"/>
        <v>17.25</v>
      </c>
      <c r="M24" s="2"/>
      <c r="N24" s="19">
        <f t="shared" si="1"/>
        <v>0</v>
      </c>
      <c r="O24" s="11"/>
      <c r="P24" s="2">
        <f>--54720.11</f>
        <v>54720.11</v>
      </c>
      <c r="Q24" s="2"/>
      <c r="R24" s="19"/>
      <c r="S24" s="2"/>
      <c r="T24" s="2"/>
      <c r="U24" s="2"/>
      <c r="V24" s="19"/>
      <c r="W24" s="2"/>
      <c r="X24" s="2">
        <f t="shared" si="2"/>
        <v>54720.11</v>
      </c>
      <c r="Y24" s="2"/>
      <c r="Z24" s="19">
        <f t="shared" si="3"/>
        <v>0</v>
      </c>
    </row>
    <row r="25" spans="1:26" s="24" customFormat="1" hidden="1" outlineLevel="1" x14ac:dyDescent="0.25">
      <c r="A25" s="44"/>
      <c r="B25" s="11" t="str">
        <f>CONCATENATE("          ", "4026", " - ", "TAXABLE SALES-WRITING INSTRUME")</f>
        <v xml:space="preserve">          4026 - TAXABLE SALES-WRITING INSTRUME</v>
      </c>
      <c r="C25" s="11"/>
      <c r="D25" s="2">
        <f>--859.78</f>
        <v>859.78</v>
      </c>
      <c r="E25" s="2"/>
      <c r="F25" s="19"/>
      <c r="G25" s="2"/>
      <c r="H25" s="2"/>
      <c r="I25" s="2"/>
      <c r="J25" s="19"/>
      <c r="K25" s="2"/>
      <c r="L25" s="2">
        <f t="shared" si="0"/>
        <v>859.78</v>
      </c>
      <c r="M25" s="2"/>
      <c r="N25" s="19">
        <f t="shared" si="1"/>
        <v>0</v>
      </c>
      <c r="O25" s="11"/>
      <c r="P25" s="2">
        <f>--80809.49</f>
        <v>80809.490000000005</v>
      </c>
      <c r="Q25" s="2"/>
      <c r="R25" s="19"/>
      <c r="S25" s="2"/>
      <c r="T25" s="2"/>
      <c r="U25" s="2"/>
      <c r="V25" s="19"/>
      <c r="W25" s="2"/>
      <c r="X25" s="2">
        <f t="shared" si="2"/>
        <v>80809.490000000005</v>
      </c>
      <c r="Y25" s="2"/>
      <c r="Z25" s="19">
        <f t="shared" si="3"/>
        <v>0</v>
      </c>
    </row>
    <row r="26" spans="1:26" s="24" customFormat="1" hidden="1" outlineLevel="1" x14ac:dyDescent="0.25">
      <c r="A26" s="44"/>
      <c r="B26" s="11" t="str">
        <f>CONCATENATE("          ", "4027", " - ", "TAXABLE SALES-SCHOOL SUPPLIES")</f>
        <v xml:space="preserve">          4027 - TAXABLE SALES-SCHOOL SUPPLIES</v>
      </c>
      <c r="C26" s="11"/>
      <c r="D26" s="2">
        <f>--5530.51</f>
        <v>5530.51</v>
      </c>
      <c r="E26" s="2"/>
      <c r="F26" s="19"/>
      <c r="G26" s="2"/>
      <c r="H26" s="2"/>
      <c r="I26" s="2"/>
      <c r="J26" s="19"/>
      <c r="K26" s="2"/>
      <c r="L26" s="2">
        <f t="shared" si="0"/>
        <v>5530.51</v>
      </c>
      <c r="M26" s="2"/>
      <c r="N26" s="19">
        <f t="shared" si="1"/>
        <v>0</v>
      </c>
      <c r="O26" s="11"/>
      <c r="P26" s="2">
        <f>--276777.07</f>
        <v>276777.07</v>
      </c>
      <c r="Q26" s="2"/>
      <c r="R26" s="19"/>
      <c r="S26" s="2"/>
      <c r="T26" s="2"/>
      <c r="U26" s="2"/>
      <c r="V26" s="19"/>
      <c r="W26" s="2"/>
      <c r="X26" s="2">
        <f t="shared" si="2"/>
        <v>276777.07</v>
      </c>
      <c r="Y26" s="2"/>
      <c r="Z26" s="19">
        <f t="shared" si="3"/>
        <v>0</v>
      </c>
    </row>
    <row r="27" spans="1:26" s="24" customFormat="1" hidden="1" outlineLevel="1" x14ac:dyDescent="0.25">
      <c r="A27" s="44"/>
      <c r="B27" s="11" t="str">
        <f>CONCATENATE("          ", "4028", " - ", "TAXABLE SALES-ART/TECH")</f>
        <v xml:space="preserve">          4028 - TAXABLE SALES-ART/TECH</v>
      </c>
      <c r="C27" s="11"/>
      <c r="D27" s="2">
        <f>--425.18</f>
        <v>425.18</v>
      </c>
      <c r="E27" s="2"/>
      <c r="F27" s="19"/>
      <c r="G27" s="2"/>
      <c r="H27" s="2"/>
      <c r="I27" s="2"/>
      <c r="J27" s="19"/>
      <c r="K27" s="2"/>
      <c r="L27" s="2">
        <f t="shared" si="0"/>
        <v>425.18</v>
      </c>
      <c r="M27" s="2"/>
      <c r="N27" s="19">
        <f t="shared" si="1"/>
        <v>0</v>
      </c>
      <c r="O27" s="11"/>
      <c r="P27" s="2">
        <f>--293191.05</f>
        <v>293191.05</v>
      </c>
      <c r="Q27" s="2"/>
      <c r="R27" s="19"/>
      <c r="S27" s="2"/>
      <c r="T27" s="2"/>
      <c r="U27" s="2"/>
      <c r="V27" s="19"/>
      <c r="W27" s="2"/>
      <c r="X27" s="2">
        <f t="shared" si="2"/>
        <v>293191.05</v>
      </c>
      <c r="Y27" s="2"/>
      <c r="Z27" s="19">
        <f t="shared" si="3"/>
        <v>0</v>
      </c>
    </row>
    <row r="28" spans="1:26" s="24" customFormat="1" hidden="1" outlineLevel="1" x14ac:dyDescent="0.25">
      <c r="A28" s="44"/>
      <c r="B28" s="11" t="str">
        <f>CONCATENATE("          ", "4031", " - ", "TAXABLE SALES-FOOD")</f>
        <v xml:space="preserve">          4031 - TAXABLE SALES-FOOD</v>
      </c>
      <c r="C28" s="11"/>
      <c r="D28" s="2">
        <f t="shared" ref="D28:D33" si="5">0</f>
        <v>0</v>
      </c>
      <c r="E28" s="2"/>
      <c r="F28" s="19"/>
      <c r="G28" s="2"/>
      <c r="H28" s="2"/>
      <c r="I28" s="2"/>
      <c r="J28" s="19"/>
      <c r="K28" s="2"/>
      <c r="L28" s="2">
        <f t="shared" si="0"/>
        <v>0</v>
      </c>
      <c r="M28" s="2"/>
      <c r="N28" s="19">
        <f t="shared" si="1"/>
        <v>0</v>
      </c>
      <c r="O28" s="11"/>
      <c r="P28" s="2">
        <f>--486.34</f>
        <v>486.34</v>
      </c>
      <c r="Q28" s="2"/>
      <c r="R28" s="19"/>
      <c r="S28" s="2"/>
      <c r="T28" s="2"/>
      <c r="U28" s="2"/>
      <c r="V28" s="19"/>
      <c r="W28" s="2"/>
      <c r="X28" s="2">
        <f t="shared" si="2"/>
        <v>486.34</v>
      </c>
      <c r="Y28" s="2"/>
      <c r="Z28" s="19">
        <f t="shared" si="3"/>
        <v>0</v>
      </c>
    </row>
    <row r="29" spans="1:26" s="24" customFormat="1" hidden="1" outlineLevel="1" x14ac:dyDescent="0.25">
      <c r="A29" s="44"/>
      <c r="B29" s="11" t="str">
        <f>CONCATENATE("          ", "4032", " - ", "TAXABLE SALES-JUICE")</f>
        <v xml:space="preserve">          4032 - TAXABLE SALES-JUICE</v>
      </c>
      <c r="C29" s="11"/>
      <c r="D29" s="2">
        <f t="shared" si="5"/>
        <v>0</v>
      </c>
      <c r="E29" s="2"/>
      <c r="F29" s="19"/>
      <c r="G29" s="2"/>
      <c r="H29" s="2"/>
      <c r="I29" s="2"/>
      <c r="J29" s="19"/>
      <c r="K29" s="2"/>
      <c r="L29" s="2">
        <f t="shared" si="0"/>
        <v>0</v>
      </c>
      <c r="M29" s="2"/>
      <c r="N29" s="19">
        <f t="shared" si="1"/>
        <v>0</v>
      </c>
      <c r="O29" s="11"/>
      <c r="P29" s="2">
        <f>--277654.52</f>
        <v>277654.52</v>
      </c>
      <c r="Q29" s="2"/>
      <c r="R29" s="19"/>
      <c r="S29" s="2"/>
      <c r="T29" s="2"/>
      <c r="U29" s="2"/>
      <c r="V29" s="19"/>
      <c r="W29" s="2"/>
      <c r="X29" s="2">
        <f t="shared" si="2"/>
        <v>277654.52</v>
      </c>
      <c r="Y29" s="2"/>
      <c r="Z29" s="19">
        <f t="shared" si="3"/>
        <v>0</v>
      </c>
    </row>
    <row r="30" spans="1:26" s="24" customFormat="1" hidden="1" outlineLevel="1" x14ac:dyDescent="0.25">
      <c r="A30" s="44"/>
      <c r="B30" s="11" t="str">
        <f>CONCATENATE("          ", "4033", " - ", "TAXABLE SALES-CANDY")</f>
        <v xml:space="preserve">          4033 - TAXABLE SALES-CANDY</v>
      </c>
      <c r="C30" s="11"/>
      <c r="D30" s="2">
        <f t="shared" si="5"/>
        <v>0</v>
      </c>
      <c r="E30" s="2"/>
      <c r="F30" s="19"/>
      <c r="G30" s="2"/>
      <c r="H30" s="2"/>
      <c r="I30" s="2"/>
      <c r="J30" s="19"/>
      <c r="K30" s="2"/>
      <c r="L30" s="2">
        <f t="shared" si="0"/>
        <v>0</v>
      </c>
      <c r="M30" s="2"/>
      <c r="N30" s="19">
        <f t="shared" si="1"/>
        <v>0</v>
      </c>
      <c r="O30" s="11"/>
      <c r="P30" s="2">
        <f>--205.53</f>
        <v>205.53</v>
      </c>
      <c r="Q30" s="2"/>
      <c r="R30" s="19"/>
      <c r="S30" s="2"/>
      <c r="T30" s="2"/>
      <c r="U30" s="2"/>
      <c r="V30" s="19"/>
      <c r="W30" s="2"/>
      <c r="X30" s="2">
        <f t="shared" si="2"/>
        <v>205.53</v>
      </c>
      <c r="Y30" s="2"/>
      <c r="Z30" s="19">
        <f t="shared" si="3"/>
        <v>0</v>
      </c>
    </row>
    <row r="31" spans="1:26" s="24" customFormat="1" hidden="1" outlineLevel="1" x14ac:dyDescent="0.25">
      <c r="A31" s="44"/>
      <c r="B31" s="11" t="str">
        <f>CONCATENATE("          ", "4034", " - ", "TAXABLE SALES-SODA")</f>
        <v xml:space="preserve">          4034 - TAXABLE SALES-SODA</v>
      </c>
      <c r="C31" s="11"/>
      <c r="D31" s="2">
        <f t="shared" si="5"/>
        <v>0</v>
      </c>
      <c r="E31" s="2"/>
      <c r="F31" s="19"/>
      <c r="G31" s="2"/>
      <c r="H31" s="2"/>
      <c r="I31" s="2"/>
      <c r="J31" s="19"/>
      <c r="K31" s="2"/>
      <c r="L31" s="2">
        <f t="shared" si="0"/>
        <v>0</v>
      </c>
      <c r="M31" s="2"/>
      <c r="N31" s="19">
        <f t="shared" si="1"/>
        <v>0</v>
      </c>
      <c r="O31" s="11"/>
      <c r="P31" s="2">
        <f>--10925.46</f>
        <v>10925.46</v>
      </c>
      <c r="Q31" s="2"/>
      <c r="R31" s="19"/>
      <c r="S31" s="2"/>
      <c r="T31" s="2"/>
      <c r="U31" s="2"/>
      <c r="V31" s="19"/>
      <c r="W31" s="2"/>
      <c r="X31" s="2">
        <f t="shared" si="2"/>
        <v>10925.46</v>
      </c>
      <c r="Y31" s="2"/>
      <c r="Z31" s="19">
        <f t="shared" si="3"/>
        <v>0</v>
      </c>
    </row>
    <row r="32" spans="1:26" s="24" customFormat="1" hidden="1" outlineLevel="1" x14ac:dyDescent="0.25">
      <c r="A32" s="44"/>
      <c r="B32" s="11" t="str">
        <f>CONCATENATE("          ", "4035", " - ", "TAXABLE SALES-HEALTH &amp; BEAUTY")</f>
        <v xml:space="preserve">          4035 - TAXABLE SALES-HEALTH &amp; BEAUTY</v>
      </c>
      <c r="C32" s="11"/>
      <c r="D32" s="2">
        <f t="shared" si="5"/>
        <v>0</v>
      </c>
      <c r="E32" s="2"/>
      <c r="F32" s="19"/>
      <c r="G32" s="2"/>
      <c r="H32" s="2"/>
      <c r="I32" s="2"/>
      <c r="J32" s="19"/>
      <c r="K32" s="2"/>
      <c r="L32" s="2">
        <f t="shared" si="0"/>
        <v>0</v>
      </c>
      <c r="M32" s="2"/>
      <c r="N32" s="19">
        <f t="shared" si="1"/>
        <v>0</v>
      </c>
      <c r="O32" s="11"/>
      <c r="P32" s="2">
        <f>--1981.84</f>
        <v>1981.84</v>
      </c>
      <c r="Q32" s="2"/>
      <c r="R32" s="19"/>
      <c r="S32" s="2"/>
      <c r="T32" s="2"/>
      <c r="U32" s="2"/>
      <c r="V32" s="19"/>
      <c r="W32" s="2"/>
      <c r="X32" s="2">
        <f t="shared" si="2"/>
        <v>1981.84</v>
      </c>
      <c r="Y32" s="2"/>
      <c r="Z32" s="19">
        <f t="shared" si="3"/>
        <v>0</v>
      </c>
    </row>
    <row r="33" spans="1:26" s="24" customFormat="1" hidden="1" outlineLevel="1" x14ac:dyDescent="0.25">
      <c r="A33" s="44"/>
      <c r="B33" s="11" t="str">
        <f>CONCATENATE("          ", "4037", " - ", "TAXABLE SALES-WATER")</f>
        <v xml:space="preserve">          4037 - TAXABLE SALES-WATER</v>
      </c>
      <c r="C33" s="11"/>
      <c r="D33" s="2">
        <f t="shared" si="5"/>
        <v>0</v>
      </c>
      <c r="E33" s="2"/>
      <c r="F33" s="19"/>
      <c r="G33" s="2"/>
      <c r="H33" s="2"/>
      <c r="I33" s="2"/>
      <c r="J33" s="19"/>
      <c r="K33" s="2"/>
      <c r="L33" s="2">
        <f t="shared" si="0"/>
        <v>0</v>
      </c>
      <c r="M33" s="2"/>
      <c r="N33" s="19">
        <f t="shared" si="1"/>
        <v>0</v>
      </c>
      <c r="O33" s="11"/>
      <c r="P33" s="2">
        <f>--513.51</f>
        <v>513.51</v>
      </c>
      <c r="Q33" s="2"/>
      <c r="R33" s="19"/>
      <c r="S33" s="2"/>
      <c r="T33" s="2"/>
      <c r="U33" s="2"/>
      <c r="V33" s="19"/>
      <c r="W33" s="2"/>
      <c r="X33" s="2">
        <f t="shared" si="2"/>
        <v>513.51</v>
      </c>
      <c r="Y33" s="2"/>
      <c r="Z33" s="19">
        <f t="shared" si="3"/>
        <v>0</v>
      </c>
    </row>
    <row r="34" spans="1:26" s="24" customFormat="1" hidden="1" outlineLevel="1" x14ac:dyDescent="0.25">
      <c r="A34" s="44"/>
      <c r="B34" s="11" t="str">
        <f>CONCATENATE("          ", "4040", " - ", "TAXABLE SALES-LOGO CLOTHING")</f>
        <v xml:space="preserve">          4040 - TAXABLE SALES-LOGO CLOTHING</v>
      </c>
      <c r="C34" s="11"/>
      <c r="D34" s="2">
        <f>--50806.72</f>
        <v>50806.720000000001</v>
      </c>
      <c r="E34" s="2"/>
      <c r="F34" s="19"/>
      <c r="G34" s="2"/>
      <c r="H34" s="2"/>
      <c r="I34" s="2"/>
      <c r="J34" s="19"/>
      <c r="K34" s="2"/>
      <c r="L34" s="2">
        <f t="shared" si="0"/>
        <v>50806.720000000001</v>
      </c>
      <c r="M34" s="2"/>
      <c r="N34" s="19">
        <f t="shared" si="1"/>
        <v>0</v>
      </c>
      <c r="O34" s="11"/>
      <c r="P34" s="2">
        <f>--1894910.12</f>
        <v>1894910.12</v>
      </c>
      <c r="Q34" s="2"/>
      <c r="R34" s="19"/>
      <c r="S34" s="2"/>
      <c r="T34" s="2"/>
      <c r="U34" s="2"/>
      <c r="V34" s="19"/>
      <c r="W34" s="2"/>
      <c r="X34" s="2">
        <f t="shared" si="2"/>
        <v>1894910.12</v>
      </c>
      <c r="Y34" s="2"/>
      <c r="Z34" s="19">
        <f t="shared" si="3"/>
        <v>0</v>
      </c>
    </row>
    <row r="35" spans="1:26" s="24" customFormat="1" hidden="1" outlineLevel="1" x14ac:dyDescent="0.25">
      <c r="A35" s="44"/>
      <c r="B35" s="11" t="str">
        <f>CONCATENATE("          ", "4041", " - ", "TAXABLE SALES-LOGO GIFTS")</f>
        <v xml:space="preserve">          4041 - TAXABLE SALES-LOGO GIFTS</v>
      </c>
      <c r="C35" s="11"/>
      <c r="D35" s="2">
        <f>--45499.27</f>
        <v>45499.27</v>
      </c>
      <c r="E35" s="2"/>
      <c r="F35" s="19"/>
      <c r="G35" s="2"/>
      <c r="H35" s="2"/>
      <c r="I35" s="2"/>
      <c r="J35" s="19"/>
      <c r="K35" s="2"/>
      <c r="L35" s="2">
        <f t="shared" si="0"/>
        <v>45499.27</v>
      </c>
      <c r="M35" s="2"/>
      <c r="N35" s="19">
        <f t="shared" si="1"/>
        <v>0</v>
      </c>
      <c r="O35" s="11"/>
      <c r="P35" s="2">
        <f>--526632.56</f>
        <v>526632.56000000006</v>
      </c>
      <c r="Q35" s="2"/>
      <c r="R35" s="19"/>
      <c r="S35" s="2"/>
      <c r="T35" s="2"/>
      <c r="U35" s="2"/>
      <c r="V35" s="19"/>
      <c r="W35" s="2"/>
      <c r="X35" s="2">
        <f t="shared" si="2"/>
        <v>526632.56000000006</v>
      </c>
      <c r="Y35" s="2"/>
      <c r="Z35" s="19">
        <f t="shared" si="3"/>
        <v>0</v>
      </c>
    </row>
    <row r="36" spans="1:26" s="24" customFormat="1" hidden="1" outlineLevel="1" x14ac:dyDescent="0.25">
      <c r="A36" s="44"/>
      <c r="B36" s="11" t="str">
        <f>CONCATENATE("          ", "4042", " - ", "TAXABLE SALES-EVERYDAY GIFTS")</f>
        <v xml:space="preserve">          4042 - TAXABLE SALES-EVERYDAY GIFTS</v>
      </c>
      <c r="C36" s="11"/>
      <c r="D36" s="2">
        <f>--3419.02</f>
        <v>3419.02</v>
      </c>
      <c r="E36" s="2"/>
      <c r="F36" s="19"/>
      <c r="G36" s="2"/>
      <c r="H36" s="2"/>
      <c r="I36" s="2"/>
      <c r="J36" s="19"/>
      <c r="K36" s="2"/>
      <c r="L36" s="2">
        <f t="shared" si="0"/>
        <v>3419.02</v>
      </c>
      <c r="M36" s="2"/>
      <c r="N36" s="19">
        <f t="shared" si="1"/>
        <v>0</v>
      </c>
      <c r="O36" s="11"/>
      <c r="P36" s="2">
        <f>--282721.2</f>
        <v>282721.2</v>
      </c>
      <c r="Q36" s="2"/>
      <c r="R36" s="19"/>
      <c r="S36" s="2"/>
      <c r="T36" s="2"/>
      <c r="U36" s="2"/>
      <c r="V36" s="19"/>
      <c r="W36" s="2"/>
      <c r="X36" s="2">
        <f t="shared" si="2"/>
        <v>282721.2</v>
      </c>
      <c r="Y36" s="2"/>
      <c r="Z36" s="19">
        <f t="shared" si="3"/>
        <v>0</v>
      </c>
    </row>
    <row r="37" spans="1:26" s="24" customFormat="1" hidden="1" outlineLevel="1" x14ac:dyDescent="0.25">
      <c r="A37" s="44"/>
      <c r="B37" s="11" t="str">
        <f>CONCATENATE("          ", "4043", " - ", "TAXABLE SALES-CARDS")</f>
        <v xml:space="preserve">          4043 - TAXABLE SALES-CARDS</v>
      </c>
      <c r="C37" s="11"/>
      <c r="D37" s="2">
        <f>--49.95</f>
        <v>49.95</v>
      </c>
      <c r="E37" s="2"/>
      <c r="F37" s="19"/>
      <c r="G37" s="2"/>
      <c r="H37" s="2"/>
      <c r="I37" s="2"/>
      <c r="J37" s="19"/>
      <c r="K37" s="2"/>
      <c r="L37" s="2">
        <f t="shared" si="0"/>
        <v>49.95</v>
      </c>
      <c r="M37" s="2"/>
      <c r="N37" s="19">
        <f t="shared" si="1"/>
        <v>0</v>
      </c>
      <c r="O37" s="11"/>
      <c r="P37" s="2">
        <f>--77269.18</f>
        <v>77269.179999999993</v>
      </c>
      <c r="Q37" s="2"/>
      <c r="R37" s="19"/>
      <c r="S37" s="2"/>
      <c r="T37" s="2"/>
      <c r="U37" s="2"/>
      <c r="V37" s="19"/>
      <c r="W37" s="2"/>
      <c r="X37" s="2">
        <f t="shared" si="2"/>
        <v>77269.179999999993</v>
      </c>
      <c r="Y37" s="2"/>
      <c r="Z37" s="19">
        <f t="shared" si="3"/>
        <v>0</v>
      </c>
    </row>
    <row r="38" spans="1:26" s="24" customFormat="1" hidden="1" outlineLevel="1" x14ac:dyDescent="0.25">
      <c r="A38" s="44"/>
      <c r="B38" s="11" t="str">
        <f>CONCATENATE("          ", "4044", " - ", "TAXABLE SALES-ACCESSORIES")</f>
        <v xml:space="preserve">          4044 - TAXABLE SALES-ACCESSORIES</v>
      </c>
      <c r="C38" s="11"/>
      <c r="D38" s="2">
        <f>--3915.24</f>
        <v>3915.24</v>
      </c>
      <c r="E38" s="2"/>
      <c r="F38" s="19"/>
      <c r="G38" s="2"/>
      <c r="H38" s="2"/>
      <c r="I38" s="2"/>
      <c r="J38" s="19"/>
      <c r="K38" s="2"/>
      <c r="L38" s="2">
        <f t="shared" si="0"/>
        <v>3915.24</v>
      </c>
      <c r="M38" s="2"/>
      <c r="N38" s="19">
        <f t="shared" si="1"/>
        <v>0</v>
      </c>
      <c r="O38" s="11"/>
      <c r="P38" s="2">
        <f>--71255.76</f>
        <v>71255.759999999995</v>
      </c>
      <c r="Q38" s="2"/>
      <c r="R38" s="19"/>
      <c r="S38" s="2"/>
      <c r="T38" s="2"/>
      <c r="U38" s="2"/>
      <c r="V38" s="19"/>
      <c r="W38" s="2"/>
      <c r="X38" s="2">
        <f t="shared" si="2"/>
        <v>71255.759999999995</v>
      </c>
      <c r="Y38" s="2"/>
      <c r="Z38" s="19">
        <f t="shared" si="3"/>
        <v>0</v>
      </c>
    </row>
    <row r="39" spans="1:26" s="24" customFormat="1" hidden="1" outlineLevel="1" x14ac:dyDescent="0.25">
      <c r="A39" s="44"/>
      <c r="B39" s="11" t="str">
        <f>CONCATENATE("          ", "4045", " - ", "TAXABLE SALES-SPECIAL ORDERS")</f>
        <v xml:space="preserve">          4045 - TAXABLE SALES-SPECIAL ORDERS</v>
      </c>
      <c r="C39" s="11"/>
      <c r="D39" s="2">
        <f>--13525.59</f>
        <v>13525.59</v>
      </c>
      <c r="E39" s="2"/>
      <c r="F39" s="19"/>
      <c r="G39" s="2"/>
      <c r="H39" s="2"/>
      <c r="I39" s="2"/>
      <c r="J39" s="19"/>
      <c r="K39" s="2"/>
      <c r="L39" s="2">
        <f t="shared" si="0"/>
        <v>13525.59</v>
      </c>
      <c r="M39" s="2"/>
      <c r="N39" s="19">
        <f t="shared" si="1"/>
        <v>0</v>
      </c>
      <c r="O39" s="11"/>
      <c r="P39" s="2">
        <f>--96839.56</f>
        <v>96839.56</v>
      </c>
      <c r="Q39" s="2"/>
      <c r="R39" s="19"/>
      <c r="S39" s="2"/>
      <c r="T39" s="2"/>
      <c r="U39" s="2"/>
      <c r="V39" s="19"/>
      <c r="W39" s="2"/>
      <c r="X39" s="2">
        <f t="shared" si="2"/>
        <v>96839.56</v>
      </c>
      <c r="Y39" s="2"/>
      <c r="Z39" s="19">
        <f t="shared" si="3"/>
        <v>0</v>
      </c>
    </row>
    <row r="40" spans="1:26" s="24" customFormat="1" hidden="1" outlineLevel="1" x14ac:dyDescent="0.25">
      <c r="A40" s="44"/>
      <c r="B40" s="11" t="str">
        <f>CONCATENATE("          ", "4047", " - ", "TAXABLE SALES-MISC")</f>
        <v xml:space="preserve">          4047 - TAXABLE SALES-MISC</v>
      </c>
      <c r="C40" s="11"/>
      <c r="D40" s="2">
        <f t="shared" ref="D40:D45" si="6">0</f>
        <v>0</v>
      </c>
      <c r="E40" s="2"/>
      <c r="F40" s="19"/>
      <c r="G40" s="2"/>
      <c r="H40" s="2"/>
      <c r="I40" s="2"/>
      <c r="J40" s="19"/>
      <c r="K40" s="2"/>
      <c r="L40" s="2">
        <f t="shared" si="0"/>
        <v>0</v>
      </c>
      <c r="M40" s="2"/>
      <c r="N40" s="19">
        <f t="shared" si="1"/>
        <v>0</v>
      </c>
      <c r="O40" s="11"/>
      <c r="P40" s="2">
        <f>--2676.14</f>
        <v>2676.14</v>
      </c>
      <c r="Q40" s="2"/>
      <c r="R40" s="19"/>
      <c r="S40" s="2"/>
      <c r="T40" s="2"/>
      <c r="U40" s="2"/>
      <c r="V40" s="19"/>
      <c r="W40" s="2"/>
      <c r="X40" s="2">
        <f t="shared" si="2"/>
        <v>2676.14</v>
      </c>
      <c r="Y40" s="2"/>
      <c r="Z40" s="19">
        <f t="shared" si="3"/>
        <v>0</v>
      </c>
    </row>
    <row r="41" spans="1:26" s="24" customFormat="1" hidden="1" outlineLevel="1" x14ac:dyDescent="0.25">
      <c r="A41" s="44"/>
      <c r="B41" s="11" t="str">
        <f>CONCATENATE("          ", "4051", " - ", "TAXABLE SALES-FOOD")</f>
        <v xml:space="preserve">          4051 - TAXABLE SALES-FOOD</v>
      </c>
      <c r="C41" s="11"/>
      <c r="D41" s="2">
        <f t="shared" si="6"/>
        <v>0</v>
      </c>
      <c r="E41" s="2"/>
      <c r="F41" s="19"/>
      <c r="G41" s="2"/>
      <c r="H41" s="2"/>
      <c r="I41" s="2"/>
      <c r="J41" s="19"/>
      <c r="K41" s="2"/>
      <c r="L41" s="2">
        <f t="shared" si="0"/>
        <v>0</v>
      </c>
      <c r="M41" s="2"/>
      <c r="N41" s="19">
        <f t="shared" si="1"/>
        <v>0</v>
      </c>
      <c r="O41" s="11"/>
      <c r="P41" s="2">
        <f>--149404.53</f>
        <v>149404.53</v>
      </c>
      <c r="Q41" s="2"/>
      <c r="R41" s="19"/>
      <c r="S41" s="2"/>
      <c r="T41" s="2"/>
      <c r="U41" s="2"/>
      <c r="V41" s="19"/>
      <c r="W41" s="2"/>
      <c r="X41" s="2">
        <f t="shared" si="2"/>
        <v>149404.53</v>
      </c>
      <c r="Y41" s="2"/>
      <c r="Z41" s="19">
        <f t="shared" si="3"/>
        <v>0</v>
      </c>
    </row>
    <row r="42" spans="1:26" s="24" customFormat="1" hidden="1" outlineLevel="1" x14ac:dyDescent="0.25">
      <c r="A42" s="44"/>
      <c r="B42" s="11" t="str">
        <f>CONCATENATE("          ", "4081", " - ", "TAXABLE SALES-ELECTRONICS")</f>
        <v xml:space="preserve">          4081 - TAXABLE SALES-ELECTRONICS</v>
      </c>
      <c r="C42" s="11"/>
      <c r="D42" s="2">
        <f t="shared" si="6"/>
        <v>0</v>
      </c>
      <c r="E42" s="2"/>
      <c r="F42" s="19"/>
      <c r="G42" s="2"/>
      <c r="H42" s="2"/>
      <c r="I42" s="2"/>
      <c r="J42" s="19"/>
      <c r="K42" s="2"/>
      <c r="L42" s="2">
        <f t="shared" si="0"/>
        <v>0</v>
      </c>
      <c r="M42" s="2"/>
      <c r="N42" s="19">
        <f t="shared" si="1"/>
        <v>0</v>
      </c>
      <c r="O42" s="11"/>
      <c r="P42" s="2">
        <f>--3174.93</f>
        <v>3174.93</v>
      </c>
      <c r="Q42" s="2"/>
      <c r="R42" s="19"/>
      <c r="S42" s="2"/>
      <c r="T42" s="2"/>
      <c r="U42" s="2"/>
      <c r="V42" s="19"/>
      <c r="W42" s="2"/>
      <c r="X42" s="2">
        <f t="shared" si="2"/>
        <v>3174.93</v>
      </c>
      <c r="Y42" s="2"/>
      <c r="Z42" s="19">
        <f t="shared" si="3"/>
        <v>0</v>
      </c>
    </row>
    <row r="43" spans="1:26" s="24" customFormat="1" hidden="1" outlineLevel="1" x14ac:dyDescent="0.25">
      <c r="A43" s="44"/>
      <c r="B43" s="11" t="str">
        <f>CONCATENATE("          ", "4082", " - ", "TAXABLE SALES-COMPUTER HARDWAR")</f>
        <v xml:space="preserve">          4082 - TAXABLE SALES-COMPUTER HARDWAR</v>
      </c>
      <c r="C43" s="11"/>
      <c r="D43" s="2">
        <f t="shared" si="6"/>
        <v>0</v>
      </c>
      <c r="E43" s="2"/>
      <c r="F43" s="19"/>
      <c r="G43" s="2"/>
      <c r="H43" s="2"/>
      <c r="I43" s="2"/>
      <c r="J43" s="19"/>
      <c r="K43" s="2"/>
      <c r="L43" s="2">
        <f t="shared" si="0"/>
        <v>0</v>
      </c>
      <c r="M43" s="2"/>
      <c r="N43" s="19">
        <f t="shared" si="1"/>
        <v>0</v>
      </c>
      <c r="O43" s="11"/>
      <c r="P43" s="2">
        <f>--363.94</f>
        <v>363.94</v>
      </c>
      <c r="Q43" s="2"/>
      <c r="R43" s="19"/>
      <c r="S43" s="2"/>
      <c r="T43" s="2"/>
      <c r="U43" s="2"/>
      <c r="V43" s="19"/>
      <c r="W43" s="2"/>
      <c r="X43" s="2">
        <f t="shared" si="2"/>
        <v>363.94</v>
      </c>
      <c r="Y43" s="2"/>
      <c r="Z43" s="19">
        <f t="shared" si="3"/>
        <v>0</v>
      </c>
    </row>
    <row r="44" spans="1:26" s="24" customFormat="1" hidden="1" outlineLevel="1" x14ac:dyDescent="0.25">
      <c r="A44" s="44"/>
      <c r="B44" s="11" t="str">
        <f>CONCATENATE("          ", "4083", " - ", "TAXABLE SALES-COMPUTER EQUIPME")</f>
        <v xml:space="preserve">          4083 - TAXABLE SALES-COMPUTER EQUIPME</v>
      </c>
      <c r="C44" s="11"/>
      <c r="D44" s="2">
        <f t="shared" si="6"/>
        <v>0</v>
      </c>
      <c r="E44" s="2"/>
      <c r="F44" s="19"/>
      <c r="G44" s="2"/>
      <c r="H44" s="2"/>
      <c r="I44" s="2"/>
      <c r="J44" s="19"/>
      <c r="K44" s="2"/>
      <c r="L44" s="2">
        <f t="shared" si="0"/>
        <v>0</v>
      </c>
      <c r="M44" s="2"/>
      <c r="N44" s="19">
        <f t="shared" si="1"/>
        <v>0</v>
      </c>
      <c r="O44" s="11"/>
      <c r="P44" s="2">
        <f>--914.33</f>
        <v>914.33</v>
      </c>
      <c r="Q44" s="2"/>
      <c r="R44" s="19"/>
      <c r="S44" s="2"/>
      <c r="T44" s="2"/>
      <c r="U44" s="2"/>
      <c r="V44" s="19"/>
      <c r="W44" s="2"/>
      <c r="X44" s="2">
        <f t="shared" si="2"/>
        <v>914.33</v>
      </c>
      <c r="Y44" s="2"/>
      <c r="Z44" s="19">
        <f t="shared" si="3"/>
        <v>0</v>
      </c>
    </row>
    <row r="45" spans="1:26" s="24" customFormat="1" hidden="1" outlineLevel="1" x14ac:dyDescent="0.25">
      <c r="A45" s="44"/>
      <c r="B45" s="11" t="str">
        <f>CONCATENATE("          ", "4086", " - ", "TAXABLE SALES-COMPUTER SUPPLIE")</f>
        <v xml:space="preserve">          4086 - TAXABLE SALES-COMPUTER SUPPLIE</v>
      </c>
      <c r="C45" s="11"/>
      <c r="D45" s="2">
        <f t="shared" si="6"/>
        <v>0</v>
      </c>
      <c r="E45" s="2"/>
      <c r="F45" s="19"/>
      <c r="G45" s="2"/>
      <c r="H45" s="2"/>
      <c r="I45" s="2"/>
      <c r="J45" s="19"/>
      <c r="K45" s="2"/>
      <c r="L45" s="2">
        <f t="shared" si="0"/>
        <v>0</v>
      </c>
      <c r="M45" s="2"/>
      <c r="N45" s="19">
        <f t="shared" si="1"/>
        <v>0</v>
      </c>
      <c r="O45" s="11"/>
      <c r="P45" s="2">
        <f>--813.74</f>
        <v>813.74</v>
      </c>
      <c r="Q45" s="2"/>
      <c r="R45" s="19"/>
      <c r="S45" s="2"/>
      <c r="T45" s="2"/>
      <c r="U45" s="2"/>
      <c r="V45" s="19"/>
      <c r="W45" s="2"/>
      <c r="X45" s="2">
        <f t="shared" si="2"/>
        <v>813.74</v>
      </c>
      <c r="Y45" s="2"/>
      <c r="Z45" s="19">
        <f t="shared" si="3"/>
        <v>0</v>
      </c>
    </row>
    <row r="46" spans="1:26" s="24" customFormat="1" hidden="1" outlineLevel="1" x14ac:dyDescent="0.25">
      <c r="A46" s="44"/>
      <c r="B46" s="11" t="str">
        <f>CONCATENATE("          ", "4092", " - ", "TAXABLE SALES-GRAD MERCH")</f>
        <v xml:space="preserve">          4092 - TAXABLE SALES-GRAD MERCH</v>
      </c>
      <c r="C46" s="11"/>
      <c r="D46" s="2">
        <f>--13527.29</f>
        <v>13527.29</v>
      </c>
      <c r="E46" s="2"/>
      <c r="F46" s="19"/>
      <c r="G46" s="2"/>
      <c r="H46" s="2"/>
      <c r="I46" s="2"/>
      <c r="J46" s="19"/>
      <c r="K46" s="2"/>
      <c r="L46" s="2">
        <f t="shared" si="0"/>
        <v>13527.29</v>
      </c>
      <c r="M46" s="2"/>
      <c r="N46" s="19">
        <f t="shared" si="1"/>
        <v>0</v>
      </c>
      <c r="O46" s="11"/>
      <c r="P46" s="2">
        <f>--35353.71</f>
        <v>35353.71</v>
      </c>
      <c r="Q46" s="2"/>
      <c r="R46" s="19"/>
      <c r="S46" s="2"/>
      <c r="T46" s="2"/>
      <c r="U46" s="2"/>
      <c r="V46" s="19"/>
      <c r="W46" s="2"/>
      <c r="X46" s="2">
        <f t="shared" si="2"/>
        <v>35353.71</v>
      </c>
      <c r="Y46" s="2"/>
      <c r="Z46" s="19">
        <f t="shared" si="3"/>
        <v>0</v>
      </c>
    </row>
    <row r="47" spans="1:26" s="24" customFormat="1" hidden="1" outlineLevel="1" x14ac:dyDescent="0.25">
      <c r="A47" s="44"/>
      <c r="B47" s="11" t="str">
        <f>CONCATENATE("          ", "4095", " - ", "TAXABLE SALES-CUSTOMER SERVICE")</f>
        <v xml:space="preserve">          4095 - TAXABLE SALES-CUSTOMER SERVICE</v>
      </c>
      <c r="C47" s="11"/>
      <c r="D47" s="2">
        <f>0</f>
        <v>0</v>
      </c>
      <c r="E47" s="2"/>
      <c r="F47" s="19"/>
      <c r="G47" s="2"/>
      <c r="H47" s="2"/>
      <c r="I47" s="2"/>
      <c r="J47" s="19"/>
      <c r="K47" s="2"/>
      <c r="L47" s="2">
        <f t="shared" si="0"/>
        <v>0</v>
      </c>
      <c r="M47" s="2"/>
      <c r="N47" s="19">
        <f t="shared" si="1"/>
        <v>0</v>
      </c>
      <c r="O47" s="11"/>
      <c r="P47" s="2">
        <f>--309.26</f>
        <v>309.26</v>
      </c>
      <c r="Q47" s="2"/>
      <c r="R47" s="19"/>
      <c r="S47" s="2"/>
      <c r="T47" s="2"/>
      <c r="U47" s="2"/>
      <c r="V47" s="19"/>
      <c r="W47" s="2"/>
      <c r="X47" s="2">
        <f t="shared" si="2"/>
        <v>309.26</v>
      </c>
      <c r="Y47" s="2"/>
      <c r="Z47" s="19">
        <f t="shared" si="3"/>
        <v>0</v>
      </c>
    </row>
    <row r="48" spans="1:26" s="24" customFormat="1" hidden="1" outlineLevel="1" x14ac:dyDescent="0.25">
      <c r="A48" s="44"/>
      <c r="B48" s="11" t="str">
        <f>CONCATENATE("          ", "4100", " - ", "NON-TAXABLE SALES")</f>
        <v xml:space="preserve">          4100 - NON-TAXABLE SALES</v>
      </c>
      <c r="C48" s="11"/>
      <c r="D48" s="2">
        <f>--5210.55</f>
        <v>5210.55</v>
      </c>
      <c r="E48" s="2"/>
      <c r="F48" s="19"/>
      <c r="G48" s="2"/>
      <c r="H48" s="2">
        <v>522209</v>
      </c>
      <c r="I48" s="2"/>
      <c r="J48" s="19"/>
      <c r="K48" s="2"/>
      <c r="L48" s="2">
        <f t="shared" si="0"/>
        <v>-516998.45</v>
      </c>
      <c r="M48" s="2"/>
      <c r="N48" s="19">
        <f t="shared" si="1"/>
        <v>-0.99002209843185396</v>
      </c>
      <c r="O48" s="11"/>
      <c r="P48" s="2">
        <f>--607447.02</f>
        <v>607447.02</v>
      </c>
      <c r="Q48" s="2"/>
      <c r="R48" s="19"/>
      <c r="S48" s="2"/>
      <c r="T48" s="2">
        <v>8616756</v>
      </c>
      <c r="U48" s="2"/>
      <c r="V48" s="19"/>
      <c r="W48" s="2"/>
      <c r="X48" s="2">
        <f t="shared" si="2"/>
        <v>-8009308.9800000004</v>
      </c>
      <c r="Y48" s="2"/>
      <c r="Z48" s="19">
        <f t="shared" si="3"/>
        <v>-0.92950397806320617</v>
      </c>
    </row>
    <row r="49" spans="1:26" s="24" customFormat="1" hidden="1" outlineLevel="1" x14ac:dyDescent="0.25">
      <c r="A49" s="44"/>
      <c r="B49" s="11" t="str">
        <f>CONCATENATE("          ", "4101", " - ", "NON-TAXABLE SALES-NEW TEXT")</f>
        <v xml:space="preserve">          4101 - NON-TAXABLE SALES-NEW TEXT</v>
      </c>
      <c r="C49" s="11"/>
      <c r="D49" s="2">
        <f>--7118.9</f>
        <v>7118.9</v>
      </c>
      <c r="E49" s="2"/>
      <c r="F49" s="19"/>
      <c r="G49" s="2"/>
      <c r="H49" s="2"/>
      <c r="I49" s="2"/>
      <c r="J49" s="19"/>
      <c r="K49" s="2"/>
      <c r="L49" s="2">
        <f t="shared" si="0"/>
        <v>7118.9</v>
      </c>
      <c r="M49" s="2"/>
      <c r="N49" s="19">
        <f t="shared" si="1"/>
        <v>0</v>
      </c>
      <c r="O49" s="11"/>
      <c r="P49" s="2">
        <f>--151282.34</f>
        <v>151282.34</v>
      </c>
      <c r="Q49" s="2"/>
      <c r="R49" s="19"/>
      <c r="S49" s="2"/>
      <c r="T49" s="2"/>
      <c r="U49" s="2"/>
      <c r="V49" s="19"/>
      <c r="W49" s="2"/>
      <c r="X49" s="2">
        <f t="shared" si="2"/>
        <v>151282.34</v>
      </c>
      <c r="Y49" s="2"/>
      <c r="Z49" s="19">
        <f t="shared" si="3"/>
        <v>0</v>
      </c>
    </row>
    <row r="50" spans="1:26" s="24" customFormat="1" hidden="1" outlineLevel="1" x14ac:dyDescent="0.25">
      <c r="A50" s="44"/>
      <c r="B50" s="11" t="str">
        <f>CONCATENATE("          ", "4102", " - ", "NON-TAXABLE SALES-USED TEXT")</f>
        <v xml:space="preserve">          4102 - NON-TAXABLE SALES-USED TEXT</v>
      </c>
      <c r="C50" s="11"/>
      <c r="D50" s="2">
        <f>--565.56</f>
        <v>565.55999999999995</v>
      </c>
      <c r="E50" s="2"/>
      <c r="F50" s="19"/>
      <c r="G50" s="2"/>
      <c r="H50" s="2"/>
      <c r="I50" s="2"/>
      <c r="J50" s="19"/>
      <c r="K50" s="2"/>
      <c r="L50" s="2">
        <f t="shared" si="0"/>
        <v>565.55999999999995</v>
      </c>
      <c r="M50" s="2"/>
      <c r="N50" s="19">
        <f t="shared" si="1"/>
        <v>0</v>
      </c>
      <c r="O50" s="11"/>
      <c r="P50" s="2">
        <f>--70225.46</f>
        <v>70225.460000000006</v>
      </c>
      <c r="Q50" s="2"/>
      <c r="R50" s="19"/>
      <c r="S50" s="2"/>
      <c r="T50" s="2"/>
      <c r="U50" s="2"/>
      <c r="V50" s="19"/>
      <c r="W50" s="2"/>
      <c r="X50" s="2">
        <f t="shared" si="2"/>
        <v>70225.460000000006</v>
      </c>
      <c r="Y50" s="2"/>
      <c r="Z50" s="19">
        <f t="shared" si="3"/>
        <v>0</v>
      </c>
    </row>
    <row r="51" spans="1:26" s="24" customFormat="1" hidden="1" outlineLevel="1" x14ac:dyDescent="0.25">
      <c r="A51" s="44"/>
      <c r="B51" s="11" t="str">
        <f>CONCATENATE("          ", "4103", " - ", "NON-TAXABLE SALES-RENTAL TEXT")</f>
        <v xml:space="preserve">          4103 - NON-TAXABLE SALES-RENTAL TEXT</v>
      </c>
      <c r="C51" s="11"/>
      <c r="D51" s="2">
        <f>0</f>
        <v>0</v>
      </c>
      <c r="E51" s="2"/>
      <c r="F51" s="19"/>
      <c r="G51" s="2"/>
      <c r="H51" s="2"/>
      <c r="I51" s="2"/>
      <c r="J51" s="19"/>
      <c r="K51" s="2"/>
      <c r="L51" s="2">
        <f t="shared" si="0"/>
        <v>0</v>
      </c>
      <c r="M51" s="2"/>
      <c r="N51" s="19">
        <f t="shared" si="1"/>
        <v>0</v>
      </c>
      <c r="O51" s="11"/>
      <c r="P51" s="2">
        <f>--664.97</f>
        <v>664.97</v>
      </c>
      <c r="Q51" s="2"/>
      <c r="R51" s="19"/>
      <c r="S51" s="2"/>
      <c r="T51" s="2"/>
      <c r="U51" s="2"/>
      <c r="V51" s="19"/>
      <c r="W51" s="2"/>
      <c r="X51" s="2">
        <f t="shared" si="2"/>
        <v>664.97</v>
      </c>
      <c r="Y51" s="2"/>
      <c r="Z51" s="19">
        <f t="shared" si="3"/>
        <v>0</v>
      </c>
    </row>
    <row r="52" spans="1:26" s="24" customFormat="1" hidden="1" outlineLevel="1" x14ac:dyDescent="0.25">
      <c r="A52" s="44"/>
      <c r="B52" s="11" t="str">
        <f>CONCATENATE("          ", "4104", " - ", "NON-TAXABLE SALES-DIGITAL TEXT")</f>
        <v xml:space="preserve">          4104 - NON-TAXABLE SALES-DIGITAL TEXT</v>
      </c>
      <c r="C52" s="11"/>
      <c r="D52" s="2">
        <f>--4949.29</f>
        <v>4949.29</v>
      </c>
      <c r="E52" s="2"/>
      <c r="F52" s="19"/>
      <c r="G52" s="2"/>
      <c r="H52" s="2"/>
      <c r="I52" s="2"/>
      <c r="J52" s="19"/>
      <c r="K52" s="2"/>
      <c r="L52" s="2">
        <f t="shared" si="0"/>
        <v>4949.29</v>
      </c>
      <c r="M52" s="2"/>
      <c r="N52" s="19">
        <f t="shared" si="1"/>
        <v>0</v>
      </c>
      <c r="O52" s="11"/>
      <c r="P52" s="2">
        <f>--531803.38</f>
        <v>531803.38</v>
      </c>
      <c r="Q52" s="2"/>
      <c r="R52" s="19"/>
      <c r="S52" s="2"/>
      <c r="T52" s="2"/>
      <c r="U52" s="2"/>
      <c r="V52" s="19"/>
      <c r="W52" s="2"/>
      <c r="X52" s="2">
        <f t="shared" si="2"/>
        <v>531803.38</v>
      </c>
      <c r="Y52" s="2"/>
      <c r="Z52" s="19">
        <f t="shared" si="3"/>
        <v>0</v>
      </c>
    </row>
    <row r="53" spans="1:26" s="24" customFormat="1" hidden="1" outlineLevel="1" x14ac:dyDescent="0.25">
      <c r="A53" s="44"/>
      <c r="B53" s="11" t="str">
        <f>CONCATENATE("          ", "4111", " - ", "NON-TAXABLE SALES-NO VALUE TEX")</f>
        <v xml:space="preserve">          4111 - NON-TAXABLE SALES-NO VALUE TEX</v>
      </c>
      <c r="C53" s="11"/>
      <c r="D53" s="2">
        <f>--340.46</f>
        <v>340.46</v>
      </c>
      <c r="E53" s="2"/>
      <c r="F53" s="19"/>
      <c r="G53" s="2"/>
      <c r="H53" s="2"/>
      <c r="I53" s="2"/>
      <c r="J53" s="19"/>
      <c r="K53" s="2"/>
      <c r="L53" s="2">
        <f t="shared" si="0"/>
        <v>340.46</v>
      </c>
      <c r="M53" s="2"/>
      <c r="N53" s="19">
        <f t="shared" si="1"/>
        <v>0</v>
      </c>
      <c r="O53" s="11"/>
      <c r="P53" s="2">
        <f>--15663.46</f>
        <v>15663.46</v>
      </c>
      <c r="Q53" s="2"/>
      <c r="R53" s="19"/>
      <c r="S53" s="2"/>
      <c r="T53" s="2"/>
      <c r="U53" s="2"/>
      <c r="V53" s="19"/>
      <c r="W53" s="2"/>
      <c r="X53" s="2">
        <f t="shared" si="2"/>
        <v>15663.46</v>
      </c>
      <c r="Y53" s="2"/>
      <c r="Z53" s="19">
        <f t="shared" si="3"/>
        <v>0</v>
      </c>
    </row>
    <row r="54" spans="1:26" s="24" customFormat="1" hidden="1" outlineLevel="1" x14ac:dyDescent="0.25">
      <c r="A54" s="44"/>
      <c r="B54" s="11" t="str">
        <f>CONCATENATE("          ", "4113", " - ", "NON-TAXABLE SALES-TRADE BOOKS")</f>
        <v xml:space="preserve">          4113 - NON-TAXABLE SALES-TRADE BOOKS</v>
      </c>
      <c r="C54" s="11"/>
      <c r="D54" s="2">
        <f>--24.24</f>
        <v>24.24</v>
      </c>
      <c r="E54" s="2"/>
      <c r="F54" s="19"/>
      <c r="G54" s="2"/>
      <c r="H54" s="2"/>
      <c r="I54" s="2"/>
      <c r="J54" s="19"/>
      <c r="K54" s="2"/>
      <c r="L54" s="2">
        <f t="shared" si="0"/>
        <v>24.24</v>
      </c>
      <c r="M54" s="2"/>
      <c r="N54" s="19">
        <f t="shared" si="1"/>
        <v>0</v>
      </c>
      <c r="O54" s="11"/>
      <c r="P54" s="2">
        <f>--8266.16</f>
        <v>8266.16</v>
      </c>
      <c r="Q54" s="2"/>
      <c r="R54" s="19"/>
      <c r="S54" s="2"/>
      <c r="T54" s="2"/>
      <c r="U54" s="2"/>
      <c r="V54" s="19"/>
      <c r="W54" s="2"/>
      <c r="X54" s="2">
        <f t="shared" si="2"/>
        <v>8266.16</v>
      </c>
      <c r="Y54" s="2"/>
      <c r="Z54" s="19">
        <f t="shared" si="3"/>
        <v>0</v>
      </c>
    </row>
    <row r="55" spans="1:26" s="24" customFormat="1" hidden="1" outlineLevel="1" x14ac:dyDescent="0.25">
      <c r="A55" s="44"/>
      <c r="B55" s="11" t="str">
        <f>CONCATENATE("          ", "4114", " - ", "NON-TAXABLE SALES-REMAINDERS")</f>
        <v xml:space="preserve">          4114 - NON-TAXABLE SALES-REMAINDERS</v>
      </c>
      <c r="C55" s="11"/>
      <c r="D55" s="2">
        <f>--3.19</f>
        <v>3.19</v>
      </c>
      <c r="E55" s="2"/>
      <c r="F55" s="19"/>
      <c r="G55" s="2"/>
      <c r="H55" s="2"/>
      <c r="I55" s="2"/>
      <c r="J55" s="19"/>
      <c r="K55" s="2"/>
      <c r="L55" s="2">
        <f t="shared" si="0"/>
        <v>3.19</v>
      </c>
      <c r="M55" s="2"/>
      <c r="N55" s="19">
        <f t="shared" si="1"/>
        <v>0</v>
      </c>
      <c r="O55" s="11"/>
      <c r="P55" s="2">
        <f>--3.19</f>
        <v>3.19</v>
      </c>
      <c r="Q55" s="2"/>
      <c r="R55" s="19"/>
      <c r="S55" s="2"/>
      <c r="T55" s="2"/>
      <c r="U55" s="2"/>
      <c r="V55" s="19"/>
      <c r="W55" s="2"/>
      <c r="X55" s="2">
        <f t="shared" si="2"/>
        <v>3.19</v>
      </c>
      <c r="Y55" s="2"/>
      <c r="Z55" s="19">
        <f t="shared" si="3"/>
        <v>0</v>
      </c>
    </row>
    <row r="56" spans="1:26" s="24" customFormat="1" hidden="1" outlineLevel="1" x14ac:dyDescent="0.25">
      <c r="A56" s="44"/>
      <c r="B56" s="11" t="str">
        <f>CONCATENATE("          ", "4118", " - ", "NON-TAXABLE SALES-STUDY GUIDES")</f>
        <v xml:space="preserve">          4118 - NON-TAXABLE SALES-STUDY GUIDES</v>
      </c>
      <c r="C56" s="11"/>
      <c r="D56" s="2">
        <f>--40</f>
        <v>40</v>
      </c>
      <c r="E56" s="2"/>
      <c r="F56" s="19"/>
      <c r="G56" s="2"/>
      <c r="H56" s="2"/>
      <c r="I56" s="2"/>
      <c r="J56" s="19"/>
      <c r="K56" s="2"/>
      <c r="L56" s="2">
        <f t="shared" si="0"/>
        <v>40</v>
      </c>
      <c r="M56" s="2"/>
      <c r="N56" s="19">
        <f t="shared" si="1"/>
        <v>0</v>
      </c>
      <c r="O56" s="11"/>
      <c r="P56" s="2">
        <f>--115.94</f>
        <v>115.94</v>
      </c>
      <c r="Q56" s="2"/>
      <c r="R56" s="19"/>
      <c r="S56" s="2"/>
      <c r="T56" s="2"/>
      <c r="U56" s="2"/>
      <c r="V56" s="19"/>
      <c r="W56" s="2"/>
      <c r="X56" s="2">
        <f t="shared" si="2"/>
        <v>115.94</v>
      </c>
      <c r="Y56" s="2"/>
      <c r="Z56" s="19">
        <f t="shared" si="3"/>
        <v>0</v>
      </c>
    </row>
    <row r="57" spans="1:26" s="24" customFormat="1" hidden="1" outlineLevel="1" x14ac:dyDescent="0.25">
      <c r="A57" s="44"/>
      <c r="B57" s="11" t="str">
        <f>CONCATENATE("          ", "4125", " - ", "NON-TAXABLE SALES-TEST FORMS")</f>
        <v xml:space="preserve">          4125 - NON-TAXABLE SALES-TEST FORMS</v>
      </c>
      <c r="C57" s="11"/>
      <c r="D57" s="2">
        <f>0</f>
        <v>0</v>
      </c>
      <c r="E57" s="2"/>
      <c r="F57" s="19"/>
      <c r="G57" s="2"/>
      <c r="H57" s="2"/>
      <c r="I57" s="2"/>
      <c r="J57" s="19"/>
      <c r="K57" s="2"/>
      <c r="L57" s="2">
        <f t="shared" si="0"/>
        <v>0</v>
      </c>
      <c r="M57" s="2"/>
      <c r="N57" s="19">
        <f t="shared" si="1"/>
        <v>0</v>
      </c>
      <c r="O57" s="11"/>
      <c r="P57" s="2">
        <f>--267.61</f>
        <v>267.61</v>
      </c>
      <c r="Q57" s="2"/>
      <c r="R57" s="19"/>
      <c r="S57" s="2"/>
      <c r="T57" s="2"/>
      <c r="U57" s="2"/>
      <c r="V57" s="19"/>
      <c r="W57" s="2"/>
      <c r="X57" s="2">
        <f t="shared" si="2"/>
        <v>267.61</v>
      </c>
      <c r="Y57" s="2"/>
      <c r="Z57" s="19">
        <f t="shared" si="3"/>
        <v>0</v>
      </c>
    </row>
    <row r="58" spans="1:26" s="24" customFormat="1" hidden="1" outlineLevel="1" x14ac:dyDescent="0.25">
      <c r="A58" s="44"/>
      <c r="B58" s="11" t="str">
        <f>CONCATENATE("          ", "4126", " - ", "NON-TAXABLE SALES-WRITING INST")</f>
        <v xml:space="preserve">          4126 - NON-TAXABLE SALES-WRITING INST</v>
      </c>
      <c r="C58" s="11"/>
      <c r="D58" s="2">
        <f>--110.56</f>
        <v>110.56</v>
      </c>
      <c r="E58" s="2"/>
      <c r="F58" s="19"/>
      <c r="G58" s="2"/>
      <c r="H58" s="2"/>
      <c r="I58" s="2"/>
      <c r="J58" s="19"/>
      <c r="K58" s="2"/>
      <c r="L58" s="2">
        <f t="shared" si="0"/>
        <v>110.56</v>
      </c>
      <c r="M58" s="2"/>
      <c r="N58" s="19">
        <f t="shared" si="1"/>
        <v>0</v>
      </c>
      <c r="O58" s="11"/>
      <c r="P58" s="2">
        <f>--3133.42</f>
        <v>3133.42</v>
      </c>
      <c r="Q58" s="2"/>
      <c r="R58" s="19"/>
      <c r="S58" s="2"/>
      <c r="T58" s="2"/>
      <c r="U58" s="2"/>
      <c r="V58" s="19"/>
      <c r="W58" s="2"/>
      <c r="X58" s="2">
        <f t="shared" si="2"/>
        <v>3133.42</v>
      </c>
      <c r="Y58" s="2"/>
      <c r="Z58" s="19">
        <f t="shared" si="3"/>
        <v>0</v>
      </c>
    </row>
    <row r="59" spans="1:26" s="24" customFormat="1" hidden="1" outlineLevel="1" x14ac:dyDescent="0.25">
      <c r="A59" s="44"/>
      <c r="B59" s="11" t="str">
        <f>CONCATENATE("          ", "4127", " - ", "NON-TAXABLE SALES-SCHOOL SUPPL")</f>
        <v xml:space="preserve">          4127 - NON-TAXABLE SALES-SCHOOL SUPPL</v>
      </c>
      <c r="C59" s="11"/>
      <c r="D59" s="2">
        <f>--226.84</f>
        <v>226.84</v>
      </c>
      <c r="E59" s="2"/>
      <c r="F59" s="19"/>
      <c r="G59" s="2"/>
      <c r="H59" s="2"/>
      <c r="I59" s="2"/>
      <c r="J59" s="19"/>
      <c r="K59" s="2"/>
      <c r="L59" s="2">
        <f t="shared" si="0"/>
        <v>226.84</v>
      </c>
      <c r="M59" s="2"/>
      <c r="N59" s="19">
        <f t="shared" si="1"/>
        <v>0</v>
      </c>
      <c r="O59" s="11"/>
      <c r="P59" s="2">
        <f>--6373.71</f>
        <v>6373.71</v>
      </c>
      <c r="Q59" s="2"/>
      <c r="R59" s="19"/>
      <c r="S59" s="2"/>
      <c r="T59" s="2"/>
      <c r="U59" s="2"/>
      <c r="V59" s="19"/>
      <c r="W59" s="2"/>
      <c r="X59" s="2">
        <f t="shared" si="2"/>
        <v>6373.71</v>
      </c>
      <c r="Y59" s="2"/>
      <c r="Z59" s="19">
        <f t="shared" si="3"/>
        <v>0</v>
      </c>
    </row>
    <row r="60" spans="1:26" s="24" customFormat="1" hidden="1" outlineLevel="1" x14ac:dyDescent="0.25">
      <c r="A60" s="44"/>
      <c r="B60" s="11" t="str">
        <f>CONCATENATE("          ", "4128", " - ", "NON-TAXABLE SALES-ART/TECH")</f>
        <v xml:space="preserve">          4128 - NON-TAXABLE SALES-ART/TECH</v>
      </c>
      <c r="C60" s="11"/>
      <c r="D60" s="2">
        <f>0</f>
        <v>0</v>
      </c>
      <c r="E60" s="2"/>
      <c r="F60" s="19"/>
      <c r="G60" s="2"/>
      <c r="H60" s="2"/>
      <c r="I60" s="2"/>
      <c r="J60" s="19"/>
      <c r="K60" s="2"/>
      <c r="L60" s="2">
        <f t="shared" si="0"/>
        <v>0</v>
      </c>
      <c r="M60" s="2"/>
      <c r="N60" s="19">
        <f t="shared" si="1"/>
        <v>0</v>
      </c>
      <c r="O60" s="11"/>
      <c r="P60" s="2">
        <f>--730.62</f>
        <v>730.62</v>
      </c>
      <c r="Q60" s="2"/>
      <c r="R60" s="19"/>
      <c r="S60" s="2"/>
      <c r="T60" s="2"/>
      <c r="U60" s="2"/>
      <c r="V60" s="19"/>
      <c r="W60" s="2"/>
      <c r="X60" s="2">
        <f t="shared" si="2"/>
        <v>730.62</v>
      </c>
      <c r="Y60" s="2"/>
      <c r="Z60" s="19">
        <f t="shared" si="3"/>
        <v>0</v>
      </c>
    </row>
    <row r="61" spans="1:26" s="24" customFormat="1" hidden="1" outlineLevel="1" x14ac:dyDescent="0.25">
      <c r="A61" s="44"/>
      <c r="B61" s="11" t="str">
        <f>CONCATENATE("          ", "4131", " - ", "NON-TAXABLE SALES-FOOD")</f>
        <v xml:space="preserve">          4131 - NON-TAXABLE SALES-FOOD</v>
      </c>
      <c r="C61" s="11"/>
      <c r="D61" s="2">
        <f>--8.64</f>
        <v>8.64</v>
      </c>
      <c r="E61" s="2"/>
      <c r="F61" s="19"/>
      <c r="G61" s="2"/>
      <c r="H61" s="2"/>
      <c r="I61" s="2"/>
      <c r="J61" s="19"/>
      <c r="K61" s="2"/>
      <c r="L61" s="2">
        <f t="shared" si="0"/>
        <v>8.64</v>
      </c>
      <c r="M61" s="2"/>
      <c r="N61" s="19">
        <f t="shared" si="1"/>
        <v>0</v>
      </c>
      <c r="O61" s="11"/>
      <c r="P61" s="2">
        <f>--57896.18</f>
        <v>57896.18</v>
      </c>
      <c r="Q61" s="2"/>
      <c r="R61" s="19"/>
      <c r="S61" s="2"/>
      <c r="T61" s="2"/>
      <c r="U61" s="2"/>
      <c r="V61" s="19"/>
      <c r="W61" s="2"/>
      <c r="X61" s="2">
        <f t="shared" si="2"/>
        <v>57896.18</v>
      </c>
      <c r="Y61" s="2"/>
      <c r="Z61" s="19">
        <f t="shared" si="3"/>
        <v>0</v>
      </c>
    </row>
    <row r="62" spans="1:26" s="24" customFormat="1" hidden="1" outlineLevel="1" x14ac:dyDescent="0.25">
      <c r="A62" s="44"/>
      <c r="B62" s="11" t="str">
        <f>CONCATENATE("          ", "4132", " - ", "NON-TAXABLE SALES-JUICE")</f>
        <v xml:space="preserve">          4132 - NON-TAXABLE SALES-JUICE</v>
      </c>
      <c r="C62" s="11"/>
      <c r="D62" s="2">
        <f>0</f>
        <v>0</v>
      </c>
      <c r="E62" s="2"/>
      <c r="F62" s="19"/>
      <c r="G62" s="2"/>
      <c r="H62" s="2"/>
      <c r="I62" s="2"/>
      <c r="J62" s="19"/>
      <c r="K62" s="2"/>
      <c r="L62" s="2">
        <f t="shared" si="0"/>
        <v>0</v>
      </c>
      <c r="M62" s="2"/>
      <c r="N62" s="19">
        <f t="shared" si="1"/>
        <v>0</v>
      </c>
      <c r="O62" s="11"/>
      <c r="P62" s="2">
        <f>--1109977.78</f>
        <v>1109977.78</v>
      </c>
      <c r="Q62" s="2"/>
      <c r="R62" s="19"/>
      <c r="S62" s="2"/>
      <c r="T62" s="2"/>
      <c r="U62" s="2"/>
      <c r="V62" s="19"/>
      <c r="W62" s="2"/>
      <c r="X62" s="2">
        <f t="shared" si="2"/>
        <v>1109977.78</v>
      </c>
      <c r="Y62" s="2"/>
      <c r="Z62" s="19">
        <f t="shared" si="3"/>
        <v>0</v>
      </c>
    </row>
    <row r="63" spans="1:26" s="24" customFormat="1" hidden="1" outlineLevel="1" x14ac:dyDescent="0.25">
      <c r="A63" s="44"/>
      <c r="B63" s="11" t="str">
        <f>CONCATENATE("          ", "4133", " - ", "NON-TAXABLE SALES-CANDY")</f>
        <v xml:space="preserve">          4133 - NON-TAXABLE SALES-CANDY</v>
      </c>
      <c r="C63" s="11"/>
      <c r="D63" s="2">
        <f>--48.27</f>
        <v>48.27</v>
      </c>
      <c r="E63" s="2"/>
      <c r="F63" s="19"/>
      <c r="G63" s="2"/>
      <c r="H63" s="2"/>
      <c r="I63" s="2"/>
      <c r="J63" s="19"/>
      <c r="K63" s="2"/>
      <c r="L63" s="2">
        <f t="shared" si="0"/>
        <v>48.27</v>
      </c>
      <c r="M63" s="2"/>
      <c r="N63" s="19">
        <f t="shared" si="1"/>
        <v>0</v>
      </c>
      <c r="O63" s="11"/>
      <c r="P63" s="2">
        <f>--18138.32</f>
        <v>18138.32</v>
      </c>
      <c r="Q63" s="2"/>
      <c r="R63" s="19"/>
      <c r="S63" s="2"/>
      <c r="T63" s="2"/>
      <c r="U63" s="2"/>
      <c r="V63" s="19"/>
      <c r="W63" s="2"/>
      <c r="X63" s="2">
        <f t="shared" si="2"/>
        <v>18138.32</v>
      </c>
      <c r="Y63" s="2"/>
      <c r="Z63" s="19">
        <f t="shared" si="3"/>
        <v>0</v>
      </c>
    </row>
    <row r="64" spans="1:26" s="24" customFormat="1" hidden="1" outlineLevel="1" x14ac:dyDescent="0.25">
      <c r="A64" s="44"/>
      <c r="B64" s="11" t="str">
        <f>CONCATENATE("          ", "4134", " - ", "NON-TAXABLE SALES-SODA")</f>
        <v xml:space="preserve">          4134 - NON-TAXABLE SALES-SODA</v>
      </c>
      <c r="C64" s="11"/>
      <c r="D64" s="2">
        <f>--23.64</f>
        <v>23.64</v>
      </c>
      <c r="E64" s="2"/>
      <c r="F64" s="19"/>
      <c r="G64" s="2"/>
      <c r="H64" s="2"/>
      <c r="I64" s="2"/>
      <c r="J64" s="19"/>
      <c r="K64" s="2"/>
      <c r="L64" s="2">
        <f t="shared" si="0"/>
        <v>23.64</v>
      </c>
      <c r="M64" s="2"/>
      <c r="N64" s="19">
        <f t="shared" si="1"/>
        <v>0</v>
      </c>
      <c r="O64" s="11"/>
      <c r="P64" s="2">
        <f>--96.73</f>
        <v>96.73</v>
      </c>
      <c r="Q64" s="2"/>
      <c r="R64" s="19"/>
      <c r="S64" s="2"/>
      <c r="T64" s="2"/>
      <c r="U64" s="2"/>
      <c r="V64" s="19"/>
      <c r="W64" s="2"/>
      <c r="X64" s="2">
        <f t="shared" si="2"/>
        <v>96.73</v>
      </c>
      <c r="Y64" s="2"/>
      <c r="Z64" s="19">
        <f t="shared" si="3"/>
        <v>0</v>
      </c>
    </row>
    <row r="65" spans="1:26" s="24" customFormat="1" hidden="1" outlineLevel="1" x14ac:dyDescent="0.25">
      <c r="A65" s="44"/>
      <c r="B65" s="11" t="str">
        <f>CONCATENATE("          ", "4135", " - ", "NON-TAXABLE SALES")</f>
        <v xml:space="preserve">          4135 - NON-TAXABLE SALES</v>
      </c>
      <c r="C65" s="11"/>
      <c r="D65" s="2">
        <f>0</f>
        <v>0</v>
      </c>
      <c r="E65" s="2"/>
      <c r="F65" s="19"/>
      <c r="G65" s="2"/>
      <c r="H65" s="2"/>
      <c r="I65" s="2"/>
      <c r="J65" s="19"/>
      <c r="K65" s="2"/>
      <c r="L65" s="2">
        <f t="shared" si="0"/>
        <v>0</v>
      </c>
      <c r="M65" s="2"/>
      <c r="N65" s="19">
        <f t="shared" si="1"/>
        <v>0</v>
      </c>
      <c r="O65" s="11"/>
      <c r="P65" s="2">
        <f>--161.4</f>
        <v>161.4</v>
      </c>
      <c r="Q65" s="2"/>
      <c r="R65" s="19"/>
      <c r="S65" s="2"/>
      <c r="T65" s="2"/>
      <c r="U65" s="2"/>
      <c r="V65" s="19"/>
      <c r="W65" s="2"/>
      <c r="X65" s="2">
        <f t="shared" si="2"/>
        <v>161.4</v>
      </c>
      <c r="Y65" s="2"/>
      <c r="Z65" s="19">
        <f t="shared" si="3"/>
        <v>0</v>
      </c>
    </row>
    <row r="66" spans="1:26" s="24" customFormat="1" hidden="1" outlineLevel="1" x14ac:dyDescent="0.25">
      <c r="A66" s="44"/>
      <c r="B66" s="11" t="str">
        <f>CONCATENATE("          ", "4137", " - ", "NON-TAXABLE SALES-WATER")</f>
        <v xml:space="preserve">          4137 - NON-TAXABLE SALES-WATER</v>
      </c>
      <c r="C66" s="11"/>
      <c r="D66" s="2">
        <f>--2.24</f>
        <v>2.2400000000000002</v>
      </c>
      <c r="E66" s="2"/>
      <c r="F66" s="19"/>
      <c r="G66" s="2"/>
      <c r="H66" s="2"/>
      <c r="I66" s="2"/>
      <c r="J66" s="19"/>
      <c r="K66" s="2"/>
      <c r="L66" s="2">
        <f t="shared" si="0"/>
        <v>2.2400000000000002</v>
      </c>
      <c r="M66" s="2"/>
      <c r="N66" s="19">
        <f t="shared" si="1"/>
        <v>0</v>
      </c>
      <c r="O66" s="11"/>
      <c r="P66" s="2">
        <f>--10094.74</f>
        <v>10094.74</v>
      </c>
      <c r="Q66" s="2"/>
      <c r="R66" s="19"/>
      <c r="S66" s="2"/>
      <c r="T66" s="2"/>
      <c r="U66" s="2"/>
      <c r="V66" s="19"/>
      <c r="W66" s="2"/>
      <c r="X66" s="2">
        <f t="shared" si="2"/>
        <v>10094.74</v>
      </c>
      <c r="Y66" s="2"/>
      <c r="Z66" s="19">
        <f t="shared" si="3"/>
        <v>0</v>
      </c>
    </row>
    <row r="67" spans="1:26" s="24" customFormat="1" hidden="1" outlineLevel="1" x14ac:dyDescent="0.25">
      <c r="A67" s="44"/>
      <c r="B67" s="11" t="str">
        <f>CONCATENATE("          ", "4140", " - ", "NON-TAXABLE SALES-LOGO CLOTHIN")</f>
        <v xml:space="preserve">          4140 - NON-TAXABLE SALES-LOGO CLOTHIN</v>
      </c>
      <c r="C67" s="11"/>
      <c r="D67" s="2">
        <f>--56556.05</f>
        <v>56556.05</v>
      </c>
      <c r="E67" s="2"/>
      <c r="F67" s="19"/>
      <c r="G67" s="2"/>
      <c r="H67" s="2"/>
      <c r="I67" s="2"/>
      <c r="J67" s="19"/>
      <c r="K67" s="2"/>
      <c r="L67" s="2">
        <f t="shared" si="0"/>
        <v>56556.05</v>
      </c>
      <c r="M67" s="2"/>
      <c r="N67" s="19">
        <f t="shared" si="1"/>
        <v>0</v>
      </c>
      <c r="O67" s="11"/>
      <c r="P67" s="2">
        <f>--135480.76</f>
        <v>135480.76</v>
      </c>
      <c r="Q67" s="2"/>
      <c r="R67" s="19"/>
      <c r="S67" s="2"/>
      <c r="T67" s="2"/>
      <c r="U67" s="2"/>
      <c r="V67" s="19"/>
      <c r="W67" s="2"/>
      <c r="X67" s="2">
        <f t="shared" si="2"/>
        <v>135480.76</v>
      </c>
      <c r="Y67" s="2"/>
      <c r="Z67" s="19">
        <f t="shared" si="3"/>
        <v>0</v>
      </c>
    </row>
    <row r="68" spans="1:26" s="24" customFormat="1" hidden="1" outlineLevel="1" x14ac:dyDescent="0.25">
      <c r="A68" s="44"/>
      <c r="B68" s="11" t="str">
        <f>CONCATENATE("          ", "4141", " - ", "NON-TAXABLE SALES-LOGO GIFTS")</f>
        <v xml:space="preserve">          4141 - NON-TAXABLE SALES-LOGO GIFTS</v>
      </c>
      <c r="C68" s="11"/>
      <c r="D68" s="2">
        <f>--4184.98</f>
        <v>4184.9799999999996</v>
      </c>
      <c r="E68" s="2"/>
      <c r="F68" s="19"/>
      <c r="G68" s="2"/>
      <c r="H68" s="2"/>
      <c r="I68" s="2"/>
      <c r="J68" s="19"/>
      <c r="K68" s="2"/>
      <c r="L68" s="2">
        <f t="shared" si="0"/>
        <v>4184.9799999999996</v>
      </c>
      <c r="M68" s="2"/>
      <c r="N68" s="19">
        <f t="shared" si="1"/>
        <v>0</v>
      </c>
      <c r="O68" s="11"/>
      <c r="P68" s="2">
        <f>--16960.31</f>
        <v>16960.310000000001</v>
      </c>
      <c r="Q68" s="2"/>
      <c r="R68" s="19"/>
      <c r="S68" s="2"/>
      <c r="T68" s="2"/>
      <c r="U68" s="2"/>
      <c r="V68" s="19"/>
      <c r="W68" s="2"/>
      <c r="X68" s="2">
        <f t="shared" si="2"/>
        <v>16960.310000000001</v>
      </c>
      <c r="Y68" s="2"/>
      <c r="Z68" s="19">
        <f t="shared" si="3"/>
        <v>0</v>
      </c>
    </row>
    <row r="69" spans="1:26" s="24" customFormat="1" hidden="1" outlineLevel="1" x14ac:dyDescent="0.25">
      <c r="A69" s="44"/>
      <c r="B69" s="11" t="str">
        <f>CONCATENATE("          ", "4142", " - ", "NON-TAXABLE SALES-EVERYDAY GIF")</f>
        <v xml:space="preserve">          4142 - NON-TAXABLE SALES-EVERYDAY GIF</v>
      </c>
      <c r="C69" s="11"/>
      <c r="D69" s="2">
        <f>--1204.14</f>
        <v>1204.1400000000001</v>
      </c>
      <c r="E69" s="2"/>
      <c r="F69" s="19"/>
      <c r="G69" s="2"/>
      <c r="H69" s="2"/>
      <c r="I69" s="2"/>
      <c r="J69" s="19"/>
      <c r="K69" s="2"/>
      <c r="L69" s="2">
        <f t="shared" si="0"/>
        <v>1204.1400000000001</v>
      </c>
      <c r="M69" s="2"/>
      <c r="N69" s="19">
        <f t="shared" si="1"/>
        <v>0</v>
      </c>
      <c r="O69" s="11"/>
      <c r="P69" s="2">
        <f>--15332.22</f>
        <v>15332.22</v>
      </c>
      <c r="Q69" s="2"/>
      <c r="R69" s="19"/>
      <c r="S69" s="2"/>
      <c r="T69" s="2"/>
      <c r="U69" s="2"/>
      <c r="V69" s="19"/>
      <c r="W69" s="2"/>
      <c r="X69" s="2">
        <f t="shared" si="2"/>
        <v>15332.22</v>
      </c>
      <c r="Y69" s="2"/>
      <c r="Z69" s="19">
        <f t="shared" si="3"/>
        <v>0</v>
      </c>
    </row>
    <row r="70" spans="1:26" s="24" customFormat="1" hidden="1" outlineLevel="1" x14ac:dyDescent="0.25">
      <c r="A70" s="44"/>
      <c r="B70" s="11" t="str">
        <f>CONCATENATE("          ", "4143", " - ", "NON-TAXABLE SALES-CARDS")</f>
        <v xml:space="preserve">          4143 - NON-TAXABLE SALES-CARDS</v>
      </c>
      <c r="C70" s="11"/>
      <c r="D70" s="2">
        <f>--19.98</f>
        <v>19.98</v>
      </c>
      <c r="E70" s="2"/>
      <c r="F70" s="19"/>
      <c r="G70" s="2"/>
      <c r="H70" s="2"/>
      <c r="I70" s="2"/>
      <c r="J70" s="19"/>
      <c r="K70" s="2"/>
      <c r="L70" s="2">
        <f t="shared" si="0"/>
        <v>19.98</v>
      </c>
      <c r="M70" s="2"/>
      <c r="N70" s="19">
        <f t="shared" si="1"/>
        <v>0</v>
      </c>
      <c r="O70" s="11"/>
      <c r="P70" s="2">
        <f>--19.98</f>
        <v>19.98</v>
      </c>
      <c r="Q70" s="2"/>
      <c r="R70" s="19"/>
      <c r="S70" s="2"/>
      <c r="T70" s="2"/>
      <c r="U70" s="2"/>
      <c r="V70" s="19"/>
      <c r="W70" s="2"/>
      <c r="X70" s="2">
        <f t="shared" si="2"/>
        <v>19.98</v>
      </c>
      <c r="Y70" s="2"/>
      <c r="Z70" s="19">
        <f t="shared" si="3"/>
        <v>0</v>
      </c>
    </row>
    <row r="71" spans="1:26" s="24" customFormat="1" hidden="1" outlineLevel="1" x14ac:dyDescent="0.25">
      <c r="A71" s="44"/>
      <c r="B71" s="11" t="str">
        <f>CONCATENATE("          ", "4144", " - ", "NON-TAXABLE SALES-ACCESSORIES")</f>
        <v xml:space="preserve">          4144 - NON-TAXABLE SALES-ACCESSORIES</v>
      </c>
      <c r="C71" s="11"/>
      <c r="D71" s="2">
        <f>--984.35</f>
        <v>984.35</v>
      </c>
      <c r="E71" s="2"/>
      <c r="F71" s="19"/>
      <c r="G71" s="2"/>
      <c r="H71" s="2"/>
      <c r="I71" s="2"/>
      <c r="J71" s="19"/>
      <c r="K71" s="2"/>
      <c r="L71" s="2">
        <f t="shared" si="0"/>
        <v>984.35</v>
      </c>
      <c r="M71" s="2"/>
      <c r="N71" s="19">
        <f t="shared" si="1"/>
        <v>0</v>
      </c>
      <c r="O71" s="11"/>
      <c r="P71" s="2">
        <f>--3324.02</f>
        <v>3324.02</v>
      </c>
      <c r="Q71" s="2"/>
      <c r="R71" s="19"/>
      <c r="S71" s="2"/>
      <c r="T71" s="2"/>
      <c r="U71" s="2"/>
      <c r="V71" s="19"/>
      <c r="W71" s="2"/>
      <c r="X71" s="2">
        <f t="shared" si="2"/>
        <v>3324.02</v>
      </c>
      <c r="Y71" s="2"/>
      <c r="Z71" s="19">
        <f t="shared" si="3"/>
        <v>0</v>
      </c>
    </row>
    <row r="72" spans="1:26" s="24" customFormat="1" hidden="1" outlineLevel="1" x14ac:dyDescent="0.25">
      <c r="A72" s="44"/>
      <c r="B72" s="11" t="str">
        <f>CONCATENATE("          ", "4145", " - ", "NON-TAXABLE SALES-SPECIAL ORDE")</f>
        <v xml:space="preserve">          4145 - NON-TAXABLE SALES-SPECIAL ORDE</v>
      </c>
      <c r="C72" s="11"/>
      <c r="D72" s="2">
        <f>--7688.68</f>
        <v>7688.68</v>
      </c>
      <c r="E72" s="2"/>
      <c r="F72" s="19"/>
      <c r="G72" s="2"/>
      <c r="H72" s="2"/>
      <c r="I72" s="2"/>
      <c r="J72" s="19"/>
      <c r="K72" s="2"/>
      <c r="L72" s="2">
        <f t="shared" si="0"/>
        <v>7688.68</v>
      </c>
      <c r="M72" s="2"/>
      <c r="N72" s="19">
        <f t="shared" si="1"/>
        <v>0</v>
      </c>
      <c r="O72" s="11"/>
      <c r="P72" s="2">
        <f>--7828.68</f>
        <v>7828.68</v>
      </c>
      <c r="Q72" s="2"/>
      <c r="R72" s="19"/>
      <c r="S72" s="2"/>
      <c r="T72" s="2"/>
      <c r="U72" s="2"/>
      <c r="V72" s="19"/>
      <c r="W72" s="2"/>
      <c r="X72" s="2">
        <f t="shared" si="2"/>
        <v>7828.68</v>
      </c>
      <c r="Y72" s="2"/>
      <c r="Z72" s="19">
        <f t="shared" si="3"/>
        <v>0</v>
      </c>
    </row>
    <row r="73" spans="1:26" s="24" customFormat="1" hidden="1" outlineLevel="1" x14ac:dyDescent="0.25">
      <c r="A73" s="44"/>
      <c r="B73" s="11" t="str">
        <f>CONCATENATE("          ", "4146", " - ", "NON-TAXABLE SALES-COIN OP MACH")</f>
        <v xml:space="preserve">          4146 - NON-TAXABLE SALES-COIN OP MACH</v>
      </c>
      <c r="C73" s="11"/>
      <c r="D73" s="2">
        <f>0</f>
        <v>0</v>
      </c>
      <c r="E73" s="2"/>
      <c r="F73" s="19"/>
      <c r="G73" s="2"/>
      <c r="H73" s="2"/>
      <c r="I73" s="2"/>
      <c r="J73" s="19"/>
      <c r="K73" s="2"/>
      <c r="L73" s="2">
        <f t="shared" si="0"/>
        <v>0</v>
      </c>
      <c r="M73" s="2"/>
      <c r="N73" s="19">
        <f t="shared" si="1"/>
        <v>0</v>
      </c>
      <c r="O73" s="11"/>
      <c r="P73" s="2">
        <f>--205908.65</f>
        <v>205908.65</v>
      </c>
      <c r="Q73" s="2"/>
      <c r="R73" s="19"/>
      <c r="S73" s="2"/>
      <c r="T73" s="2"/>
      <c r="U73" s="2"/>
      <c r="V73" s="19"/>
      <c r="W73" s="2"/>
      <c r="X73" s="2">
        <f t="shared" si="2"/>
        <v>205908.65</v>
      </c>
      <c r="Y73" s="2"/>
      <c r="Z73" s="19">
        <f t="shared" si="3"/>
        <v>0</v>
      </c>
    </row>
    <row r="74" spans="1:26" s="24" customFormat="1" hidden="1" outlineLevel="1" x14ac:dyDescent="0.25">
      <c r="A74" s="44"/>
      <c r="B74" s="11" t="str">
        <f>CONCATENATE("          ", "4147", " - ", "NON-TAXABLE SALES-MISC")</f>
        <v xml:space="preserve">          4147 - NON-TAXABLE SALES-MISC</v>
      </c>
      <c r="C74" s="11"/>
      <c r="D74" s="2">
        <f>--10</f>
        <v>10</v>
      </c>
      <c r="E74" s="2"/>
      <c r="F74" s="19"/>
      <c r="G74" s="2"/>
      <c r="H74" s="2"/>
      <c r="I74" s="2"/>
      <c r="J74" s="19"/>
      <c r="K74" s="2"/>
      <c r="L74" s="2">
        <f t="shared" si="0"/>
        <v>10</v>
      </c>
      <c r="M74" s="2"/>
      <c r="N74" s="19">
        <f t="shared" si="1"/>
        <v>0</v>
      </c>
      <c r="O74" s="11"/>
      <c r="P74" s="2">
        <f>--3446.37</f>
        <v>3446.37</v>
      </c>
      <c r="Q74" s="2"/>
      <c r="R74" s="19"/>
      <c r="S74" s="2"/>
      <c r="T74" s="2"/>
      <c r="U74" s="2"/>
      <c r="V74" s="19"/>
      <c r="W74" s="2"/>
      <c r="X74" s="2">
        <f t="shared" si="2"/>
        <v>3446.37</v>
      </c>
      <c r="Y74" s="2"/>
      <c r="Z74" s="19">
        <f t="shared" si="3"/>
        <v>0</v>
      </c>
    </row>
    <row r="75" spans="1:26" s="24" customFormat="1" hidden="1" outlineLevel="1" x14ac:dyDescent="0.25">
      <c r="A75" s="44"/>
      <c r="B75" s="11" t="str">
        <f>CONCATENATE("          ", "4151", " - ", "NON-TAXABLE SALES-FOOD")</f>
        <v xml:space="preserve">          4151 - NON-TAXABLE SALES-FOOD</v>
      </c>
      <c r="C75" s="11"/>
      <c r="D75" s="2">
        <f t="shared" ref="D75:D77" si="7">0</f>
        <v>0</v>
      </c>
      <c r="E75" s="2"/>
      <c r="F75" s="19"/>
      <c r="G75" s="2"/>
      <c r="H75" s="2"/>
      <c r="I75" s="2"/>
      <c r="J75" s="19"/>
      <c r="K75" s="2"/>
      <c r="L75" s="2">
        <f t="shared" si="0"/>
        <v>0</v>
      </c>
      <c r="M75" s="2"/>
      <c r="N75" s="19">
        <f t="shared" si="1"/>
        <v>0</v>
      </c>
      <c r="O75" s="11"/>
      <c r="P75" s="2">
        <f>--828068.07</f>
        <v>828068.07</v>
      </c>
      <c r="Q75" s="2"/>
      <c r="R75" s="19"/>
      <c r="S75" s="2"/>
      <c r="T75" s="2"/>
      <c r="U75" s="2"/>
      <c r="V75" s="19"/>
      <c r="W75" s="2"/>
      <c r="X75" s="2">
        <f t="shared" si="2"/>
        <v>828068.07</v>
      </c>
      <c r="Y75" s="2"/>
      <c r="Z75" s="19">
        <f t="shared" si="3"/>
        <v>0</v>
      </c>
    </row>
    <row r="76" spans="1:26" s="24" customFormat="1" hidden="1" outlineLevel="1" x14ac:dyDescent="0.25">
      <c r="A76" s="44"/>
      <c r="B76" s="11" t="str">
        <f>CONCATENATE("          ", "4153", " - ", "NON-TAXABLE SALES-FOOD")</f>
        <v xml:space="preserve">          4153 - NON-TAXABLE SALES-FOOD</v>
      </c>
      <c r="C76" s="11"/>
      <c r="D76" s="2">
        <f t="shared" si="7"/>
        <v>0</v>
      </c>
      <c r="E76" s="2"/>
      <c r="F76" s="19"/>
      <c r="G76" s="2"/>
      <c r="H76" s="2"/>
      <c r="I76" s="2"/>
      <c r="J76" s="19"/>
      <c r="K76" s="2"/>
      <c r="L76" s="2">
        <f t="shared" si="0"/>
        <v>0</v>
      </c>
      <c r="M76" s="2"/>
      <c r="N76" s="19">
        <f t="shared" si="1"/>
        <v>0</v>
      </c>
      <c r="O76" s="11"/>
      <c r="P76" s="2">
        <f>--12812.5</f>
        <v>12812.5</v>
      </c>
      <c r="Q76" s="2"/>
      <c r="R76" s="19"/>
      <c r="S76" s="2"/>
      <c r="T76" s="2"/>
      <c r="U76" s="2"/>
      <c r="V76" s="19"/>
      <c r="W76" s="2"/>
      <c r="X76" s="2">
        <f t="shared" si="2"/>
        <v>12812.5</v>
      </c>
      <c r="Y76" s="2"/>
      <c r="Z76" s="19">
        <f t="shared" si="3"/>
        <v>0</v>
      </c>
    </row>
    <row r="77" spans="1:26" s="24" customFormat="1" hidden="1" outlineLevel="1" x14ac:dyDescent="0.25">
      <c r="A77" s="44"/>
      <c r="B77" s="11" t="str">
        <f>CONCATENATE("          ", "4186", " - ", "NON-TAXABLE SALES-COMPUTER SUP")</f>
        <v xml:space="preserve">          4186 - NON-TAXABLE SALES-COMPUTER SUP</v>
      </c>
      <c r="C77" s="11"/>
      <c r="D77" s="2">
        <f t="shared" si="7"/>
        <v>0</v>
      </c>
      <c r="E77" s="2"/>
      <c r="F77" s="19"/>
      <c r="G77" s="2"/>
      <c r="H77" s="2"/>
      <c r="I77" s="2"/>
      <c r="J77" s="19"/>
      <c r="K77" s="2"/>
      <c r="L77" s="2">
        <f t="shared" si="0"/>
        <v>0</v>
      </c>
      <c r="M77" s="2"/>
      <c r="N77" s="19">
        <f t="shared" si="1"/>
        <v>0</v>
      </c>
      <c r="O77" s="11"/>
      <c r="P77" s="2">
        <f>-30.97</f>
        <v>-30.97</v>
      </c>
      <c r="Q77" s="2"/>
      <c r="R77" s="19"/>
      <c r="S77" s="2"/>
      <c r="T77" s="2"/>
      <c r="U77" s="2"/>
      <c r="V77" s="19"/>
      <c r="W77" s="2"/>
      <c r="X77" s="2">
        <f t="shared" si="2"/>
        <v>-30.97</v>
      </c>
      <c r="Y77" s="2"/>
      <c r="Z77" s="19">
        <f t="shared" si="3"/>
        <v>0</v>
      </c>
    </row>
    <row r="78" spans="1:26" s="24" customFormat="1" hidden="1" outlineLevel="1" x14ac:dyDescent="0.25">
      <c r="A78" s="44"/>
      <c r="B78" s="11" t="str">
        <f>CONCATENATE("          ", "4192", " - ", "NON-TAXABLE SALES-GRAD MERCH")</f>
        <v xml:space="preserve">          4192 - NON-TAXABLE SALES-GRAD MERCH</v>
      </c>
      <c r="C78" s="11"/>
      <c r="D78" s="2">
        <f>--119.4</f>
        <v>119.4</v>
      </c>
      <c r="E78" s="2"/>
      <c r="F78" s="19"/>
      <c r="G78" s="2"/>
      <c r="H78" s="2"/>
      <c r="I78" s="2"/>
      <c r="J78" s="19"/>
      <c r="K78" s="2"/>
      <c r="L78" s="2">
        <f t="shared" si="0"/>
        <v>119.4</v>
      </c>
      <c r="M78" s="2"/>
      <c r="N78" s="19">
        <f t="shared" si="1"/>
        <v>0</v>
      </c>
      <c r="O78" s="11"/>
      <c r="P78" s="2">
        <f>--119.4</f>
        <v>119.4</v>
      </c>
      <c r="Q78" s="2"/>
      <c r="R78" s="19"/>
      <c r="S78" s="2"/>
      <c r="T78" s="2"/>
      <c r="U78" s="2"/>
      <c r="V78" s="19"/>
      <c r="W78" s="2"/>
      <c r="X78" s="2">
        <f t="shared" si="2"/>
        <v>119.4</v>
      </c>
      <c r="Y78" s="2"/>
      <c r="Z78" s="19">
        <f t="shared" si="3"/>
        <v>0</v>
      </c>
    </row>
    <row r="79" spans="1:26" s="24" customFormat="1" hidden="1" outlineLevel="1" x14ac:dyDescent="0.25">
      <c r="A79" s="44"/>
      <c r="B79" s="11" t="str">
        <f>CONCATENATE("          ", "4201", " - ", "SALES RETURN TAXABLE-NEW TEXT")</f>
        <v xml:space="preserve">          4201 - SALES RETURN TAXABLE-NEW TEXT</v>
      </c>
      <c r="C79" s="11"/>
      <c r="D79" s="2">
        <f>-228.6</f>
        <v>-228.6</v>
      </c>
      <c r="E79" s="2"/>
      <c r="F79" s="19"/>
      <c r="G79" s="2"/>
      <c r="H79" s="2"/>
      <c r="I79" s="2"/>
      <c r="J79" s="19"/>
      <c r="K79" s="2"/>
      <c r="L79" s="2">
        <f t="shared" si="0"/>
        <v>-228.6</v>
      </c>
      <c r="M79" s="2"/>
      <c r="N79" s="19">
        <f t="shared" si="1"/>
        <v>0</v>
      </c>
      <c r="O79" s="11"/>
      <c r="P79" s="2">
        <f>-121451.61</f>
        <v>-121451.61</v>
      </c>
      <c r="Q79" s="2"/>
      <c r="R79" s="19"/>
      <c r="S79" s="2"/>
      <c r="T79" s="2"/>
      <c r="U79" s="2"/>
      <c r="V79" s="19"/>
      <c r="W79" s="2"/>
      <c r="X79" s="2">
        <f t="shared" si="2"/>
        <v>-121451.61</v>
      </c>
      <c r="Y79" s="2"/>
      <c r="Z79" s="19">
        <f t="shared" si="3"/>
        <v>0</v>
      </c>
    </row>
    <row r="80" spans="1:26" s="24" customFormat="1" hidden="1" outlineLevel="1" x14ac:dyDescent="0.25">
      <c r="A80" s="44"/>
      <c r="B80" s="11" t="str">
        <f>CONCATENATE("          ", "4202", " - ", "SALES RETURN TAXABLE-USED TEXT")</f>
        <v xml:space="preserve">          4202 - SALES RETURN TAXABLE-USED TEXT</v>
      </c>
      <c r="C80" s="11"/>
      <c r="D80" s="2">
        <f>-60.4</f>
        <v>-60.4</v>
      </c>
      <c r="E80" s="2"/>
      <c r="F80" s="19"/>
      <c r="G80" s="2"/>
      <c r="H80" s="2"/>
      <c r="I80" s="2"/>
      <c r="J80" s="19"/>
      <c r="K80" s="2"/>
      <c r="L80" s="2">
        <f t="shared" si="0"/>
        <v>-60.4</v>
      </c>
      <c r="M80" s="2"/>
      <c r="N80" s="19">
        <f t="shared" si="1"/>
        <v>0</v>
      </c>
      <c r="O80" s="11"/>
      <c r="P80" s="2">
        <f>-45613.11</f>
        <v>-45613.11</v>
      </c>
      <c r="Q80" s="2"/>
      <c r="R80" s="19"/>
      <c r="S80" s="2"/>
      <c r="T80" s="2"/>
      <c r="U80" s="2"/>
      <c r="V80" s="19"/>
      <c r="W80" s="2"/>
      <c r="X80" s="2">
        <f t="shared" si="2"/>
        <v>-45613.11</v>
      </c>
      <c r="Y80" s="2"/>
      <c r="Z80" s="19">
        <f t="shared" si="3"/>
        <v>0</v>
      </c>
    </row>
    <row r="81" spans="1:26" s="24" customFormat="1" hidden="1" outlineLevel="1" x14ac:dyDescent="0.25">
      <c r="A81" s="44"/>
      <c r="B81" s="11" t="str">
        <f>CONCATENATE("          ", "4203", " - ", "SALES RETURN TAXABLE-RENTAL TE")</f>
        <v xml:space="preserve">          4203 - SALES RETURN TAXABLE-RENTAL TE</v>
      </c>
      <c r="C81" s="11"/>
      <c r="D81" s="2">
        <f t="shared" ref="D81:D86" si="8">0</f>
        <v>0</v>
      </c>
      <c r="E81" s="2"/>
      <c r="F81" s="19"/>
      <c r="G81" s="2"/>
      <c r="H81" s="2"/>
      <c r="I81" s="2"/>
      <c r="J81" s="19"/>
      <c r="K81" s="2"/>
      <c r="L81" s="2">
        <f t="shared" si="0"/>
        <v>0</v>
      </c>
      <c r="M81" s="2"/>
      <c r="N81" s="19">
        <f t="shared" si="1"/>
        <v>0</v>
      </c>
      <c r="O81" s="11"/>
      <c r="P81" s="2">
        <f>-144.99</f>
        <v>-144.99</v>
      </c>
      <c r="Q81" s="2"/>
      <c r="R81" s="19"/>
      <c r="S81" s="2"/>
      <c r="T81" s="2"/>
      <c r="U81" s="2"/>
      <c r="V81" s="19"/>
      <c r="W81" s="2"/>
      <c r="X81" s="2">
        <f t="shared" si="2"/>
        <v>-144.99</v>
      </c>
      <c r="Y81" s="2"/>
      <c r="Z81" s="19">
        <f t="shared" si="3"/>
        <v>0</v>
      </c>
    </row>
    <row r="82" spans="1:26" s="24" customFormat="1" hidden="1" outlineLevel="1" x14ac:dyDescent="0.25">
      <c r="A82" s="44"/>
      <c r="B82" s="11" t="str">
        <f>CONCATENATE("          ", "4204", " - ", "SALES RETURN TAXABLE-DIGITAL T")</f>
        <v xml:space="preserve">          4204 - SALES RETURN TAXABLE-DIGITAL T</v>
      </c>
      <c r="C82" s="11"/>
      <c r="D82" s="2">
        <f t="shared" si="8"/>
        <v>0</v>
      </c>
      <c r="E82" s="2"/>
      <c r="F82" s="19"/>
      <c r="G82" s="2"/>
      <c r="H82" s="2"/>
      <c r="I82" s="2"/>
      <c r="J82" s="19"/>
      <c r="K82" s="2"/>
      <c r="L82" s="2">
        <f t="shared" si="0"/>
        <v>0</v>
      </c>
      <c r="M82" s="2"/>
      <c r="N82" s="19">
        <f t="shared" si="1"/>
        <v>0</v>
      </c>
      <c r="O82" s="11"/>
      <c r="P82" s="2">
        <f>-17255.33</f>
        <v>-17255.330000000002</v>
      </c>
      <c r="Q82" s="2"/>
      <c r="R82" s="19"/>
      <c r="S82" s="2"/>
      <c r="T82" s="2"/>
      <c r="U82" s="2"/>
      <c r="V82" s="19"/>
      <c r="W82" s="2"/>
      <c r="X82" s="2">
        <f t="shared" si="2"/>
        <v>-17255.330000000002</v>
      </c>
      <c r="Y82" s="2"/>
      <c r="Z82" s="19">
        <f t="shared" si="3"/>
        <v>0</v>
      </c>
    </row>
    <row r="83" spans="1:26" s="24" customFormat="1" hidden="1" outlineLevel="1" x14ac:dyDescent="0.25">
      <c r="A83" s="44"/>
      <c r="B83" s="11" t="str">
        <f>CONCATENATE("          ", "4213", " - ", "NON-TAXABLE SALES-TRADE BOOKS")</f>
        <v xml:space="preserve">          4213 - NON-TAXABLE SALES-TRADE BOOKS</v>
      </c>
      <c r="C83" s="11"/>
      <c r="D83" s="2">
        <f t="shared" si="8"/>
        <v>0</v>
      </c>
      <c r="E83" s="2"/>
      <c r="F83" s="19"/>
      <c r="G83" s="2"/>
      <c r="H83" s="2"/>
      <c r="I83" s="2"/>
      <c r="J83" s="19"/>
      <c r="K83" s="2"/>
      <c r="L83" s="2">
        <f t="shared" si="0"/>
        <v>0</v>
      </c>
      <c r="M83" s="2"/>
      <c r="N83" s="19">
        <f t="shared" si="1"/>
        <v>0</v>
      </c>
      <c r="O83" s="11"/>
      <c r="P83" s="2">
        <f>-2768.67</f>
        <v>-2768.67</v>
      </c>
      <c r="Q83" s="2"/>
      <c r="R83" s="19"/>
      <c r="S83" s="2"/>
      <c r="T83" s="2"/>
      <c r="U83" s="2"/>
      <c r="V83" s="19"/>
      <c r="W83" s="2"/>
      <c r="X83" s="2">
        <f t="shared" si="2"/>
        <v>-2768.67</v>
      </c>
      <c r="Y83" s="2"/>
      <c r="Z83" s="19">
        <f t="shared" si="3"/>
        <v>0</v>
      </c>
    </row>
    <row r="84" spans="1:26" s="24" customFormat="1" hidden="1" outlineLevel="1" x14ac:dyDescent="0.25">
      <c r="A84" s="44"/>
      <c r="B84" s="11" t="str">
        <f>CONCATENATE("          ", "4214", " - ", "SALES RETURN TAXABLE-REMAINDER")</f>
        <v xml:space="preserve">          4214 - SALES RETURN TAXABLE-REMAINDER</v>
      </c>
      <c r="C84" s="11"/>
      <c r="D84" s="2">
        <f t="shared" si="8"/>
        <v>0</v>
      </c>
      <c r="E84" s="2"/>
      <c r="F84" s="19"/>
      <c r="G84" s="2"/>
      <c r="H84" s="2"/>
      <c r="I84" s="2"/>
      <c r="J84" s="19"/>
      <c r="K84" s="2"/>
      <c r="L84" s="2">
        <f t="shared" si="0"/>
        <v>0</v>
      </c>
      <c r="M84" s="2"/>
      <c r="N84" s="19">
        <f t="shared" si="1"/>
        <v>0</v>
      </c>
      <c r="O84" s="11"/>
      <c r="P84" s="2">
        <f>-11.94</f>
        <v>-11.94</v>
      </c>
      <c r="Q84" s="2"/>
      <c r="R84" s="19"/>
      <c r="S84" s="2"/>
      <c r="T84" s="2"/>
      <c r="U84" s="2"/>
      <c r="V84" s="19"/>
      <c r="W84" s="2"/>
      <c r="X84" s="2">
        <f t="shared" si="2"/>
        <v>-11.94</v>
      </c>
      <c r="Y84" s="2"/>
      <c r="Z84" s="19">
        <f t="shared" si="3"/>
        <v>0</v>
      </c>
    </row>
    <row r="85" spans="1:26" s="24" customFormat="1" hidden="1" outlineLevel="1" x14ac:dyDescent="0.25">
      <c r="A85" s="44"/>
      <c r="B85" s="11" t="str">
        <f>CONCATENATE("          ", "4217", " - ", "NON-TAXABLE SALES-DORM/HOUSEWA")</f>
        <v xml:space="preserve">          4217 - NON-TAXABLE SALES-DORM/HOUSEWA</v>
      </c>
      <c r="C85" s="11"/>
      <c r="D85" s="2">
        <f t="shared" si="8"/>
        <v>0</v>
      </c>
      <c r="E85" s="2"/>
      <c r="F85" s="19"/>
      <c r="G85" s="2"/>
      <c r="H85" s="2"/>
      <c r="I85" s="2"/>
      <c r="J85" s="19"/>
      <c r="K85" s="2"/>
      <c r="L85" s="2">
        <f t="shared" si="0"/>
        <v>0</v>
      </c>
      <c r="M85" s="2"/>
      <c r="N85" s="19">
        <f t="shared" si="1"/>
        <v>0</v>
      </c>
      <c r="O85" s="11"/>
      <c r="P85" s="2">
        <f>-2.98</f>
        <v>-2.98</v>
      </c>
      <c r="Q85" s="2"/>
      <c r="R85" s="19"/>
      <c r="S85" s="2"/>
      <c r="T85" s="2"/>
      <c r="U85" s="2"/>
      <c r="V85" s="19"/>
      <c r="W85" s="2"/>
      <c r="X85" s="2">
        <f t="shared" si="2"/>
        <v>-2.98</v>
      </c>
      <c r="Y85" s="2"/>
      <c r="Z85" s="19">
        <f t="shared" si="3"/>
        <v>0</v>
      </c>
    </row>
    <row r="86" spans="1:26" s="24" customFormat="1" hidden="1" outlineLevel="1" x14ac:dyDescent="0.25">
      <c r="A86" s="44"/>
      <c r="B86" s="11" t="str">
        <f>CONCATENATE("          ", "4218", " - ", "SALES RETURN TAXABLE-STUDY GUI")</f>
        <v xml:space="preserve">          4218 - SALES RETURN TAXABLE-STUDY GUI</v>
      </c>
      <c r="C86" s="11"/>
      <c r="D86" s="2">
        <f t="shared" si="8"/>
        <v>0</v>
      </c>
      <c r="E86" s="2"/>
      <c r="F86" s="19"/>
      <c r="G86" s="2"/>
      <c r="H86" s="2"/>
      <c r="I86" s="2"/>
      <c r="J86" s="19"/>
      <c r="K86" s="2"/>
      <c r="L86" s="2">
        <f t="shared" si="0"/>
        <v>0</v>
      </c>
      <c r="M86" s="2"/>
      <c r="N86" s="19">
        <f t="shared" si="1"/>
        <v>0</v>
      </c>
      <c r="O86" s="11"/>
      <c r="P86" s="2">
        <f>-39.25</f>
        <v>-39.25</v>
      </c>
      <c r="Q86" s="2"/>
      <c r="R86" s="19"/>
      <c r="S86" s="2"/>
      <c r="T86" s="2"/>
      <c r="U86" s="2"/>
      <c r="V86" s="19"/>
      <c r="W86" s="2"/>
      <c r="X86" s="2">
        <f t="shared" si="2"/>
        <v>-39.25</v>
      </c>
      <c r="Y86" s="2"/>
      <c r="Z86" s="19">
        <f t="shared" si="3"/>
        <v>0</v>
      </c>
    </row>
    <row r="87" spans="1:26" s="24" customFormat="1" hidden="1" outlineLevel="1" x14ac:dyDescent="0.25">
      <c r="A87" s="44"/>
      <c r="B87" s="11" t="str">
        <f>CONCATENATE("          ", "4225", " - ", "SALES RETURN TAXABLE-TEST FORM")</f>
        <v xml:space="preserve">          4225 - SALES RETURN TAXABLE-TEST FORM</v>
      </c>
      <c r="C87" s="11"/>
      <c r="D87" s="2">
        <f>-29.5</f>
        <v>-29.5</v>
      </c>
      <c r="E87" s="2"/>
      <c r="F87" s="19"/>
      <c r="G87" s="2"/>
      <c r="H87" s="2"/>
      <c r="I87" s="2"/>
      <c r="J87" s="19"/>
      <c r="K87" s="2"/>
      <c r="L87" s="2">
        <f t="shared" si="0"/>
        <v>-29.5</v>
      </c>
      <c r="M87" s="2"/>
      <c r="N87" s="19">
        <f t="shared" si="1"/>
        <v>0</v>
      </c>
      <c r="O87" s="11"/>
      <c r="P87" s="2">
        <f>-205.91</f>
        <v>-205.91</v>
      </c>
      <c r="Q87" s="2"/>
      <c r="R87" s="19"/>
      <c r="S87" s="2"/>
      <c r="T87" s="2"/>
      <c r="U87" s="2"/>
      <c r="V87" s="19"/>
      <c r="W87" s="2"/>
      <c r="X87" s="2">
        <f t="shared" si="2"/>
        <v>-205.91</v>
      </c>
      <c r="Y87" s="2"/>
      <c r="Z87" s="19">
        <f t="shared" si="3"/>
        <v>0</v>
      </c>
    </row>
    <row r="88" spans="1:26" s="24" customFormat="1" hidden="1" outlineLevel="1" x14ac:dyDescent="0.25">
      <c r="A88" s="44"/>
      <c r="B88" s="11" t="str">
        <f>CONCATENATE("          ", "4226", " - ", "SALES RETURN TAXABLE-WRITING I")</f>
        <v xml:space="preserve">          4226 - SALES RETURN TAXABLE-WRITING I</v>
      </c>
      <c r="C88" s="11"/>
      <c r="D88" s="2">
        <f>-159.4</f>
        <v>-159.4</v>
      </c>
      <c r="E88" s="2"/>
      <c r="F88" s="19"/>
      <c r="G88" s="2"/>
      <c r="H88" s="2"/>
      <c r="I88" s="2"/>
      <c r="J88" s="19"/>
      <c r="K88" s="2"/>
      <c r="L88" s="2">
        <f t="shared" si="0"/>
        <v>-159.4</v>
      </c>
      <c r="M88" s="2"/>
      <c r="N88" s="19">
        <f t="shared" si="1"/>
        <v>0</v>
      </c>
      <c r="O88" s="11"/>
      <c r="P88" s="2">
        <f>-924.44</f>
        <v>-924.44</v>
      </c>
      <c r="Q88" s="2"/>
      <c r="R88" s="19"/>
      <c r="S88" s="2"/>
      <c r="T88" s="2"/>
      <c r="U88" s="2"/>
      <c r="V88" s="19"/>
      <c r="W88" s="2"/>
      <c r="X88" s="2">
        <f t="shared" si="2"/>
        <v>-924.44</v>
      </c>
      <c r="Y88" s="2"/>
      <c r="Z88" s="19">
        <f t="shared" si="3"/>
        <v>0</v>
      </c>
    </row>
    <row r="89" spans="1:26" s="24" customFormat="1" hidden="1" outlineLevel="1" x14ac:dyDescent="0.25">
      <c r="A89" s="44"/>
      <c r="B89" s="11" t="str">
        <f>CONCATENATE("          ", "4227", " - ", "SALES RETURN TAXABLE-SCHOOL SU")</f>
        <v xml:space="preserve">          4227 - SALES RETURN TAXABLE-SCHOOL SU</v>
      </c>
      <c r="C89" s="11"/>
      <c r="D89" s="2">
        <f>-53.42</f>
        <v>-53.42</v>
      </c>
      <c r="E89" s="2"/>
      <c r="F89" s="19"/>
      <c r="G89" s="2"/>
      <c r="H89" s="2"/>
      <c r="I89" s="2"/>
      <c r="J89" s="19"/>
      <c r="K89" s="2"/>
      <c r="L89" s="2">
        <f t="shared" si="0"/>
        <v>-53.42</v>
      </c>
      <c r="M89" s="2"/>
      <c r="N89" s="19">
        <f t="shared" si="1"/>
        <v>0</v>
      </c>
      <c r="O89" s="11"/>
      <c r="P89" s="2">
        <f>-8647.03</f>
        <v>-8647.0300000000007</v>
      </c>
      <c r="Q89" s="2"/>
      <c r="R89" s="19"/>
      <c r="S89" s="2"/>
      <c r="T89" s="2"/>
      <c r="U89" s="2"/>
      <c r="V89" s="19"/>
      <c r="W89" s="2"/>
      <c r="X89" s="2">
        <f t="shared" si="2"/>
        <v>-8647.0300000000007</v>
      </c>
      <c r="Y89" s="2"/>
      <c r="Z89" s="19">
        <f t="shared" si="3"/>
        <v>0</v>
      </c>
    </row>
    <row r="90" spans="1:26" s="24" customFormat="1" hidden="1" outlineLevel="1" x14ac:dyDescent="0.25">
      <c r="A90" s="44"/>
      <c r="B90" s="11" t="str">
        <f>CONCATENATE("          ", "4228", " - ", "SALES RETURN TAXABLE-ART/TECH")</f>
        <v xml:space="preserve">          4228 - SALES RETURN TAXABLE-ART/TECH</v>
      </c>
      <c r="C90" s="11"/>
      <c r="D90" s="2">
        <f t="shared" ref="D90:D91" si="9">0</f>
        <v>0</v>
      </c>
      <c r="E90" s="2"/>
      <c r="F90" s="19"/>
      <c r="G90" s="2"/>
      <c r="H90" s="2"/>
      <c r="I90" s="2"/>
      <c r="J90" s="19"/>
      <c r="K90" s="2"/>
      <c r="L90" s="2">
        <f t="shared" si="0"/>
        <v>0</v>
      </c>
      <c r="M90" s="2"/>
      <c r="N90" s="19">
        <f t="shared" si="1"/>
        <v>0</v>
      </c>
      <c r="O90" s="11"/>
      <c r="P90" s="2">
        <f>-4739.1</f>
        <v>-4739.1000000000004</v>
      </c>
      <c r="Q90" s="2"/>
      <c r="R90" s="19"/>
      <c r="S90" s="2"/>
      <c r="T90" s="2"/>
      <c r="U90" s="2"/>
      <c r="V90" s="19"/>
      <c r="W90" s="2"/>
      <c r="X90" s="2">
        <f t="shared" si="2"/>
        <v>-4739.1000000000004</v>
      </c>
      <c r="Y90" s="2"/>
      <c r="Z90" s="19">
        <f t="shared" si="3"/>
        <v>0</v>
      </c>
    </row>
    <row r="91" spans="1:26" s="24" customFormat="1" hidden="1" outlineLevel="1" x14ac:dyDescent="0.25">
      <c r="A91" s="44"/>
      <c r="B91" s="11" t="str">
        <f>CONCATENATE("          ", "4233", " - ", "SALES RETURN TAXABLE-CANDY")</f>
        <v xml:space="preserve">          4233 - SALES RETURN TAXABLE-CANDY</v>
      </c>
      <c r="C91" s="11"/>
      <c r="D91" s="2">
        <f t="shared" si="9"/>
        <v>0</v>
      </c>
      <c r="E91" s="2"/>
      <c r="F91" s="19"/>
      <c r="G91" s="2"/>
      <c r="H91" s="2"/>
      <c r="I91" s="2"/>
      <c r="J91" s="19"/>
      <c r="K91" s="2"/>
      <c r="L91" s="2">
        <f t="shared" si="0"/>
        <v>0</v>
      </c>
      <c r="M91" s="2"/>
      <c r="N91" s="19">
        <f t="shared" si="1"/>
        <v>0</v>
      </c>
      <c r="O91" s="11"/>
      <c r="P91" s="2">
        <f>-8.25</f>
        <v>-8.25</v>
      </c>
      <c r="Q91" s="2"/>
      <c r="R91" s="19"/>
      <c r="S91" s="2"/>
      <c r="T91" s="2"/>
      <c r="U91" s="2"/>
      <c r="V91" s="19"/>
      <c r="W91" s="2"/>
      <c r="X91" s="2">
        <f t="shared" si="2"/>
        <v>-8.25</v>
      </c>
      <c r="Y91" s="2"/>
      <c r="Z91" s="19">
        <f t="shared" si="3"/>
        <v>0</v>
      </c>
    </row>
    <row r="92" spans="1:26" s="24" customFormat="1" hidden="1" outlineLevel="1" x14ac:dyDescent="0.25">
      <c r="A92" s="44"/>
      <c r="B92" s="11" t="str">
        <f>CONCATENATE("          ", "4240", " - ", "SALES RETURN TAXABLE-LOGO CLOT")</f>
        <v xml:space="preserve">          4240 - SALES RETURN TAXABLE-LOGO CLOT</v>
      </c>
      <c r="C92" s="11"/>
      <c r="D92" s="2">
        <f>-3229.58</f>
        <v>-3229.58</v>
      </c>
      <c r="E92" s="2"/>
      <c r="F92" s="19"/>
      <c r="G92" s="2"/>
      <c r="H92" s="2"/>
      <c r="I92" s="2"/>
      <c r="J92" s="19"/>
      <c r="K92" s="2"/>
      <c r="L92" s="2">
        <f t="shared" si="0"/>
        <v>-3229.58</v>
      </c>
      <c r="M92" s="2"/>
      <c r="N92" s="19">
        <f t="shared" si="1"/>
        <v>0</v>
      </c>
      <c r="O92" s="11"/>
      <c r="P92" s="2">
        <f>-77684.77</f>
        <v>-77684.77</v>
      </c>
      <c r="Q92" s="2"/>
      <c r="R92" s="19"/>
      <c r="S92" s="2"/>
      <c r="T92" s="2"/>
      <c r="U92" s="2"/>
      <c r="V92" s="19"/>
      <c r="W92" s="2"/>
      <c r="X92" s="2">
        <f t="shared" si="2"/>
        <v>-77684.77</v>
      </c>
      <c r="Y92" s="2"/>
      <c r="Z92" s="19">
        <f t="shared" si="3"/>
        <v>0</v>
      </c>
    </row>
    <row r="93" spans="1:26" s="24" customFormat="1" hidden="1" outlineLevel="1" x14ac:dyDescent="0.25">
      <c r="A93" s="44"/>
      <c r="B93" s="11" t="str">
        <f>CONCATENATE("          ", "4241", " - ", "SALES RETURN TAXABLE-LOGO GIFT")</f>
        <v xml:space="preserve">          4241 - SALES RETURN TAXABLE-LOGO GIFT</v>
      </c>
      <c r="C93" s="11"/>
      <c r="D93" s="2">
        <f>-1133.39</f>
        <v>-1133.3900000000001</v>
      </c>
      <c r="E93" s="2"/>
      <c r="F93" s="19"/>
      <c r="G93" s="2"/>
      <c r="H93" s="2"/>
      <c r="I93" s="2"/>
      <c r="J93" s="19"/>
      <c r="K93" s="2"/>
      <c r="L93" s="2">
        <f t="shared" si="0"/>
        <v>-1133.3900000000001</v>
      </c>
      <c r="M93" s="2"/>
      <c r="N93" s="19">
        <f t="shared" si="1"/>
        <v>0</v>
      </c>
      <c r="O93" s="11"/>
      <c r="P93" s="2">
        <f>-7465.27</f>
        <v>-7465.27</v>
      </c>
      <c r="Q93" s="2"/>
      <c r="R93" s="19"/>
      <c r="S93" s="2"/>
      <c r="T93" s="2"/>
      <c r="U93" s="2"/>
      <c r="V93" s="19"/>
      <c r="W93" s="2"/>
      <c r="X93" s="2">
        <f t="shared" si="2"/>
        <v>-7465.27</v>
      </c>
      <c r="Y93" s="2"/>
      <c r="Z93" s="19">
        <f t="shared" si="3"/>
        <v>0</v>
      </c>
    </row>
    <row r="94" spans="1:26" s="24" customFormat="1" hidden="1" outlineLevel="1" x14ac:dyDescent="0.25">
      <c r="A94" s="44"/>
      <c r="B94" s="11" t="str">
        <f>CONCATENATE("          ", "4242", " - ", "SALES RETURN TAXABLE-EVERYDAY")</f>
        <v xml:space="preserve">          4242 - SALES RETURN TAXABLE-EVERYDAY</v>
      </c>
      <c r="C94" s="11"/>
      <c r="D94" s="2">
        <f t="shared" ref="D94:D95" si="10">0</f>
        <v>0</v>
      </c>
      <c r="E94" s="2"/>
      <c r="F94" s="19"/>
      <c r="G94" s="2"/>
      <c r="H94" s="2"/>
      <c r="I94" s="2"/>
      <c r="J94" s="19"/>
      <c r="K94" s="2"/>
      <c r="L94" s="2">
        <f t="shared" si="0"/>
        <v>0</v>
      </c>
      <c r="M94" s="2"/>
      <c r="N94" s="19">
        <f t="shared" si="1"/>
        <v>0</v>
      </c>
      <c r="O94" s="11"/>
      <c r="P94" s="2">
        <f>-4181.41</f>
        <v>-4181.41</v>
      </c>
      <c r="Q94" s="2"/>
      <c r="R94" s="19"/>
      <c r="S94" s="2"/>
      <c r="T94" s="2"/>
      <c r="U94" s="2"/>
      <c r="V94" s="19"/>
      <c r="W94" s="2"/>
      <c r="X94" s="2">
        <f t="shared" si="2"/>
        <v>-4181.41</v>
      </c>
      <c r="Y94" s="2"/>
      <c r="Z94" s="19">
        <f t="shared" si="3"/>
        <v>0</v>
      </c>
    </row>
    <row r="95" spans="1:26" s="24" customFormat="1" hidden="1" outlineLevel="1" x14ac:dyDescent="0.25">
      <c r="A95" s="44"/>
      <c r="B95" s="11" t="str">
        <f>CONCATENATE("          ", "4243", " - ", "SALES RETURN TAXABLE-CARDS")</f>
        <v xml:space="preserve">          4243 - SALES RETURN TAXABLE-CARDS</v>
      </c>
      <c r="C95" s="11"/>
      <c r="D95" s="2">
        <f t="shared" si="10"/>
        <v>0</v>
      </c>
      <c r="E95" s="2"/>
      <c r="F95" s="19"/>
      <c r="G95" s="2"/>
      <c r="H95" s="2"/>
      <c r="I95" s="2"/>
      <c r="J95" s="19"/>
      <c r="K95" s="2"/>
      <c r="L95" s="2">
        <f t="shared" si="0"/>
        <v>0</v>
      </c>
      <c r="M95" s="2"/>
      <c r="N95" s="19">
        <f t="shared" si="1"/>
        <v>0</v>
      </c>
      <c r="O95" s="11"/>
      <c r="P95" s="2">
        <f>-3006.31</f>
        <v>-3006.31</v>
      </c>
      <c r="Q95" s="2"/>
      <c r="R95" s="19"/>
      <c r="S95" s="2"/>
      <c r="T95" s="2"/>
      <c r="U95" s="2"/>
      <c r="V95" s="19"/>
      <c r="W95" s="2"/>
      <c r="X95" s="2">
        <f t="shared" si="2"/>
        <v>-3006.31</v>
      </c>
      <c r="Y95" s="2"/>
      <c r="Z95" s="19">
        <f t="shared" si="3"/>
        <v>0</v>
      </c>
    </row>
    <row r="96" spans="1:26" s="24" customFormat="1" hidden="1" outlineLevel="1" x14ac:dyDescent="0.25">
      <c r="A96" s="44"/>
      <c r="B96" s="11" t="str">
        <f>CONCATENATE("          ", "4244", " - ", "SALES RETURN TAXABLE-ACCESSORI")</f>
        <v xml:space="preserve">          4244 - SALES RETURN TAXABLE-ACCESSORI</v>
      </c>
      <c r="C96" s="11"/>
      <c r="D96" s="2">
        <f>-255.71</f>
        <v>-255.71</v>
      </c>
      <c r="E96" s="2"/>
      <c r="F96" s="19"/>
      <c r="G96" s="2"/>
      <c r="H96" s="2"/>
      <c r="I96" s="2"/>
      <c r="J96" s="19"/>
      <c r="K96" s="2"/>
      <c r="L96" s="2">
        <f t="shared" si="0"/>
        <v>-255.71</v>
      </c>
      <c r="M96" s="2"/>
      <c r="N96" s="19">
        <f t="shared" si="1"/>
        <v>0</v>
      </c>
      <c r="O96" s="11"/>
      <c r="P96" s="2">
        <f>-2726.41</f>
        <v>-2726.41</v>
      </c>
      <c r="Q96" s="2"/>
      <c r="R96" s="19"/>
      <c r="S96" s="2"/>
      <c r="T96" s="2"/>
      <c r="U96" s="2"/>
      <c r="V96" s="19"/>
      <c r="W96" s="2"/>
      <c r="X96" s="2">
        <f t="shared" si="2"/>
        <v>-2726.41</v>
      </c>
      <c r="Y96" s="2"/>
      <c r="Z96" s="19">
        <f t="shared" si="3"/>
        <v>0</v>
      </c>
    </row>
    <row r="97" spans="1:26" s="24" customFormat="1" hidden="1" outlineLevel="1" x14ac:dyDescent="0.25">
      <c r="A97" s="44"/>
      <c r="B97" s="11" t="str">
        <f>CONCATENATE("          ", "4245", " - ", "SALES RETURN TAXABLE-SPECIAL O")</f>
        <v xml:space="preserve">          4245 - SALES RETURN TAXABLE-SPECIAL O</v>
      </c>
      <c r="C97" s="11"/>
      <c r="D97" s="2">
        <f>-175</f>
        <v>-175</v>
      </c>
      <c r="E97" s="2"/>
      <c r="F97" s="19"/>
      <c r="G97" s="2"/>
      <c r="H97" s="2"/>
      <c r="I97" s="2"/>
      <c r="J97" s="19"/>
      <c r="K97" s="2"/>
      <c r="L97" s="2">
        <f t="shared" si="0"/>
        <v>-175</v>
      </c>
      <c r="M97" s="2"/>
      <c r="N97" s="19">
        <f t="shared" si="1"/>
        <v>0</v>
      </c>
      <c r="O97" s="11"/>
      <c r="P97" s="2">
        <f>-1910.03</f>
        <v>-1910.03</v>
      </c>
      <c r="Q97" s="2"/>
      <c r="R97" s="19"/>
      <c r="S97" s="2"/>
      <c r="T97" s="2"/>
      <c r="U97" s="2"/>
      <c r="V97" s="19"/>
      <c r="W97" s="2"/>
      <c r="X97" s="2">
        <f t="shared" si="2"/>
        <v>-1910.03</v>
      </c>
      <c r="Y97" s="2"/>
      <c r="Z97" s="19">
        <f t="shared" si="3"/>
        <v>0</v>
      </c>
    </row>
    <row r="98" spans="1:26" s="24" customFormat="1" hidden="1" outlineLevel="1" x14ac:dyDescent="0.25">
      <c r="A98" s="44"/>
      <c r="B98" s="11" t="str">
        <f>CONCATENATE("          ", "4281", " - ", "SALES RETURN TAXABLE-ELECTRONI")</f>
        <v xml:space="preserve">          4281 - SALES RETURN TAXABLE-ELECTRONI</v>
      </c>
      <c r="C98" s="11"/>
      <c r="D98" s="2">
        <f>0</f>
        <v>0</v>
      </c>
      <c r="E98" s="2"/>
      <c r="F98" s="19"/>
      <c r="G98" s="2"/>
      <c r="H98" s="2"/>
      <c r="I98" s="2"/>
      <c r="J98" s="19"/>
      <c r="K98" s="2"/>
      <c r="L98" s="2">
        <f t="shared" si="0"/>
        <v>0</v>
      </c>
      <c r="M98" s="2"/>
      <c r="N98" s="19">
        <f t="shared" si="1"/>
        <v>0</v>
      </c>
      <c r="O98" s="11"/>
      <c r="P98" s="2">
        <f>-54.97</f>
        <v>-54.97</v>
      </c>
      <c r="Q98" s="2"/>
      <c r="R98" s="19"/>
      <c r="S98" s="2"/>
      <c r="T98" s="2"/>
      <c r="U98" s="2"/>
      <c r="V98" s="19"/>
      <c r="W98" s="2"/>
      <c r="X98" s="2">
        <f t="shared" si="2"/>
        <v>-54.97</v>
      </c>
      <c r="Y98" s="2"/>
      <c r="Z98" s="19">
        <f t="shared" si="3"/>
        <v>0</v>
      </c>
    </row>
    <row r="99" spans="1:26" s="24" customFormat="1" hidden="1" outlineLevel="1" x14ac:dyDescent="0.25">
      <c r="A99" s="44"/>
      <c r="B99" s="11" t="str">
        <f>CONCATENATE("          ", "4292", " - ", "SALES RETURN TAXABLE-GRAD MERC")</f>
        <v xml:space="preserve">          4292 - SALES RETURN TAXABLE-GRAD MERC</v>
      </c>
      <c r="C99" s="11"/>
      <c r="D99" s="2">
        <f>-64.89</f>
        <v>-64.89</v>
      </c>
      <c r="E99" s="2"/>
      <c r="F99" s="19"/>
      <c r="G99" s="2"/>
      <c r="H99" s="2"/>
      <c r="I99" s="2"/>
      <c r="J99" s="19"/>
      <c r="K99" s="2"/>
      <c r="L99" s="2">
        <f t="shared" si="0"/>
        <v>-64.89</v>
      </c>
      <c r="M99" s="2"/>
      <c r="N99" s="19">
        <f t="shared" si="1"/>
        <v>0</v>
      </c>
      <c r="O99" s="11"/>
      <c r="P99" s="2">
        <f>-578.84</f>
        <v>-578.84</v>
      </c>
      <c r="Q99" s="2"/>
      <c r="R99" s="19"/>
      <c r="S99" s="2"/>
      <c r="T99" s="2"/>
      <c r="U99" s="2"/>
      <c r="V99" s="19"/>
      <c r="W99" s="2"/>
      <c r="X99" s="2">
        <f t="shared" si="2"/>
        <v>-578.84</v>
      </c>
      <c r="Y99" s="2"/>
      <c r="Z99" s="19">
        <f t="shared" si="3"/>
        <v>0</v>
      </c>
    </row>
    <row r="100" spans="1:26" s="24" customFormat="1" hidden="1" outlineLevel="1" x14ac:dyDescent="0.25">
      <c r="A100" s="44"/>
      <c r="B100" s="11" t="str">
        <f>CONCATENATE("          ", "4295", " - ", "SALES RETURN TAXABLE-CUSTOMER")</f>
        <v xml:space="preserve">          4295 - SALES RETURN TAXABLE-CUSTOMER</v>
      </c>
      <c r="C100" s="11"/>
      <c r="D100" s="2">
        <f>0</f>
        <v>0</v>
      </c>
      <c r="E100" s="2"/>
      <c r="F100" s="19"/>
      <c r="G100" s="2"/>
      <c r="H100" s="2"/>
      <c r="I100" s="2"/>
      <c r="J100" s="19"/>
      <c r="K100" s="2"/>
      <c r="L100" s="2">
        <f t="shared" si="0"/>
        <v>0</v>
      </c>
      <c r="M100" s="2"/>
      <c r="N100" s="19">
        <f t="shared" si="1"/>
        <v>0</v>
      </c>
      <c r="O100" s="11"/>
      <c r="P100" s="2">
        <f>--0.99</f>
        <v>0.99</v>
      </c>
      <c r="Q100" s="2"/>
      <c r="R100" s="19"/>
      <c r="S100" s="2"/>
      <c r="T100" s="2"/>
      <c r="U100" s="2"/>
      <c r="V100" s="19"/>
      <c r="W100" s="2"/>
      <c r="X100" s="2">
        <f t="shared" si="2"/>
        <v>0.99</v>
      </c>
      <c r="Y100" s="2"/>
      <c r="Z100" s="19">
        <f t="shared" si="3"/>
        <v>0</v>
      </c>
    </row>
    <row r="101" spans="1:26" s="24" customFormat="1" hidden="1" outlineLevel="1" x14ac:dyDescent="0.25">
      <c r="A101" s="44"/>
      <c r="B101" s="11" t="str">
        <f>CONCATENATE("          ", "4301", " - ", "SALES RETURN NON TAXABLE-NEW T")</f>
        <v xml:space="preserve">          4301 - SALES RETURN NON TAXABLE-NEW T</v>
      </c>
      <c r="C101" s="11"/>
      <c r="D101" s="2">
        <f>-5710.44</f>
        <v>-5710.44</v>
      </c>
      <c r="E101" s="2"/>
      <c r="F101" s="19"/>
      <c r="G101" s="2"/>
      <c r="H101" s="2"/>
      <c r="I101" s="2"/>
      <c r="J101" s="19"/>
      <c r="K101" s="2"/>
      <c r="L101" s="2">
        <f t="shared" si="0"/>
        <v>-5710.44</v>
      </c>
      <c r="M101" s="2"/>
      <c r="N101" s="19">
        <f t="shared" si="1"/>
        <v>0</v>
      </c>
      <c r="O101" s="11"/>
      <c r="P101" s="2">
        <f>-21289.87</f>
        <v>-21289.87</v>
      </c>
      <c r="Q101" s="2"/>
      <c r="R101" s="19"/>
      <c r="S101" s="2"/>
      <c r="T101" s="2"/>
      <c r="U101" s="2"/>
      <c r="V101" s="19"/>
      <c r="W101" s="2"/>
      <c r="X101" s="2">
        <f t="shared" si="2"/>
        <v>-21289.87</v>
      </c>
      <c r="Y101" s="2"/>
      <c r="Z101" s="19">
        <f t="shared" si="3"/>
        <v>0</v>
      </c>
    </row>
    <row r="102" spans="1:26" s="24" customFormat="1" hidden="1" outlineLevel="1" x14ac:dyDescent="0.25">
      <c r="A102" s="44"/>
      <c r="B102" s="11" t="str">
        <f>CONCATENATE("          ", "4302", " - ", "SALES RETURN NON TAXABLE-TEXT")</f>
        <v xml:space="preserve">          4302 - SALES RETURN NON TAXABLE-TEXT</v>
      </c>
      <c r="C102" s="11"/>
      <c r="D102" s="2">
        <f>-67.5</f>
        <v>-67.5</v>
      </c>
      <c r="E102" s="2"/>
      <c r="F102" s="19"/>
      <c r="G102" s="2"/>
      <c r="H102" s="2"/>
      <c r="I102" s="2"/>
      <c r="J102" s="19"/>
      <c r="K102" s="2"/>
      <c r="L102" s="2">
        <f t="shared" si="0"/>
        <v>-67.5</v>
      </c>
      <c r="M102" s="2"/>
      <c r="N102" s="19">
        <f t="shared" si="1"/>
        <v>0</v>
      </c>
      <c r="O102" s="11"/>
      <c r="P102" s="2">
        <f>-1379.87</f>
        <v>-1379.87</v>
      </c>
      <c r="Q102" s="2"/>
      <c r="R102" s="19"/>
      <c r="S102" s="2"/>
      <c r="T102" s="2"/>
      <c r="U102" s="2"/>
      <c r="V102" s="19"/>
      <c r="W102" s="2"/>
      <c r="X102" s="2">
        <f t="shared" si="2"/>
        <v>-1379.87</v>
      </c>
      <c r="Y102" s="2"/>
      <c r="Z102" s="19">
        <f t="shared" si="3"/>
        <v>0</v>
      </c>
    </row>
    <row r="103" spans="1:26" s="24" customFormat="1" hidden="1" outlineLevel="1" x14ac:dyDescent="0.25">
      <c r="A103" s="44"/>
      <c r="B103" s="11" t="str">
        <f>CONCATENATE("          ", "4303", " - ", "SALES RETURN NON-TAXABLE-RENTA")</f>
        <v xml:space="preserve">          4303 - SALES RETURN NON-TAXABLE-RENTA</v>
      </c>
      <c r="C103" s="11"/>
      <c r="D103" s="2">
        <f>0</f>
        <v>0</v>
      </c>
      <c r="E103" s="2"/>
      <c r="F103" s="19"/>
      <c r="G103" s="2"/>
      <c r="H103" s="2"/>
      <c r="I103" s="2"/>
      <c r="J103" s="19"/>
      <c r="K103" s="2"/>
      <c r="L103" s="2">
        <f t="shared" si="0"/>
        <v>0</v>
      </c>
      <c r="M103" s="2"/>
      <c r="N103" s="19">
        <f t="shared" si="1"/>
        <v>0</v>
      </c>
      <c r="O103" s="11"/>
      <c r="P103" s="2">
        <f>-184.99</f>
        <v>-184.99</v>
      </c>
      <c r="Q103" s="2"/>
      <c r="R103" s="19"/>
      <c r="S103" s="2"/>
      <c r="T103" s="2"/>
      <c r="U103" s="2"/>
      <c r="V103" s="19"/>
      <c r="W103" s="2"/>
      <c r="X103" s="2">
        <f t="shared" si="2"/>
        <v>-184.99</v>
      </c>
      <c r="Y103" s="2"/>
      <c r="Z103" s="19">
        <f t="shared" si="3"/>
        <v>0</v>
      </c>
    </row>
    <row r="104" spans="1:26" s="24" customFormat="1" hidden="1" outlineLevel="1" x14ac:dyDescent="0.25">
      <c r="A104" s="44"/>
      <c r="B104" s="11" t="str">
        <f>CONCATENATE("          ", "4304", " - ", "SALES RETURN NON TAXABLE-DIGIT")</f>
        <v xml:space="preserve">          4304 - SALES RETURN NON TAXABLE-DIGIT</v>
      </c>
      <c r="C104" s="11"/>
      <c r="D104" s="2">
        <f>-438.2</f>
        <v>-438.2</v>
      </c>
      <c r="E104" s="2"/>
      <c r="F104" s="19"/>
      <c r="G104" s="2"/>
      <c r="H104" s="2"/>
      <c r="I104" s="2"/>
      <c r="J104" s="19"/>
      <c r="K104" s="2"/>
      <c r="L104" s="2">
        <f t="shared" si="0"/>
        <v>-438.2</v>
      </c>
      <c r="M104" s="2"/>
      <c r="N104" s="19">
        <f t="shared" si="1"/>
        <v>0</v>
      </c>
      <c r="O104" s="11"/>
      <c r="P104" s="2">
        <f>-19474.33</f>
        <v>-19474.330000000002</v>
      </c>
      <c r="Q104" s="2"/>
      <c r="R104" s="19"/>
      <c r="S104" s="2"/>
      <c r="T104" s="2"/>
      <c r="U104" s="2"/>
      <c r="V104" s="19"/>
      <c r="W104" s="2"/>
      <c r="X104" s="2">
        <f t="shared" si="2"/>
        <v>-19474.330000000002</v>
      </c>
      <c r="Y104" s="2"/>
      <c r="Z104" s="19">
        <f t="shared" si="3"/>
        <v>0</v>
      </c>
    </row>
    <row r="105" spans="1:26" s="24" customFormat="1" hidden="1" outlineLevel="1" x14ac:dyDescent="0.25">
      <c r="A105" s="44"/>
      <c r="B105" s="11" t="str">
        <f>CONCATENATE("          ", "4311", " - ", "SALES RETURN NON TAXABLE-NO VA")</f>
        <v xml:space="preserve">          4311 - SALES RETURN NON TAXABLE-NO VA</v>
      </c>
      <c r="C105" s="11"/>
      <c r="D105" s="2">
        <f t="shared" ref="D105:D109" si="11">0</f>
        <v>0</v>
      </c>
      <c r="E105" s="2"/>
      <c r="F105" s="19"/>
      <c r="G105" s="2"/>
      <c r="H105" s="2"/>
      <c r="I105" s="2"/>
      <c r="J105" s="19"/>
      <c r="K105" s="2"/>
      <c r="L105" s="2">
        <f t="shared" si="0"/>
        <v>0</v>
      </c>
      <c r="M105" s="2"/>
      <c r="N105" s="19">
        <f t="shared" si="1"/>
        <v>0</v>
      </c>
      <c r="O105" s="11"/>
      <c r="P105" s="2">
        <f>-941.28</f>
        <v>-941.28</v>
      </c>
      <c r="Q105" s="2"/>
      <c r="R105" s="19"/>
      <c r="S105" s="2"/>
      <c r="T105" s="2"/>
      <c r="U105" s="2"/>
      <c r="V105" s="19"/>
      <c r="W105" s="2"/>
      <c r="X105" s="2">
        <f t="shared" si="2"/>
        <v>-941.28</v>
      </c>
      <c r="Y105" s="2"/>
      <c r="Z105" s="19">
        <f t="shared" si="3"/>
        <v>0</v>
      </c>
    </row>
    <row r="106" spans="1:26" s="24" customFormat="1" hidden="1" outlineLevel="1" x14ac:dyDescent="0.25">
      <c r="A106" s="44"/>
      <c r="B106" s="11" t="str">
        <f>CONCATENATE("          ", "4313", " - ", "SALES RETURN NON TAXABLE-TRADE")</f>
        <v xml:space="preserve">          4313 - SALES RETURN NON TAXABLE-TRADE</v>
      </c>
      <c r="C106" s="11"/>
      <c r="D106" s="2">
        <f t="shared" si="11"/>
        <v>0</v>
      </c>
      <c r="E106" s="2"/>
      <c r="F106" s="19"/>
      <c r="G106" s="2"/>
      <c r="H106" s="2"/>
      <c r="I106" s="2"/>
      <c r="J106" s="19"/>
      <c r="K106" s="2"/>
      <c r="L106" s="2">
        <f t="shared" si="0"/>
        <v>0</v>
      </c>
      <c r="M106" s="2"/>
      <c r="N106" s="19">
        <f t="shared" si="1"/>
        <v>0</v>
      </c>
      <c r="O106" s="11"/>
      <c r="P106" s="2">
        <f>-2481.44</f>
        <v>-2481.44</v>
      </c>
      <c r="Q106" s="2"/>
      <c r="R106" s="19"/>
      <c r="S106" s="2"/>
      <c r="T106" s="2"/>
      <c r="U106" s="2"/>
      <c r="V106" s="19"/>
      <c r="W106" s="2"/>
      <c r="X106" s="2">
        <f t="shared" si="2"/>
        <v>-2481.44</v>
      </c>
      <c r="Y106" s="2"/>
      <c r="Z106" s="19">
        <f t="shared" si="3"/>
        <v>0</v>
      </c>
    </row>
    <row r="107" spans="1:26" s="24" customFormat="1" hidden="1" outlineLevel="1" x14ac:dyDescent="0.25">
      <c r="A107" s="44"/>
      <c r="B107" s="11" t="str">
        <f>CONCATENATE("          ", "4327", " - ", "SALES RETURN NON TAXABLE-SCHOO")</f>
        <v xml:space="preserve">          4327 - SALES RETURN NON TAXABLE-SCHOO</v>
      </c>
      <c r="C107" s="11"/>
      <c r="D107" s="2">
        <f t="shared" si="11"/>
        <v>0</v>
      </c>
      <c r="E107" s="2"/>
      <c r="F107" s="19"/>
      <c r="G107" s="2"/>
      <c r="H107" s="2"/>
      <c r="I107" s="2"/>
      <c r="J107" s="19"/>
      <c r="K107" s="2"/>
      <c r="L107" s="2">
        <f t="shared" si="0"/>
        <v>0</v>
      </c>
      <c r="M107" s="2"/>
      <c r="N107" s="19">
        <f t="shared" si="1"/>
        <v>0</v>
      </c>
      <c r="O107" s="11"/>
      <c r="P107" s="2">
        <f>-21.87</f>
        <v>-21.87</v>
      </c>
      <c r="Q107" s="2"/>
      <c r="R107" s="19"/>
      <c r="S107" s="2"/>
      <c r="T107" s="2"/>
      <c r="U107" s="2"/>
      <c r="V107" s="19"/>
      <c r="W107" s="2"/>
      <c r="X107" s="2">
        <f t="shared" si="2"/>
        <v>-21.87</v>
      </c>
      <c r="Y107" s="2"/>
      <c r="Z107" s="19">
        <f t="shared" si="3"/>
        <v>0</v>
      </c>
    </row>
    <row r="108" spans="1:26" s="24" customFormat="1" hidden="1" outlineLevel="1" x14ac:dyDescent="0.25">
      <c r="A108" s="44"/>
      <c r="B108" s="11" t="str">
        <f>CONCATENATE("          ", "4331", " - ", "SALES RETURN NON TAXABLE-FOOD")</f>
        <v xml:space="preserve">          4331 - SALES RETURN NON TAXABLE-FOOD</v>
      </c>
      <c r="C108" s="11"/>
      <c r="D108" s="2">
        <f t="shared" si="11"/>
        <v>0</v>
      </c>
      <c r="E108" s="2"/>
      <c r="F108" s="19"/>
      <c r="G108" s="2"/>
      <c r="H108" s="2"/>
      <c r="I108" s="2"/>
      <c r="J108" s="19"/>
      <c r="K108" s="2"/>
      <c r="L108" s="2">
        <f t="shared" si="0"/>
        <v>0</v>
      </c>
      <c r="M108" s="2"/>
      <c r="N108" s="19">
        <f t="shared" si="1"/>
        <v>0</v>
      </c>
      <c r="O108" s="11"/>
      <c r="P108" s="2">
        <f>-12.57</f>
        <v>-12.57</v>
      </c>
      <c r="Q108" s="2"/>
      <c r="R108" s="19"/>
      <c r="S108" s="2"/>
      <c r="T108" s="2"/>
      <c r="U108" s="2"/>
      <c r="V108" s="19"/>
      <c r="W108" s="2"/>
      <c r="X108" s="2">
        <f t="shared" si="2"/>
        <v>-12.57</v>
      </c>
      <c r="Y108" s="2"/>
      <c r="Z108" s="19">
        <f t="shared" si="3"/>
        <v>0</v>
      </c>
    </row>
    <row r="109" spans="1:26" s="24" customFormat="1" hidden="1" outlineLevel="1" x14ac:dyDescent="0.25">
      <c r="A109" s="44"/>
      <c r="B109" s="11" t="str">
        <f>CONCATENATE("          ", "4332", " - ", "SALES RETURN NON TAXABLE-JUICE")</f>
        <v xml:space="preserve">          4332 - SALES RETURN NON TAXABLE-JUICE</v>
      </c>
      <c r="C109" s="11"/>
      <c r="D109" s="2">
        <f t="shared" si="11"/>
        <v>0</v>
      </c>
      <c r="E109" s="2"/>
      <c r="F109" s="19"/>
      <c r="G109" s="2"/>
      <c r="H109" s="2"/>
      <c r="I109" s="2"/>
      <c r="J109" s="19"/>
      <c r="K109" s="2"/>
      <c r="L109" s="2">
        <f t="shared" si="0"/>
        <v>0</v>
      </c>
      <c r="M109" s="2"/>
      <c r="N109" s="19">
        <f t="shared" si="1"/>
        <v>0</v>
      </c>
      <c r="O109" s="11"/>
      <c r="P109" s="2">
        <f>-2.79</f>
        <v>-2.79</v>
      </c>
      <c r="Q109" s="2"/>
      <c r="R109" s="19"/>
      <c r="S109" s="2"/>
      <c r="T109" s="2"/>
      <c r="U109" s="2"/>
      <c r="V109" s="19"/>
      <c r="W109" s="2"/>
      <c r="X109" s="2">
        <f t="shared" si="2"/>
        <v>-2.79</v>
      </c>
      <c r="Y109" s="2"/>
      <c r="Z109" s="19">
        <f t="shared" si="3"/>
        <v>0</v>
      </c>
    </row>
    <row r="110" spans="1:26" s="24" customFormat="1" hidden="1" outlineLevel="1" x14ac:dyDescent="0.25">
      <c r="A110" s="44"/>
      <c r="B110" s="11" t="str">
        <f>CONCATENATE("          ", "4340", " - ", "SALES RETURN NON TAXABLE-LOGO")</f>
        <v xml:space="preserve">          4340 - SALES RETURN NON TAXABLE-LOGO</v>
      </c>
      <c r="C110" s="11"/>
      <c r="D110" s="2">
        <f>-598.43</f>
        <v>-598.42999999999995</v>
      </c>
      <c r="E110" s="2"/>
      <c r="F110" s="19"/>
      <c r="G110" s="2"/>
      <c r="H110" s="2"/>
      <c r="I110" s="2"/>
      <c r="J110" s="19"/>
      <c r="K110" s="2"/>
      <c r="L110" s="2">
        <f t="shared" si="0"/>
        <v>-598.42999999999995</v>
      </c>
      <c r="M110" s="2"/>
      <c r="N110" s="19">
        <f t="shared" si="1"/>
        <v>0</v>
      </c>
      <c r="O110" s="11"/>
      <c r="P110" s="2">
        <f>-1618.83</f>
        <v>-1618.83</v>
      </c>
      <c r="Q110" s="2"/>
      <c r="R110" s="19"/>
      <c r="S110" s="2"/>
      <c r="T110" s="2"/>
      <c r="U110" s="2"/>
      <c r="V110" s="19"/>
      <c r="W110" s="2"/>
      <c r="X110" s="2">
        <f t="shared" si="2"/>
        <v>-1618.83</v>
      </c>
      <c r="Y110" s="2"/>
      <c r="Z110" s="19">
        <f t="shared" si="3"/>
        <v>0</v>
      </c>
    </row>
    <row r="111" spans="1:26" s="24" customFormat="1" hidden="1" outlineLevel="1" x14ac:dyDescent="0.25">
      <c r="A111" s="44"/>
      <c r="B111" s="11" t="str">
        <f>CONCATENATE("          ", "4341", " - ", "SALES RETURN NON TAXABLE-LOGO")</f>
        <v xml:space="preserve">          4341 - SALES RETURN NON TAXABLE-LOGO</v>
      </c>
      <c r="C111" s="11"/>
      <c r="D111" s="2">
        <f>-39.95</f>
        <v>-39.950000000000003</v>
      </c>
      <c r="E111" s="2"/>
      <c r="F111" s="19"/>
      <c r="G111" s="2"/>
      <c r="H111" s="2"/>
      <c r="I111" s="2"/>
      <c r="J111" s="19"/>
      <c r="K111" s="2"/>
      <c r="L111" s="2">
        <f t="shared" si="0"/>
        <v>-39.950000000000003</v>
      </c>
      <c r="M111" s="2"/>
      <c r="N111" s="19">
        <f t="shared" si="1"/>
        <v>0</v>
      </c>
      <c r="O111" s="11"/>
      <c r="P111" s="2">
        <f>-285.45</f>
        <v>-285.45</v>
      </c>
      <c r="Q111" s="2"/>
      <c r="R111" s="19"/>
      <c r="S111" s="2"/>
      <c r="T111" s="2"/>
      <c r="U111" s="2"/>
      <c r="V111" s="19"/>
      <c r="W111" s="2"/>
      <c r="X111" s="2">
        <f t="shared" si="2"/>
        <v>-285.45</v>
      </c>
      <c r="Y111" s="2"/>
      <c r="Z111" s="19">
        <f t="shared" si="3"/>
        <v>0</v>
      </c>
    </row>
    <row r="112" spans="1:26" s="24" customFormat="1" hidden="1" outlineLevel="1" x14ac:dyDescent="0.25">
      <c r="A112" s="44"/>
      <c r="B112" s="11" t="str">
        <f>CONCATENATE("          ", "4342", " - ", "SALES RETURN NON TAXABLE-EVERY")</f>
        <v xml:space="preserve">          4342 - SALES RETURN NON TAXABLE-EVERY</v>
      </c>
      <c r="C112" s="11"/>
      <c r="D112" s="2">
        <f t="shared" ref="D112:D114" si="12">0</f>
        <v>0</v>
      </c>
      <c r="E112" s="2"/>
      <c r="F112" s="19"/>
      <c r="G112" s="2"/>
      <c r="H112" s="2"/>
      <c r="I112" s="2"/>
      <c r="J112" s="19"/>
      <c r="K112" s="2"/>
      <c r="L112" s="2">
        <f t="shared" si="0"/>
        <v>0</v>
      </c>
      <c r="M112" s="2"/>
      <c r="N112" s="19">
        <f t="shared" si="1"/>
        <v>0</v>
      </c>
      <c r="O112" s="11"/>
      <c r="P112" s="2">
        <f>-149.22</f>
        <v>-149.22</v>
      </c>
      <c r="Q112" s="2"/>
      <c r="R112" s="19"/>
      <c r="S112" s="2"/>
      <c r="T112" s="2"/>
      <c r="U112" s="2"/>
      <c r="V112" s="19"/>
      <c r="W112" s="2"/>
      <c r="X112" s="2">
        <f t="shared" si="2"/>
        <v>-149.22</v>
      </c>
      <c r="Y112" s="2"/>
      <c r="Z112" s="19">
        <f t="shared" si="3"/>
        <v>0</v>
      </c>
    </row>
    <row r="113" spans="1:26" s="24" customFormat="1" hidden="1" outlineLevel="1" x14ac:dyDescent="0.25">
      <c r="A113" s="44"/>
      <c r="B113" s="11" t="str">
        <f>CONCATENATE("          ", "4346", " - ", "SALES RETURN NON TAXABLE-COIN-")</f>
        <v xml:space="preserve">          4346 - SALES RETURN NON TAXABLE-COIN-</v>
      </c>
      <c r="C113" s="11"/>
      <c r="D113" s="2">
        <f t="shared" si="12"/>
        <v>0</v>
      </c>
      <c r="E113" s="2"/>
      <c r="F113" s="19"/>
      <c r="G113" s="2"/>
      <c r="H113" s="2"/>
      <c r="I113" s="2"/>
      <c r="J113" s="19"/>
      <c r="K113" s="2"/>
      <c r="L113" s="2">
        <f t="shared" si="0"/>
        <v>0</v>
      </c>
      <c r="M113" s="2"/>
      <c r="N113" s="19">
        <f t="shared" si="1"/>
        <v>0</v>
      </c>
      <c r="O113" s="11"/>
      <c r="P113" s="2">
        <f>-8.15</f>
        <v>-8.15</v>
      </c>
      <c r="Q113" s="2"/>
      <c r="R113" s="19"/>
      <c r="S113" s="2"/>
      <c r="T113" s="2"/>
      <c r="U113" s="2"/>
      <c r="V113" s="19"/>
      <c r="W113" s="2"/>
      <c r="X113" s="2">
        <f t="shared" si="2"/>
        <v>-8.15</v>
      </c>
      <c r="Y113" s="2"/>
      <c r="Z113" s="19">
        <f t="shared" si="3"/>
        <v>0</v>
      </c>
    </row>
    <row r="114" spans="1:26" s="24" customFormat="1" hidden="1" outlineLevel="1" x14ac:dyDescent="0.25">
      <c r="A114" s="44"/>
      <c r="B114" s="11" t="str">
        <f>CONCATENATE("          ", "4347", " - ", "SALES RETURN NON TAXABLE-MISC")</f>
        <v xml:space="preserve">          4347 - SALES RETURN NON TAXABLE-MISC</v>
      </c>
      <c r="C114" s="11"/>
      <c r="D114" s="2">
        <f t="shared" si="12"/>
        <v>0</v>
      </c>
      <c r="E114" s="2"/>
      <c r="F114" s="19"/>
      <c r="G114" s="2"/>
      <c r="H114" s="2"/>
      <c r="I114" s="2"/>
      <c r="J114" s="19"/>
      <c r="K114" s="2"/>
      <c r="L114" s="2">
        <f t="shared" si="0"/>
        <v>0</v>
      </c>
      <c r="M114" s="2"/>
      <c r="N114" s="19">
        <f t="shared" si="1"/>
        <v>0</v>
      </c>
      <c r="O114" s="11"/>
      <c r="P114" s="2">
        <f>-84</f>
        <v>-84</v>
      </c>
      <c r="Q114" s="2"/>
      <c r="R114" s="19"/>
      <c r="S114" s="2"/>
      <c r="T114" s="2"/>
      <c r="U114" s="2"/>
      <c r="V114" s="19"/>
      <c r="W114" s="2"/>
      <c r="X114" s="2">
        <f t="shared" si="2"/>
        <v>-84</v>
      </c>
      <c r="Y114" s="2"/>
      <c r="Z114" s="19">
        <f t="shared" si="3"/>
        <v>0</v>
      </c>
    </row>
    <row r="115" spans="1:26" x14ac:dyDescent="0.25">
      <c r="A115" s="9"/>
      <c r="B115" s="10"/>
      <c r="C115" s="9"/>
      <c r="D115" s="3"/>
      <c r="E115" s="3"/>
      <c r="F115" s="8"/>
      <c r="G115" s="3"/>
      <c r="H115" s="3"/>
      <c r="I115" s="3"/>
      <c r="J115" s="8"/>
      <c r="K115" s="3"/>
      <c r="L115" s="3"/>
      <c r="M115" s="3"/>
      <c r="N115" s="8"/>
      <c r="P115" s="3"/>
      <c r="Q115" s="3"/>
      <c r="R115" s="8"/>
      <c r="S115" s="3"/>
      <c r="T115" s="3"/>
      <c r="U115" s="3"/>
      <c r="V115" s="8"/>
      <c r="W115" s="3"/>
      <c r="X115" s="3"/>
      <c r="Y115" s="3"/>
      <c r="Z115" s="8"/>
    </row>
    <row r="116" spans="1:26" s="23" customFormat="1" collapsed="1" x14ac:dyDescent="0.25">
      <c r="A116" s="10"/>
      <c r="B116" s="28" t="s">
        <v>8</v>
      </c>
      <c r="C116" s="10"/>
      <c r="D116" s="4">
        <f>SUM(OSRRefD16x_0)</f>
        <v>153071.25000000003</v>
      </c>
      <c r="E116" s="4"/>
      <c r="F116" s="13">
        <f t="shared" ref="F116:F169" si="13">IF(D$12=0,0,D116/D$12)</f>
        <v>0.58056614047735033</v>
      </c>
      <c r="G116" s="4"/>
      <c r="H116" s="4">
        <f>SUM(OSRRefH16x_0)</f>
        <v>611887.29675999994</v>
      </c>
      <c r="I116" s="4"/>
      <c r="J116" s="13">
        <f t="shared" ref="J116:J169" si="14">IF(H$12=0,0,H116/H$12)</f>
        <v>0.44921303855714595</v>
      </c>
      <c r="K116" s="4"/>
      <c r="L116" s="4">
        <f t="shared" ref="L116:L169" si="15">+D116-H116</f>
        <v>-458816.04675999994</v>
      </c>
      <c r="M116" s="4"/>
      <c r="N116" s="13">
        <f t="shared" ref="N116:N169" si="16">IF(H116=0,0,L116/H116)</f>
        <v>-0.74983750960262374</v>
      </c>
      <c r="O116" s="10"/>
      <c r="P116" s="4">
        <f>SUM(OSRRefP16x_0)</f>
        <v>6479512.3800000008</v>
      </c>
      <c r="Q116" s="4"/>
      <c r="R116" s="13">
        <f t="shared" ref="R116:R169" si="17">IF(P$12=0,0,P116/P$12)</f>
        <v>0.56880917385059826</v>
      </c>
      <c r="S116" s="4"/>
      <c r="T116" s="4">
        <f>SUM(OSRRefT16x_0)</f>
        <v>7924663.9142999994</v>
      </c>
      <c r="U116" s="4"/>
      <c r="V116" s="13">
        <f t="shared" ref="V116:V169" si="18">IF(T$12=0,0,T116/T$12)</f>
        <v>0.53584372769697008</v>
      </c>
      <c r="W116" s="4"/>
      <c r="X116" s="4">
        <f t="shared" ref="X116:X169" si="19">+P116-T116</f>
        <v>-1445151.5342999985</v>
      </c>
      <c r="Y116" s="4"/>
      <c r="Z116" s="13">
        <f t="shared" ref="Z116:Z169" si="20">IF(T116=0,0,X116/T116)</f>
        <v>-0.18236123953373379</v>
      </c>
    </row>
    <row r="117" spans="1:26" s="24" customFormat="1" hidden="1" outlineLevel="1" x14ac:dyDescent="0.25">
      <c r="A117" s="44"/>
      <c r="B117" s="11" t="str">
        <f>CONCATENATE("          ", "5000", " - ", "PURCHASES @ COST")</f>
        <v xml:space="preserve">          5000 - PURCHASES @ COST</v>
      </c>
      <c r="C117" s="11"/>
      <c r="D117" s="2"/>
      <c r="E117" s="2"/>
      <c r="F117" s="19">
        <f t="shared" si="13"/>
        <v>0</v>
      </c>
      <c r="G117" s="2"/>
      <c r="H117" s="2">
        <v>611887.29675999994</v>
      </c>
      <c r="I117" s="2"/>
      <c r="J117" s="19">
        <f t="shared" si="14"/>
        <v>0.44921303855714595</v>
      </c>
      <c r="K117" s="2"/>
      <c r="L117" s="2">
        <f t="shared" si="15"/>
        <v>-611887.29675999994</v>
      </c>
      <c r="M117" s="2"/>
      <c r="N117" s="19">
        <f t="shared" si="16"/>
        <v>-1</v>
      </c>
      <c r="O117" s="11"/>
      <c r="P117" s="2"/>
      <c r="Q117" s="2"/>
      <c r="R117" s="19">
        <f t="shared" si="17"/>
        <v>0</v>
      </c>
      <c r="S117" s="2"/>
      <c r="T117" s="2">
        <v>7924663.9142999994</v>
      </c>
      <c r="U117" s="2"/>
      <c r="V117" s="19">
        <f t="shared" si="18"/>
        <v>0.53584372769697008</v>
      </c>
      <c r="W117" s="2"/>
      <c r="X117" s="2">
        <f t="shared" si="19"/>
        <v>-7924663.9142999994</v>
      </c>
      <c r="Y117" s="2"/>
      <c r="Z117" s="19">
        <f t="shared" si="20"/>
        <v>-1</v>
      </c>
    </row>
    <row r="118" spans="1:26" s="24" customFormat="1" hidden="1" outlineLevel="1" x14ac:dyDescent="0.25">
      <c r="A118" s="44"/>
      <c r="B118" s="11" t="str">
        <f>CONCATENATE("          ", "5001", " - ", "PURCHASES @ COST-NEW TEXT")</f>
        <v xml:space="preserve">          5001 - PURCHASES @ COST-NEW TEXT</v>
      </c>
      <c r="C118" s="11"/>
      <c r="D118" s="2">
        <v>71528.210000000006</v>
      </c>
      <c r="E118" s="2"/>
      <c r="F118" s="19">
        <f t="shared" si="13"/>
        <v>0.2712910282953423</v>
      </c>
      <c r="G118" s="2"/>
      <c r="H118" s="2"/>
      <c r="I118" s="2"/>
      <c r="J118" s="19">
        <f t="shared" si="14"/>
        <v>0</v>
      </c>
      <c r="K118" s="2"/>
      <c r="L118" s="2">
        <f t="shared" si="15"/>
        <v>71528.210000000006</v>
      </c>
      <c r="M118" s="2"/>
      <c r="N118" s="19">
        <f t="shared" si="16"/>
        <v>0</v>
      </c>
      <c r="O118" s="11"/>
      <c r="P118" s="2">
        <v>1641280.46</v>
      </c>
      <c r="Q118" s="2"/>
      <c r="R118" s="19">
        <f t="shared" si="17"/>
        <v>0.14408111718273001</v>
      </c>
      <c r="S118" s="2"/>
      <c r="T118" s="2"/>
      <c r="U118" s="2"/>
      <c r="V118" s="19">
        <f t="shared" si="18"/>
        <v>0</v>
      </c>
      <c r="W118" s="2"/>
      <c r="X118" s="2">
        <f t="shared" si="19"/>
        <v>1641280.46</v>
      </c>
      <c r="Y118" s="2"/>
      <c r="Z118" s="19">
        <f t="shared" si="20"/>
        <v>0</v>
      </c>
    </row>
    <row r="119" spans="1:26" s="24" customFormat="1" hidden="1" outlineLevel="1" x14ac:dyDescent="0.25">
      <c r="A119" s="44"/>
      <c r="B119" s="11" t="str">
        <f>CONCATENATE("          ", "5002", " - ", "PURCHASES @ COST-USED TEXT")</f>
        <v xml:space="preserve">          5002 - PURCHASES @ COST-USED TEXT</v>
      </c>
      <c r="C119" s="11"/>
      <c r="D119" s="2">
        <v>14738.6</v>
      </c>
      <c r="E119" s="2"/>
      <c r="F119" s="19">
        <f t="shared" si="13"/>
        <v>5.5900321700119875E-2</v>
      </c>
      <c r="G119" s="2"/>
      <c r="H119" s="2"/>
      <c r="I119" s="2"/>
      <c r="J119" s="19">
        <f t="shared" si="14"/>
        <v>0</v>
      </c>
      <c r="K119" s="2"/>
      <c r="L119" s="2">
        <f t="shared" si="15"/>
        <v>14738.6</v>
      </c>
      <c r="M119" s="2"/>
      <c r="N119" s="19">
        <f t="shared" si="16"/>
        <v>0</v>
      </c>
      <c r="O119" s="11"/>
      <c r="P119" s="2">
        <v>610321.38</v>
      </c>
      <c r="Q119" s="2"/>
      <c r="R119" s="19">
        <f t="shared" si="17"/>
        <v>5.3577550220091877E-2</v>
      </c>
      <c r="S119" s="2"/>
      <c r="T119" s="2"/>
      <c r="U119" s="2"/>
      <c r="V119" s="19">
        <f t="shared" si="18"/>
        <v>0</v>
      </c>
      <c r="W119" s="2"/>
      <c r="X119" s="2">
        <f t="shared" si="19"/>
        <v>610321.38</v>
      </c>
      <c r="Y119" s="2"/>
      <c r="Z119" s="19">
        <f t="shared" si="20"/>
        <v>0</v>
      </c>
    </row>
    <row r="120" spans="1:26" s="24" customFormat="1" hidden="1" outlineLevel="1" x14ac:dyDescent="0.25">
      <c r="A120" s="44"/>
      <c r="B120" s="11" t="str">
        <f>CONCATENATE("          ", "5003", " - ", "PURCHASES @ COST-RENTAL TEXT")</f>
        <v xml:space="preserve">          5003 - PURCHASES @ COST-RENTAL TEXT</v>
      </c>
      <c r="C120" s="11"/>
      <c r="D120" s="2"/>
      <c r="E120" s="2"/>
      <c r="F120" s="19">
        <f t="shared" si="13"/>
        <v>0</v>
      </c>
      <c r="G120" s="2"/>
      <c r="H120" s="2"/>
      <c r="I120" s="2"/>
      <c r="J120" s="19">
        <f t="shared" si="14"/>
        <v>0</v>
      </c>
      <c r="K120" s="2"/>
      <c r="L120" s="2">
        <f t="shared" si="15"/>
        <v>0</v>
      </c>
      <c r="M120" s="2"/>
      <c r="N120" s="19">
        <f t="shared" si="16"/>
        <v>0</v>
      </c>
      <c r="O120" s="11"/>
      <c r="P120" s="2">
        <v>-78.400000000000006</v>
      </c>
      <c r="Q120" s="2"/>
      <c r="R120" s="19">
        <f t="shared" si="17"/>
        <v>-6.8824066711462789E-6</v>
      </c>
      <c r="S120" s="2"/>
      <c r="T120" s="2"/>
      <c r="U120" s="2"/>
      <c r="V120" s="19">
        <f t="shared" si="18"/>
        <v>0</v>
      </c>
      <c r="W120" s="2"/>
      <c r="X120" s="2">
        <f t="shared" si="19"/>
        <v>-78.400000000000006</v>
      </c>
      <c r="Y120" s="2"/>
      <c r="Z120" s="19">
        <f t="shared" si="20"/>
        <v>0</v>
      </c>
    </row>
    <row r="121" spans="1:26" s="24" customFormat="1" hidden="1" outlineLevel="1" x14ac:dyDescent="0.25">
      <c r="A121" s="44"/>
      <c r="B121" s="11" t="str">
        <f>CONCATENATE("          ", "5004", " - ", "PURCHASES @ COST-DIGITAL TEXT")</f>
        <v xml:space="preserve">          5004 - PURCHASES @ COST-DIGITAL TEXT</v>
      </c>
      <c r="C121" s="11"/>
      <c r="D121" s="2">
        <v>-46518.259999999995</v>
      </c>
      <c r="E121" s="2"/>
      <c r="F121" s="19">
        <f t="shared" si="13"/>
        <v>-0.17643369783628146</v>
      </c>
      <c r="G121" s="2"/>
      <c r="H121" s="2"/>
      <c r="I121" s="2"/>
      <c r="J121" s="19">
        <f t="shared" si="14"/>
        <v>0</v>
      </c>
      <c r="K121" s="2"/>
      <c r="L121" s="2">
        <f t="shared" si="15"/>
        <v>-46518.259999999995</v>
      </c>
      <c r="M121" s="2"/>
      <c r="N121" s="19">
        <f t="shared" si="16"/>
        <v>0</v>
      </c>
      <c r="O121" s="11"/>
      <c r="P121" s="2">
        <v>446269.65</v>
      </c>
      <c r="Q121" s="2"/>
      <c r="R121" s="19">
        <f t="shared" si="17"/>
        <v>3.9176137962884119E-2</v>
      </c>
      <c r="S121" s="2"/>
      <c r="T121" s="2"/>
      <c r="U121" s="2"/>
      <c r="V121" s="19">
        <f t="shared" si="18"/>
        <v>0</v>
      </c>
      <c r="W121" s="2"/>
      <c r="X121" s="2">
        <f t="shared" si="19"/>
        <v>446269.65</v>
      </c>
      <c r="Y121" s="2"/>
      <c r="Z121" s="19">
        <f t="shared" si="20"/>
        <v>0</v>
      </c>
    </row>
    <row r="122" spans="1:26" s="24" customFormat="1" hidden="1" outlineLevel="1" x14ac:dyDescent="0.25">
      <c r="A122" s="44"/>
      <c r="B122" s="11" t="str">
        <f>CONCATENATE("          ", "5011", " - ", "PURCHASES @ COST-NO VALUE TEXT")</f>
        <v xml:space="preserve">          5011 - PURCHASES @ COST-NO VALUE TEXT</v>
      </c>
      <c r="C122" s="11"/>
      <c r="D122" s="2"/>
      <c r="E122" s="2"/>
      <c r="F122" s="19">
        <f t="shared" si="13"/>
        <v>0</v>
      </c>
      <c r="G122" s="2"/>
      <c r="H122" s="2"/>
      <c r="I122" s="2"/>
      <c r="J122" s="19">
        <f t="shared" si="14"/>
        <v>0</v>
      </c>
      <c r="K122" s="2"/>
      <c r="L122" s="2">
        <f t="shared" si="15"/>
        <v>0</v>
      </c>
      <c r="M122" s="2"/>
      <c r="N122" s="19">
        <f t="shared" si="16"/>
        <v>0</v>
      </c>
      <c r="O122" s="11"/>
      <c r="P122" s="2">
        <v>6363</v>
      </c>
      <c r="Q122" s="2"/>
      <c r="R122" s="19">
        <f t="shared" si="17"/>
        <v>5.5858104143499709E-4</v>
      </c>
      <c r="S122" s="2"/>
      <c r="T122" s="2"/>
      <c r="U122" s="2"/>
      <c r="V122" s="19">
        <f t="shared" si="18"/>
        <v>0</v>
      </c>
      <c r="W122" s="2"/>
      <c r="X122" s="2">
        <f t="shared" si="19"/>
        <v>6363</v>
      </c>
      <c r="Y122" s="2"/>
      <c r="Z122" s="19">
        <f t="shared" si="20"/>
        <v>0</v>
      </c>
    </row>
    <row r="123" spans="1:26" s="24" customFormat="1" hidden="1" outlineLevel="1" x14ac:dyDescent="0.25">
      <c r="A123" s="44"/>
      <c r="B123" s="11" t="str">
        <f>CONCATENATE("          ", "5013", " - ", "PURCHASES @ COST-TRADE BOOKS")</f>
        <v xml:space="preserve">          5013 - PURCHASES @ COST-TRADE BOOKS</v>
      </c>
      <c r="C123" s="11"/>
      <c r="D123" s="2"/>
      <c r="E123" s="2"/>
      <c r="F123" s="19">
        <f t="shared" si="13"/>
        <v>0</v>
      </c>
      <c r="G123" s="2"/>
      <c r="H123" s="2"/>
      <c r="I123" s="2"/>
      <c r="J123" s="19">
        <f t="shared" si="14"/>
        <v>0</v>
      </c>
      <c r="K123" s="2"/>
      <c r="L123" s="2">
        <f t="shared" si="15"/>
        <v>0</v>
      </c>
      <c r="M123" s="2"/>
      <c r="N123" s="19">
        <f t="shared" si="16"/>
        <v>0</v>
      </c>
      <c r="O123" s="11"/>
      <c r="P123" s="2">
        <v>3197.85</v>
      </c>
      <c r="Q123" s="2"/>
      <c r="R123" s="19">
        <f t="shared" si="17"/>
        <v>2.8072581853731031E-4</v>
      </c>
      <c r="S123" s="2"/>
      <c r="T123" s="2"/>
      <c r="U123" s="2"/>
      <c r="V123" s="19">
        <f t="shared" si="18"/>
        <v>0</v>
      </c>
      <c r="W123" s="2"/>
      <c r="X123" s="2">
        <f t="shared" si="19"/>
        <v>3197.85</v>
      </c>
      <c r="Y123" s="2"/>
      <c r="Z123" s="19">
        <f t="shared" si="20"/>
        <v>0</v>
      </c>
    </row>
    <row r="124" spans="1:26" s="24" customFormat="1" hidden="1" outlineLevel="1" x14ac:dyDescent="0.25">
      <c r="A124" s="44"/>
      <c r="B124" s="11" t="str">
        <f>CONCATENATE("          ", "5014", " - ", "PURCHASES @ COST-REMAINDERS")</f>
        <v xml:space="preserve">          5014 - PURCHASES @ COST-REMAINDERS</v>
      </c>
      <c r="C124" s="11"/>
      <c r="D124" s="2"/>
      <c r="E124" s="2"/>
      <c r="F124" s="19">
        <f t="shared" si="13"/>
        <v>0</v>
      </c>
      <c r="G124" s="2"/>
      <c r="H124" s="2"/>
      <c r="I124" s="2"/>
      <c r="J124" s="19">
        <f t="shared" si="14"/>
        <v>0</v>
      </c>
      <c r="K124" s="2"/>
      <c r="L124" s="2">
        <f t="shared" si="15"/>
        <v>0</v>
      </c>
      <c r="M124" s="2"/>
      <c r="N124" s="19">
        <f t="shared" si="16"/>
        <v>0</v>
      </c>
      <c r="O124" s="11"/>
      <c r="P124" s="2">
        <v>615.07000000000005</v>
      </c>
      <c r="Q124" s="2"/>
      <c r="R124" s="19">
        <f t="shared" si="17"/>
        <v>5.3994411622728854E-5</v>
      </c>
      <c r="S124" s="2"/>
      <c r="T124" s="2"/>
      <c r="U124" s="2"/>
      <c r="V124" s="19">
        <f t="shared" si="18"/>
        <v>0</v>
      </c>
      <c r="W124" s="2"/>
      <c r="X124" s="2">
        <f t="shared" si="19"/>
        <v>615.07000000000005</v>
      </c>
      <c r="Y124" s="2"/>
      <c r="Z124" s="19">
        <f t="shared" si="20"/>
        <v>0</v>
      </c>
    </row>
    <row r="125" spans="1:26" s="24" customFormat="1" hidden="1" outlineLevel="1" x14ac:dyDescent="0.25">
      <c r="A125" s="44"/>
      <c r="B125" s="11" t="str">
        <f>CONCATENATE("          ", "5017", " - ", "PURCHASES @ COST-DORM/HOUSEWAR")</f>
        <v xml:space="preserve">          5017 - PURCHASES @ COST-DORM/HOUSEWAR</v>
      </c>
      <c r="C125" s="11"/>
      <c r="D125" s="2"/>
      <c r="E125" s="2"/>
      <c r="F125" s="19">
        <f t="shared" si="13"/>
        <v>0</v>
      </c>
      <c r="G125" s="2"/>
      <c r="H125" s="2"/>
      <c r="I125" s="2"/>
      <c r="J125" s="19">
        <f t="shared" si="14"/>
        <v>0</v>
      </c>
      <c r="K125" s="2"/>
      <c r="L125" s="2">
        <f t="shared" si="15"/>
        <v>0</v>
      </c>
      <c r="M125" s="2"/>
      <c r="N125" s="19">
        <f t="shared" si="16"/>
        <v>0</v>
      </c>
      <c r="O125" s="11"/>
      <c r="P125" s="2">
        <v>14.46</v>
      </c>
      <c r="Q125" s="2"/>
      <c r="R125" s="19">
        <f t="shared" si="17"/>
        <v>1.2693826589894796E-6</v>
      </c>
      <c r="S125" s="2"/>
      <c r="T125" s="2"/>
      <c r="U125" s="2"/>
      <c r="V125" s="19">
        <f t="shared" si="18"/>
        <v>0</v>
      </c>
      <c r="W125" s="2"/>
      <c r="X125" s="2">
        <f t="shared" si="19"/>
        <v>14.46</v>
      </c>
      <c r="Y125" s="2"/>
      <c r="Z125" s="19">
        <f t="shared" si="20"/>
        <v>0</v>
      </c>
    </row>
    <row r="126" spans="1:26" s="24" customFormat="1" hidden="1" outlineLevel="1" x14ac:dyDescent="0.25">
      <c r="A126" s="44"/>
      <c r="B126" s="11" t="str">
        <f>CONCATENATE("          ", "5018", " - ", "PURCHASES @ COST-STUDY GUIDES")</f>
        <v xml:space="preserve">          5018 - PURCHASES @ COST-STUDY GUIDES</v>
      </c>
      <c r="C126" s="11"/>
      <c r="D126" s="2"/>
      <c r="E126" s="2"/>
      <c r="F126" s="19">
        <f t="shared" si="13"/>
        <v>0</v>
      </c>
      <c r="G126" s="2"/>
      <c r="H126" s="2"/>
      <c r="I126" s="2"/>
      <c r="J126" s="19">
        <f t="shared" si="14"/>
        <v>0</v>
      </c>
      <c r="K126" s="2"/>
      <c r="L126" s="2">
        <f t="shared" si="15"/>
        <v>0</v>
      </c>
      <c r="M126" s="2"/>
      <c r="N126" s="19">
        <f t="shared" si="16"/>
        <v>0</v>
      </c>
      <c r="O126" s="11"/>
      <c r="P126" s="2">
        <v>-205.14</v>
      </c>
      <c r="Q126" s="2"/>
      <c r="R126" s="19">
        <f t="shared" si="17"/>
        <v>-1.8008378884170248E-5</v>
      </c>
      <c r="S126" s="2"/>
      <c r="T126" s="2"/>
      <c r="U126" s="2"/>
      <c r="V126" s="19">
        <f t="shared" si="18"/>
        <v>0</v>
      </c>
      <c r="W126" s="2"/>
      <c r="X126" s="2">
        <f t="shared" si="19"/>
        <v>-205.14</v>
      </c>
      <c r="Y126" s="2"/>
      <c r="Z126" s="19">
        <f t="shared" si="20"/>
        <v>0</v>
      </c>
    </row>
    <row r="127" spans="1:26" s="24" customFormat="1" hidden="1" outlineLevel="1" x14ac:dyDescent="0.25">
      <c r="A127" s="44"/>
      <c r="B127" s="11" t="str">
        <f>CONCATENATE("          ", "5025", " - ", "PURCHASES @ COST-TEST FORMS")</f>
        <v xml:space="preserve">          5025 - PURCHASES @ COST-TEST FORMS</v>
      </c>
      <c r="C127" s="11"/>
      <c r="D127" s="2"/>
      <c r="E127" s="2"/>
      <c r="F127" s="19">
        <f t="shared" si="13"/>
        <v>0</v>
      </c>
      <c r="G127" s="2"/>
      <c r="H127" s="2"/>
      <c r="I127" s="2"/>
      <c r="J127" s="19">
        <f t="shared" si="14"/>
        <v>0</v>
      </c>
      <c r="K127" s="2"/>
      <c r="L127" s="2">
        <f t="shared" si="15"/>
        <v>0</v>
      </c>
      <c r="M127" s="2"/>
      <c r="N127" s="19">
        <f t="shared" si="16"/>
        <v>0</v>
      </c>
      <c r="O127" s="11"/>
      <c r="P127" s="2">
        <v>26400.390000000003</v>
      </c>
      <c r="Q127" s="2"/>
      <c r="R127" s="19">
        <f t="shared" si="17"/>
        <v>2.3175793400110143E-3</v>
      </c>
      <c r="S127" s="2"/>
      <c r="T127" s="2"/>
      <c r="U127" s="2"/>
      <c r="V127" s="19">
        <f t="shared" si="18"/>
        <v>0</v>
      </c>
      <c r="W127" s="2"/>
      <c r="X127" s="2">
        <f t="shared" si="19"/>
        <v>26400.390000000003</v>
      </c>
      <c r="Y127" s="2"/>
      <c r="Z127" s="19">
        <f t="shared" si="20"/>
        <v>0</v>
      </c>
    </row>
    <row r="128" spans="1:26" s="24" customFormat="1" hidden="1" outlineLevel="1" x14ac:dyDescent="0.25">
      <c r="A128" s="44"/>
      <c r="B128" s="11" t="str">
        <f>CONCATENATE("          ", "5026", " - ", "PURCHASES @ COST-WRITING INSTR")</f>
        <v xml:space="preserve">          5026 - PURCHASES @ COST-WRITING INSTR</v>
      </c>
      <c r="C128" s="11"/>
      <c r="D128" s="2">
        <v>-7248</v>
      </c>
      <c r="E128" s="2"/>
      <c r="F128" s="19">
        <f t="shared" si="13"/>
        <v>-2.7490096188407909E-2</v>
      </c>
      <c r="G128" s="2"/>
      <c r="H128" s="2"/>
      <c r="I128" s="2"/>
      <c r="J128" s="19">
        <f t="shared" si="14"/>
        <v>0</v>
      </c>
      <c r="K128" s="2"/>
      <c r="L128" s="2">
        <f t="shared" si="15"/>
        <v>-7248</v>
      </c>
      <c r="M128" s="2"/>
      <c r="N128" s="19">
        <f t="shared" si="16"/>
        <v>0</v>
      </c>
      <c r="O128" s="11"/>
      <c r="P128" s="2">
        <v>44186.57</v>
      </c>
      <c r="Q128" s="2"/>
      <c r="R128" s="19">
        <f t="shared" si="17"/>
        <v>3.8789533691718369E-3</v>
      </c>
      <c r="S128" s="2"/>
      <c r="T128" s="2"/>
      <c r="U128" s="2"/>
      <c r="V128" s="19">
        <f t="shared" si="18"/>
        <v>0</v>
      </c>
      <c r="W128" s="2"/>
      <c r="X128" s="2">
        <f t="shared" si="19"/>
        <v>44186.57</v>
      </c>
      <c r="Y128" s="2"/>
      <c r="Z128" s="19">
        <f t="shared" si="20"/>
        <v>0</v>
      </c>
    </row>
    <row r="129" spans="1:26" s="24" customFormat="1" hidden="1" outlineLevel="1" x14ac:dyDescent="0.25">
      <c r="A129" s="44"/>
      <c r="B129" s="11" t="str">
        <f>CONCATENATE("          ", "5027", " - ", "PURCHASES @ COST-SCHOOL SUPPLI")</f>
        <v xml:space="preserve">          5027 - PURCHASES @ COST-SCHOOL SUPPLI</v>
      </c>
      <c r="C129" s="11"/>
      <c r="D129" s="2">
        <v>-2393.63</v>
      </c>
      <c r="E129" s="2"/>
      <c r="F129" s="19">
        <f t="shared" si="13"/>
        <v>-9.0785208249805228E-3</v>
      </c>
      <c r="G129" s="2"/>
      <c r="H129" s="2"/>
      <c r="I129" s="2"/>
      <c r="J129" s="19">
        <f t="shared" si="14"/>
        <v>0</v>
      </c>
      <c r="K129" s="2"/>
      <c r="L129" s="2">
        <f t="shared" si="15"/>
        <v>-2393.63</v>
      </c>
      <c r="M129" s="2"/>
      <c r="N129" s="19">
        <f t="shared" si="16"/>
        <v>0</v>
      </c>
      <c r="O129" s="11"/>
      <c r="P129" s="2">
        <v>141214.54</v>
      </c>
      <c r="Q129" s="2"/>
      <c r="R129" s="19">
        <f t="shared" si="17"/>
        <v>1.2396631277536391E-2</v>
      </c>
      <c r="S129" s="2"/>
      <c r="T129" s="2"/>
      <c r="U129" s="2"/>
      <c r="V129" s="19">
        <f t="shared" si="18"/>
        <v>0</v>
      </c>
      <c r="W129" s="2"/>
      <c r="X129" s="2">
        <f t="shared" si="19"/>
        <v>141214.54</v>
      </c>
      <c r="Y129" s="2"/>
      <c r="Z129" s="19">
        <f t="shared" si="20"/>
        <v>0</v>
      </c>
    </row>
    <row r="130" spans="1:26" s="24" customFormat="1" hidden="1" outlineLevel="1" x14ac:dyDescent="0.25">
      <c r="A130" s="44"/>
      <c r="B130" s="11" t="str">
        <f>CONCATENATE("          ", "5028", " - ", "PURCHASES @ COST-ART/TECH")</f>
        <v xml:space="preserve">          5028 - PURCHASES @ COST-ART/TECH</v>
      </c>
      <c r="C130" s="11"/>
      <c r="D130" s="2">
        <v>-60.3</v>
      </c>
      <c r="E130" s="2"/>
      <c r="F130" s="19">
        <f t="shared" si="13"/>
        <v>-2.2870485653435387E-4</v>
      </c>
      <c r="G130" s="2"/>
      <c r="H130" s="2"/>
      <c r="I130" s="2"/>
      <c r="J130" s="19">
        <f t="shared" si="14"/>
        <v>0</v>
      </c>
      <c r="K130" s="2"/>
      <c r="L130" s="2">
        <f t="shared" si="15"/>
        <v>-60.3</v>
      </c>
      <c r="M130" s="2"/>
      <c r="N130" s="19">
        <f t="shared" si="16"/>
        <v>0</v>
      </c>
      <c r="O130" s="11"/>
      <c r="P130" s="2">
        <v>159627.69</v>
      </c>
      <c r="Q130" s="2"/>
      <c r="R130" s="19">
        <f t="shared" si="17"/>
        <v>1.4013044369332527E-2</v>
      </c>
      <c r="S130" s="2"/>
      <c r="T130" s="2"/>
      <c r="U130" s="2"/>
      <c r="V130" s="19">
        <f t="shared" si="18"/>
        <v>0</v>
      </c>
      <c r="W130" s="2"/>
      <c r="X130" s="2">
        <f t="shared" si="19"/>
        <v>159627.69</v>
      </c>
      <c r="Y130" s="2"/>
      <c r="Z130" s="19">
        <f t="shared" si="20"/>
        <v>0</v>
      </c>
    </row>
    <row r="131" spans="1:26" s="24" customFormat="1" hidden="1" outlineLevel="1" x14ac:dyDescent="0.25">
      <c r="A131" s="44"/>
      <c r="B131" s="11" t="str">
        <f>CONCATENATE("          ", "5031", " - ", "PURCHASES @ COST-FOOD")</f>
        <v xml:space="preserve">          5031 - PURCHASES @ COST-FOOD</v>
      </c>
      <c r="C131" s="11"/>
      <c r="D131" s="2"/>
      <c r="E131" s="2"/>
      <c r="F131" s="19">
        <f t="shared" si="13"/>
        <v>0</v>
      </c>
      <c r="G131" s="2"/>
      <c r="H131" s="2"/>
      <c r="I131" s="2"/>
      <c r="J131" s="19">
        <f t="shared" si="14"/>
        <v>0</v>
      </c>
      <c r="K131" s="2"/>
      <c r="L131" s="2">
        <f t="shared" si="15"/>
        <v>0</v>
      </c>
      <c r="M131" s="2"/>
      <c r="N131" s="19">
        <f t="shared" si="16"/>
        <v>0</v>
      </c>
      <c r="O131" s="11"/>
      <c r="P131" s="2">
        <v>33239.879999999997</v>
      </c>
      <c r="Q131" s="2"/>
      <c r="R131" s="19">
        <f t="shared" si="17"/>
        <v>2.9179894369910937E-3</v>
      </c>
      <c r="S131" s="2"/>
      <c r="T131" s="2"/>
      <c r="U131" s="2"/>
      <c r="V131" s="19">
        <f t="shared" si="18"/>
        <v>0</v>
      </c>
      <c r="W131" s="2"/>
      <c r="X131" s="2">
        <f t="shared" si="19"/>
        <v>33239.879999999997</v>
      </c>
      <c r="Y131" s="2"/>
      <c r="Z131" s="19">
        <f t="shared" si="20"/>
        <v>0</v>
      </c>
    </row>
    <row r="132" spans="1:26" s="24" customFormat="1" hidden="1" outlineLevel="1" x14ac:dyDescent="0.25">
      <c r="A132" s="44"/>
      <c r="B132" s="11" t="str">
        <f>CONCATENATE("          ", "5032", " - ", "PURCHASES @ COST-JUICE")</f>
        <v xml:space="preserve">          5032 - PURCHASES @ COST-JUICE</v>
      </c>
      <c r="C132" s="11"/>
      <c r="D132" s="2"/>
      <c r="E132" s="2"/>
      <c r="F132" s="19">
        <f t="shared" si="13"/>
        <v>0</v>
      </c>
      <c r="G132" s="2"/>
      <c r="H132" s="2"/>
      <c r="I132" s="2"/>
      <c r="J132" s="19">
        <f t="shared" si="14"/>
        <v>0</v>
      </c>
      <c r="K132" s="2"/>
      <c r="L132" s="2">
        <f t="shared" si="15"/>
        <v>0</v>
      </c>
      <c r="M132" s="2"/>
      <c r="N132" s="19">
        <f t="shared" si="16"/>
        <v>0</v>
      </c>
      <c r="O132" s="11"/>
      <c r="P132" s="2">
        <v>7802.45</v>
      </c>
      <c r="Q132" s="2"/>
      <c r="R132" s="19">
        <f t="shared" si="17"/>
        <v>6.8494431034802651E-4</v>
      </c>
      <c r="S132" s="2"/>
      <c r="T132" s="2"/>
      <c r="U132" s="2"/>
      <c r="V132" s="19">
        <f t="shared" si="18"/>
        <v>0</v>
      </c>
      <c r="W132" s="2"/>
      <c r="X132" s="2">
        <f t="shared" si="19"/>
        <v>7802.45</v>
      </c>
      <c r="Y132" s="2"/>
      <c r="Z132" s="19">
        <f t="shared" si="20"/>
        <v>0</v>
      </c>
    </row>
    <row r="133" spans="1:26" s="24" customFormat="1" hidden="1" outlineLevel="1" x14ac:dyDescent="0.25">
      <c r="A133" s="44"/>
      <c r="B133" s="11" t="str">
        <f>CONCATENATE("          ", "5033", " - ", "PURCHASES @ COST-CANDY")</f>
        <v xml:space="preserve">          5033 - PURCHASES @ COST-CANDY</v>
      </c>
      <c r="C133" s="11"/>
      <c r="D133" s="2"/>
      <c r="E133" s="2"/>
      <c r="F133" s="19">
        <f t="shared" si="13"/>
        <v>0</v>
      </c>
      <c r="G133" s="2"/>
      <c r="H133" s="2"/>
      <c r="I133" s="2"/>
      <c r="J133" s="19">
        <f t="shared" si="14"/>
        <v>0</v>
      </c>
      <c r="K133" s="2"/>
      <c r="L133" s="2">
        <f t="shared" si="15"/>
        <v>0</v>
      </c>
      <c r="M133" s="2"/>
      <c r="N133" s="19">
        <f t="shared" si="16"/>
        <v>0</v>
      </c>
      <c r="O133" s="11"/>
      <c r="P133" s="2">
        <v>9998.41</v>
      </c>
      <c r="Q133" s="2"/>
      <c r="R133" s="19">
        <f t="shared" si="17"/>
        <v>8.7771841434764874E-4</v>
      </c>
      <c r="S133" s="2"/>
      <c r="T133" s="2"/>
      <c r="U133" s="2"/>
      <c r="V133" s="19">
        <f t="shared" si="18"/>
        <v>0</v>
      </c>
      <c r="W133" s="2"/>
      <c r="X133" s="2">
        <f t="shared" si="19"/>
        <v>9998.41</v>
      </c>
      <c r="Y133" s="2"/>
      <c r="Z133" s="19">
        <f t="shared" si="20"/>
        <v>0</v>
      </c>
    </row>
    <row r="134" spans="1:26" s="24" customFormat="1" hidden="1" outlineLevel="1" x14ac:dyDescent="0.25">
      <c r="A134" s="44"/>
      <c r="B134" s="11" t="str">
        <f>CONCATENATE("          ", "5034", " - ", "PURCHASES @ COST-SODA")</f>
        <v xml:space="preserve">          5034 - PURCHASES @ COST-SODA</v>
      </c>
      <c r="C134" s="11"/>
      <c r="D134" s="2"/>
      <c r="E134" s="2"/>
      <c r="F134" s="19">
        <f t="shared" si="13"/>
        <v>0</v>
      </c>
      <c r="G134" s="2"/>
      <c r="H134" s="2"/>
      <c r="I134" s="2"/>
      <c r="J134" s="19">
        <f t="shared" si="14"/>
        <v>0</v>
      </c>
      <c r="K134" s="2"/>
      <c r="L134" s="2">
        <f t="shared" si="15"/>
        <v>0</v>
      </c>
      <c r="M134" s="2"/>
      <c r="N134" s="19">
        <f t="shared" si="16"/>
        <v>0</v>
      </c>
      <c r="O134" s="11"/>
      <c r="P134" s="2">
        <v>4033.88</v>
      </c>
      <c r="Q134" s="2"/>
      <c r="R134" s="19">
        <f t="shared" si="17"/>
        <v>3.5411738039035142E-4</v>
      </c>
      <c r="S134" s="2"/>
      <c r="T134" s="2"/>
      <c r="U134" s="2"/>
      <c r="V134" s="19">
        <f t="shared" si="18"/>
        <v>0</v>
      </c>
      <c r="W134" s="2"/>
      <c r="X134" s="2">
        <f t="shared" si="19"/>
        <v>4033.88</v>
      </c>
      <c r="Y134" s="2"/>
      <c r="Z134" s="19">
        <f t="shared" si="20"/>
        <v>0</v>
      </c>
    </row>
    <row r="135" spans="1:26" s="24" customFormat="1" hidden="1" outlineLevel="1" x14ac:dyDescent="0.25">
      <c r="A135" s="44"/>
      <c r="B135" s="11" t="str">
        <f>CONCATENATE("          ", "5035", " - ", "PURCHASES @ COST-HEALTH &amp; BEAU")</f>
        <v xml:space="preserve">          5035 - PURCHASES @ COST-HEALTH &amp; BEAU</v>
      </c>
      <c r="C135" s="11"/>
      <c r="D135" s="2"/>
      <c r="E135" s="2"/>
      <c r="F135" s="19">
        <f t="shared" si="13"/>
        <v>0</v>
      </c>
      <c r="G135" s="2"/>
      <c r="H135" s="2"/>
      <c r="I135" s="2"/>
      <c r="J135" s="19">
        <f t="shared" si="14"/>
        <v>0</v>
      </c>
      <c r="K135" s="2"/>
      <c r="L135" s="2">
        <f t="shared" si="15"/>
        <v>0</v>
      </c>
      <c r="M135" s="2"/>
      <c r="N135" s="19">
        <f t="shared" si="16"/>
        <v>0</v>
      </c>
      <c r="O135" s="11"/>
      <c r="P135" s="2">
        <v>1117.6500000000001</v>
      </c>
      <c r="Q135" s="2"/>
      <c r="R135" s="19">
        <f t="shared" si="17"/>
        <v>9.8113798673554064E-5</v>
      </c>
      <c r="S135" s="2"/>
      <c r="T135" s="2"/>
      <c r="U135" s="2"/>
      <c r="V135" s="19">
        <f t="shared" si="18"/>
        <v>0</v>
      </c>
      <c r="W135" s="2"/>
      <c r="X135" s="2">
        <f t="shared" si="19"/>
        <v>1117.6500000000001</v>
      </c>
      <c r="Y135" s="2"/>
      <c r="Z135" s="19">
        <f t="shared" si="20"/>
        <v>0</v>
      </c>
    </row>
    <row r="136" spans="1:26" s="24" customFormat="1" hidden="1" outlineLevel="1" x14ac:dyDescent="0.25">
      <c r="A136" s="44"/>
      <c r="B136" s="11" t="str">
        <f>CONCATENATE("          ", "5037", " - ", "PURCHASES @ COST-WATER")</f>
        <v xml:space="preserve">          5037 - PURCHASES @ COST-WATER</v>
      </c>
      <c r="C136" s="11"/>
      <c r="D136" s="2"/>
      <c r="E136" s="2"/>
      <c r="F136" s="19">
        <f t="shared" si="13"/>
        <v>0</v>
      </c>
      <c r="G136" s="2"/>
      <c r="H136" s="2"/>
      <c r="I136" s="2"/>
      <c r="J136" s="19">
        <f t="shared" si="14"/>
        <v>0</v>
      </c>
      <c r="K136" s="2"/>
      <c r="L136" s="2">
        <f t="shared" si="15"/>
        <v>0</v>
      </c>
      <c r="M136" s="2"/>
      <c r="N136" s="19">
        <f t="shared" si="16"/>
        <v>0</v>
      </c>
      <c r="O136" s="11"/>
      <c r="P136" s="2">
        <v>5693.57</v>
      </c>
      <c r="Q136" s="2"/>
      <c r="R136" s="19">
        <f t="shared" si="17"/>
        <v>4.9981459375814184E-4</v>
      </c>
      <c r="S136" s="2"/>
      <c r="T136" s="2"/>
      <c r="U136" s="2"/>
      <c r="V136" s="19">
        <f t="shared" si="18"/>
        <v>0</v>
      </c>
      <c r="W136" s="2"/>
      <c r="X136" s="2">
        <f t="shared" si="19"/>
        <v>5693.57</v>
      </c>
      <c r="Y136" s="2"/>
      <c r="Z136" s="19">
        <f t="shared" si="20"/>
        <v>0</v>
      </c>
    </row>
    <row r="137" spans="1:26" s="24" customFormat="1" hidden="1" outlineLevel="1" x14ac:dyDescent="0.25">
      <c r="A137" s="44"/>
      <c r="B137" s="11" t="str">
        <f>CONCATENATE("          ", "5040", " - ", "PURCHASES @ COST-LOGO CLOTHING")</f>
        <v xml:space="preserve">          5040 - PURCHASES @ COST-LOGO CLOTHING</v>
      </c>
      <c r="C137" s="11"/>
      <c r="D137" s="2">
        <v>1557.89</v>
      </c>
      <c r="E137" s="2"/>
      <c r="F137" s="19">
        <f t="shared" si="13"/>
        <v>5.9087397835208061E-3</v>
      </c>
      <c r="G137" s="2"/>
      <c r="H137" s="2"/>
      <c r="I137" s="2"/>
      <c r="J137" s="19">
        <f t="shared" si="14"/>
        <v>0</v>
      </c>
      <c r="K137" s="2"/>
      <c r="L137" s="2">
        <f t="shared" si="15"/>
        <v>1557.89</v>
      </c>
      <c r="M137" s="2"/>
      <c r="N137" s="19">
        <f t="shared" si="16"/>
        <v>0</v>
      </c>
      <c r="O137" s="11"/>
      <c r="P137" s="2">
        <v>976469.33000000007</v>
      </c>
      <c r="Q137" s="2"/>
      <c r="R137" s="19">
        <f t="shared" si="17"/>
        <v>8.5720140701042571E-2</v>
      </c>
      <c r="S137" s="2"/>
      <c r="T137" s="2"/>
      <c r="U137" s="2"/>
      <c r="V137" s="19">
        <f t="shared" si="18"/>
        <v>0</v>
      </c>
      <c r="W137" s="2"/>
      <c r="X137" s="2">
        <f t="shared" si="19"/>
        <v>976469.33000000007</v>
      </c>
      <c r="Y137" s="2"/>
      <c r="Z137" s="19">
        <f t="shared" si="20"/>
        <v>0</v>
      </c>
    </row>
    <row r="138" spans="1:26" s="24" customFormat="1" hidden="1" outlineLevel="1" x14ac:dyDescent="0.25">
      <c r="A138" s="44"/>
      <c r="B138" s="11" t="str">
        <f>CONCATENATE("          ", "5041", " - ", "PURCHASES @ COST-LOGO GIFTS")</f>
        <v xml:space="preserve">          5041 - PURCHASES @ COST-LOGO GIFTS</v>
      </c>
      <c r="C138" s="11"/>
      <c r="D138" s="2">
        <v>4290.8100000000004</v>
      </c>
      <c r="E138" s="2"/>
      <c r="F138" s="19">
        <f t="shared" si="13"/>
        <v>1.6274114186835342E-2</v>
      </c>
      <c r="G138" s="2"/>
      <c r="H138" s="2"/>
      <c r="I138" s="2"/>
      <c r="J138" s="19">
        <f t="shared" si="14"/>
        <v>0</v>
      </c>
      <c r="K138" s="2"/>
      <c r="L138" s="2">
        <f t="shared" si="15"/>
        <v>4290.8100000000004</v>
      </c>
      <c r="M138" s="2"/>
      <c r="N138" s="19">
        <f t="shared" si="16"/>
        <v>0</v>
      </c>
      <c r="O138" s="11"/>
      <c r="P138" s="2">
        <v>149750.84</v>
      </c>
      <c r="Q138" s="2"/>
      <c r="R138" s="19">
        <f t="shared" si="17"/>
        <v>1.3145997196757129E-2</v>
      </c>
      <c r="S138" s="2"/>
      <c r="T138" s="2"/>
      <c r="U138" s="2"/>
      <c r="V138" s="19">
        <f t="shared" si="18"/>
        <v>0</v>
      </c>
      <c r="W138" s="2"/>
      <c r="X138" s="2">
        <f t="shared" si="19"/>
        <v>149750.84</v>
      </c>
      <c r="Y138" s="2"/>
      <c r="Z138" s="19">
        <f t="shared" si="20"/>
        <v>0</v>
      </c>
    </row>
    <row r="139" spans="1:26" s="24" customFormat="1" hidden="1" outlineLevel="1" x14ac:dyDescent="0.25">
      <c r="A139" s="44"/>
      <c r="B139" s="11" t="str">
        <f>CONCATENATE("          ", "5042", " - ", "PURCHASES @ COST-EVERYDAY GIFT")</f>
        <v xml:space="preserve">          5042 - PURCHASES @ COST-EVERYDAY GIFT</v>
      </c>
      <c r="C139" s="11"/>
      <c r="D139" s="2">
        <v>10730.16</v>
      </c>
      <c r="E139" s="2"/>
      <c r="F139" s="19">
        <f t="shared" si="13"/>
        <v>4.069717584395792E-2</v>
      </c>
      <c r="G139" s="2"/>
      <c r="H139" s="2"/>
      <c r="I139" s="2"/>
      <c r="J139" s="19">
        <f t="shared" si="14"/>
        <v>0</v>
      </c>
      <c r="K139" s="2"/>
      <c r="L139" s="2">
        <f t="shared" si="15"/>
        <v>10730.16</v>
      </c>
      <c r="M139" s="2"/>
      <c r="N139" s="19">
        <f t="shared" si="16"/>
        <v>0</v>
      </c>
      <c r="O139" s="11"/>
      <c r="P139" s="2">
        <v>126615.2</v>
      </c>
      <c r="Q139" s="2"/>
      <c r="R139" s="19">
        <f t="shared" si="17"/>
        <v>1.1115016545261739E-2</v>
      </c>
      <c r="S139" s="2"/>
      <c r="T139" s="2"/>
      <c r="U139" s="2"/>
      <c r="V139" s="19">
        <f t="shared" si="18"/>
        <v>0</v>
      </c>
      <c r="W139" s="2"/>
      <c r="X139" s="2">
        <f t="shared" si="19"/>
        <v>126615.2</v>
      </c>
      <c r="Y139" s="2"/>
      <c r="Z139" s="19">
        <f t="shared" si="20"/>
        <v>0</v>
      </c>
    </row>
    <row r="140" spans="1:26" s="24" customFormat="1" hidden="1" outlineLevel="1" x14ac:dyDescent="0.25">
      <c r="A140" s="44"/>
      <c r="B140" s="11" t="str">
        <f>CONCATENATE("          ", "5043", " - ", "PURCHASES @ COST-CARDS")</f>
        <v xml:space="preserve">          5043 - PURCHASES @ COST-CARDS</v>
      </c>
      <c r="C140" s="11"/>
      <c r="D140" s="2"/>
      <c r="E140" s="2"/>
      <c r="F140" s="19">
        <f t="shared" si="13"/>
        <v>0</v>
      </c>
      <c r="G140" s="2"/>
      <c r="H140" s="2"/>
      <c r="I140" s="2"/>
      <c r="J140" s="19">
        <f t="shared" si="14"/>
        <v>0</v>
      </c>
      <c r="K140" s="2"/>
      <c r="L140" s="2">
        <f t="shared" si="15"/>
        <v>0</v>
      </c>
      <c r="M140" s="2"/>
      <c r="N140" s="19">
        <f t="shared" si="16"/>
        <v>0</v>
      </c>
      <c r="O140" s="11"/>
      <c r="P140" s="2">
        <v>30914.659999999996</v>
      </c>
      <c r="Q140" s="2"/>
      <c r="R140" s="19">
        <f t="shared" si="17"/>
        <v>2.7138681405640178E-3</v>
      </c>
      <c r="S140" s="2"/>
      <c r="T140" s="2"/>
      <c r="U140" s="2"/>
      <c r="V140" s="19">
        <f t="shared" si="18"/>
        <v>0</v>
      </c>
      <c r="W140" s="2"/>
      <c r="X140" s="2">
        <f t="shared" si="19"/>
        <v>30914.659999999996</v>
      </c>
      <c r="Y140" s="2"/>
      <c r="Z140" s="19">
        <f t="shared" si="20"/>
        <v>0</v>
      </c>
    </row>
    <row r="141" spans="1:26" s="24" customFormat="1" hidden="1" outlineLevel="1" x14ac:dyDescent="0.25">
      <c r="A141" s="44"/>
      <c r="B141" s="11" t="str">
        <f>CONCATENATE("          ", "5044", " - ", "PURCHASES @ COST-ACCESSORIES")</f>
        <v xml:space="preserve">          5044 - PURCHASES @ COST-ACCESSORIES</v>
      </c>
      <c r="C141" s="11"/>
      <c r="D141" s="2">
        <v>1395</v>
      </c>
      <c r="E141" s="2"/>
      <c r="F141" s="19">
        <f t="shared" si="13"/>
        <v>5.290933248182814E-3</v>
      </c>
      <c r="G141" s="2"/>
      <c r="H141" s="2"/>
      <c r="I141" s="2"/>
      <c r="J141" s="19">
        <f t="shared" si="14"/>
        <v>0</v>
      </c>
      <c r="K141" s="2"/>
      <c r="L141" s="2">
        <f t="shared" si="15"/>
        <v>1395</v>
      </c>
      <c r="M141" s="2"/>
      <c r="N141" s="19">
        <f t="shared" si="16"/>
        <v>0</v>
      </c>
      <c r="O141" s="11"/>
      <c r="P141" s="2">
        <v>37869.03</v>
      </c>
      <c r="Q141" s="2"/>
      <c r="R141" s="19">
        <f t="shared" si="17"/>
        <v>3.3243630701765121E-3</v>
      </c>
      <c r="S141" s="2"/>
      <c r="T141" s="2"/>
      <c r="U141" s="2"/>
      <c r="V141" s="19">
        <f t="shared" si="18"/>
        <v>0</v>
      </c>
      <c r="W141" s="2"/>
      <c r="X141" s="2">
        <f t="shared" si="19"/>
        <v>37869.03</v>
      </c>
      <c r="Y141" s="2"/>
      <c r="Z141" s="19">
        <f t="shared" si="20"/>
        <v>0</v>
      </c>
    </row>
    <row r="142" spans="1:26" s="24" customFormat="1" hidden="1" outlineLevel="1" x14ac:dyDescent="0.25">
      <c r="A142" s="44"/>
      <c r="B142" s="11" t="str">
        <f>CONCATENATE("          ", "5045", " - ", "PURCHASES @ COST-SPECIAL ORDER")</f>
        <v xml:space="preserve">          5045 - PURCHASES @ COST-SPECIAL ORDER</v>
      </c>
      <c r="C142" s="11"/>
      <c r="D142" s="2">
        <v>16919.25</v>
      </c>
      <c r="E142" s="2"/>
      <c r="F142" s="19">
        <f t="shared" si="13"/>
        <v>6.4171055454707582E-2</v>
      </c>
      <c r="G142" s="2"/>
      <c r="H142" s="2"/>
      <c r="I142" s="2"/>
      <c r="J142" s="19">
        <f t="shared" si="14"/>
        <v>0</v>
      </c>
      <c r="K142" s="2"/>
      <c r="L142" s="2">
        <f t="shared" si="15"/>
        <v>16919.25</v>
      </c>
      <c r="M142" s="2"/>
      <c r="N142" s="19">
        <f t="shared" si="16"/>
        <v>0</v>
      </c>
      <c r="O142" s="11"/>
      <c r="P142" s="2">
        <v>78842.399999999994</v>
      </c>
      <c r="Q142" s="2"/>
      <c r="R142" s="19">
        <f t="shared" si="17"/>
        <v>6.9212431087906038E-3</v>
      </c>
      <c r="S142" s="2"/>
      <c r="T142" s="2"/>
      <c r="U142" s="2"/>
      <c r="V142" s="19">
        <f t="shared" si="18"/>
        <v>0</v>
      </c>
      <c r="W142" s="2"/>
      <c r="X142" s="2">
        <f t="shared" si="19"/>
        <v>78842.399999999994</v>
      </c>
      <c r="Y142" s="2"/>
      <c r="Z142" s="19">
        <f t="shared" si="20"/>
        <v>0</v>
      </c>
    </row>
    <row r="143" spans="1:26" s="24" customFormat="1" hidden="1" outlineLevel="1" x14ac:dyDescent="0.25">
      <c r="A143" s="44"/>
      <c r="B143" s="11" t="str">
        <f>CONCATENATE("          ", "5053", " - ", "PURCHASES @ COST-FOOD")</f>
        <v xml:space="preserve">          5053 - PURCHASES @ COST-FOOD</v>
      </c>
      <c r="C143" s="11"/>
      <c r="D143" s="2">
        <v>-1756.38</v>
      </c>
      <c r="E143" s="2"/>
      <c r="F143" s="19">
        <f t="shared" si="13"/>
        <v>-6.6615694182389469E-3</v>
      </c>
      <c r="G143" s="2"/>
      <c r="H143" s="2"/>
      <c r="I143" s="2"/>
      <c r="J143" s="19">
        <f t="shared" si="14"/>
        <v>0</v>
      </c>
      <c r="K143" s="2"/>
      <c r="L143" s="2">
        <f t="shared" si="15"/>
        <v>-1756.38</v>
      </c>
      <c r="M143" s="2"/>
      <c r="N143" s="19">
        <f t="shared" si="16"/>
        <v>0</v>
      </c>
      <c r="O143" s="11"/>
      <c r="P143" s="2">
        <v>1158504.04</v>
      </c>
      <c r="Q143" s="2"/>
      <c r="R143" s="19">
        <f t="shared" si="17"/>
        <v>0.10170020323272852</v>
      </c>
      <c r="S143" s="2"/>
      <c r="T143" s="2"/>
      <c r="U143" s="2"/>
      <c r="V143" s="19">
        <f t="shared" si="18"/>
        <v>0</v>
      </c>
      <c r="W143" s="2"/>
      <c r="X143" s="2">
        <f t="shared" si="19"/>
        <v>1158504.04</v>
      </c>
      <c r="Y143" s="2"/>
      <c r="Z143" s="19">
        <f t="shared" si="20"/>
        <v>0</v>
      </c>
    </row>
    <row r="144" spans="1:26" s="24" customFormat="1" hidden="1" outlineLevel="1" x14ac:dyDescent="0.25">
      <c r="A144" s="44"/>
      <c r="B144" s="11" t="str">
        <f>CONCATENATE("          ", "5059", " - ", "PURCHASES @ COST-FOOD")</f>
        <v xml:space="preserve">          5059 - PURCHASES @ COST-FOOD</v>
      </c>
      <c r="C144" s="11"/>
      <c r="D144" s="2"/>
      <c r="E144" s="2"/>
      <c r="F144" s="19">
        <f t="shared" si="13"/>
        <v>0</v>
      </c>
      <c r="G144" s="2"/>
      <c r="H144" s="2"/>
      <c r="I144" s="2"/>
      <c r="J144" s="19">
        <f t="shared" si="14"/>
        <v>0</v>
      </c>
      <c r="K144" s="2"/>
      <c r="L144" s="2">
        <f t="shared" si="15"/>
        <v>0</v>
      </c>
      <c r="M144" s="2"/>
      <c r="N144" s="19">
        <f t="shared" si="16"/>
        <v>0</v>
      </c>
      <c r="O144" s="11"/>
      <c r="P144" s="2">
        <v>73826.8</v>
      </c>
      <c r="Q144" s="2"/>
      <c r="R144" s="19">
        <f t="shared" si="17"/>
        <v>6.4809446534359961E-3</v>
      </c>
      <c r="S144" s="2"/>
      <c r="T144" s="2"/>
      <c r="U144" s="2"/>
      <c r="V144" s="19">
        <f t="shared" si="18"/>
        <v>0</v>
      </c>
      <c r="W144" s="2"/>
      <c r="X144" s="2">
        <f t="shared" si="19"/>
        <v>73826.8</v>
      </c>
      <c r="Y144" s="2"/>
      <c r="Z144" s="19">
        <f t="shared" si="20"/>
        <v>0</v>
      </c>
    </row>
    <row r="145" spans="1:26" s="24" customFormat="1" hidden="1" outlineLevel="1" x14ac:dyDescent="0.25">
      <c r="A145" s="44"/>
      <c r="B145" s="11" t="str">
        <f>CONCATENATE("          ", "5081", " - ", "PURCHASES @ COST-ELECTRONICS")</f>
        <v xml:space="preserve">          5081 - PURCHASES @ COST-ELECTRONICS</v>
      </c>
      <c r="C145" s="11"/>
      <c r="D145" s="2"/>
      <c r="E145" s="2"/>
      <c r="F145" s="19">
        <f t="shared" si="13"/>
        <v>0</v>
      </c>
      <c r="G145" s="2"/>
      <c r="H145" s="2"/>
      <c r="I145" s="2"/>
      <c r="J145" s="19">
        <f t="shared" si="14"/>
        <v>0</v>
      </c>
      <c r="K145" s="2"/>
      <c r="L145" s="2">
        <f t="shared" si="15"/>
        <v>0</v>
      </c>
      <c r="M145" s="2"/>
      <c r="N145" s="19">
        <f t="shared" si="16"/>
        <v>0</v>
      </c>
      <c r="O145" s="11"/>
      <c r="P145" s="2">
        <v>2008.03</v>
      </c>
      <c r="Q145" s="2"/>
      <c r="R145" s="19">
        <f t="shared" si="17"/>
        <v>1.7627651872272783E-4</v>
      </c>
      <c r="S145" s="2"/>
      <c r="T145" s="2"/>
      <c r="U145" s="2"/>
      <c r="V145" s="19">
        <f t="shared" si="18"/>
        <v>0</v>
      </c>
      <c r="W145" s="2"/>
      <c r="X145" s="2">
        <f t="shared" si="19"/>
        <v>2008.03</v>
      </c>
      <c r="Y145" s="2"/>
      <c r="Z145" s="19">
        <f t="shared" si="20"/>
        <v>0</v>
      </c>
    </row>
    <row r="146" spans="1:26" s="24" customFormat="1" hidden="1" outlineLevel="1" x14ac:dyDescent="0.25">
      <c r="A146" s="44"/>
      <c r="B146" s="11" t="str">
        <f>CONCATENATE("          ", "5082", " - ", "PURCHASES @ COST-COMPUTER HARD")</f>
        <v xml:space="preserve">          5082 - PURCHASES @ COST-COMPUTER HARD</v>
      </c>
      <c r="C146" s="11"/>
      <c r="D146" s="2"/>
      <c r="E146" s="2"/>
      <c r="F146" s="19">
        <f t="shared" si="13"/>
        <v>0</v>
      </c>
      <c r="G146" s="2"/>
      <c r="H146" s="2"/>
      <c r="I146" s="2"/>
      <c r="J146" s="19">
        <f t="shared" si="14"/>
        <v>0</v>
      </c>
      <c r="K146" s="2"/>
      <c r="L146" s="2">
        <f t="shared" si="15"/>
        <v>0</v>
      </c>
      <c r="M146" s="2"/>
      <c r="N146" s="19">
        <f t="shared" si="16"/>
        <v>0</v>
      </c>
      <c r="O146" s="11"/>
      <c r="P146" s="2">
        <v>349.6</v>
      </c>
      <c r="Q146" s="2"/>
      <c r="R146" s="19">
        <f t="shared" si="17"/>
        <v>3.0689915462152282E-5</v>
      </c>
      <c r="S146" s="2"/>
      <c r="T146" s="2"/>
      <c r="U146" s="2"/>
      <c r="V146" s="19">
        <f t="shared" si="18"/>
        <v>0</v>
      </c>
      <c r="W146" s="2"/>
      <c r="X146" s="2">
        <f t="shared" si="19"/>
        <v>349.6</v>
      </c>
      <c r="Y146" s="2"/>
      <c r="Z146" s="19">
        <f t="shared" si="20"/>
        <v>0</v>
      </c>
    </row>
    <row r="147" spans="1:26" s="24" customFormat="1" hidden="1" outlineLevel="1" x14ac:dyDescent="0.25">
      <c r="A147" s="44"/>
      <c r="B147" s="11" t="str">
        <f>CONCATENATE("          ", "5083", " - ", "PURCHASES @ COST-COMPUTER EQUI")</f>
        <v xml:space="preserve">          5083 - PURCHASES @ COST-COMPUTER EQUI</v>
      </c>
      <c r="C147" s="11"/>
      <c r="D147" s="2"/>
      <c r="E147" s="2"/>
      <c r="F147" s="19">
        <f t="shared" si="13"/>
        <v>0</v>
      </c>
      <c r="G147" s="2"/>
      <c r="H147" s="2"/>
      <c r="I147" s="2"/>
      <c r="J147" s="19">
        <f t="shared" si="14"/>
        <v>0</v>
      </c>
      <c r="K147" s="2"/>
      <c r="L147" s="2">
        <f t="shared" si="15"/>
        <v>0</v>
      </c>
      <c r="M147" s="2"/>
      <c r="N147" s="19">
        <f t="shared" si="16"/>
        <v>0</v>
      </c>
      <c r="O147" s="11"/>
      <c r="P147" s="2">
        <v>395.06</v>
      </c>
      <c r="Q147" s="2"/>
      <c r="R147" s="19">
        <f t="shared" si="17"/>
        <v>3.4680657901824606E-5</v>
      </c>
      <c r="S147" s="2"/>
      <c r="T147" s="2"/>
      <c r="U147" s="2"/>
      <c r="V147" s="19">
        <f t="shared" si="18"/>
        <v>0</v>
      </c>
      <c r="W147" s="2"/>
      <c r="X147" s="2">
        <f t="shared" si="19"/>
        <v>395.06</v>
      </c>
      <c r="Y147" s="2"/>
      <c r="Z147" s="19">
        <f t="shared" si="20"/>
        <v>0</v>
      </c>
    </row>
    <row r="148" spans="1:26" s="24" customFormat="1" hidden="1" outlineLevel="1" x14ac:dyDescent="0.25">
      <c r="A148" s="44"/>
      <c r="B148" s="11" t="str">
        <f>CONCATENATE("          ", "5086", " - ", "PURCHASES @ COST-COMPUTER SUPP")</f>
        <v xml:space="preserve">          5086 - PURCHASES @ COST-COMPUTER SUPP</v>
      </c>
      <c r="C148" s="11"/>
      <c r="D148" s="2"/>
      <c r="E148" s="2"/>
      <c r="F148" s="19">
        <f t="shared" si="13"/>
        <v>0</v>
      </c>
      <c r="G148" s="2"/>
      <c r="H148" s="2"/>
      <c r="I148" s="2"/>
      <c r="J148" s="19">
        <f t="shared" si="14"/>
        <v>0</v>
      </c>
      <c r="K148" s="2"/>
      <c r="L148" s="2">
        <f t="shared" si="15"/>
        <v>0</v>
      </c>
      <c r="M148" s="2"/>
      <c r="N148" s="19">
        <f t="shared" si="16"/>
        <v>0</v>
      </c>
      <c r="O148" s="11"/>
      <c r="P148" s="2">
        <v>426.22</v>
      </c>
      <c r="Q148" s="2"/>
      <c r="R148" s="19">
        <f t="shared" si="17"/>
        <v>3.7416063410407746E-5</v>
      </c>
      <c r="S148" s="2"/>
      <c r="T148" s="2"/>
      <c r="U148" s="2"/>
      <c r="V148" s="19">
        <f t="shared" si="18"/>
        <v>0</v>
      </c>
      <c r="W148" s="2"/>
      <c r="X148" s="2">
        <f t="shared" si="19"/>
        <v>426.22</v>
      </c>
      <c r="Y148" s="2"/>
      <c r="Z148" s="19">
        <f t="shared" si="20"/>
        <v>0</v>
      </c>
    </row>
    <row r="149" spans="1:26" s="24" customFormat="1" hidden="1" outlineLevel="1" x14ac:dyDescent="0.25">
      <c r="A149" s="44"/>
      <c r="B149" s="11" t="str">
        <f>CONCATENATE("          ", "5092", " - ", "PURCHASES @ COST-GRAD MERCH")</f>
        <v xml:space="preserve">          5092 - PURCHASES @ COST-GRAD MERCH</v>
      </c>
      <c r="C149" s="11"/>
      <c r="D149" s="2">
        <v>-3999.6</v>
      </c>
      <c r="E149" s="2"/>
      <c r="F149" s="19">
        <f t="shared" si="13"/>
        <v>-1.5169617648338338E-2</v>
      </c>
      <c r="G149" s="2"/>
      <c r="H149" s="2"/>
      <c r="I149" s="2"/>
      <c r="J149" s="19">
        <f t="shared" si="14"/>
        <v>0</v>
      </c>
      <c r="K149" s="2"/>
      <c r="L149" s="2">
        <f t="shared" si="15"/>
        <v>-3999.6</v>
      </c>
      <c r="M149" s="2"/>
      <c r="N149" s="19">
        <f t="shared" si="16"/>
        <v>0</v>
      </c>
      <c r="O149" s="11"/>
      <c r="P149" s="2">
        <v>4485.88</v>
      </c>
      <c r="Q149" s="2"/>
      <c r="R149" s="19">
        <f t="shared" si="17"/>
        <v>3.9379656170869477E-4</v>
      </c>
      <c r="S149" s="2"/>
      <c r="T149" s="2"/>
      <c r="U149" s="2"/>
      <c r="V149" s="19">
        <f t="shared" si="18"/>
        <v>0</v>
      </c>
      <c r="W149" s="2"/>
      <c r="X149" s="2">
        <f t="shared" si="19"/>
        <v>4485.88</v>
      </c>
      <c r="Y149" s="2"/>
      <c r="Z149" s="19">
        <f t="shared" si="20"/>
        <v>0</v>
      </c>
    </row>
    <row r="150" spans="1:26" s="24" customFormat="1" hidden="1" outlineLevel="1" x14ac:dyDescent="0.25">
      <c r="A150" s="44"/>
      <c r="B150" s="11" t="str">
        <f>CONCATENATE("          ", "5095", " - ", "PURCHASES @ COST-CUSTOMER SERV")</f>
        <v xml:space="preserve">          5095 - PURCHASES @ COST-CUSTOMER SERV</v>
      </c>
      <c r="C150" s="11"/>
      <c r="D150" s="2"/>
      <c r="E150" s="2"/>
      <c r="F150" s="19">
        <f t="shared" si="13"/>
        <v>0</v>
      </c>
      <c r="G150" s="2"/>
      <c r="H150" s="2"/>
      <c r="I150" s="2"/>
      <c r="J150" s="19">
        <f t="shared" si="14"/>
        <v>0</v>
      </c>
      <c r="K150" s="2"/>
      <c r="L150" s="2">
        <f t="shared" si="15"/>
        <v>0</v>
      </c>
      <c r="M150" s="2"/>
      <c r="N150" s="19">
        <f t="shared" si="16"/>
        <v>0</v>
      </c>
      <c r="O150" s="11"/>
      <c r="P150" s="2">
        <v>0</v>
      </c>
      <c r="Q150" s="2"/>
      <c r="R150" s="19">
        <f t="shared" si="17"/>
        <v>0</v>
      </c>
      <c r="S150" s="2"/>
      <c r="T150" s="2"/>
      <c r="U150" s="2"/>
      <c r="V150" s="19">
        <f t="shared" si="18"/>
        <v>0</v>
      </c>
      <c r="W150" s="2"/>
      <c r="X150" s="2">
        <f t="shared" si="19"/>
        <v>0</v>
      </c>
      <c r="Y150" s="2"/>
      <c r="Z150" s="19">
        <f t="shared" si="20"/>
        <v>0</v>
      </c>
    </row>
    <row r="151" spans="1:26" s="24" customFormat="1" hidden="1" outlineLevel="1" x14ac:dyDescent="0.25">
      <c r="A151" s="44"/>
      <c r="B151" s="11" t="str">
        <f>CONCATENATE("          ", "5200", " - ", "PURCHASES OFFSET")</f>
        <v xml:space="preserve">          5200 - PURCHASES OFFSET</v>
      </c>
      <c r="C151" s="11"/>
      <c r="D151" s="2">
        <v>-56682</v>
      </c>
      <c r="E151" s="2"/>
      <c r="F151" s="19">
        <f t="shared" si="13"/>
        <v>-0.21498256514229266</v>
      </c>
      <c r="G151" s="2"/>
      <c r="H151" s="2"/>
      <c r="I151" s="2"/>
      <c r="J151" s="19">
        <f t="shared" si="14"/>
        <v>0</v>
      </c>
      <c r="K151" s="2"/>
      <c r="L151" s="2">
        <f t="shared" si="15"/>
        <v>-56682</v>
      </c>
      <c r="M151" s="2"/>
      <c r="N151" s="19">
        <f t="shared" si="16"/>
        <v>0</v>
      </c>
      <c r="O151" s="11"/>
      <c r="P151" s="2">
        <v>-3474853</v>
      </c>
      <c r="Q151" s="2"/>
      <c r="R151" s="19">
        <f t="shared" si="17"/>
        <v>-0.30504274832210027</v>
      </c>
      <c r="S151" s="2"/>
      <c r="T151" s="2"/>
      <c r="U151" s="2"/>
      <c r="V151" s="19">
        <f t="shared" si="18"/>
        <v>0</v>
      </c>
      <c r="W151" s="2"/>
      <c r="X151" s="2">
        <f t="shared" si="19"/>
        <v>-3474853</v>
      </c>
      <c r="Y151" s="2"/>
      <c r="Z151" s="19">
        <f t="shared" si="20"/>
        <v>0</v>
      </c>
    </row>
    <row r="152" spans="1:26" s="24" customFormat="1" hidden="1" outlineLevel="1" x14ac:dyDescent="0.25">
      <c r="A152" s="44"/>
      <c r="B152" s="11" t="str">
        <f>CONCATENATE("          ", "5300", " - ", "COG$ OFFSET")</f>
        <v xml:space="preserve">          5300 - COG$ OFFSET</v>
      </c>
      <c r="C152" s="11"/>
      <c r="D152" s="2">
        <v>148333</v>
      </c>
      <c r="E152" s="2"/>
      <c r="F152" s="19">
        <f t="shared" si="13"/>
        <v>0.56259498315605827</v>
      </c>
      <c r="G152" s="2"/>
      <c r="H152" s="2"/>
      <c r="I152" s="2"/>
      <c r="J152" s="19">
        <f t="shared" si="14"/>
        <v>0</v>
      </c>
      <c r="K152" s="2"/>
      <c r="L152" s="2">
        <f t="shared" si="15"/>
        <v>148333</v>
      </c>
      <c r="M152" s="2"/>
      <c r="N152" s="19">
        <f t="shared" si="16"/>
        <v>0</v>
      </c>
      <c r="O152" s="11"/>
      <c r="P152" s="2">
        <v>4035934.47</v>
      </c>
      <c r="Q152" s="2"/>
      <c r="R152" s="19">
        <f t="shared" si="17"/>
        <v>0.35429773368159723</v>
      </c>
      <c r="S152" s="2"/>
      <c r="T152" s="2"/>
      <c r="U152" s="2"/>
      <c r="V152" s="19">
        <f t="shared" si="18"/>
        <v>0</v>
      </c>
      <c r="W152" s="2"/>
      <c r="X152" s="2">
        <f t="shared" si="19"/>
        <v>4035934.47</v>
      </c>
      <c r="Y152" s="2"/>
      <c r="Z152" s="19">
        <f t="shared" si="20"/>
        <v>0</v>
      </c>
    </row>
    <row r="153" spans="1:26" s="24" customFormat="1" hidden="1" outlineLevel="1" x14ac:dyDescent="0.25">
      <c r="A153" s="44"/>
      <c r="B153" s="11" t="str">
        <f>CONCATENATE("          ", "5500", " - ", "FREIGHT-IN")</f>
        <v xml:space="preserve">          5500 - FREIGHT-IN</v>
      </c>
      <c r="C153" s="11"/>
      <c r="D153" s="2"/>
      <c r="E153" s="2"/>
      <c r="F153" s="19">
        <f t="shared" si="13"/>
        <v>0</v>
      </c>
      <c r="G153" s="2"/>
      <c r="H153" s="2"/>
      <c r="I153" s="2"/>
      <c r="J153" s="19">
        <f t="shared" si="14"/>
        <v>0</v>
      </c>
      <c r="K153" s="2"/>
      <c r="L153" s="2">
        <f t="shared" si="15"/>
        <v>0</v>
      </c>
      <c r="M153" s="2"/>
      <c r="N153" s="19">
        <f t="shared" si="16"/>
        <v>0</v>
      </c>
      <c r="O153" s="11"/>
      <c r="P153" s="2">
        <v>156.47999999999999</v>
      </c>
      <c r="Q153" s="2"/>
      <c r="R153" s="19">
        <f t="shared" si="17"/>
        <v>1.3736721886491959E-5</v>
      </c>
      <c r="S153" s="2"/>
      <c r="T153" s="2"/>
      <c r="U153" s="2"/>
      <c r="V153" s="19">
        <f t="shared" si="18"/>
        <v>0</v>
      </c>
      <c r="W153" s="2"/>
      <c r="X153" s="2">
        <f t="shared" si="19"/>
        <v>156.47999999999999</v>
      </c>
      <c r="Y153" s="2"/>
      <c r="Z153" s="19">
        <f t="shared" si="20"/>
        <v>0</v>
      </c>
    </row>
    <row r="154" spans="1:26" s="24" customFormat="1" hidden="1" outlineLevel="1" x14ac:dyDescent="0.25">
      <c r="A154" s="44"/>
      <c r="B154" s="11" t="str">
        <f>CONCATENATE("          ", "5501", " - ", "FREIGHT-IN-NEW TEXT")</f>
        <v xml:space="preserve">          5501 - FREIGHT-IN-NEW TEXT</v>
      </c>
      <c r="C154" s="11"/>
      <c r="D154" s="2">
        <v>-21.22</v>
      </c>
      <c r="E154" s="2"/>
      <c r="F154" s="19">
        <f t="shared" si="13"/>
        <v>-8.0482869911426022E-5</v>
      </c>
      <c r="G154" s="2"/>
      <c r="H154" s="2"/>
      <c r="I154" s="2"/>
      <c r="J154" s="19">
        <f t="shared" si="14"/>
        <v>0</v>
      </c>
      <c r="K154" s="2"/>
      <c r="L154" s="2">
        <f t="shared" si="15"/>
        <v>-21.22</v>
      </c>
      <c r="M154" s="2"/>
      <c r="N154" s="19">
        <f t="shared" si="16"/>
        <v>0</v>
      </c>
      <c r="O154" s="11"/>
      <c r="P154" s="2">
        <v>69747.73000000001</v>
      </c>
      <c r="Q154" s="2"/>
      <c r="R154" s="19">
        <f t="shared" si="17"/>
        <v>6.1228602327718052E-3</v>
      </c>
      <c r="S154" s="2"/>
      <c r="T154" s="2"/>
      <c r="U154" s="2"/>
      <c r="V154" s="19">
        <f t="shared" si="18"/>
        <v>0</v>
      </c>
      <c r="W154" s="2"/>
      <c r="X154" s="2">
        <f t="shared" si="19"/>
        <v>69747.73000000001</v>
      </c>
      <c r="Y154" s="2"/>
      <c r="Z154" s="19">
        <f t="shared" si="20"/>
        <v>0</v>
      </c>
    </row>
    <row r="155" spans="1:26" s="24" customFormat="1" hidden="1" outlineLevel="1" x14ac:dyDescent="0.25">
      <c r="A155" s="44"/>
      <c r="B155" s="11" t="str">
        <f>CONCATENATE("          ", "5502", " - ", "FREIGHT-IN-USED TEXT")</f>
        <v xml:space="preserve">          5502 - FREIGHT-IN-USED TEXT</v>
      </c>
      <c r="C155" s="11"/>
      <c r="D155" s="2">
        <v>379.42</v>
      </c>
      <c r="E155" s="2"/>
      <c r="F155" s="19">
        <f t="shared" si="13"/>
        <v>1.4390579878319164E-3</v>
      </c>
      <c r="G155" s="2"/>
      <c r="H155" s="2"/>
      <c r="I155" s="2"/>
      <c r="J155" s="19">
        <f t="shared" si="14"/>
        <v>0</v>
      </c>
      <c r="K155" s="2"/>
      <c r="L155" s="2">
        <f t="shared" si="15"/>
        <v>379.42</v>
      </c>
      <c r="M155" s="2"/>
      <c r="N155" s="19">
        <f t="shared" si="16"/>
        <v>0</v>
      </c>
      <c r="O155" s="11"/>
      <c r="P155" s="2">
        <v>15680.76</v>
      </c>
      <c r="Q155" s="2"/>
      <c r="R155" s="19">
        <f t="shared" si="17"/>
        <v>1.3765480514367821E-3</v>
      </c>
      <c r="S155" s="2"/>
      <c r="T155" s="2"/>
      <c r="U155" s="2"/>
      <c r="V155" s="19">
        <f t="shared" si="18"/>
        <v>0</v>
      </c>
      <c r="W155" s="2"/>
      <c r="X155" s="2">
        <f t="shared" si="19"/>
        <v>15680.76</v>
      </c>
      <c r="Y155" s="2"/>
      <c r="Z155" s="19">
        <f t="shared" si="20"/>
        <v>0</v>
      </c>
    </row>
    <row r="156" spans="1:26" s="24" customFormat="1" hidden="1" outlineLevel="1" x14ac:dyDescent="0.25">
      <c r="A156" s="44"/>
      <c r="B156" s="11" t="str">
        <f>CONCATENATE("          ", "5504", " - ", "FREIGHT-IN-DIGITAL TEXT")</f>
        <v xml:space="preserve">          5504 - FREIGHT-IN-DIGITAL TEXT</v>
      </c>
      <c r="C156" s="11"/>
      <c r="D156" s="2"/>
      <c r="E156" s="2"/>
      <c r="F156" s="19">
        <f t="shared" si="13"/>
        <v>0</v>
      </c>
      <c r="G156" s="2"/>
      <c r="H156" s="2"/>
      <c r="I156" s="2"/>
      <c r="J156" s="19">
        <f t="shared" si="14"/>
        <v>0</v>
      </c>
      <c r="K156" s="2"/>
      <c r="L156" s="2">
        <f t="shared" si="15"/>
        <v>0</v>
      </c>
      <c r="M156" s="2"/>
      <c r="N156" s="19">
        <f t="shared" si="16"/>
        <v>0</v>
      </c>
      <c r="O156" s="11"/>
      <c r="P156" s="2">
        <v>118.75</v>
      </c>
      <c r="Q156" s="2"/>
      <c r="R156" s="19">
        <f t="shared" si="17"/>
        <v>1.0424563676002813E-5</v>
      </c>
      <c r="S156" s="2"/>
      <c r="T156" s="2"/>
      <c r="U156" s="2"/>
      <c r="V156" s="19">
        <f t="shared" si="18"/>
        <v>0</v>
      </c>
      <c r="W156" s="2"/>
      <c r="X156" s="2">
        <f t="shared" si="19"/>
        <v>118.75</v>
      </c>
      <c r="Y156" s="2"/>
      <c r="Z156" s="19">
        <f t="shared" si="20"/>
        <v>0</v>
      </c>
    </row>
    <row r="157" spans="1:26" s="24" customFormat="1" hidden="1" outlineLevel="1" x14ac:dyDescent="0.25">
      <c r="A157" s="44"/>
      <c r="B157" s="11" t="str">
        <f>CONCATENATE("          ", "5513", " - ", "FREIGHT-IN-TRADE BOOKS")</f>
        <v xml:space="preserve">          5513 - FREIGHT-IN-TRADE BOOKS</v>
      </c>
      <c r="C157" s="11"/>
      <c r="D157" s="2"/>
      <c r="E157" s="2"/>
      <c r="F157" s="19">
        <f t="shared" si="13"/>
        <v>0</v>
      </c>
      <c r="G157" s="2"/>
      <c r="H157" s="2"/>
      <c r="I157" s="2"/>
      <c r="J157" s="19">
        <f t="shared" si="14"/>
        <v>0</v>
      </c>
      <c r="K157" s="2"/>
      <c r="L157" s="2">
        <f t="shared" si="15"/>
        <v>0</v>
      </c>
      <c r="M157" s="2"/>
      <c r="N157" s="19">
        <f t="shared" si="16"/>
        <v>0</v>
      </c>
      <c r="O157" s="11"/>
      <c r="P157" s="2">
        <v>30.24</v>
      </c>
      <c r="Q157" s="2"/>
      <c r="R157" s="19">
        <f t="shared" si="17"/>
        <v>2.6546425731564217E-6</v>
      </c>
      <c r="S157" s="2"/>
      <c r="T157" s="2"/>
      <c r="U157" s="2"/>
      <c r="V157" s="19">
        <f t="shared" si="18"/>
        <v>0</v>
      </c>
      <c r="W157" s="2"/>
      <c r="X157" s="2">
        <f t="shared" si="19"/>
        <v>30.24</v>
      </c>
      <c r="Y157" s="2"/>
      <c r="Z157" s="19">
        <f t="shared" si="20"/>
        <v>0</v>
      </c>
    </row>
    <row r="158" spans="1:26" s="24" customFormat="1" hidden="1" outlineLevel="1" x14ac:dyDescent="0.25">
      <c r="A158" s="44"/>
      <c r="B158" s="11" t="str">
        <f>CONCATENATE("          ", "5518", " - ", "FREIGHT-IN-STUDY GUIDES")</f>
        <v xml:space="preserve">          5518 - FREIGHT-IN-STUDY GUIDES</v>
      </c>
      <c r="C158" s="11"/>
      <c r="D158" s="2"/>
      <c r="E158" s="2"/>
      <c r="F158" s="19">
        <f t="shared" si="13"/>
        <v>0</v>
      </c>
      <c r="G158" s="2"/>
      <c r="H158" s="2"/>
      <c r="I158" s="2"/>
      <c r="J158" s="19">
        <f t="shared" si="14"/>
        <v>0</v>
      </c>
      <c r="K158" s="2"/>
      <c r="L158" s="2">
        <f t="shared" si="15"/>
        <v>0</v>
      </c>
      <c r="M158" s="2"/>
      <c r="N158" s="19">
        <f t="shared" si="16"/>
        <v>0</v>
      </c>
      <c r="O158" s="11"/>
      <c r="P158" s="2">
        <v>21.13</v>
      </c>
      <c r="Q158" s="2"/>
      <c r="R158" s="19">
        <f t="shared" si="17"/>
        <v>1.8549139408331742E-6</v>
      </c>
      <c r="S158" s="2"/>
      <c r="T158" s="2"/>
      <c r="U158" s="2"/>
      <c r="V158" s="19">
        <f t="shared" si="18"/>
        <v>0</v>
      </c>
      <c r="W158" s="2"/>
      <c r="X158" s="2">
        <f t="shared" si="19"/>
        <v>21.13</v>
      </c>
      <c r="Y158" s="2"/>
      <c r="Z158" s="19">
        <f t="shared" si="20"/>
        <v>0</v>
      </c>
    </row>
    <row r="159" spans="1:26" s="24" customFormat="1" hidden="1" outlineLevel="1" x14ac:dyDescent="0.25">
      <c r="A159" s="44"/>
      <c r="B159" s="11" t="str">
        <f>CONCATENATE("          ", "5525", " - ", "FREIGHT-IN-TEST FORMS")</f>
        <v xml:space="preserve">          5525 - FREIGHT-IN-TEST FORMS</v>
      </c>
      <c r="C159" s="11"/>
      <c r="D159" s="2">
        <v>377.1</v>
      </c>
      <c r="E159" s="2"/>
      <c r="F159" s="19">
        <f t="shared" si="13"/>
        <v>1.430258729670064E-3</v>
      </c>
      <c r="G159" s="2"/>
      <c r="H159" s="2"/>
      <c r="I159" s="2"/>
      <c r="J159" s="19">
        <f t="shared" si="14"/>
        <v>0</v>
      </c>
      <c r="K159" s="2"/>
      <c r="L159" s="2">
        <f t="shared" si="15"/>
        <v>377.1</v>
      </c>
      <c r="M159" s="2"/>
      <c r="N159" s="19">
        <f t="shared" si="16"/>
        <v>0</v>
      </c>
      <c r="O159" s="11"/>
      <c r="P159" s="2">
        <v>1614.32</v>
      </c>
      <c r="Q159" s="2"/>
      <c r="R159" s="19">
        <f t="shared" si="17"/>
        <v>1.41714371650062E-4</v>
      </c>
      <c r="S159" s="2"/>
      <c r="T159" s="2"/>
      <c r="U159" s="2"/>
      <c r="V159" s="19">
        <f t="shared" si="18"/>
        <v>0</v>
      </c>
      <c r="W159" s="2"/>
      <c r="X159" s="2">
        <f t="shared" si="19"/>
        <v>1614.32</v>
      </c>
      <c r="Y159" s="2"/>
      <c r="Z159" s="19">
        <f t="shared" si="20"/>
        <v>0</v>
      </c>
    </row>
    <row r="160" spans="1:26" s="24" customFormat="1" hidden="1" outlineLevel="1" x14ac:dyDescent="0.25">
      <c r="A160" s="44"/>
      <c r="B160" s="11" t="str">
        <f>CONCATENATE("          ", "5526", " - ", "FREIGHT-IN-WRITING INSTRUMENTS")</f>
        <v xml:space="preserve">          5526 - FREIGHT-IN-WRITING INSTRUMENTS</v>
      </c>
      <c r="C160" s="11"/>
      <c r="D160" s="2">
        <v>14.15</v>
      </c>
      <c r="E160" s="2"/>
      <c r="F160" s="19">
        <f t="shared" si="13"/>
        <v>5.3667889219918869E-5</v>
      </c>
      <c r="G160" s="2"/>
      <c r="H160" s="2"/>
      <c r="I160" s="2"/>
      <c r="J160" s="19">
        <f t="shared" si="14"/>
        <v>0</v>
      </c>
      <c r="K160" s="2"/>
      <c r="L160" s="2">
        <f t="shared" si="15"/>
        <v>14.15</v>
      </c>
      <c r="M160" s="2"/>
      <c r="N160" s="19">
        <f t="shared" si="16"/>
        <v>0</v>
      </c>
      <c r="O160" s="11"/>
      <c r="P160" s="2">
        <v>274.5</v>
      </c>
      <c r="Q160" s="2"/>
      <c r="R160" s="19">
        <f t="shared" si="17"/>
        <v>2.4097201928949663E-5</v>
      </c>
      <c r="S160" s="2"/>
      <c r="T160" s="2"/>
      <c r="U160" s="2"/>
      <c r="V160" s="19">
        <f t="shared" si="18"/>
        <v>0</v>
      </c>
      <c r="W160" s="2"/>
      <c r="X160" s="2">
        <f t="shared" si="19"/>
        <v>274.5</v>
      </c>
      <c r="Y160" s="2"/>
      <c r="Z160" s="19">
        <f t="shared" si="20"/>
        <v>0</v>
      </c>
    </row>
    <row r="161" spans="1:26" s="24" customFormat="1" hidden="1" outlineLevel="1" x14ac:dyDescent="0.25">
      <c r="A161" s="44"/>
      <c r="B161" s="11" t="str">
        <f>CONCATENATE("          ", "5527", " - ", "FREIGHT-IN-SCHOOL SUPPLIES")</f>
        <v xml:space="preserve">          5527 - FREIGHT-IN-SCHOOL SUPPLIES</v>
      </c>
      <c r="C161" s="11"/>
      <c r="D161" s="2">
        <v>-250.91</v>
      </c>
      <c r="E161" s="2"/>
      <c r="F161" s="19">
        <f t="shared" si="13"/>
        <v>-9.5164735577172026E-4</v>
      </c>
      <c r="G161" s="2"/>
      <c r="H161" s="2"/>
      <c r="I161" s="2"/>
      <c r="J161" s="19">
        <f t="shared" si="14"/>
        <v>0</v>
      </c>
      <c r="K161" s="2"/>
      <c r="L161" s="2">
        <f t="shared" si="15"/>
        <v>-250.91</v>
      </c>
      <c r="M161" s="2"/>
      <c r="N161" s="19">
        <f t="shared" si="16"/>
        <v>0</v>
      </c>
      <c r="O161" s="11"/>
      <c r="P161" s="2">
        <v>1808</v>
      </c>
      <c r="Q161" s="2"/>
      <c r="R161" s="19">
        <f t="shared" si="17"/>
        <v>1.5871672527337336E-4</v>
      </c>
      <c r="S161" s="2"/>
      <c r="T161" s="2"/>
      <c r="U161" s="2"/>
      <c r="V161" s="19">
        <f t="shared" si="18"/>
        <v>0</v>
      </c>
      <c r="W161" s="2"/>
      <c r="X161" s="2">
        <f t="shared" si="19"/>
        <v>1808</v>
      </c>
      <c r="Y161" s="2"/>
      <c r="Z161" s="19">
        <f t="shared" si="20"/>
        <v>0</v>
      </c>
    </row>
    <row r="162" spans="1:26" s="24" customFormat="1" hidden="1" outlineLevel="1" x14ac:dyDescent="0.25">
      <c r="A162" s="44"/>
      <c r="B162" s="11" t="str">
        <f>CONCATENATE("          ", "5528", " - ", "FREIGHT-IN-ART/TECH")</f>
        <v xml:space="preserve">          5528 - FREIGHT-IN-ART/TECH</v>
      </c>
      <c r="C162" s="11"/>
      <c r="D162" s="2">
        <v>-19.75</v>
      </c>
      <c r="E162" s="2"/>
      <c r="F162" s="19">
        <f t="shared" si="13"/>
        <v>-7.4907477886459198E-5</v>
      </c>
      <c r="G162" s="2"/>
      <c r="H162" s="2"/>
      <c r="I162" s="2"/>
      <c r="J162" s="19">
        <f t="shared" si="14"/>
        <v>0</v>
      </c>
      <c r="K162" s="2"/>
      <c r="L162" s="2">
        <f t="shared" si="15"/>
        <v>-19.75</v>
      </c>
      <c r="M162" s="2"/>
      <c r="N162" s="19">
        <f t="shared" si="16"/>
        <v>0</v>
      </c>
      <c r="O162" s="11"/>
      <c r="P162" s="2">
        <v>2824.37</v>
      </c>
      <c r="Q162" s="2"/>
      <c r="R162" s="19">
        <f t="shared" si="17"/>
        <v>2.4793957818603846E-4</v>
      </c>
      <c r="S162" s="2"/>
      <c r="T162" s="2"/>
      <c r="U162" s="2"/>
      <c r="V162" s="19">
        <f t="shared" si="18"/>
        <v>0</v>
      </c>
      <c r="W162" s="2"/>
      <c r="X162" s="2">
        <f t="shared" si="19"/>
        <v>2824.37</v>
      </c>
      <c r="Y162" s="2"/>
      <c r="Z162" s="19">
        <f t="shared" si="20"/>
        <v>0</v>
      </c>
    </row>
    <row r="163" spans="1:26" s="24" customFormat="1" hidden="1" outlineLevel="1" x14ac:dyDescent="0.25">
      <c r="A163" s="44"/>
      <c r="B163" s="11" t="str">
        <f>CONCATENATE("          ", "5540", " - ", "FREIGHT-IN-LOGO CLOTHING")</f>
        <v xml:space="preserve">          5540 - FREIGHT-IN-LOGO CLOTHING</v>
      </c>
      <c r="C163" s="11"/>
      <c r="D163" s="2">
        <v>815.7</v>
      </c>
      <c r="E163" s="2"/>
      <c r="F163" s="19">
        <f t="shared" si="13"/>
        <v>3.0937736563030264E-3</v>
      </c>
      <c r="G163" s="2"/>
      <c r="H163" s="2"/>
      <c r="I163" s="2"/>
      <c r="J163" s="19">
        <f t="shared" si="14"/>
        <v>0</v>
      </c>
      <c r="K163" s="2"/>
      <c r="L163" s="2">
        <f t="shared" si="15"/>
        <v>815.7</v>
      </c>
      <c r="M163" s="2"/>
      <c r="N163" s="19">
        <f t="shared" si="16"/>
        <v>0</v>
      </c>
      <c r="O163" s="11"/>
      <c r="P163" s="2">
        <v>32519</v>
      </c>
      <c r="Q163" s="2"/>
      <c r="R163" s="19">
        <f t="shared" si="17"/>
        <v>2.8547064099362991E-3</v>
      </c>
      <c r="S163" s="2"/>
      <c r="T163" s="2"/>
      <c r="U163" s="2"/>
      <c r="V163" s="19">
        <f t="shared" si="18"/>
        <v>0</v>
      </c>
      <c r="W163" s="2"/>
      <c r="X163" s="2">
        <f t="shared" si="19"/>
        <v>32519</v>
      </c>
      <c r="Y163" s="2"/>
      <c r="Z163" s="19">
        <f t="shared" si="20"/>
        <v>0</v>
      </c>
    </row>
    <row r="164" spans="1:26" s="24" customFormat="1" hidden="1" outlineLevel="1" x14ac:dyDescent="0.25">
      <c r="A164" s="44"/>
      <c r="B164" s="11" t="str">
        <f>CONCATENATE("          ", "5541", " - ", "FREIGHT-IN-LOGO GIFTS")</f>
        <v xml:space="preserve">          5541 - FREIGHT-IN-LOGO GIFTS</v>
      </c>
      <c r="C164" s="11"/>
      <c r="D164" s="2">
        <v>343.16</v>
      </c>
      <c r="E164" s="2"/>
      <c r="F164" s="19">
        <f t="shared" si="13"/>
        <v>1.3015316512160677E-3</v>
      </c>
      <c r="G164" s="2"/>
      <c r="H164" s="2"/>
      <c r="I164" s="2"/>
      <c r="J164" s="19">
        <f t="shared" si="14"/>
        <v>0</v>
      </c>
      <c r="K164" s="2"/>
      <c r="L164" s="2">
        <f t="shared" si="15"/>
        <v>343.16</v>
      </c>
      <c r="M164" s="2"/>
      <c r="N164" s="19">
        <f t="shared" si="16"/>
        <v>0</v>
      </c>
      <c r="O164" s="11"/>
      <c r="P164" s="2">
        <v>5226.1000000000004</v>
      </c>
      <c r="Q164" s="2"/>
      <c r="R164" s="19">
        <f t="shared" si="17"/>
        <v>4.5877736612343837E-4</v>
      </c>
      <c r="S164" s="2"/>
      <c r="T164" s="2"/>
      <c r="U164" s="2"/>
      <c r="V164" s="19">
        <f t="shared" si="18"/>
        <v>0</v>
      </c>
      <c r="W164" s="2"/>
      <c r="X164" s="2">
        <f t="shared" si="19"/>
        <v>5226.1000000000004</v>
      </c>
      <c r="Y164" s="2"/>
      <c r="Z164" s="19">
        <f t="shared" si="20"/>
        <v>0</v>
      </c>
    </row>
    <row r="165" spans="1:26" s="24" customFormat="1" hidden="1" outlineLevel="1" x14ac:dyDescent="0.25">
      <c r="A165" s="44"/>
      <c r="B165" s="11" t="str">
        <f>CONCATENATE("          ", "5542", " - ", "FREIGHT-IN-EVERYDAY GIFTS")</f>
        <v xml:space="preserve">          5542 - FREIGHT-IN-EVERYDAY GIFTS</v>
      </c>
      <c r="C165" s="11"/>
      <c r="D165" s="2">
        <v>384.47</v>
      </c>
      <c r="E165" s="2"/>
      <c r="F165" s="19">
        <f t="shared" si="13"/>
        <v>1.4582115454687072E-3</v>
      </c>
      <c r="G165" s="2"/>
      <c r="H165" s="2"/>
      <c r="I165" s="2"/>
      <c r="J165" s="19">
        <f t="shared" si="14"/>
        <v>0</v>
      </c>
      <c r="K165" s="2"/>
      <c r="L165" s="2">
        <f t="shared" si="15"/>
        <v>384.47</v>
      </c>
      <c r="M165" s="2"/>
      <c r="N165" s="19">
        <f t="shared" si="16"/>
        <v>0</v>
      </c>
      <c r="O165" s="11"/>
      <c r="P165" s="2">
        <v>2223.5100000000002</v>
      </c>
      <c r="Q165" s="2"/>
      <c r="R165" s="19">
        <f t="shared" si="17"/>
        <v>1.951926027724549E-4</v>
      </c>
      <c r="S165" s="2"/>
      <c r="T165" s="2"/>
      <c r="U165" s="2"/>
      <c r="V165" s="19">
        <f t="shared" si="18"/>
        <v>0</v>
      </c>
      <c r="W165" s="2"/>
      <c r="X165" s="2">
        <f t="shared" si="19"/>
        <v>2223.5100000000002</v>
      </c>
      <c r="Y165" s="2"/>
      <c r="Z165" s="19">
        <f t="shared" si="20"/>
        <v>0</v>
      </c>
    </row>
    <row r="166" spans="1:26" s="24" customFormat="1" hidden="1" outlineLevel="1" x14ac:dyDescent="0.25">
      <c r="A166" s="44"/>
      <c r="B166" s="11" t="str">
        <f>CONCATENATE("          ", "5543", " - ", "FREIGHT-IN-CARDS")</f>
        <v xml:space="preserve">          5543 - FREIGHT-IN-CARDS</v>
      </c>
      <c r="C166" s="11"/>
      <c r="D166" s="2"/>
      <c r="E166" s="2"/>
      <c r="F166" s="19">
        <f t="shared" si="13"/>
        <v>0</v>
      </c>
      <c r="G166" s="2"/>
      <c r="H166" s="2"/>
      <c r="I166" s="2"/>
      <c r="J166" s="19">
        <f t="shared" si="14"/>
        <v>0</v>
      </c>
      <c r="K166" s="2"/>
      <c r="L166" s="2">
        <f t="shared" si="15"/>
        <v>0</v>
      </c>
      <c r="M166" s="2"/>
      <c r="N166" s="19">
        <f t="shared" si="16"/>
        <v>0</v>
      </c>
      <c r="O166" s="11"/>
      <c r="P166" s="2">
        <v>2926.76</v>
      </c>
      <c r="Q166" s="2"/>
      <c r="R166" s="19">
        <f t="shared" si="17"/>
        <v>2.5692796618423576E-4</v>
      </c>
      <c r="S166" s="2"/>
      <c r="T166" s="2"/>
      <c r="U166" s="2"/>
      <c r="V166" s="19">
        <f t="shared" si="18"/>
        <v>0</v>
      </c>
      <c r="W166" s="2"/>
      <c r="X166" s="2">
        <f t="shared" si="19"/>
        <v>2926.76</v>
      </c>
      <c r="Y166" s="2"/>
      <c r="Z166" s="19">
        <f t="shared" si="20"/>
        <v>0</v>
      </c>
    </row>
    <row r="167" spans="1:26" s="24" customFormat="1" hidden="1" outlineLevel="1" x14ac:dyDescent="0.25">
      <c r="A167" s="44"/>
      <c r="B167" s="11" t="str">
        <f>CONCATENATE("          ", "5544", " - ", "FREIGHT-IN-ACCESSORIES")</f>
        <v xml:space="preserve">          5544 - FREIGHT-IN-ACCESSORIES</v>
      </c>
      <c r="C167" s="11"/>
      <c r="D167" s="2"/>
      <c r="E167" s="2"/>
      <c r="F167" s="19">
        <f t="shared" si="13"/>
        <v>0</v>
      </c>
      <c r="G167" s="2"/>
      <c r="H167" s="2"/>
      <c r="I167" s="2"/>
      <c r="J167" s="19">
        <f t="shared" si="14"/>
        <v>0</v>
      </c>
      <c r="K167" s="2"/>
      <c r="L167" s="2">
        <f t="shared" si="15"/>
        <v>0</v>
      </c>
      <c r="M167" s="2"/>
      <c r="N167" s="19">
        <f t="shared" si="16"/>
        <v>0</v>
      </c>
      <c r="O167" s="11"/>
      <c r="P167" s="2">
        <v>483.44</v>
      </c>
      <c r="Q167" s="2"/>
      <c r="R167" s="19">
        <f t="shared" si="17"/>
        <v>4.2439166850752003E-5</v>
      </c>
      <c r="S167" s="2"/>
      <c r="T167" s="2"/>
      <c r="U167" s="2"/>
      <c r="V167" s="19">
        <f t="shared" si="18"/>
        <v>0</v>
      </c>
      <c r="W167" s="2"/>
      <c r="X167" s="2">
        <f t="shared" si="19"/>
        <v>483.44</v>
      </c>
      <c r="Y167" s="2"/>
      <c r="Z167" s="19">
        <f t="shared" si="20"/>
        <v>0</v>
      </c>
    </row>
    <row r="168" spans="1:26" s="24" customFormat="1" hidden="1" outlineLevel="1" x14ac:dyDescent="0.25">
      <c r="A168" s="44"/>
      <c r="B168" s="11" t="str">
        <f>CONCATENATE("          ", "5545", " - ", "FREIGHT-IN-SPECIAL ORDERS")</f>
        <v xml:space="preserve">          5545 - FREIGHT-IN-SPECIAL ORDERS</v>
      </c>
      <c r="C168" s="11"/>
      <c r="D168" s="2">
        <v>173.06</v>
      </c>
      <c r="E168" s="2"/>
      <c r="F168" s="19">
        <f t="shared" si="13"/>
        <v>6.5637914546990523E-4</v>
      </c>
      <c r="G168" s="2"/>
      <c r="H168" s="2"/>
      <c r="I168" s="2"/>
      <c r="J168" s="19">
        <f t="shared" si="14"/>
        <v>0</v>
      </c>
      <c r="K168" s="2"/>
      <c r="L168" s="2">
        <f t="shared" si="15"/>
        <v>173.06</v>
      </c>
      <c r="M168" s="2"/>
      <c r="N168" s="19">
        <f t="shared" si="16"/>
        <v>0</v>
      </c>
      <c r="O168" s="11"/>
      <c r="P168" s="2">
        <v>1065.32</v>
      </c>
      <c r="Q168" s="2"/>
      <c r="R168" s="19">
        <f t="shared" si="17"/>
        <v>9.3519967792162663E-5</v>
      </c>
      <c r="S168" s="2"/>
      <c r="T168" s="2"/>
      <c r="U168" s="2"/>
      <c r="V168" s="19">
        <f t="shared" si="18"/>
        <v>0</v>
      </c>
      <c r="W168" s="2"/>
      <c r="X168" s="2">
        <f t="shared" si="19"/>
        <v>1065.32</v>
      </c>
      <c r="Y168" s="2"/>
      <c r="Z168" s="19">
        <f t="shared" si="20"/>
        <v>0</v>
      </c>
    </row>
    <row r="169" spans="1:26" s="24" customFormat="1" hidden="1" outlineLevel="1" x14ac:dyDescent="0.25">
      <c r="A169" s="44"/>
      <c r="B169" s="11" t="str">
        <f>CONCATENATE("          ", "5592", " - ", "FREIGHT-IN-GRAD MERCH")</f>
        <v xml:space="preserve">          5592 - FREIGHT-IN-GRAD MERCH</v>
      </c>
      <c r="C169" s="11"/>
      <c r="D169" s="2">
        <v>41.32</v>
      </c>
      <c r="E169" s="2"/>
      <c r="F169" s="19">
        <f t="shared" si="13"/>
        <v>1.5671782208954399E-4</v>
      </c>
      <c r="G169" s="2"/>
      <c r="H169" s="2"/>
      <c r="I169" s="2"/>
      <c r="J169" s="19">
        <f t="shared" si="14"/>
        <v>0</v>
      </c>
      <c r="K169" s="2"/>
      <c r="L169" s="2">
        <f t="shared" si="15"/>
        <v>41.32</v>
      </c>
      <c r="M169" s="2"/>
      <c r="N169" s="19">
        <f t="shared" si="16"/>
        <v>0</v>
      </c>
      <c r="O169" s="11"/>
      <c r="P169" s="2">
        <v>160.05000000000001</v>
      </c>
      <c r="Q169" s="2"/>
      <c r="R169" s="19">
        <f t="shared" si="17"/>
        <v>1.4050117190267372E-5</v>
      </c>
      <c r="S169" s="2"/>
      <c r="T169" s="2"/>
      <c r="U169" s="2"/>
      <c r="V169" s="19">
        <f t="shared" si="18"/>
        <v>0</v>
      </c>
      <c r="W169" s="2"/>
      <c r="X169" s="2">
        <f t="shared" si="19"/>
        <v>160.05000000000001</v>
      </c>
      <c r="Y169" s="2"/>
      <c r="Z169" s="19">
        <f t="shared" si="20"/>
        <v>0</v>
      </c>
    </row>
    <row r="170" spans="1:26" x14ac:dyDescent="0.25">
      <c r="A170" s="9"/>
      <c r="B170" s="10"/>
      <c r="C170" s="10"/>
      <c r="D170" s="3"/>
      <c r="E170" s="3"/>
      <c r="F170" s="8"/>
      <c r="G170" s="3"/>
      <c r="H170" s="3"/>
      <c r="I170" s="3"/>
      <c r="J170" s="8"/>
      <c r="K170" s="3"/>
      <c r="L170" s="3"/>
      <c r="M170" s="3"/>
      <c r="N170" s="8"/>
      <c r="O170" s="10"/>
      <c r="P170" s="3"/>
      <c r="Q170" s="3"/>
      <c r="R170" s="8"/>
      <c r="S170" s="3"/>
      <c r="T170" s="3"/>
      <c r="U170" s="3"/>
      <c r="V170" s="8"/>
      <c r="W170" s="3"/>
      <c r="X170" s="3"/>
      <c r="Y170" s="3"/>
      <c r="Z170" s="8"/>
    </row>
    <row r="171" spans="1:26" s="23" customFormat="1" x14ac:dyDescent="0.25">
      <c r="A171" s="10"/>
      <c r="B171" s="29" t="s">
        <v>6</v>
      </c>
      <c r="C171" s="29"/>
      <c r="D171" s="20">
        <f>D12-D116</f>
        <v>110587.33999999982</v>
      </c>
      <c r="E171" s="14"/>
      <c r="F171" s="22">
        <f>IF(D$12=0,0,D171/D$12)</f>
        <v>0.41943385952264967</v>
      </c>
      <c r="G171" s="14"/>
      <c r="H171" s="20">
        <f>H12-H116</f>
        <v>750244.3517900001</v>
      </c>
      <c r="I171" s="14"/>
      <c r="J171" s="22">
        <f>IF(H$12=0,0,H171/H$12)</f>
        <v>0.55078696144285411</v>
      </c>
      <c r="K171" s="16"/>
      <c r="L171" s="20">
        <f>+D171-H171</f>
        <v>-639657.01179000025</v>
      </c>
      <c r="M171" s="16"/>
      <c r="N171" s="22">
        <f>IF(H171=0,0,L171/H171)</f>
        <v>-0.85259823717945937</v>
      </c>
      <c r="O171" s="28"/>
      <c r="P171" s="20">
        <f>P12-P116</f>
        <v>4911851.6800000053</v>
      </c>
      <c r="Q171" s="14"/>
      <c r="R171" s="22">
        <f>IF(P$12=0,0,P171/P$12)</f>
        <v>0.43119082614940168</v>
      </c>
      <c r="S171" s="14"/>
      <c r="T171" s="20">
        <f>T12-T116</f>
        <v>6864468.6343999999</v>
      </c>
      <c r="U171" s="14"/>
      <c r="V171" s="22">
        <f>IF(T$12=0,0,T171/T$12)</f>
        <v>0.46415627230302992</v>
      </c>
      <c r="W171" s="16"/>
      <c r="X171" s="20">
        <f>+P171-T171</f>
        <v>-1952616.9543999946</v>
      </c>
      <c r="Y171" s="16"/>
      <c r="Z171" s="22">
        <f>IF(T171=0,0,X171/T171)</f>
        <v>-0.28445274622056255</v>
      </c>
    </row>
    <row r="172" spans="1:26" x14ac:dyDescent="0.25">
      <c r="A172" s="9"/>
      <c r="B172" s="10"/>
      <c r="C172" s="9"/>
      <c r="D172" s="1"/>
      <c r="E172" s="1"/>
      <c r="F172" s="5"/>
      <c r="G172" s="1"/>
      <c r="H172" s="1"/>
      <c r="I172" s="1"/>
      <c r="J172" s="5"/>
      <c r="K172" s="1"/>
      <c r="L172" s="1"/>
      <c r="M172" s="1"/>
      <c r="N172" s="5"/>
      <c r="O172" s="36"/>
      <c r="P172" s="1"/>
      <c r="Q172" s="1"/>
      <c r="R172" s="5"/>
      <c r="S172" s="1"/>
      <c r="T172" s="1"/>
      <c r="U172" s="1"/>
      <c r="V172" s="5"/>
      <c r="W172" s="1"/>
      <c r="X172" s="1"/>
      <c r="Y172" s="1"/>
      <c r="Z172" s="5"/>
    </row>
    <row r="173" spans="1:26" s="23" customFormat="1" x14ac:dyDescent="0.25">
      <c r="A173" s="10"/>
      <c r="B173" s="28" t="s">
        <v>9</v>
      </c>
      <c r="C173" s="10"/>
      <c r="D173" s="21">
        <f>SUM(OSRRefD22x_0)</f>
        <v>281689.57</v>
      </c>
      <c r="E173" s="21"/>
      <c r="F173" s="30">
        <f t="shared" ref="F173:F184" si="21">IF(D$12=0,0,D173/D$12)</f>
        <v>1.0683876068668963</v>
      </c>
      <c r="G173" s="21"/>
      <c r="H173" s="21">
        <f>SUM(OSRRefH22x_0)</f>
        <v>502023.7695213877</v>
      </c>
      <c r="I173" s="21"/>
      <c r="J173" s="30">
        <f t="shared" ref="J173:J184" si="22">IF(H$12=0,0,H173/H$12)</f>
        <v>0.36855745188491584</v>
      </c>
      <c r="K173" s="4"/>
      <c r="L173" s="21">
        <f t="shared" ref="L173:L184" si="23">+D173-H173</f>
        <v>-220334.19952138769</v>
      </c>
      <c r="M173" s="4"/>
      <c r="N173" s="30">
        <f t="shared" ref="N173:N184" si="24">IF(H173=0,0,L173/H173)</f>
        <v>-0.43889196667210956</v>
      </c>
      <c r="O173" s="10"/>
      <c r="P173" s="21">
        <f>SUM(OSRRefP22x_0)</f>
        <v>4926578.55</v>
      </c>
      <c r="Q173" s="21"/>
      <c r="R173" s="30">
        <f t="shared" ref="R173:R184" si="25">IF(P$12=0,0,P173/P$12)</f>
        <v>0.4324836362046704</v>
      </c>
      <c r="S173" s="21"/>
      <c r="T173" s="21">
        <f>SUM(OSRRefT22x_0)</f>
        <v>5687373.114681242</v>
      </c>
      <c r="U173" s="21"/>
      <c r="V173" s="30">
        <f t="shared" ref="V173:V184" si="26">IF(T$12=0,0,T173/T$12)</f>
        <v>0.38456434790566374</v>
      </c>
      <c r="W173" s="4"/>
      <c r="X173" s="21">
        <f t="shared" ref="X173:X184" si="27">+P173-T173</f>
        <v>-760794.56468124222</v>
      </c>
      <c r="Y173" s="4"/>
      <c r="Z173" s="30">
        <f t="shared" ref="Z173:Z184" si="28">IF(T173=0,0,X173/T173)</f>
        <v>-0.13376906162835461</v>
      </c>
    </row>
    <row r="174" spans="1:26" s="27" customFormat="1" outlineLevel="1" collapsed="1" x14ac:dyDescent="0.25">
      <c r="A174" s="25"/>
      <c r="B174" s="12" t="str">
        <f>CONCATENATE("     ","*Benefits                                         ")</f>
        <v xml:space="preserve">     *Benefits                                         </v>
      </c>
      <c r="C174" s="12"/>
      <c r="D174" s="1">
        <f>SUM(OSRRefD22_0x_0)</f>
        <v>43470.45</v>
      </c>
      <c r="E174" s="1"/>
      <c r="F174" s="5">
        <f t="shared" si="21"/>
        <v>0.16487401377667998</v>
      </c>
      <c r="G174" s="1"/>
      <c r="H174" s="1">
        <f>SUM(OSRRefH22_0x_0)</f>
        <v>60500.923200114063</v>
      </c>
      <c r="I174" s="1"/>
      <c r="J174" s="5">
        <f t="shared" si="22"/>
        <v>4.4416355250623374E-2</v>
      </c>
      <c r="K174" s="1"/>
      <c r="L174" s="1">
        <f t="shared" si="23"/>
        <v>-17030.473200114066</v>
      </c>
      <c r="M174" s="1"/>
      <c r="N174" s="5">
        <f t="shared" si="24"/>
        <v>-0.28149112937969117</v>
      </c>
      <c r="O174" s="12"/>
      <c r="P174" s="1">
        <f>SUM(OSRRefP22_0x_0)</f>
        <v>622513.14000000013</v>
      </c>
      <c r="Q174" s="1"/>
      <c r="R174" s="5">
        <f t="shared" si="25"/>
        <v>5.4647813617502781E-2</v>
      </c>
      <c r="S174" s="1"/>
      <c r="T174" s="1">
        <f>SUM(OSRRefT22_0x_0)</f>
        <v>684995.43247716699</v>
      </c>
      <c r="U174" s="1"/>
      <c r="V174" s="5">
        <f t="shared" si="26"/>
        <v>4.6317485506435586E-2</v>
      </c>
      <c r="W174" s="1"/>
      <c r="X174" s="1">
        <f t="shared" si="27"/>
        <v>-62482.292477166862</v>
      </c>
      <c r="Y174" s="1"/>
      <c r="Z174" s="5">
        <f t="shared" si="28"/>
        <v>-9.1215633732345494E-2</v>
      </c>
    </row>
    <row r="175" spans="1:26" s="24" customFormat="1" hidden="1" outlineLevel="2" x14ac:dyDescent="0.25">
      <c r="A175" s="26"/>
      <c r="B175" s="11" t="str">
        <f>CONCATENATE("          ", "6111", " - ", "F.I.C.A.")</f>
        <v xml:space="preserve">          6111 - F.I.C.A.</v>
      </c>
      <c r="C175" s="11"/>
      <c r="D175" s="7">
        <v>7043.88</v>
      </c>
      <c r="E175" s="2"/>
      <c r="F175" s="6">
        <f t="shared" si="21"/>
        <v>2.6715913181512518E-2</v>
      </c>
      <c r="G175" s="2"/>
      <c r="H175" s="7">
        <v>10416.911632643078</v>
      </c>
      <c r="I175" s="2"/>
      <c r="J175" s="6">
        <f t="shared" si="22"/>
        <v>7.6475072315748353E-3</v>
      </c>
      <c r="K175" s="2"/>
      <c r="L175" s="7">
        <f t="shared" si="23"/>
        <v>-3373.0316326430775</v>
      </c>
      <c r="M175" s="2"/>
      <c r="N175" s="6">
        <f t="shared" si="24"/>
        <v>-0.32380342193487915</v>
      </c>
      <c r="O175" s="11"/>
      <c r="P175" s="7">
        <v>122895.71999999999</v>
      </c>
      <c r="Q175" s="2"/>
      <c r="R175" s="6">
        <f t="shared" si="25"/>
        <v>1.0788499020195472E-2</v>
      </c>
      <c r="S175" s="2"/>
      <c r="T175" s="7">
        <v>119728.76040256965</v>
      </c>
      <c r="U175" s="2"/>
      <c r="V175" s="6">
        <f t="shared" si="26"/>
        <v>8.0957256964401276E-3</v>
      </c>
      <c r="W175" s="2"/>
      <c r="X175" s="7">
        <f t="shared" si="27"/>
        <v>3166.9595974303375</v>
      </c>
      <c r="Y175" s="2"/>
      <c r="Z175" s="6">
        <f t="shared" si="28"/>
        <v>2.6451118234097806E-2</v>
      </c>
    </row>
    <row r="176" spans="1:26" s="24" customFormat="1" hidden="1" outlineLevel="2" x14ac:dyDescent="0.25">
      <c r="A176" s="26"/>
      <c r="B176" s="11" t="str">
        <f>CONCATENATE("          ", "6112", " - ", "COMPENSATION INSURANCE")</f>
        <v xml:space="preserve">          6112 - COMPENSATION INSURANCE</v>
      </c>
      <c r="C176" s="11"/>
      <c r="D176" s="7">
        <v>2304.1</v>
      </c>
      <c r="E176" s="2"/>
      <c r="F176" s="6">
        <f t="shared" si="21"/>
        <v>8.7389529011742094E-3</v>
      </c>
      <c r="G176" s="2"/>
      <c r="H176" s="7">
        <v>4746.3428557384623</v>
      </c>
      <c r="I176" s="2"/>
      <c r="J176" s="6">
        <f t="shared" si="22"/>
        <v>3.4844964220536114E-3</v>
      </c>
      <c r="K176" s="2"/>
      <c r="L176" s="7">
        <f t="shared" si="23"/>
        <v>-2442.2428557384624</v>
      </c>
      <c r="M176" s="2"/>
      <c r="N176" s="6">
        <f t="shared" si="24"/>
        <v>-0.51455255761511665</v>
      </c>
      <c r="O176" s="11"/>
      <c r="P176" s="7">
        <v>35578.080000000002</v>
      </c>
      <c r="Q176" s="2"/>
      <c r="R176" s="6">
        <f t="shared" si="25"/>
        <v>3.1232501930940817E-3</v>
      </c>
      <c r="S176" s="2"/>
      <c r="T176" s="7">
        <v>51799.658300261523</v>
      </c>
      <c r="U176" s="2"/>
      <c r="V176" s="6">
        <f t="shared" si="26"/>
        <v>3.5025487890981703E-3</v>
      </c>
      <c r="W176" s="2"/>
      <c r="X176" s="7">
        <f t="shared" si="27"/>
        <v>-16221.578300261521</v>
      </c>
      <c r="Y176" s="2"/>
      <c r="Z176" s="6">
        <f t="shared" si="28"/>
        <v>-0.31315994801030611</v>
      </c>
    </row>
    <row r="177" spans="1:26" s="24" customFormat="1" hidden="1" outlineLevel="2" x14ac:dyDescent="0.25">
      <c r="A177" s="26"/>
      <c r="B177" s="11" t="str">
        <f>CONCATENATE("          ", "6113", " - ", "GROUP INSURANCE")</f>
        <v xml:space="preserve">          6113 - GROUP INSURANCE</v>
      </c>
      <c r="C177" s="11"/>
      <c r="D177" s="7">
        <v>18033.84</v>
      </c>
      <c r="E177" s="2"/>
      <c r="F177" s="6">
        <f t="shared" si="21"/>
        <v>6.8398454228250291E-2</v>
      </c>
      <c r="G177" s="2"/>
      <c r="H177" s="7">
        <v>24508.81923076923</v>
      </c>
      <c r="I177" s="2"/>
      <c r="J177" s="6">
        <f t="shared" si="22"/>
        <v>1.799298860492601E-2</v>
      </c>
      <c r="K177" s="2"/>
      <c r="L177" s="7">
        <f t="shared" si="23"/>
        <v>-6474.9792307692296</v>
      </c>
      <c r="M177" s="2"/>
      <c r="N177" s="6">
        <f t="shared" si="24"/>
        <v>-0.26418976654086679</v>
      </c>
      <c r="O177" s="11"/>
      <c r="P177" s="7">
        <v>249967.35</v>
      </c>
      <c r="Q177" s="2"/>
      <c r="R177" s="6">
        <f t="shared" si="25"/>
        <v>2.1943583637866797E-2</v>
      </c>
      <c r="S177" s="2"/>
      <c r="T177" s="7">
        <v>271483.7807692308</v>
      </c>
      <c r="U177" s="2"/>
      <c r="V177" s="6">
        <f t="shared" si="26"/>
        <v>1.8356977995514341E-2</v>
      </c>
      <c r="W177" s="2"/>
      <c r="X177" s="7">
        <f t="shared" si="27"/>
        <v>-21516.430769230792</v>
      </c>
      <c r="Y177" s="2"/>
      <c r="Z177" s="6">
        <f t="shared" si="28"/>
        <v>-7.9254940049329842E-2</v>
      </c>
    </row>
    <row r="178" spans="1:26" s="24" customFormat="1" hidden="1" outlineLevel="2" x14ac:dyDescent="0.25">
      <c r="A178" s="26"/>
      <c r="B178" s="11" t="str">
        <f>CONCATENATE("          ", "6114", " - ", "STATE UNEMPLOYMENT INSURANCE")</f>
        <v xml:space="preserve">          6114 - STATE UNEMPLOYMENT INSURANCE</v>
      </c>
      <c r="C178" s="11"/>
      <c r="D178" s="7">
        <v>389.13</v>
      </c>
      <c r="E178" s="2"/>
      <c r="F178" s="6">
        <f t="shared" si="21"/>
        <v>1.475885917466221E-3</v>
      </c>
      <c r="G178" s="2"/>
      <c r="H178" s="7">
        <v>666.95575896703144</v>
      </c>
      <c r="I178" s="2"/>
      <c r="J178" s="6">
        <f t="shared" si="22"/>
        <v>4.8964118826327191E-4</v>
      </c>
      <c r="K178" s="2"/>
      <c r="L178" s="7">
        <f t="shared" si="23"/>
        <v>-277.82575896703145</v>
      </c>
      <c r="M178" s="2"/>
      <c r="N178" s="6">
        <f t="shared" si="24"/>
        <v>-0.41655800288361372</v>
      </c>
      <c r="O178" s="11"/>
      <c r="P178" s="7">
        <v>6505.67</v>
      </c>
      <c r="Q178" s="2"/>
      <c r="R178" s="6">
        <f t="shared" si="25"/>
        <v>5.7110544143209457E-4</v>
      </c>
      <c r="S178" s="2"/>
      <c r="T178" s="7">
        <v>7290.8237250820357</v>
      </c>
      <c r="U178" s="2"/>
      <c r="V178" s="6">
        <f t="shared" si="26"/>
        <v>4.9298521742730049E-4</v>
      </c>
      <c r="W178" s="2"/>
      <c r="X178" s="7">
        <f t="shared" si="27"/>
        <v>-785.15372508203563</v>
      </c>
      <c r="Y178" s="2"/>
      <c r="Z178" s="6">
        <f t="shared" si="28"/>
        <v>-0.10769067456410093</v>
      </c>
    </row>
    <row r="179" spans="1:26" s="24" customFormat="1" hidden="1" outlineLevel="2" x14ac:dyDescent="0.25">
      <c r="A179" s="26"/>
      <c r="B179" s="11" t="str">
        <f>CONCATENATE("          ", "6115", " - ", "P.E.R.S.")</f>
        <v xml:space="preserve">          6115 - P.E.R.S.</v>
      </c>
      <c r="C179" s="11"/>
      <c r="D179" s="7">
        <v>5948.8</v>
      </c>
      <c r="E179" s="2"/>
      <c r="F179" s="6">
        <f t="shared" si="21"/>
        <v>2.2562511617770554E-2</v>
      </c>
      <c r="G179" s="2"/>
      <c r="H179" s="7">
        <v>7602.123374384606</v>
      </c>
      <c r="I179" s="2"/>
      <c r="J179" s="6">
        <f t="shared" si="22"/>
        <v>5.5810489261277551E-3</v>
      </c>
      <c r="K179" s="2"/>
      <c r="L179" s="7">
        <f t="shared" si="23"/>
        <v>-1653.3233743846058</v>
      </c>
      <c r="M179" s="2"/>
      <c r="N179" s="6">
        <f t="shared" si="24"/>
        <v>-0.21748178672757237</v>
      </c>
      <c r="O179" s="11"/>
      <c r="P179" s="7">
        <v>91150.819999999992</v>
      </c>
      <c r="Q179" s="2"/>
      <c r="R179" s="6">
        <f t="shared" si="25"/>
        <v>8.0017475975568061E-3</v>
      </c>
      <c r="S179" s="2"/>
      <c r="T179" s="7">
        <v>90611.369370615314</v>
      </c>
      <c r="U179" s="2"/>
      <c r="V179" s="6">
        <f t="shared" si="26"/>
        <v>6.1268887186071153E-3</v>
      </c>
      <c r="W179" s="2"/>
      <c r="X179" s="7">
        <f t="shared" si="27"/>
        <v>539.4506293846789</v>
      </c>
      <c r="Y179" s="2"/>
      <c r="Z179" s="6">
        <f t="shared" si="28"/>
        <v>5.9534541099167991E-3</v>
      </c>
    </row>
    <row r="180" spans="1:26" s="24" customFormat="1" hidden="1" outlineLevel="2" x14ac:dyDescent="0.25">
      <c r="A180" s="26"/>
      <c r="B180" s="11" t="str">
        <f>CONCATENATE("          ", "6116", " - ", "EDUCATIONAL BENEFITS")</f>
        <v xml:space="preserve">          6116 - EDUCATIONAL BENEFITS</v>
      </c>
      <c r="C180" s="11"/>
      <c r="D180" s="7"/>
      <c r="E180" s="2"/>
      <c r="F180" s="6">
        <f t="shared" si="21"/>
        <v>0</v>
      </c>
      <c r="G180" s="2"/>
      <c r="H180" s="7">
        <v>0</v>
      </c>
      <c r="I180" s="2"/>
      <c r="J180" s="6">
        <f t="shared" si="22"/>
        <v>0</v>
      </c>
      <c r="K180" s="2"/>
      <c r="L180" s="7">
        <f t="shared" si="23"/>
        <v>0</v>
      </c>
      <c r="M180" s="2"/>
      <c r="N180" s="6">
        <f t="shared" si="24"/>
        <v>0</v>
      </c>
      <c r="O180" s="11"/>
      <c r="P180" s="7"/>
      <c r="Q180" s="2"/>
      <c r="R180" s="6">
        <f t="shared" si="25"/>
        <v>0</v>
      </c>
      <c r="S180" s="2"/>
      <c r="T180" s="7">
        <v>0</v>
      </c>
      <c r="U180" s="2"/>
      <c r="V180" s="6">
        <f t="shared" si="26"/>
        <v>0</v>
      </c>
      <c r="W180" s="2"/>
      <c r="X180" s="7">
        <f t="shared" si="27"/>
        <v>0</v>
      </c>
      <c r="Y180" s="2"/>
      <c r="Z180" s="6">
        <f t="shared" si="28"/>
        <v>0</v>
      </c>
    </row>
    <row r="181" spans="1:26" s="24" customFormat="1" hidden="1" outlineLevel="2" x14ac:dyDescent="0.25">
      <c r="A181" s="26"/>
      <c r="B181" s="11" t="str">
        <f>CONCATENATE("          ", "6117", " - ", "RETIREMENT STAFF HOURLY")</f>
        <v xml:space="preserve">          6117 - RETIREMENT STAFF HOURLY</v>
      </c>
      <c r="C181" s="11"/>
      <c r="D181" s="7">
        <v>219.6</v>
      </c>
      <c r="E181" s="2"/>
      <c r="F181" s="6">
        <f t="shared" si="21"/>
        <v>8.3289529842361714E-4</v>
      </c>
      <c r="G181" s="2"/>
      <c r="H181" s="7"/>
      <c r="I181" s="2"/>
      <c r="J181" s="6">
        <f t="shared" si="22"/>
        <v>0</v>
      </c>
      <c r="K181" s="2"/>
      <c r="L181" s="7">
        <f t="shared" si="23"/>
        <v>219.6</v>
      </c>
      <c r="M181" s="2"/>
      <c r="N181" s="6">
        <f t="shared" si="24"/>
        <v>0</v>
      </c>
      <c r="O181" s="11"/>
      <c r="P181" s="7">
        <v>1835.92</v>
      </c>
      <c r="Q181" s="2"/>
      <c r="R181" s="6">
        <f t="shared" si="25"/>
        <v>1.6116770479197547E-4</v>
      </c>
      <c r="S181" s="2"/>
      <c r="T181" s="7"/>
      <c r="U181" s="2"/>
      <c r="V181" s="6">
        <f t="shared" si="26"/>
        <v>0</v>
      </c>
      <c r="W181" s="2"/>
      <c r="X181" s="7">
        <f t="shared" si="27"/>
        <v>1835.92</v>
      </c>
      <c r="Y181" s="2"/>
      <c r="Z181" s="6">
        <f t="shared" si="28"/>
        <v>0</v>
      </c>
    </row>
    <row r="182" spans="1:26" s="24" customFormat="1" hidden="1" outlineLevel="2" x14ac:dyDescent="0.25">
      <c r="A182" s="26"/>
      <c r="B182" s="11" t="str">
        <f>CONCATENATE("          ", "6118", " - ", "VACATION")</f>
        <v xml:space="preserve">          6118 - VACATION</v>
      </c>
      <c r="C182" s="11"/>
      <c r="D182" s="7">
        <v>5444.22</v>
      </c>
      <c r="E182" s="2"/>
      <c r="F182" s="6">
        <f t="shared" si="21"/>
        <v>2.0648748823241463E-2</v>
      </c>
      <c r="G182" s="2"/>
      <c r="H182" s="7">
        <v>5067.6587466307647</v>
      </c>
      <c r="I182" s="2"/>
      <c r="J182" s="6">
        <f t="shared" si="22"/>
        <v>3.720388372170434E-3</v>
      </c>
      <c r="K182" s="2"/>
      <c r="L182" s="7">
        <f t="shared" si="23"/>
        <v>376.5612533692356</v>
      </c>
      <c r="M182" s="2"/>
      <c r="N182" s="6">
        <f t="shared" si="24"/>
        <v>7.4306750354804871E-2</v>
      </c>
      <c r="O182" s="11"/>
      <c r="P182" s="7">
        <v>75740.62000000001</v>
      </c>
      <c r="Q182" s="2"/>
      <c r="R182" s="6">
        <f t="shared" si="25"/>
        <v>6.64895087199943E-3</v>
      </c>
      <c r="S182" s="2"/>
      <c r="T182" s="7">
        <v>60416.803899569197</v>
      </c>
      <c r="U182" s="2"/>
      <c r="V182" s="6">
        <f t="shared" si="26"/>
        <v>4.0852162018711492E-3</v>
      </c>
      <c r="W182" s="2"/>
      <c r="X182" s="7">
        <f t="shared" si="27"/>
        <v>15323.816100430813</v>
      </c>
      <c r="Y182" s="2"/>
      <c r="Z182" s="6">
        <f t="shared" si="28"/>
        <v>0.25363500071774037</v>
      </c>
    </row>
    <row r="183" spans="1:26" s="24" customFormat="1" hidden="1" outlineLevel="2" x14ac:dyDescent="0.25">
      <c r="A183" s="26"/>
      <c r="B183" s="11" t="str">
        <f>CONCATENATE("          ", "6119", " - ", "SICK LEAVE")</f>
        <v xml:space="preserve">          6119 - SICK LEAVE</v>
      </c>
      <c r="C183" s="11"/>
      <c r="D183" s="7">
        <v>3497.96</v>
      </c>
      <c r="E183" s="2"/>
      <c r="F183" s="6">
        <f t="shared" si="21"/>
        <v>1.3267005637859181E-2</v>
      </c>
      <c r="G183" s="2"/>
      <c r="H183" s="7">
        <v>5942.1116009808884</v>
      </c>
      <c r="I183" s="2"/>
      <c r="J183" s="6">
        <f t="shared" si="22"/>
        <v>4.3623621896652304E-3</v>
      </c>
      <c r="K183" s="2"/>
      <c r="L183" s="7">
        <f t="shared" si="23"/>
        <v>-2444.1516009808884</v>
      </c>
      <c r="M183" s="2"/>
      <c r="N183" s="6">
        <f t="shared" si="24"/>
        <v>-0.41132711148969708</v>
      </c>
      <c r="O183" s="11"/>
      <c r="P183" s="7">
        <v>14916.049999999997</v>
      </c>
      <c r="Q183" s="2"/>
      <c r="R183" s="6">
        <f t="shared" si="25"/>
        <v>1.309417372795299E-3</v>
      </c>
      <c r="S183" s="2"/>
      <c r="T183" s="7">
        <v>66489.236009838569</v>
      </c>
      <c r="U183" s="2"/>
      <c r="V183" s="6">
        <f t="shared" si="26"/>
        <v>4.4958171678353871E-3</v>
      </c>
      <c r="W183" s="2"/>
      <c r="X183" s="7">
        <f t="shared" si="27"/>
        <v>-51573.186009838573</v>
      </c>
      <c r="Y183" s="2"/>
      <c r="Z183" s="6">
        <f t="shared" si="28"/>
        <v>-0.77566218390909425</v>
      </c>
    </row>
    <row r="184" spans="1:26" s="24" customFormat="1" hidden="1" outlineLevel="2" x14ac:dyDescent="0.25">
      <c r="A184" s="26"/>
      <c r="B184" s="11" t="str">
        <f>CONCATENATE("          ", "6156", " - ", "EMPLOYEE MEALS")</f>
        <v xml:space="preserve">          6156 - EMPLOYEE MEALS</v>
      </c>
      <c r="C184" s="11"/>
      <c r="D184" s="7">
        <v>588.91999999999996</v>
      </c>
      <c r="E184" s="2"/>
      <c r="F184" s="6">
        <f t="shared" si="21"/>
        <v>2.2336461709819518E-3</v>
      </c>
      <c r="G184" s="2"/>
      <c r="H184" s="7">
        <v>1550</v>
      </c>
      <c r="I184" s="2"/>
      <c r="J184" s="6">
        <f t="shared" si="22"/>
        <v>1.1379223158422221E-3</v>
      </c>
      <c r="K184" s="2"/>
      <c r="L184" s="7">
        <f t="shared" si="23"/>
        <v>-961.08</v>
      </c>
      <c r="M184" s="2"/>
      <c r="N184" s="6">
        <f t="shared" si="24"/>
        <v>-0.62005161290322586</v>
      </c>
      <c r="O184" s="11"/>
      <c r="P184" s="7">
        <v>23922.91</v>
      </c>
      <c r="Q184" s="2"/>
      <c r="R184" s="6">
        <f t="shared" si="25"/>
        <v>2.1000917777708166E-3</v>
      </c>
      <c r="S184" s="2"/>
      <c r="T184" s="7">
        <v>17175</v>
      </c>
      <c r="U184" s="2"/>
      <c r="V184" s="6">
        <f t="shared" si="26"/>
        <v>1.1613257196420033E-3</v>
      </c>
      <c r="W184" s="2"/>
      <c r="X184" s="7">
        <f t="shared" si="27"/>
        <v>6747.91</v>
      </c>
      <c r="Y184" s="2"/>
      <c r="Z184" s="6">
        <f t="shared" si="28"/>
        <v>0.39289141193595339</v>
      </c>
    </row>
    <row r="185" spans="1:26" s="27" customFormat="1" outlineLevel="1" collapsed="1" x14ac:dyDescent="0.25">
      <c r="A185" s="25"/>
      <c r="B185" s="12" t="str">
        <f>CONCATENATE("     ","*Payroll                                          ")</f>
        <v xml:space="preserve">     *Payroll                                          </v>
      </c>
      <c r="C185" s="12"/>
      <c r="D185" s="1">
        <f>SUM(OSRRefD22_1x_0)</f>
        <v>93313.82</v>
      </c>
      <c r="E185" s="1"/>
      <c r="F185" s="5">
        <f t="shared" ref="F185:F195" si="29">IF(D$12=0,0,D185/D$12)</f>
        <v>0.3539191345899258</v>
      </c>
      <c r="G185" s="1"/>
      <c r="H185" s="1">
        <f>SUM(OSRRefH22_1x_0)</f>
        <v>247715.34632127362</v>
      </c>
      <c r="I185" s="1"/>
      <c r="J185" s="5">
        <f t="shared" ref="J185:J195" si="30">IF(H$12=0,0,H185/H$12)</f>
        <v>0.18185859390681405</v>
      </c>
      <c r="K185" s="1"/>
      <c r="L185" s="1">
        <f t="shared" ref="L185:L195" si="31">+D185-H185</f>
        <v>-154401.52632127362</v>
      </c>
      <c r="M185" s="1"/>
      <c r="N185" s="5">
        <f t="shared" ref="N185:N195" si="32">IF(H185=0,0,L185/H185)</f>
        <v>-0.62330222416266068</v>
      </c>
      <c r="O185" s="12"/>
      <c r="P185" s="1">
        <f>SUM(OSRRefP22_1x_0)</f>
        <v>2302750.35</v>
      </c>
      <c r="Q185" s="1"/>
      <c r="R185" s="5">
        <f t="shared" ref="R185:R195" si="33">IF(P$12=0,0,P185/P$12)</f>
        <v>0.20214878024010752</v>
      </c>
      <c r="S185" s="1"/>
      <c r="T185" s="1">
        <f>SUM(OSRRefT22_1x_0)</f>
        <v>2701094.1822040752</v>
      </c>
      <c r="U185" s="1"/>
      <c r="V185" s="5">
        <f t="shared" ref="V185:V195" si="34">IF(T$12=0,0,T185/T$12)</f>
        <v>0.18264047423400151</v>
      </c>
      <c r="W185" s="1"/>
      <c r="X185" s="1">
        <f t="shared" ref="X185:X195" si="35">+P185-T185</f>
        <v>-398343.83220407506</v>
      </c>
      <c r="Y185" s="1"/>
      <c r="Z185" s="5">
        <f t="shared" ref="Z185:Z195" si="36">IF(T185=0,0,X185/T185)</f>
        <v>-0.14747498803578524</v>
      </c>
    </row>
    <row r="186" spans="1:26" s="24" customFormat="1" hidden="1" outlineLevel="2" x14ac:dyDescent="0.25">
      <c r="A186" s="26"/>
      <c r="B186" s="11" t="str">
        <f>CONCATENATE("          ", "6001", " - ", "ADMINISTRATIVE SALARIES")</f>
        <v xml:space="preserve">          6001 - ADMINISTRATIVE SALARIES</v>
      </c>
      <c r="C186" s="11"/>
      <c r="D186" s="7"/>
      <c r="E186" s="2"/>
      <c r="F186" s="6">
        <f t="shared" si="29"/>
        <v>0</v>
      </c>
      <c r="G186" s="2"/>
      <c r="H186" s="7">
        <v>37696.332694153847</v>
      </c>
      <c r="I186" s="2"/>
      <c r="J186" s="6">
        <f t="shared" si="30"/>
        <v>2.7674514966509949E-2</v>
      </c>
      <c r="K186" s="2"/>
      <c r="L186" s="7">
        <f t="shared" si="31"/>
        <v>-37696.332694153847</v>
      </c>
      <c r="M186" s="2"/>
      <c r="N186" s="6">
        <f t="shared" si="32"/>
        <v>-1</v>
      </c>
      <c r="O186" s="11"/>
      <c r="P186" s="7">
        <v>93238.31</v>
      </c>
      <c r="Q186" s="2"/>
      <c r="R186" s="6">
        <f t="shared" si="33"/>
        <v>8.1849995758980203E-3</v>
      </c>
      <c r="S186" s="2"/>
      <c r="T186" s="7">
        <v>449840.36667984619</v>
      </c>
      <c r="U186" s="2"/>
      <c r="V186" s="6">
        <f t="shared" si="34"/>
        <v>3.0416954151877437E-2</v>
      </c>
      <c r="W186" s="2"/>
      <c r="X186" s="7">
        <f t="shared" si="35"/>
        <v>-356602.0566798462</v>
      </c>
      <c r="Y186" s="2"/>
      <c r="Z186" s="6">
        <f t="shared" si="36"/>
        <v>-0.79273022852936137</v>
      </c>
    </row>
    <row r="187" spans="1:26" s="24" customFormat="1" hidden="1" outlineLevel="2" x14ac:dyDescent="0.25">
      <c r="A187" s="26"/>
      <c r="B187" s="11" t="str">
        <f>CONCATENATE("          ", "6002", " - ", "STAFF SALARIES")</f>
        <v xml:space="preserve">          6002 - STAFF SALARIES</v>
      </c>
      <c r="C187" s="11"/>
      <c r="D187" s="7">
        <v>54188.259999999995</v>
      </c>
      <c r="E187" s="2"/>
      <c r="F187" s="6">
        <f t="shared" si="29"/>
        <v>0.2055243487420608</v>
      </c>
      <c r="G187" s="2"/>
      <c r="H187" s="7">
        <v>43309.186545646182</v>
      </c>
      <c r="I187" s="2"/>
      <c r="J187" s="6">
        <f t="shared" si="30"/>
        <v>3.1795154742751304E-2</v>
      </c>
      <c r="K187" s="2"/>
      <c r="L187" s="7">
        <f t="shared" si="31"/>
        <v>10879.073454353813</v>
      </c>
      <c r="M187" s="2"/>
      <c r="N187" s="6">
        <f t="shared" si="32"/>
        <v>0.2511955158263639</v>
      </c>
      <c r="O187" s="11"/>
      <c r="P187" s="7">
        <v>772330.98</v>
      </c>
      <c r="Q187" s="2"/>
      <c r="R187" s="6">
        <f t="shared" si="33"/>
        <v>6.7799692462818154E-2</v>
      </c>
      <c r="S187" s="2"/>
      <c r="T187" s="7">
        <v>515696.67054775398</v>
      </c>
      <c r="U187" s="2"/>
      <c r="V187" s="6">
        <f t="shared" si="34"/>
        <v>3.4869974209074554E-2</v>
      </c>
      <c r="W187" s="2"/>
      <c r="X187" s="7">
        <f t="shared" si="35"/>
        <v>256634.309452246</v>
      </c>
      <c r="Y187" s="2"/>
      <c r="Z187" s="6">
        <f t="shared" si="36"/>
        <v>0.49764585289964836</v>
      </c>
    </row>
    <row r="188" spans="1:26" s="24" customFormat="1" hidden="1" outlineLevel="2" x14ac:dyDescent="0.25">
      <c r="A188" s="26"/>
      <c r="B188" s="11" t="str">
        <f>CONCATENATE("          ", "6003", " - ", "STAFF HOURLY-9 MONTH")</f>
        <v xml:space="preserve">          6003 - STAFF HOURLY-9 MONTH</v>
      </c>
      <c r="C188" s="11"/>
      <c r="D188" s="7"/>
      <c r="E188" s="2"/>
      <c r="F188" s="6">
        <f t="shared" si="29"/>
        <v>0</v>
      </c>
      <c r="G188" s="2"/>
      <c r="H188" s="7">
        <v>0</v>
      </c>
      <c r="I188" s="2"/>
      <c r="J188" s="6">
        <f t="shared" si="30"/>
        <v>0</v>
      </c>
      <c r="K188" s="2"/>
      <c r="L188" s="7">
        <f t="shared" si="31"/>
        <v>0</v>
      </c>
      <c r="M188" s="2"/>
      <c r="N188" s="6">
        <f t="shared" si="32"/>
        <v>0</v>
      </c>
      <c r="O188" s="11"/>
      <c r="P188" s="7"/>
      <c r="Q188" s="2"/>
      <c r="R188" s="6">
        <f t="shared" si="33"/>
        <v>0</v>
      </c>
      <c r="S188" s="2"/>
      <c r="T188" s="7">
        <v>0</v>
      </c>
      <c r="U188" s="2"/>
      <c r="V188" s="6">
        <f t="shared" si="34"/>
        <v>0</v>
      </c>
      <c r="W188" s="2"/>
      <c r="X188" s="7">
        <f t="shared" si="35"/>
        <v>0</v>
      </c>
      <c r="Y188" s="2"/>
      <c r="Z188" s="6">
        <f t="shared" si="36"/>
        <v>0</v>
      </c>
    </row>
    <row r="189" spans="1:26" s="24" customFormat="1" hidden="1" outlineLevel="2" x14ac:dyDescent="0.25">
      <c r="A189" s="26"/>
      <c r="B189" s="11" t="str">
        <f>CONCATENATE("          ", "6004", " - ", "STAFF HOURLY")</f>
        <v xml:space="preserve">          6004 - STAFF HOURLY</v>
      </c>
      <c r="C189" s="11"/>
      <c r="D189" s="7">
        <v>11060.64</v>
      </c>
      <c r="E189" s="2"/>
      <c r="F189" s="6">
        <f t="shared" si="29"/>
        <v>4.1950614997979037E-2</v>
      </c>
      <c r="G189" s="2"/>
      <c r="H189" s="7">
        <v>23493.712381999998</v>
      </c>
      <c r="I189" s="2"/>
      <c r="J189" s="6">
        <f t="shared" si="30"/>
        <v>1.7247754581584857E-2</v>
      </c>
      <c r="K189" s="2"/>
      <c r="L189" s="7">
        <f t="shared" si="31"/>
        <v>-12433.072381999998</v>
      </c>
      <c r="M189" s="2"/>
      <c r="N189" s="6">
        <f t="shared" si="32"/>
        <v>-0.52920850395383889</v>
      </c>
      <c r="O189" s="11"/>
      <c r="P189" s="7">
        <v>59473.279999999999</v>
      </c>
      <c r="Q189" s="2"/>
      <c r="R189" s="6">
        <f t="shared" si="33"/>
        <v>5.2209094263641655E-3</v>
      </c>
      <c r="S189" s="2"/>
      <c r="T189" s="7">
        <v>276022.45483399997</v>
      </c>
      <c r="U189" s="2"/>
      <c r="V189" s="6">
        <f t="shared" si="34"/>
        <v>1.8663870509312799E-2</v>
      </c>
      <c r="W189" s="2"/>
      <c r="X189" s="7">
        <f t="shared" si="35"/>
        <v>-216549.17483399998</v>
      </c>
      <c r="Y189" s="2"/>
      <c r="Z189" s="6">
        <f t="shared" si="36"/>
        <v>-0.7845346313010394</v>
      </c>
    </row>
    <row r="190" spans="1:26" s="24" customFormat="1" hidden="1" outlineLevel="2" x14ac:dyDescent="0.25">
      <c r="A190" s="26"/>
      <c r="B190" s="11" t="str">
        <f>CONCATENATE("          ", "6005", " - ", "TEMPORARY WAGES-HOURLY")</f>
        <v xml:space="preserve">          6005 - TEMPORARY WAGES-HOURLY</v>
      </c>
      <c r="C190" s="11"/>
      <c r="D190" s="7">
        <v>8052.32</v>
      </c>
      <c r="E190" s="2"/>
      <c r="F190" s="6">
        <f t="shared" si="29"/>
        <v>3.0540707966313575E-2</v>
      </c>
      <c r="G190" s="2"/>
      <c r="H190" s="7">
        <v>5184.1311999999998</v>
      </c>
      <c r="I190" s="2"/>
      <c r="J190" s="6">
        <f t="shared" si="30"/>
        <v>3.8058958585380116E-3</v>
      </c>
      <c r="K190" s="2"/>
      <c r="L190" s="7">
        <f t="shared" si="31"/>
        <v>2868.1887999999999</v>
      </c>
      <c r="M190" s="2"/>
      <c r="N190" s="6">
        <f t="shared" si="32"/>
        <v>0.55326315815463933</v>
      </c>
      <c r="O190" s="11"/>
      <c r="P190" s="7">
        <v>255635.44</v>
      </c>
      <c r="Q190" s="2"/>
      <c r="R190" s="6">
        <f t="shared" si="33"/>
        <v>2.2441161449456813E-2</v>
      </c>
      <c r="S190" s="2"/>
      <c r="T190" s="7">
        <v>52386.329599999997</v>
      </c>
      <c r="U190" s="2"/>
      <c r="V190" s="6">
        <f t="shared" si="34"/>
        <v>3.5422178702837364E-3</v>
      </c>
      <c r="W190" s="2"/>
      <c r="X190" s="7">
        <f t="shared" si="35"/>
        <v>203249.11040000001</v>
      </c>
      <c r="Y190" s="2"/>
      <c r="Z190" s="6">
        <f t="shared" si="36"/>
        <v>3.8798120034735173</v>
      </c>
    </row>
    <row r="191" spans="1:26" s="24" customFormat="1" hidden="1" outlineLevel="2" x14ac:dyDescent="0.25">
      <c r="A191" s="26"/>
      <c r="B191" s="11" t="str">
        <f>CONCATENATE("          ", "6006", " - ", "TEMPORARY PART TIME")</f>
        <v xml:space="preserve">          6006 - TEMPORARY PART TIME</v>
      </c>
      <c r="C191" s="11"/>
      <c r="D191" s="7">
        <v>1929.14</v>
      </c>
      <c r="E191" s="2"/>
      <c r="F191" s="6">
        <f t="shared" si="29"/>
        <v>7.3168107286017163E-3</v>
      </c>
      <c r="G191" s="2"/>
      <c r="H191" s="7">
        <v>0</v>
      </c>
      <c r="I191" s="2"/>
      <c r="J191" s="6">
        <f t="shared" si="30"/>
        <v>0</v>
      </c>
      <c r="K191" s="2"/>
      <c r="L191" s="7">
        <f t="shared" si="31"/>
        <v>1929.14</v>
      </c>
      <c r="M191" s="2"/>
      <c r="N191" s="6">
        <f t="shared" si="32"/>
        <v>0</v>
      </c>
      <c r="O191" s="11"/>
      <c r="P191" s="7">
        <v>56870.990000000005</v>
      </c>
      <c r="Q191" s="2"/>
      <c r="R191" s="6">
        <f t="shared" si="33"/>
        <v>4.9924653185037414E-3</v>
      </c>
      <c r="S191" s="2"/>
      <c r="T191" s="7">
        <v>0</v>
      </c>
      <c r="U191" s="2"/>
      <c r="V191" s="6">
        <f t="shared" si="34"/>
        <v>0</v>
      </c>
      <c r="W191" s="2"/>
      <c r="X191" s="7">
        <f t="shared" si="35"/>
        <v>56870.990000000005</v>
      </c>
      <c r="Y191" s="2"/>
      <c r="Z191" s="6">
        <f t="shared" si="36"/>
        <v>0</v>
      </c>
    </row>
    <row r="192" spans="1:26" s="24" customFormat="1" hidden="1" outlineLevel="2" x14ac:dyDescent="0.25">
      <c r="A192" s="26"/>
      <c r="B192" s="11" t="str">
        <f>CONCATENATE("          ", "6007", " - ", "STUDENT HOURLY")</f>
        <v xml:space="preserve">          6007 - STUDENT HOURLY</v>
      </c>
      <c r="C192" s="11"/>
      <c r="D192" s="7">
        <v>18083.46</v>
      </c>
      <c r="E192" s="2"/>
      <c r="F192" s="6">
        <f t="shared" si="29"/>
        <v>6.8586652154970604E-2</v>
      </c>
      <c r="G192" s="2"/>
      <c r="H192" s="7">
        <v>23132.8125</v>
      </c>
      <c r="I192" s="2"/>
      <c r="J192" s="6">
        <f t="shared" si="30"/>
        <v>1.6982802304479939E-2</v>
      </c>
      <c r="K192" s="2"/>
      <c r="L192" s="7">
        <f t="shared" si="31"/>
        <v>-5049.3525000000009</v>
      </c>
      <c r="M192" s="2"/>
      <c r="N192" s="6">
        <f t="shared" si="32"/>
        <v>-0.21827663627152993</v>
      </c>
      <c r="O192" s="11"/>
      <c r="P192" s="7">
        <v>1038884.5399999999</v>
      </c>
      <c r="Q192" s="2"/>
      <c r="R192" s="6">
        <f t="shared" si="33"/>
        <v>9.1199309804167503E-2</v>
      </c>
      <c r="S192" s="2"/>
      <c r="T192" s="7">
        <v>222367.9954512</v>
      </c>
      <c r="U192" s="2"/>
      <c r="V192" s="6">
        <f t="shared" si="34"/>
        <v>1.5035905231016859E-2</v>
      </c>
      <c r="W192" s="2"/>
      <c r="X192" s="7">
        <f t="shared" si="35"/>
        <v>816516.54454879998</v>
      </c>
      <c r="Y192" s="2"/>
      <c r="Z192" s="6">
        <f t="shared" si="36"/>
        <v>3.6719157489009677</v>
      </c>
    </row>
    <row r="193" spans="1:26" s="24" customFormat="1" hidden="1" outlineLevel="2" x14ac:dyDescent="0.25">
      <c r="A193" s="26"/>
      <c r="B193" s="11" t="str">
        <f>CONCATENATE("          ", "6008", " - ", "STUDENT HOURLY-FICA EXEMPT")</f>
        <v xml:space="preserve">          6008 - STUDENT HOURLY-FICA EXEMPT</v>
      </c>
      <c r="C193" s="11"/>
      <c r="D193" s="7"/>
      <c r="E193" s="2"/>
      <c r="F193" s="6">
        <f t="shared" si="29"/>
        <v>0</v>
      </c>
      <c r="G193" s="2"/>
      <c r="H193" s="7">
        <v>114899.1709994736</v>
      </c>
      <c r="I193" s="2"/>
      <c r="J193" s="6">
        <f t="shared" si="30"/>
        <v>8.4352471452949995E-2</v>
      </c>
      <c r="K193" s="2"/>
      <c r="L193" s="7">
        <f t="shared" si="31"/>
        <v>-114899.1709994736</v>
      </c>
      <c r="M193" s="2"/>
      <c r="N193" s="6">
        <f t="shared" si="32"/>
        <v>-1</v>
      </c>
      <c r="O193" s="11"/>
      <c r="P193" s="7">
        <v>26316.809999999998</v>
      </c>
      <c r="Q193" s="2"/>
      <c r="R193" s="6">
        <f t="shared" si="33"/>
        <v>2.3102422028990956E-3</v>
      </c>
      <c r="S193" s="2"/>
      <c r="T193" s="7">
        <v>1184780.3650912752</v>
      </c>
      <c r="U193" s="2"/>
      <c r="V193" s="6">
        <f t="shared" si="34"/>
        <v>8.0111552262436131E-2</v>
      </c>
      <c r="W193" s="2"/>
      <c r="X193" s="7">
        <f t="shared" si="35"/>
        <v>-1158463.5550912751</v>
      </c>
      <c r="Y193" s="2"/>
      <c r="Z193" s="6">
        <f t="shared" si="36"/>
        <v>-0.97778760454223712</v>
      </c>
    </row>
    <row r="194" spans="1:26" s="24" customFormat="1" hidden="1" outlineLevel="2" x14ac:dyDescent="0.25">
      <c r="A194" s="26"/>
      <c r="B194" s="11" t="str">
        <f>CONCATENATE("          ", "6009", " - ", "TEMPORARY-SEASONAL")</f>
        <v xml:space="preserve">          6009 - TEMPORARY-SEASONAL</v>
      </c>
      <c r="C194" s="11"/>
      <c r="D194" s="7"/>
      <c r="E194" s="2"/>
      <c r="F194" s="6">
        <f t="shared" si="29"/>
        <v>0</v>
      </c>
      <c r="G194" s="2"/>
      <c r="H194" s="7">
        <v>0</v>
      </c>
      <c r="I194" s="2"/>
      <c r="J194" s="6">
        <f t="shared" si="30"/>
        <v>0</v>
      </c>
      <c r="K194" s="2"/>
      <c r="L194" s="7">
        <f t="shared" si="31"/>
        <v>0</v>
      </c>
      <c r="M194" s="2"/>
      <c r="N194" s="6">
        <f t="shared" si="32"/>
        <v>0</v>
      </c>
      <c r="O194" s="11"/>
      <c r="P194" s="7"/>
      <c r="Q194" s="2"/>
      <c r="R194" s="6">
        <f t="shared" si="33"/>
        <v>0</v>
      </c>
      <c r="S194" s="2"/>
      <c r="T194" s="7">
        <v>0</v>
      </c>
      <c r="U194" s="2"/>
      <c r="V194" s="6">
        <f t="shared" si="34"/>
        <v>0</v>
      </c>
      <c r="W194" s="2"/>
      <c r="X194" s="7">
        <f t="shared" si="35"/>
        <v>0</v>
      </c>
      <c r="Y194" s="2"/>
      <c r="Z194" s="6">
        <f t="shared" si="36"/>
        <v>0</v>
      </c>
    </row>
    <row r="195" spans="1:26" s="24" customFormat="1" hidden="1" outlineLevel="2" x14ac:dyDescent="0.25">
      <c r="A195" s="26"/>
      <c r="B195" s="11" t="str">
        <f>CONCATENATE("          ", "6010", " - ", "GRATUITY")</f>
        <v xml:space="preserve">          6010 - GRATUITY</v>
      </c>
      <c r="C195" s="11"/>
      <c r="D195" s="7"/>
      <c r="E195" s="2"/>
      <c r="F195" s="6">
        <f t="shared" si="29"/>
        <v>0</v>
      </c>
      <c r="G195" s="2"/>
      <c r="H195" s="7">
        <v>0</v>
      </c>
      <c r="I195" s="2"/>
      <c r="J195" s="6">
        <f t="shared" si="30"/>
        <v>0</v>
      </c>
      <c r="K195" s="2"/>
      <c r="L195" s="7">
        <f t="shared" si="31"/>
        <v>0</v>
      </c>
      <c r="M195" s="2"/>
      <c r="N195" s="6">
        <f t="shared" si="32"/>
        <v>0</v>
      </c>
      <c r="O195" s="11"/>
      <c r="P195" s="7"/>
      <c r="Q195" s="2"/>
      <c r="R195" s="6">
        <f t="shared" si="33"/>
        <v>0</v>
      </c>
      <c r="S195" s="2"/>
      <c r="T195" s="7">
        <v>0</v>
      </c>
      <c r="U195" s="2"/>
      <c r="V195" s="6">
        <f t="shared" si="34"/>
        <v>0</v>
      </c>
      <c r="W195" s="2"/>
      <c r="X195" s="7">
        <f t="shared" si="35"/>
        <v>0</v>
      </c>
      <c r="Y195" s="2"/>
      <c r="Z195" s="6">
        <f t="shared" si="36"/>
        <v>0</v>
      </c>
    </row>
    <row r="196" spans="1:26" s="27" customFormat="1" outlineLevel="1" collapsed="1" x14ac:dyDescent="0.25">
      <c r="A196" s="25"/>
      <c r="B196" s="12" t="str">
        <f>CONCATENATE("     ","Advertising/Promo                                 ")</f>
        <v xml:space="preserve">     Advertising/Promo                                 </v>
      </c>
      <c r="C196" s="12"/>
      <c r="D196" s="1">
        <f>SUM(OSRRefD22_2x_0)</f>
        <v>1029</v>
      </c>
      <c r="E196" s="1"/>
      <c r="F196" s="5">
        <f t="shared" ref="F196:F200" si="37">IF(D$12=0,0,D196/D$12)</f>
        <v>3.9027744174767853E-3</v>
      </c>
      <c r="G196" s="1"/>
      <c r="H196" s="1">
        <f>SUM(OSRRefH22_2x_0)</f>
        <v>3920</v>
      </c>
      <c r="I196" s="1"/>
      <c r="J196" s="5">
        <f t="shared" ref="J196:J200" si="38">IF(H$12=0,0,H196/H$12)</f>
        <v>2.877842243936459E-3</v>
      </c>
      <c r="K196" s="1"/>
      <c r="L196" s="1">
        <f t="shared" ref="L196:L200" si="39">+D196-H196</f>
        <v>-2891</v>
      </c>
      <c r="M196" s="1"/>
      <c r="N196" s="5">
        <f t="shared" ref="N196:N200" si="40">IF(H196=0,0,L196/H196)</f>
        <v>-0.73750000000000004</v>
      </c>
      <c r="O196" s="12"/>
      <c r="P196" s="1">
        <f>SUM(OSRRefP22_2x_0)</f>
        <v>49078.68</v>
      </c>
      <c r="Q196" s="1"/>
      <c r="R196" s="5">
        <f t="shared" ref="R196:R200" si="41">IF(P$12=0,0,P196/P$12)</f>
        <v>4.3084111561613962E-3</v>
      </c>
      <c r="S196" s="1"/>
      <c r="T196" s="1">
        <f>SUM(OSRRefT22_2x_0)</f>
        <v>69895</v>
      </c>
      <c r="U196" s="1"/>
      <c r="V196" s="5">
        <f t="shared" ref="V196:V200" si="42">IF(T$12=0,0,T196/T$12)</f>
        <v>4.7261054541122456E-3</v>
      </c>
      <c r="W196" s="1"/>
      <c r="X196" s="1">
        <f t="shared" ref="X196:X200" si="43">+P196-T196</f>
        <v>-20816.32</v>
      </c>
      <c r="Y196" s="1"/>
      <c r="Z196" s="5">
        <f t="shared" ref="Z196:Z200" si="44">IF(T196=0,0,X196/T196)</f>
        <v>-0.29782273410115173</v>
      </c>
    </row>
    <row r="197" spans="1:26" s="24" customFormat="1" hidden="1" outlineLevel="2" x14ac:dyDescent="0.25">
      <c r="A197" s="26"/>
      <c r="B197" s="11" t="str">
        <f>CONCATENATE("          ", "6362", " - ", "ADVERTISING EXPENSE")</f>
        <v xml:space="preserve">          6362 - ADVERTISING EXPENSE</v>
      </c>
      <c r="C197" s="11"/>
      <c r="D197" s="7">
        <v>1029</v>
      </c>
      <c r="E197" s="2"/>
      <c r="F197" s="6">
        <f t="shared" si="37"/>
        <v>3.9027744174767853E-3</v>
      </c>
      <c r="G197" s="2"/>
      <c r="H197" s="7">
        <v>3920</v>
      </c>
      <c r="I197" s="2"/>
      <c r="J197" s="6">
        <f t="shared" si="38"/>
        <v>2.877842243936459E-3</v>
      </c>
      <c r="K197" s="2"/>
      <c r="L197" s="7">
        <f t="shared" si="39"/>
        <v>-2891</v>
      </c>
      <c r="M197" s="2"/>
      <c r="N197" s="6">
        <f t="shared" si="40"/>
        <v>-0.73750000000000004</v>
      </c>
      <c r="O197" s="11"/>
      <c r="P197" s="7">
        <v>49078.68</v>
      </c>
      <c r="Q197" s="2"/>
      <c r="R197" s="6">
        <f t="shared" si="41"/>
        <v>4.3084111561613962E-3</v>
      </c>
      <c r="S197" s="2"/>
      <c r="T197" s="7">
        <v>69895</v>
      </c>
      <c r="U197" s="2"/>
      <c r="V197" s="6">
        <f t="shared" si="42"/>
        <v>4.7261054541122456E-3</v>
      </c>
      <c r="W197" s="2"/>
      <c r="X197" s="7">
        <f t="shared" si="43"/>
        <v>-20816.32</v>
      </c>
      <c r="Y197" s="2"/>
      <c r="Z197" s="6">
        <f t="shared" si="44"/>
        <v>-0.29782273410115173</v>
      </c>
    </row>
    <row r="198" spans="1:26" s="27" customFormat="1" outlineLevel="1" collapsed="1" x14ac:dyDescent="0.25">
      <c r="A198" s="25"/>
      <c r="B198" s="12" t="str">
        <f>CONCATENATE("     ","Bad Debts/Over/Short                              ")</f>
        <v xml:space="preserve">     Bad Debts/Over/Short                              </v>
      </c>
      <c r="C198" s="12"/>
      <c r="D198" s="1">
        <f>SUM(OSRRefD22_3x_0)</f>
        <v>-4.55</v>
      </c>
      <c r="E198" s="1"/>
      <c r="F198" s="5">
        <f t="shared" si="37"/>
        <v>-1.7257165791564014E-5</v>
      </c>
      <c r="G198" s="1"/>
      <c r="H198" s="1">
        <f>SUM(OSRRefH22_3x_0)</f>
        <v>145</v>
      </c>
      <c r="I198" s="1"/>
      <c r="J198" s="5">
        <f t="shared" si="38"/>
        <v>1.0645079728846595E-4</v>
      </c>
      <c r="K198" s="1"/>
      <c r="L198" s="1">
        <f t="shared" si="39"/>
        <v>-149.55000000000001</v>
      </c>
      <c r="M198" s="1"/>
      <c r="N198" s="5">
        <f t="shared" si="40"/>
        <v>-1.0313793103448277</v>
      </c>
      <c r="O198" s="12"/>
      <c r="P198" s="1">
        <f>SUM(OSRRefP22_3x_0)</f>
        <v>-459.84</v>
      </c>
      <c r="Q198" s="1"/>
      <c r="R198" s="5">
        <f t="shared" si="41"/>
        <v>-4.0367421985457965E-5</v>
      </c>
      <c r="S198" s="1"/>
      <c r="T198" s="1">
        <f>SUM(OSRRefT22_3x_0)</f>
        <v>1595</v>
      </c>
      <c r="U198" s="1"/>
      <c r="V198" s="5">
        <f t="shared" si="42"/>
        <v>1.0784946275569112E-4</v>
      </c>
      <c r="W198" s="1"/>
      <c r="X198" s="1">
        <f t="shared" si="43"/>
        <v>-2054.84</v>
      </c>
      <c r="Y198" s="1"/>
      <c r="Z198" s="5">
        <f t="shared" si="44"/>
        <v>-1.2883009404388717</v>
      </c>
    </row>
    <row r="199" spans="1:26" s="24" customFormat="1" hidden="1" outlineLevel="2" x14ac:dyDescent="0.25">
      <c r="A199" s="26"/>
      <c r="B199" s="11" t="str">
        <f>CONCATENATE("          ", "6272", " - ", "CASH (OVER/SHORT)")</f>
        <v xml:space="preserve">          6272 - CASH (OVER/SHORT)</v>
      </c>
      <c r="C199" s="11"/>
      <c r="D199" s="7">
        <v>-4.55</v>
      </c>
      <c r="E199" s="2"/>
      <c r="F199" s="6">
        <f t="shared" si="37"/>
        <v>-1.7257165791564014E-5</v>
      </c>
      <c r="G199" s="2"/>
      <c r="H199" s="7">
        <v>135</v>
      </c>
      <c r="I199" s="2"/>
      <c r="J199" s="6">
        <f t="shared" si="38"/>
        <v>9.9109362992709678E-5</v>
      </c>
      <c r="K199" s="2"/>
      <c r="L199" s="7">
        <f t="shared" si="39"/>
        <v>-139.55000000000001</v>
      </c>
      <c r="M199" s="2"/>
      <c r="N199" s="6">
        <f t="shared" si="40"/>
        <v>-1.0337037037037038</v>
      </c>
      <c r="O199" s="11"/>
      <c r="P199" s="7">
        <v>-504.64</v>
      </c>
      <c r="Q199" s="2"/>
      <c r="R199" s="6">
        <f t="shared" si="41"/>
        <v>-4.4300225797541559E-5</v>
      </c>
      <c r="S199" s="2"/>
      <c r="T199" s="7">
        <v>1485</v>
      </c>
      <c r="U199" s="2"/>
      <c r="V199" s="6">
        <f t="shared" si="42"/>
        <v>1.0041156877254002E-4</v>
      </c>
      <c r="W199" s="2"/>
      <c r="X199" s="7">
        <f t="shared" si="43"/>
        <v>-1989.6399999999999</v>
      </c>
      <c r="Y199" s="2"/>
      <c r="Z199" s="6">
        <f t="shared" si="44"/>
        <v>-1.3398249158249158</v>
      </c>
    </row>
    <row r="200" spans="1:26" s="24" customFormat="1" hidden="1" outlineLevel="2" x14ac:dyDescent="0.25">
      <c r="A200" s="26"/>
      <c r="B200" s="11" t="str">
        <f>CONCATENATE("          ", "6342", " - ", "BAD DEBT")</f>
        <v xml:space="preserve">          6342 - BAD DEBT</v>
      </c>
      <c r="C200" s="11"/>
      <c r="D200" s="7"/>
      <c r="E200" s="2"/>
      <c r="F200" s="6">
        <f t="shared" si="37"/>
        <v>0</v>
      </c>
      <c r="G200" s="2"/>
      <c r="H200" s="7">
        <v>10</v>
      </c>
      <c r="I200" s="2"/>
      <c r="J200" s="6">
        <f t="shared" si="38"/>
        <v>7.3414342957562726E-6</v>
      </c>
      <c r="K200" s="2"/>
      <c r="L200" s="7">
        <f t="shared" si="39"/>
        <v>-10</v>
      </c>
      <c r="M200" s="2"/>
      <c r="N200" s="6">
        <f t="shared" si="40"/>
        <v>-1</v>
      </c>
      <c r="O200" s="11"/>
      <c r="P200" s="7">
        <v>44.8</v>
      </c>
      <c r="Q200" s="2"/>
      <c r="R200" s="6">
        <f t="shared" si="41"/>
        <v>3.9328038120835875E-6</v>
      </c>
      <c r="S200" s="2"/>
      <c r="T200" s="7">
        <v>110</v>
      </c>
      <c r="U200" s="2"/>
      <c r="V200" s="6">
        <f t="shared" si="42"/>
        <v>7.4378939831511126E-6</v>
      </c>
      <c r="W200" s="2"/>
      <c r="X200" s="7">
        <f t="shared" si="43"/>
        <v>-65.2</v>
      </c>
      <c r="Y200" s="2"/>
      <c r="Z200" s="6">
        <f t="shared" si="44"/>
        <v>-0.59272727272727277</v>
      </c>
    </row>
    <row r="201" spans="1:26" s="27" customFormat="1" outlineLevel="1" collapsed="1" x14ac:dyDescent="0.25">
      <c r="A201" s="25"/>
      <c r="B201" s="12" t="str">
        <f>CONCATENATE("     ","Bank/card Fees                                    ")</f>
        <v xml:space="preserve">     Bank/card Fees                                    </v>
      </c>
      <c r="C201" s="12"/>
      <c r="D201" s="1">
        <f>SUM(OSRRefD22_4x_0)</f>
        <v>5473.34</v>
      </c>
      <c r="E201" s="1"/>
      <c r="F201" s="5">
        <f t="shared" ref="F201:F207" si="45">IF(D$12=0,0,D201/D$12)</f>
        <v>2.0759194684307473E-2</v>
      </c>
      <c r="G201" s="1"/>
      <c r="H201" s="1">
        <f>SUM(OSRRefH22_4x_0)</f>
        <v>20056</v>
      </c>
      <c r="I201" s="1"/>
      <c r="J201" s="5">
        <f t="shared" ref="J201:J207" si="46">IF(H$12=0,0,H201/H$12)</f>
        <v>1.4723980623568779E-2</v>
      </c>
      <c r="K201" s="1"/>
      <c r="L201" s="1">
        <f t="shared" ref="L201:L207" si="47">+D201-H201</f>
        <v>-14582.66</v>
      </c>
      <c r="M201" s="1"/>
      <c r="N201" s="5">
        <f t="shared" ref="N201:N207" si="48">IF(H201=0,0,L201/H201)</f>
        <v>-0.72709712804148385</v>
      </c>
      <c r="O201" s="12"/>
      <c r="P201" s="1">
        <f>SUM(OSRRefP22_4x_0)</f>
        <v>234465.66</v>
      </c>
      <c r="Q201" s="1"/>
      <c r="R201" s="5">
        <f t="shared" ref="R201:R207" si="49">IF(P$12=0,0,P201/P$12)</f>
        <v>2.0582755389524428E-2</v>
      </c>
      <c r="S201" s="1"/>
      <c r="T201" s="1">
        <f>SUM(OSRRefT22_4x_0)</f>
        <v>284768</v>
      </c>
      <c r="U201" s="1"/>
      <c r="V201" s="5">
        <f t="shared" ref="V201:V207" si="50">IF(T$12=0,0,T201/T$12)</f>
        <v>1.9255219943581599E-2</v>
      </c>
      <c r="W201" s="1"/>
      <c r="X201" s="1">
        <f t="shared" ref="X201:X207" si="51">+P201-T201</f>
        <v>-50302.34</v>
      </c>
      <c r="Y201" s="1"/>
      <c r="Z201" s="5">
        <f t="shared" ref="Z201:Z207" si="52">IF(T201=0,0,X201/T201)</f>
        <v>-0.17664323238566129</v>
      </c>
    </row>
    <row r="202" spans="1:26" s="24" customFormat="1" hidden="1" outlineLevel="2" x14ac:dyDescent="0.25">
      <c r="A202" s="26"/>
      <c r="B202" s="11" t="str">
        <f>CONCATENATE("          ", "6381", " - ", "BANK/CREDIT CARD FEES")</f>
        <v xml:space="preserve">          6381 - BANK/CREDIT CARD FEES</v>
      </c>
      <c r="C202" s="11"/>
      <c r="D202" s="7">
        <v>5473.34</v>
      </c>
      <c r="E202" s="2"/>
      <c r="F202" s="6">
        <f t="shared" si="45"/>
        <v>2.0759194684307473E-2</v>
      </c>
      <c r="G202" s="2"/>
      <c r="H202" s="7">
        <v>20056</v>
      </c>
      <c r="I202" s="2"/>
      <c r="J202" s="6">
        <f t="shared" si="46"/>
        <v>1.4723980623568779E-2</v>
      </c>
      <c r="K202" s="2"/>
      <c r="L202" s="7">
        <f t="shared" si="47"/>
        <v>-14582.66</v>
      </c>
      <c r="M202" s="2"/>
      <c r="N202" s="6">
        <f t="shared" si="48"/>
        <v>-0.72709712804148385</v>
      </c>
      <c r="O202" s="11"/>
      <c r="P202" s="7">
        <v>234465.66</v>
      </c>
      <c r="Q202" s="2"/>
      <c r="R202" s="6">
        <f t="shared" si="49"/>
        <v>2.0582755389524428E-2</v>
      </c>
      <c r="S202" s="2"/>
      <c r="T202" s="7">
        <v>284768</v>
      </c>
      <c r="U202" s="2"/>
      <c r="V202" s="6">
        <f t="shared" si="50"/>
        <v>1.9255219943581599E-2</v>
      </c>
      <c r="W202" s="2"/>
      <c r="X202" s="7">
        <f t="shared" si="51"/>
        <v>-50302.34</v>
      </c>
      <c r="Y202" s="2"/>
      <c r="Z202" s="6">
        <f t="shared" si="52"/>
        <v>-0.17664323238566129</v>
      </c>
    </row>
    <row r="203" spans="1:26" s="27" customFormat="1" outlineLevel="1" collapsed="1" x14ac:dyDescent="0.25">
      <c r="A203" s="25"/>
      <c r="B203" s="12" t="str">
        <f>CONCATENATE("     ","Depreciation                                      ")</f>
        <v xml:space="preserve">     Depreciation                                      </v>
      </c>
      <c r="C203" s="12"/>
      <c r="D203" s="1">
        <f>SUM(OSRRefD22_5x_0)</f>
        <v>39340.210000000006</v>
      </c>
      <c r="E203" s="1"/>
      <c r="F203" s="5">
        <f t="shared" si="45"/>
        <v>0.14920890686702082</v>
      </c>
      <c r="G203" s="1"/>
      <c r="H203" s="1">
        <f>SUM(OSRRefH22_5x_0)</f>
        <v>40505</v>
      </c>
      <c r="I203" s="1"/>
      <c r="J203" s="5">
        <f t="shared" si="46"/>
        <v>2.9736479614960783E-2</v>
      </c>
      <c r="K203" s="1"/>
      <c r="L203" s="1">
        <f t="shared" si="47"/>
        <v>-1164.7899999999936</v>
      </c>
      <c r="M203" s="1"/>
      <c r="N203" s="5">
        <f t="shared" si="48"/>
        <v>-2.8756696704110445E-2</v>
      </c>
      <c r="O203" s="12"/>
      <c r="P203" s="1">
        <f>SUM(OSRRefP22_5x_0)</f>
        <v>423751.38</v>
      </c>
      <c r="Q203" s="1"/>
      <c r="R203" s="5">
        <f t="shared" si="49"/>
        <v>3.719935363035002E-2</v>
      </c>
      <c r="S203" s="1"/>
      <c r="T203" s="1">
        <f>SUM(OSRRefT22_5x_0)</f>
        <v>437218</v>
      </c>
      <c r="U203" s="1"/>
      <c r="V203" s="5">
        <f t="shared" si="50"/>
        <v>2.9563464832048754E-2</v>
      </c>
      <c r="W203" s="1"/>
      <c r="X203" s="1">
        <f t="shared" si="51"/>
        <v>-13466.619999999995</v>
      </c>
      <c r="Y203" s="1"/>
      <c r="Z203" s="5">
        <f t="shared" si="52"/>
        <v>-3.0800698964818456E-2</v>
      </c>
    </row>
    <row r="204" spans="1:26" s="24" customFormat="1" hidden="1" outlineLevel="2" x14ac:dyDescent="0.25">
      <c r="A204" s="26"/>
      <c r="B204" s="11" t="str">
        <f>CONCATENATE("          ", "6321", " - ", "BUILDING DEPRECIATION")</f>
        <v xml:space="preserve">          6321 - BUILDING DEPRECIATION</v>
      </c>
      <c r="C204" s="11"/>
      <c r="D204" s="7">
        <v>21477.030000000002</v>
      </c>
      <c r="E204" s="2"/>
      <c r="F204" s="6">
        <f t="shared" si="45"/>
        <v>8.1457729103383336E-2</v>
      </c>
      <c r="G204" s="2"/>
      <c r="H204" s="7">
        <v>21478</v>
      </c>
      <c r="I204" s="2"/>
      <c r="J204" s="6">
        <f t="shared" si="46"/>
        <v>1.5767932580425321E-2</v>
      </c>
      <c r="K204" s="2"/>
      <c r="L204" s="7">
        <f t="shared" si="47"/>
        <v>-0.96999999999752617</v>
      </c>
      <c r="M204" s="2"/>
      <c r="N204" s="6">
        <f t="shared" si="48"/>
        <v>-4.5162491852012582E-5</v>
      </c>
      <c r="O204" s="11"/>
      <c r="P204" s="7">
        <v>236247.33</v>
      </c>
      <c r="Q204" s="2"/>
      <c r="R204" s="6">
        <f t="shared" si="49"/>
        <v>2.0739160714700208E-2</v>
      </c>
      <c r="S204" s="2"/>
      <c r="T204" s="7">
        <v>236426</v>
      </c>
      <c r="U204" s="2"/>
      <c r="V204" s="6">
        <f t="shared" si="50"/>
        <v>1.5986468389640771E-2</v>
      </c>
      <c r="W204" s="2"/>
      <c r="X204" s="7">
        <f t="shared" si="51"/>
        <v>-178.67000000001281</v>
      </c>
      <c r="Y204" s="2"/>
      <c r="Z204" s="6">
        <f t="shared" si="52"/>
        <v>-7.5571214671826619E-4</v>
      </c>
    </row>
    <row r="205" spans="1:26" s="24" customFormat="1" hidden="1" outlineLevel="2" x14ac:dyDescent="0.25">
      <c r="A205" s="26"/>
      <c r="B205" s="11" t="str">
        <f>CONCATENATE("          ", "6322", " - ", "EQUIPMENT DEPRECIATION EXPENSE")</f>
        <v xml:space="preserve">          6322 - EQUIPMENT DEPRECIATION EXPENSE</v>
      </c>
      <c r="C205" s="11"/>
      <c r="D205" s="7">
        <v>17863.18</v>
      </c>
      <c r="E205" s="2"/>
      <c r="F205" s="6">
        <f t="shared" si="45"/>
        <v>6.7751177763637482E-2</v>
      </c>
      <c r="G205" s="2"/>
      <c r="H205" s="7">
        <v>16224</v>
      </c>
      <c r="I205" s="2"/>
      <c r="J205" s="6">
        <f t="shared" si="46"/>
        <v>1.1910743001434977E-2</v>
      </c>
      <c r="K205" s="2"/>
      <c r="L205" s="7">
        <f t="shared" si="47"/>
        <v>1639.1800000000003</v>
      </c>
      <c r="M205" s="2"/>
      <c r="N205" s="6">
        <f t="shared" si="48"/>
        <v>0.10103427021696254</v>
      </c>
      <c r="O205" s="11"/>
      <c r="P205" s="7">
        <v>187504.05000000002</v>
      </c>
      <c r="Q205" s="2"/>
      <c r="R205" s="6">
        <f t="shared" si="49"/>
        <v>1.6460192915649815E-2</v>
      </c>
      <c r="S205" s="2"/>
      <c r="T205" s="7">
        <v>178464</v>
      </c>
      <c r="U205" s="2"/>
      <c r="V205" s="6">
        <f t="shared" si="50"/>
        <v>1.2067239198264365E-2</v>
      </c>
      <c r="W205" s="2"/>
      <c r="X205" s="7">
        <f t="shared" si="51"/>
        <v>9040.0500000000175</v>
      </c>
      <c r="Y205" s="2"/>
      <c r="Z205" s="6">
        <f t="shared" si="52"/>
        <v>5.0654753899946309E-2</v>
      </c>
    </row>
    <row r="206" spans="1:26" s="24" customFormat="1" hidden="1" outlineLevel="2" x14ac:dyDescent="0.25">
      <c r="A206" s="26"/>
      <c r="B206" s="11" t="str">
        <f>CONCATENATE("          ", "6324", " - ", "FURNITURE + FIXT DEPRECIATION")</f>
        <v xml:space="preserve">          6324 - FURNITURE + FIXT DEPRECIATION</v>
      </c>
      <c r="C206" s="11"/>
      <c r="D206" s="7"/>
      <c r="E206" s="2"/>
      <c r="F206" s="6">
        <f t="shared" si="45"/>
        <v>0</v>
      </c>
      <c r="G206" s="2"/>
      <c r="H206" s="7">
        <v>2470</v>
      </c>
      <c r="I206" s="2"/>
      <c r="J206" s="6">
        <f t="shared" si="46"/>
        <v>1.8133342710517993E-3</v>
      </c>
      <c r="K206" s="2"/>
      <c r="L206" s="7">
        <f t="shared" si="47"/>
        <v>-2470</v>
      </c>
      <c r="M206" s="2"/>
      <c r="N206" s="6">
        <f t="shared" si="48"/>
        <v>-1</v>
      </c>
      <c r="O206" s="11"/>
      <c r="P206" s="7"/>
      <c r="Q206" s="2"/>
      <c r="R206" s="6">
        <f t="shared" si="49"/>
        <v>0</v>
      </c>
      <c r="S206" s="2"/>
      <c r="T206" s="7">
        <v>19664</v>
      </c>
      <c r="U206" s="2"/>
      <c r="V206" s="6">
        <f t="shared" si="50"/>
        <v>1.3296249753153044E-3</v>
      </c>
      <c r="W206" s="2"/>
      <c r="X206" s="7">
        <f t="shared" si="51"/>
        <v>-19664</v>
      </c>
      <c r="Y206" s="2"/>
      <c r="Z206" s="6">
        <f t="shared" si="52"/>
        <v>-1</v>
      </c>
    </row>
    <row r="207" spans="1:26" s="24" customFormat="1" hidden="1" outlineLevel="2" x14ac:dyDescent="0.25">
      <c r="A207" s="26"/>
      <c r="B207" s="11" t="str">
        <f>CONCATENATE("          ", "6326", " - ", "VEHICLES DEPRECIATION EXPENSE")</f>
        <v xml:space="preserve">          6326 - VEHICLES DEPRECIATION EXPENSE</v>
      </c>
      <c r="C207" s="11"/>
      <c r="D207" s="7"/>
      <c r="E207" s="2"/>
      <c r="F207" s="6">
        <f t="shared" si="45"/>
        <v>0</v>
      </c>
      <c r="G207" s="2"/>
      <c r="H207" s="7">
        <v>333</v>
      </c>
      <c r="I207" s="2"/>
      <c r="J207" s="6">
        <f t="shared" si="46"/>
        <v>2.4446976204868385E-4</v>
      </c>
      <c r="K207" s="2"/>
      <c r="L207" s="7">
        <f t="shared" si="47"/>
        <v>-333</v>
      </c>
      <c r="M207" s="2"/>
      <c r="N207" s="6">
        <f t="shared" si="48"/>
        <v>-1</v>
      </c>
      <c r="O207" s="11"/>
      <c r="P207" s="7"/>
      <c r="Q207" s="2"/>
      <c r="R207" s="6">
        <f t="shared" si="49"/>
        <v>0</v>
      </c>
      <c r="S207" s="2"/>
      <c r="T207" s="7">
        <v>2664</v>
      </c>
      <c r="U207" s="2"/>
      <c r="V207" s="6">
        <f t="shared" si="50"/>
        <v>1.8013226882831421E-4</v>
      </c>
      <c r="W207" s="2"/>
      <c r="X207" s="7">
        <f t="shared" si="51"/>
        <v>-2664</v>
      </c>
      <c r="Y207" s="2"/>
      <c r="Z207" s="6">
        <f t="shared" si="52"/>
        <v>-1</v>
      </c>
    </row>
    <row r="208" spans="1:26" s="27" customFormat="1" outlineLevel="1" collapsed="1" x14ac:dyDescent="0.25">
      <c r="A208" s="25"/>
      <c r="B208" s="12" t="str">
        <f>CONCATENATE("     ","Discounts and Markdowns                           ")</f>
        <v xml:space="preserve">     Discounts and Markdowns                           </v>
      </c>
      <c r="C208" s="12"/>
      <c r="D208" s="1">
        <f>SUM(OSRRefD22_6x_0)</f>
        <v>43517.71</v>
      </c>
      <c r="E208" s="1"/>
      <c r="F208" s="5">
        <f t="shared" ref="F208:F210" si="53">IF(D$12=0,0,D208/D$12)</f>
        <v>0.16505326073389084</v>
      </c>
      <c r="G208" s="1"/>
      <c r="H208" s="1">
        <f>SUM(OSRRefH22_6x_0)</f>
        <v>20325</v>
      </c>
      <c r="I208" s="1"/>
      <c r="J208" s="5">
        <f t="shared" ref="J208:J210" si="54">IF(H$12=0,0,H208/H$12)</f>
        <v>1.4921465206124624E-2</v>
      </c>
      <c r="K208" s="1"/>
      <c r="L208" s="1">
        <f t="shared" ref="L208:L210" si="55">+D208-H208</f>
        <v>23192.71</v>
      </c>
      <c r="M208" s="1"/>
      <c r="N208" s="5">
        <f t="shared" ref="N208:N210" si="56">IF(H208=0,0,L208/H208)</f>
        <v>1.1410927429274291</v>
      </c>
      <c r="O208" s="12"/>
      <c r="P208" s="1">
        <f>SUM(OSRRefP22_6x_0)</f>
        <v>347538.15</v>
      </c>
      <c r="Q208" s="1"/>
      <c r="R208" s="5">
        <f t="shared" ref="R208:R210" si="57">IF(P$12=0,0,P208/P$12)</f>
        <v>3.0508914311707096E-2</v>
      </c>
      <c r="S208" s="1"/>
      <c r="T208" s="1">
        <f>SUM(OSRRefT22_6x_0)</f>
        <v>328275</v>
      </c>
      <c r="U208" s="1"/>
      <c r="V208" s="5">
        <f t="shared" ref="V208:V210" si="58">IF(T$12=0,0,T208/T$12)</f>
        <v>2.2197042248353921E-2</v>
      </c>
      <c r="W208" s="1"/>
      <c r="X208" s="1">
        <f t="shared" ref="X208:X210" si="59">+P208-T208</f>
        <v>19263.150000000023</v>
      </c>
      <c r="Y208" s="1"/>
      <c r="Z208" s="5">
        <f t="shared" ref="Z208:Z210" si="60">IF(T208=0,0,X208/T208)</f>
        <v>5.867991775188492E-2</v>
      </c>
    </row>
    <row r="209" spans="1:26" s="24" customFormat="1" hidden="1" outlineLevel="2" x14ac:dyDescent="0.25">
      <c r="A209" s="26"/>
      <c r="B209" s="11" t="str">
        <f>CONCATENATE("          ", "6382", " - ", "DISCOUNTS/MARK DOWNS")</f>
        <v xml:space="preserve">          6382 - DISCOUNTS/MARK DOWNS</v>
      </c>
      <c r="C209" s="11"/>
      <c r="D209" s="7">
        <v>43517.71</v>
      </c>
      <c r="E209" s="2"/>
      <c r="F209" s="6">
        <f t="shared" si="53"/>
        <v>0.16505326073389084</v>
      </c>
      <c r="G209" s="2"/>
      <c r="H209" s="7">
        <v>20325</v>
      </c>
      <c r="I209" s="2"/>
      <c r="J209" s="6">
        <f t="shared" si="54"/>
        <v>1.4921465206124624E-2</v>
      </c>
      <c r="K209" s="2"/>
      <c r="L209" s="7">
        <f t="shared" si="55"/>
        <v>23192.71</v>
      </c>
      <c r="M209" s="2"/>
      <c r="N209" s="6">
        <f t="shared" si="56"/>
        <v>1.1410927429274291</v>
      </c>
      <c r="O209" s="11"/>
      <c r="P209" s="7">
        <v>350769.77</v>
      </c>
      <c r="Q209" s="2"/>
      <c r="R209" s="6">
        <f t="shared" si="57"/>
        <v>3.079260465668936E-2</v>
      </c>
      <c r="S209" s="2"/>
      <c r="T209" s="7">
        <v>328275</v>
      </c>
      <c r="U209" s="2"/>
      <c r="V209" s="6">
        <f t="shared" si="58"/>
        <v>2.2197042248353921E-2</v>
      </c>
      <c r="W209" s="2"/>
      <c r="X209" s="7">
        <f t="shared" si="59"/>
        <v>22494.770000000019</v>
      </c>
      <c r="Y209" s="2"/>
      <c r="Z209" s="6">
        <f t="shared" si="60"/>
        <v>6.85241641916077E-2</v>
      </c>
    </row>
    <row r="210" spans="1:26" s="24" customFormat="1" hidden="1" outlineLevel="2" x14ac:dyDescent="0.25">
      <c r="A210" s="26"/>
      <c r="B210" s="11" t="str">
        <f>CONCATENATE("          ", "9175", " - ", "EARNED DISCOUNTS")</f>
        <v xml:space="preserve">          9175 - EARNED DISCOUNTS</v>
      </c>
      <c r="C210" s="11"/>
      <c r="D210" s="7"/>
      <c r="E210" s="2"/>
      <c r="F210" s="6">
        <f t="shared" si="53"/>
        <v>0</v>
      </c>
      <c r="G210" s="2"/>
      <c r="H210" s="7"/>
      <c r="I210" s="2"/>
      <c r="J210" s="6">
        <f t="shared" si="54"/>
        <v>0</v>
      </c>
      <c r="K210" s="2"/>
      <c r="L210" s="7">
        <f t="shared" si="55"/>
        <v>0</v>
      </c>
      <c r="M210" s="2"/>
      <c r="N210" s="6">
        <f t="shared" si="56"/>
        <v>0</v>
      </c>
      <c r="O210" s="11"/>
      <c r="P210" s="7">
        <v>-3231.62</v>
      </c>
      <c r="Q210" s="2"/>
      <c r="R210" s="6">
        <f t="shared" si="57"/>
        <v>-2.8369034498226705E-4</v>
      </c>
      <c r="S210" s="2"/>
      <c r="T210" s="7"/>
      <c r="U210" s="2"/>
      <c r="V210" s="6">
        <f t="shared" si="58"/>
        <v>0</v>
      </c>
      <c r="W210" s="2"/>
      <c r="X210" s="7">
        <f t="shared" si="59"/>
        <v>-3231.62</v>
      </c>
      <c r="Y210" s="2"/>
      <c r="Z210" s="6">
        <f t="shared" si="60"/>
        <v>0</v>
      </c>
    </row>
    <row r="211" spans="1:26" s="27" customFormat="1" outlineLevel="1" collapsed="1" x14ac:dyDescent="0.25">
      <c r="A211" s="25"/>
      <c r="B211" s="12" t="str">
        <f>CONCATENATE("     ","Donations                                         ")</f>
        <v xml:space="preserve">     Donations                                         </v>
      </c>
      <c r="C211" s="12"/>
      <c r="D211" s="1">
        <f>SUM(OSRRefD22_7x_0)</f>
        <v>-1385.81</v>
      </c>
      <c r="E211" s="1"/>
      <c r="F211" s="5">
        <f t="shared" ref="F211:F213" si="61">IF(D$12=0,0,D211/D$12)</f>
        <v>-5.2560775660675449E-3</v>
      </c>
      <c r="G211" s="1"/>
      <c r="H211" s="1">
        <f>SUM(OSRRefH22_7x_0)</f>
        <v>1050</v>
      </c>
      <c r="I211" s="1"/>
      <c r="J211" s="5">
        <f t="shared" ref="J211:J213" si="62">IF(H$12=0,0,H211/H$12)</f>
        <v>7.7085060105440862E-4</v>
      </c>
      <c r="K211" s="1"/>
      <c r="L211" s="1">
        <f t="shared" ref="L211:L213" si="63">+D211-H211</f>
        <v>-2435.81</v>
      </c>
      <c r="M211" s="1"/>
      <c r="N211" s="5">
        <f t="shared" ref="N211:N213" si="64">IF(H211=0,0,L211/H211)</f>
        <v>-2.3198190476190477</v>
      </c>
      <c r="O211" s="12"/>
      <c r="P211" s="1">
        <f>SUM(OSRRefP22_7x_0)</f>
        <v>10985.64</v>
      </c>
      <c r="Q211" s="1"/>
      <c r="R211" s="5">
        <f t="shared" ref="R211:R213" si="65">IF(P$12=0,0,P211/P$12)</f>
        <v>9.6438318906647198E-4</v>
      </c>
      <c r="S211" s="1"/>
      <c r="T211" s="1">
        <f>SUM(OSRRefT22_7x_0)</f>
        <v>11375</v>
      </c>
      <c r="U211" s="1"/>
      <c r="V211" s="5">
        <f t="shared" ref="V211:V213" si="66">IF(T$12=0,0,T211/T$12)</f>
        <v>7.6914585507585371E-4</v>
      </c>
      <c r="W211" s="1"/>
      <c r="X211" s="1">
        <f t="shared" ref="X211:X213" si="67">+P211-T211</f>
        <v>-389.36000000000058</v>
      </c>
      <c r="Y211" s="1"/>
      <c r="Z211" s="5">
        <f t="shared" ref="Z211:Z213" si="68">IF(T211=0,0,X211/T211)</f>
        <v>-3.4229450549450598E-2</v>
      </c>
    </row>
    <row r="212" spans="1:26" s="24" customFormat="1" hidden="1" outlineLevel="2" x14ac:dyDescent="0.25">
      <c r="A212" s="26"/>
      <c r="B212" s="11" t="str">
        <f>CONCATENATE("          ", "6395", " - ", "DONATION-OFF CAMPUS")</f>
        <v xml:space="preserve">          6395 - DONATION-OFF CAMPUS</v>
      </c>
      <c r="C212" s="11"/>
      <c r="D212" s="7"/>
      <c r="E212" s="2"/>
      <c r="F212" s="6">
        <f t="shared" si="61"/>
        <v>0</v>
      </c>
      <c r="G212" s="2"/>
      <c r="H212" s="7">
        <v>1050</v>
      </c>
      <c r="I212" s="2"/>
      <c r="J212" s="6">
        <f t="shared" si="62"/>
        <v>7.7085060105440862E-4</v>
      </c>
      <c r="K212" s="2"/>
      <c r="L212" s="7">
        <f t="shared" si="63"/>
        <v>-1050</v>
      </c>
      <c r="M212" s="2"/>
      <c r="N212" s="6">
        <f t="shared" si="64"/>
        <v>-1</v>
      </c>
      <c r="O212" s="11"/>
      <c r="P212" s="7"/>
      <c r="Q212" s="2"/>
      <c r="R212" s="6">
        <f t="shared" si="65"/>
        <v>0</v>
      </c>
      <c r="S212" s="2"/>
      <c r="T212" s="7">
        <v>11375</v>
      </c>
      <c r="U212" s="2"/>
      <c r="V212" s="6">
        <f t="shared" si="66"/>
        <v>7.6914585507585371E-4</v>
      </c>
      <c r="W212" s="2"/>
      <c r="X212" s="7">
        <f t="shared" si="67"/>
        <v>-11375</v>
      </c>
      <c r="Y212" s="2"/>
      <c r="Z212" s="6">
        <f t="shared" si="68"/>
        <v>-1</v>
      </c>
    </row>
    <row r="213" spans="1:26" s="24" customFormat="1" hidden="1" outlineLevel="2" x14ac:dyDescent="0.25">
      <c r="A213" s="26"/>
      <c r="B213" s="11" t="str">
        <f>CONCATENATE("          ", "6399", " - ", "DONATION-ON CAMPUS")</f>
        <v xml:space="preserve">          6399 - DONATION-ON CAMPUS</v>
      </c>
      <c r="C213" s="11"/>
      <c r="D213" s="7">
        <v>-1385.81</v>
      </c>
      <c r="E213" s="2"/>
      <c r="F213" s="6">
        <f t="shared" si="61"/>
        <v>-5.2560775660675449E-3</v>
      </c>
      <c r="G213" s="2"/>
      <c r="H213" s="7"/>
      <c r="I213" s="2"/>
      <c r="J213" s="6">
        <f t="shared" si="62"/>
        <v>0</v>
      </c>
      <c r="K213" s="2"/>
      <c r="L213" s="7">
        <f t="shared" si="63"/>
        <v>-1385.81</v>
      </c>
      <c r="M213" s="2"/>
      <c r="N213" s="6">
        <f t="shared" si="64"/>
        <v>0</v>
      </c>
      <c r="O213" s="11"/>
      <c r="P213" s="7">
        <v>10985.64</v>
      </c>
      <c r="Q213" s="2"/>
      <c r="R213" s="6">
        <f t="shared" si="65"/>
        <v>9.6438318906647198E-4</v>
      </c>
      <c r="S213" s="2"/>
      <c r="T213" s="7"/>
      <c r="U213" s="2"/>
      <c r="V213" s="6">
        <f t="shared" si="66"/>
        <v>0</v>
      </c>
      <c r="W213" s="2"/>
      <c r="X213" s="7">
        <f t="shared" si="67"/>
        <v>10985.64</v>
      </c>
      <c r="Y213" s="2"/>
      <c r="Z213" s="6">
        <f t="shared" si="68"/>
        <v>0</v>
      </c>
    </row>
    <row r="214" spans="1:26" s="27" customFormat="1" outlineLevel="1" collapsed="1" x14ac:dyDescent="0.25">
      <c r="A214" s="25"/>
      <c r="B214" s="12" t="str">
        <f>CONCATENATE("     ","Employees' Appreciation                           ")</f>
        <v xml:space="preserve">     Employees' Appreciation                           </v>
      </c>
      <c r="C214" s="12"/>
      <c r="D214" s="1">
        <f>SUM(OSRRefD22_8x_0)</f>
        <v>0</v>
      </c>
      <c r="E214" s="1"/>
      <c r="F214" s="5">
        <f t="shared" ref="F214:F220" si="69">IF(D$12=0,0,D214/D$12)</f>
        <v>0</v>
      </c>
      <c r="G214" s="1"/>
      <c r="H214" s="1">
        <f>SUM(OSRRefH22_8x_0)</f>
        <v>775</v>
      </c>
      <c r="I214" s="1"/>
      <c r="J214" s="5">
        <f t="shared" ref="J214:J220" si="70">IF(H$12=0,0,H214/H$12)</f>
        <v>5.6896115792111107E-4</v>
      </c>
      <c r="K214" s="1"/>
      <c r="L214" s="1">
        <f t="shared" ref="L214:L220" si="71">+D214-H214</f>
        <v>-775</v>
      </c>
      <c r="M214" s="1"/>
      <c r="N214" s="5">
        <f t="shared" ref="N214:N220" si="72">IF(H214=0,0,L214/H214)</f>
        <v>-1</v>
      </c>
      <c r="O214" s="12"/>
      <c r="P214" s="1">
        <f>SUM(OSRRefP22_8x_0)</f>
        <v>1718.11</v>
      </c>
      <c r="Q214" s="1"/>
      <c r="R214" s="5">
        <f t="shared" ref="R214:R220" si="73">IF(P$12=0,0,P214/P$12)</f>
        <v>1.508256597673869E-4</v>
      </c>
      <c r="S214" s="1"/>
      <c r="T214" s="1">
        <f>SUM(OSRRefT22_8x_0)</f>
        <v>8200</v>
      </c>
      <c r="U214" s="1"/>
      <c r="V214" s="5">
        <f t="shared" ref="V214:V220" si="74">IF(T$12=0,0,T214/T$12)</f>
        <v>5.5446118783490108E-4</v>
      </c>
      <c r="W214" s="1"/>
      <c r="X214" s="1">
        <f t="shared" ref="X214:X220" si="75">+P214-T214</f>
        <v>-6481.89</v>
      </c>
      <c r="Y214" s="1"/>
      <c r="Z214" s="5">
        <f t="shared" ref="Z214:Z220" si="76">IF(T214=0,0,X214/T214)</f>
        <v>-0.79047439024390243</v>
      </c>
    </row>
    <row r="215" spans="1:26" s="24" customFormat="1" hidden="1" outlineLevel="2" x14ac:dyDescent="0.25">
      <c r="A215" s="26"/>
      <c r="B215" s="11" t="str">
        <f>CONCATENATE("          ", "6277", " - ", "EMPLOYEE APPRECIATION")</f>
        <v xml:space="preserve">          6277 - EMPLOYEE APPRECIATION</v>
      </c>
      <c r="C215" s="11"/>
      <c r="D215" s="7"/>
      <c r="E215" s="2"/>
      <c r="F215" s="6">
        <f t="shared" si="69"/>
        <v>0</v>
      </c>
      <c r="G215" s="2"/>
      <c r="H215" s="7">
        <v>775</v>
      </c>
      <c r="I215" s="2"/>
      <c r="J215" s="6">
        <f t="shared" si="70"/>
        <v>5.6896115792111107E-4</v>
      </c>
      <c r="K215" s="2"/>
      <c r="L215" s="7">
        <f t="shared" si="71"/>
        <v>-775</v>
      </c>
      <c r="M215" s="2"/>
      <c r="N215" s="6">
        <f t="shared" si="72"/>
        <v>-1</v>
      </c>
      <c r="O215" s="11"/>
      <c r="P215" s="7">
        <v>1718.11</v>
      </c>
      <c r="Q215" s="2"/>
      <c r="R215" s="6">
        <f t="shared" si="73"/>
        <v>1.508256597673869E-4</v>
      </c>
      <c r="S215" s="2"/>
      <c r="T215" s="7">
        <v>8200</v>
      </c>
      <c r="U215" s="2"/>
      <c r="V215" s="6">
        <f t="shared" si="74"/>
        <v>5.5446118783490108E-4</v>
      </c>
      <c r="W215" s="2"/>
      <c r="X215" s="7">
        <f t="shared" si="75"/>
        <v>-6481.89</v>
      </c>
      <c r="Y215" s="2"/>
      <c r="Z215" s="6">
        <f t="shared" si="76"/>
        <v>-0.79047439024390243</v>
      </c>
    </row>
    <row r="216" spans="1:26" s="27" customFormat="1" outlineLevel="1" collapsed="1" x14ac:dyDescent="0.25">
      <c r="A216" s="25"/>
      <c r="B216" s="12" t="str">
        <f>CONCATENATE("     ","Equipment Rental                                  ")</f>
        <v xml:space="preserve">     Equipment Rental                                  </v>
      </c>
      <c r="C216" s="12"/>
      <c r="D216" s="1">
        <f>SUM(OSRRefD22_9x_0)</f>
        <v>1723.77</v>
      </c>
      <c r="E216" s="1"/>
      <c r="F216" s="5">
        <f t="shared" si="69"/>
        <v>6.5378867420932537E-3</v>
      </c>
      <c r="G216" s="1"/>
      <c r="H216" s="1">
        <f>SUM(OSRRefH22_9x_0)</f>
        <v>3305</v>
      </c>
      <c r="I216" s="1"/>
      <c r="J216" s="5">
        <f t="shared" si="70"/>
        <v>2.426344034747448E-3</v>
      </c>
      <c r="K216" s="1"/>
      <c r="L216" s="1">
        <f t="shared" si="71"/>
        <v>-1581.23</v>
      </c>
      <c r="M216" s="1"/>
      <c r="N216" s="5">
        <f t="shared" si="72"/>
        <v>-0.47843570347957642</v>
      </c>
      <c r="O216" s="12"/>
      <c r="P216" s="1">
        <f>SUM(OSRRefP22_9x_0)</f>
        <v>19437.75</v>
      </c>
      <c r="Q216" s="1"/>
      <c r="R216" s="5">
        <f t="shared" si="73"/>
        <v>1.7063584218376731E-3</v>
      </c>
      <c r="S216" s="1"/>
      <c r="T216" s="1">
        <f>SUM(OSRRefT22_9x_0)</f>
        <v>36355</v>
      </c>
      <c r="U216" s="1"/>
      <c r="V216" s="5">
        <f t="shared" si="74"/>
        <v>2.4582239614314425E-3</v>
      </c>
      <c r="W216" s="1"/>
      <c r="X216" s="1">
        <f t="shared" si="75"/>
        <v>-16917.25</v>
      </c>
      <c r="Y216" s="1"/>
      <c r="Z216" s="5">
        <f t="shared" si="76"/>
        <v>-0.46533489203685874</v>
      </c>
    </row>
    <row r="217" spans="1:26" s="24" customFormat="1" hidden="1" outlineLevel="2" x14ac:dyDescent="0.25">
      <c r="A217" s="26"/>
      <c r="B217" s="11" t="str">
        <f>CONCATENATE("          ", "6351", " - ", "EQUIPMENT RENTAL")</f>
        <v xml:space="preserve">          6351 - EQUIPMENT RENTAL</v>
      </c>
      <c r="C217" s="11"/>
      <c r="D217" s="7">
        <v>1723.77</v>
      </c>
      <c r="E217" s="2"/>
      <c r="F217" s="6">
        <f t="shared" si="69"/>
        <v>6.5378867420932537E-3</v>
      </c>
      <c r="G217" s="2"/>
      <c r="H217" s="7">
        <v>3305</v>
      </c>
      <c r="I217" s="2"/>
      <c r="J217" s="6">
        <f t="shared" si="70"/>
        <v>2.426344034747448E-3</v>
      </c>
      <c r="K217" s="2"/>
      <c r="L217" s="7">
        <f t="shared" si="71"/>
        <v>-1581.23</v>
      </c>
      <c r="M217" s="2"/>
      <c r="N217" s="6">
        <f t="shared" si="72"/>
        <v>-0.47843570347957642</v>
      </c>
      <c r="O217" s="11"/>
      <c r="P217" s="7">
        <v>19437.75</v>
      </c>
      <c r="Q217" s="2"/>
      <c r="R217" s="6">
        <f t="shared" si="73"/>
        <v>1.7063584218376731E-3</v>
      </c>
      <c r="S217" s="2"/>
      <c r="T217" s="7">
        <v>36355</v>
      </c>
      <c r="U217" s="2"/>
      <c r="V217" s="6">
        <f t="shared" si="74"/>
        <v>2.4582239614314425E-3</v>
      </c>
      <c r="W217" s="2"/>
      <c r="X217" s="7">
        <f t="shared" si="75"/>
        <v>-16917.25</v>
      </c>
      <c r="Y217" s="2"/>
      <c r="Z217" s="6">
        <f t="shared" si="76"/>
        <v>-0.46533489203685874</v>
      </c>
    </row>
    <row r="218" spans="1:26" s="27" customFormat="1" outlineLevel="1" collapsed="1" x14ac:dyDescent="0.25">
      <c r="A218" s="25"/>
      <c r="B218" s="12" t="str">
        <f>CONCATENATE("     ","Freight out/Postage                               ")</f>
        <v xml:space="preserve">     Freight out/Postage                               </v>
      </c>
      <c r="C218" s="12"/>
      <c r="D218" s="1">
        <f>SUM(OSRRefD22_10x_0)</f>
        <v>6098.17</v>
      </c>
      <c r="E218" s="1"/>
      <c r="F218" s="5">
        <f t="shared" si="69"/>
        <v>2.3129039717613615E-2</v>
      </c>
      <c r="G218" s="1"/>
      <c r="H218" s="1">
        <f>SUM(OSRRefH22_10x_0)</f>
        <v>290</v>
      </c>
      <c r="I218" s="1"/>
      <c r="J218" s="5">
        <f t="shared" si="70"/>
        <v>2.1290159457693189E-4</v>
      </c>
      <c r="K218" s="1"/>
      <c r="L218" s="1">
        <f t="shared" si="71"/>
        <v>5808.17</v>
      </c>
      <c r="M218" s="1"/>
      <c r="N218" s="5">
        <f t="shared" si="72"/>
        <v>20.028172413793104</v>
      </c>
      <c r="O218" s="12"/>
      <c r="P218" s="1">
        <f>SUM(OSRRefP22_10x_0)</f>
        <v>16323.55000000001</v>
      </c>
      <c r="Q218" s="1"/>
      <c r="R218" s="5">
        <f t="shared" si="73"/>
        <v>1.4329758854182387E-3</v>
      </c>
      <c r="S218" s="1"/>
      <c r="T218" s="1">
        <f>SUM(OSRRefT22_10x_0)</f>
        <v>-54510</v>
      </c>
      <c r="U218" s="1"/>
      <c r="V218" s="5">
        <f t="shared" si="74"/>
        <v>-3.6858145547415196E-3</v>
      </c>
      <c r="W218" s="1"/>
      <c r="X218" s="1">
        <f t="shared" si="75"/>
        <v>70833.550000000017</v>
      </c>
      <c r="Y218" s="1"/>
      <c r="Z218" s="5">
        <f t="shared" si="76"/>
        <v>-1.2994597321592372</v>
      </c>
    </row>
    <row r="219" spans="1:26" s="24" customFormat="1" hidden="1" outlineLevel="2" x14ac:dyDescent="0.25">
      <c r="A219" s="26"/>
      <c r="B219" s="11" t="str">
        <f>CONCATENATE("          ", "6305", " - ", "FREIGHT OUT")</f>
        <v xml:space="preserve">          6305 - FREIGHT OUT</v>
      </c>
      <c r="C219" s="11"/>
      <c r="D219" s="7">
        <v>7586</v>
      </c>
      <c r="E219" s="2"/>
      <c r="F219" s="6">
        <f t="shared" si="69"/>
        <v>2.8772057075781239E-2</v>
      </c>
      <c r="G219" s="2"/>
      <c r="H219" s="7">
        <v>250</v>
      </c>
      <c r="I219" s="2"/>
      <c r="J219" s="6">
        <f t="shared" si="70"/>
        <v>1.8353585739390682E-4</v>
      </c>
      <c r="K219" s="2"/>
      <c r="L219" s="7">
        <f t="shared" si="71"/>
        <v>7336</v>
      </c>
      <c r="M219" s="2"/>
      <c r="N219" s="6">
        <f t="shared" si="72"/>
        <v>29.344000000000001</v>
      </c>
      <c r="O219" s="11"/>
      <c r="P219" s="7">
        <v>70242.37000000001</v>
      </c>
      <c r="Q219" s="2"/>
      <c r="R219" s="6">
        <f t="shared" si="73"/>
        <v>6.1662826005755775E-3</v>
      </c>
      <c r="S219" s="2"/>
      <c r="T219" s="7">
        <v>-54950</v>
      </c>
      <c r="U219" s="2"/>
      <c r="V219" s="6">
        <f t="shared" si="74"/>
        <v>-3.7155661306741239E-3</v>
      </c>
      <c r="W219" s="2"/>
      <c r="X219" s="7">
        <f t="shared" si="75"/>
        <v>125192.37000000001</v>
      </c>
      <c r="Y219" s="2"/>
      <c r="Z219" s="6">
        <f t="shared" si="76"/>
        <v>-2.2782960873521385</v>
      </c>
    </row>
    <row r="220" spans="1:26" s="24" customFormat="1" hidden="1" outlineLevel="2" x14ac:dyDescent="0.25">
      <c r="A220" s="26"/>
      <c r="B220" s="11" t="str">
        <f>CONCATENATE("          ", "6307", " - ", "POSTAGE")</f>
        <v xml:space="preserve">          6307 - POSTAGE</v>
      </c>
      <c r="C220" s="11"/>
      <c r="D220" s="7">
        <v>-1487.83</v>
      </c>
      <c r="E220" s="2"/>
      <c r="F220" s="6">
        <f t="shared" si="69"/>
        <v>-5.6430173581676242E-3</v>
      </c>
      <c r="G220" s="2"/>
      <c r="H220" s="7">
        <v>40</v>
      </c>
      <c r="I220" s="2"/>
      <c r="J220" s="6">
        <f t="shared" si="70"/>
        <v>2.9365737183025091E-5</v>
      </c>
      <c r="K220" s="2"/>
      <c r="L220" s="7">
        <f t="shared" si="71"/>
        <v>-1527.83</v>
      </c>
      <c r="M220" s="2"/>
      <c r="N220" s="6">
        <f t="shared" si="72"/>
        <v>-38.195749999999997</v>
      </c>
      <c r="O220" s="11"/>
      <c r="P220" s="7">
        <v>-53918.82</v>
      </c>
      <c r="Q220" s="2"/>
      <c r="R220" s="6">
        <f t="shared" si="73"/>
        <v>-4.7333067151573392E-3</v>
      </c>
      <c r="S220" s="2"/>
      <c r="T220" s="7">
        <v>440</v>
      </c>
      <c r="U220" s="2"/>
      <c r="V220" s="6">
        <f t="shared" si="74"/>
        <v>2.9751575932604451E-5</v>
      </c>
      <c r="W220" s="2"/>
      <c r="X220" s="7">
        <f t="shared" si="75"/>
        <v>-54358.82</v>
      </c>
      <c r="Y220" s="2"/>
      <c r="Z220" s="6">
        <f t="shared" si="76"/>
        <v>-123.54277272727272</v>
      </c>
    </row>
    <row r="221" spans="1:26" s="27" customFormat="1" outlineLevel="1" collapsed="1" x14ac:dyDescent="0.25">
      <c r="A221" s="25"/>
      <c r="B221" s="12" t="str">
        <f>CONCATENATE("     ","General                                           ")</f>
        <v xml:space="preserve">     General                                           </v>
      </c>
      <c r="C221" s="12"/>
      <c r="D221" s="1">
        <f>SUM(OSRRefD22_11x_0)</f>
        <v>120.99</v>
      </c>
      <c r="E221" s="1"/>
      <c r="F221" s="5">
        <f t="shared" ref="F221:F239" si="77">IF(D$12=0,0,D221/D$12)</f>
        <v>4.5888889870798467E-4</v>
      </c>
      <c r="G221" s="1"/>
      <c r="H221" s="1">
        <f>SUM(OSRRefH22_11x_0)</f>
        <v>1399</v>
      </c>
      <c r="I221" s="1"/>
      <c r="J221" s="5">
        <f t="shared" ref="J221:J239" si="78">IF(H$12=0,0,H221/H$12)</f>
        <v>1.0270666579763024E-3</v>
      </c>
      <c r="K221" s="1"/>
      <c r="L221" s="1">
        <f t="shared" ref="L221:L239" si="79">+D221-H221</f>
        <v>-1278.01</v>
      </c>
      <c r="M221" s="1"/>
      <c r="N221" s="5">
        <f t="shared" ref="N221:N239" si="80">IF(H221=0,0,L221/H221)</f>
        <v>-0.91351679771265193</v>
      </c>
      <c r="O221" s="12"/>
      <c r="P221" s="1">
        <f>SUM(OSRRefP22_11x_0)</f>
        <v>9210.51</v>
      </c>
      <c r="Q221" s="1"/>
      <c r="R221" s="5">
        <f t="shared" ref="R221:R239" si="81">IF(P$12=0,0,P221/P$12)</f>
        <v>8.0855198301861629E-4</v>
      </c>
      <c r="S221" s="1"/>
      <c r="T221" s="1">
        <f>SUM(OSRRefT22_11x_0)</f>
        <v>45271</v>
      </c>
      <c r="U221" s="1"/>
      <c r="V221" s="5">
        <f t="shared" ref="V221:V239" si="82">IF(T$12=0,0,T221/T$12)</f>
        <v>3.0610990773748546E-3</v>
      </c>
      <c r="W221" s="1"/>
      <c r="X221" s="1">
        <f t="shared" ref="X221:X239" si="83">+P221-T221</f>
        <v>-36060.49</v>
      </c>
      <c r="Y221" s="1"/>
      <c r="Z221" s="5">
        <f t="shared" ref="Z221:Z239" si="84">IF(T221=0,0,X221/T221)</f>
        <v>-0.79654723774601843</v>
      </c>
    </row>
    <row r="222" spans="1:26" s="24" customFormat="1" hidden="1" outlineLevel="2" x14ac:dyDescent="0.25">
      <c r="A222" s="26"/>
      <c r="B222" s="11" t="str">
        <f>CONCATENATE("          ", "6279", " - ", "GENERAL EXPENSE")</f>
        <v xml:space="preserve">          6279 - GENERAL EXPENSE</v>
      </c>
      <c r="C222" s="11"/>
      <c r="D222" s="7">
        <v>120.99</v>
      </c>
      <c r="E222" s="2"/>
      <c r="F222" s="6">
        <f t="shared" si="77"/>
        <v>4.5888889870798467E-4</v>
      </c>
      <c r="G222" s="2"/>
      <c r="H222" s="7">
        <v>1399</v>
      </c>
      <c r="I222" s="2"/>
      <c r="J222" s="6">
        <f t="shared" si="78"/>
        <v>1.0270666579763024E-3</v>
      </c>
      <c r="K222" s="2"/>
      <c r="L222" s="7">
        <f t="shared" si="79"/>
        <v>-1278.01</v>
      </c>
      <c r="M222" s="2"/>
      <c r="N222" s="6">
        <f t="shared" si="80"/>
        <v>-0.91351679771265193</v>
      </c>
      <c r="O222" s="11"/>
      <c r="P222" s="7">
        <v>9210.51</v>
      </c>
      <c r="Q222" s="2"/>
      <c r="R222" s="6">
        <f t="shared" si="81"/>
        <v>8.0855198301861629E-4</v>
      </c>
      <c r="S222" s="2"/>
      <c r="T222" s="7">
        <v>45271</v>
      </c>
      <c r="U222" s="2"/>
      <c r="V222" s="6">
        <f t="shared" si="82"/>
        <v>3.0610990773748546E-3</v>
      </c>
      <c r="W222" s="2"/>
      <c r="X222" s="7">
        <f t="shared" si="83"/>
        <v>-36060.49</v>
      </c>
      <c r="Y222" s="2"/>
      <c r="Z222" s="6">
        <f t="shared" si="84"/>
        <v>-0.79654723774601843</v>
      </c>
    </row>
    <row r="223" spans="1:26" s="27" customFormat="1" outlineLevel="1" collapsed="1" x14ac:dyDescent="0.25">
      <c r="A223" s="25"/>
      <c r="B223" s="12" t="str">
        <f>CONCATENATE("     ","Insurance                                         ")</f>
        <v xml:space="preserve">     Insurance                                         </v>
      </c>
      <c r="C223" s="12"/>
      <c r="D223" s="1">
        <f>SUM(OSRRefD22_12x_0)</f>
        <v>4288.28</v>
      </c>
      <c r="E223" s="1"/>
      <c r="F223" s="5">
        <f t="shared" si="77"/>
        <v>1.6264518444098493E-2</v>
      </c>
      <c r="G223" s="1"/>
      <c r="H223" s="1">
        <f>SUM(OSRRefH22_12x_0)</f>
        <v>4045</v>
      </c>
      <c r="I223" s="1"/>
      <c r="J223" s="5">
        <f t="shared" si="78"/>
        <v>2.969610172633412E-3</v>
      </c>
      <c r="K223" s="1"/>
      <c r="L223" s="1">
        <f t="shared" si="79"/>
        <v>243.27999999999975</v>
      </c>
      <c r="M223" s="1"/>
      <c r="N223" s="5">
        <f t="shared" si="80"/>
        <v>6.0143386897404137E-2</v>
      </c>
      <c r="O223" s="12"/>
      <c r="P223" s="1">
        <f>SUM(OSRRefP22_12x_0)</f>
        <v>47171.08</v>
      </c>
      <c r="Q223" s="1"/>
      <c r="R223" s="5">
        <f t="shared" si="81"/>
        <v>4.140950965270087E-3</v>
      </c>
      <c r="S223" s="1"/>
      <c r="T223" s="1">
        <f>SUM(OSRRefT22_12x_0)</f>
        <v>44495</v>
      </c>
      <c r="U223" s="1"/>
      <c r="V223" s="5">
        <f t="shared" si="82"/>
        <v>3.008628116184625E-3</v>
      </c>
      <c r="W223" s="1"/>
      <c r="X223" s="1">
        <f t="shared" si="83"/>
        <v>2676.0800000000017</v>
      </c>
      <c r="Y223" s="1"/>
      <c r="Z223" s="5">
        <f t="shared" si="84"/>
        <v>6.0143386897404241E-2</v>
      </c>
    </row>
    <row r="224" spans="1:26" s="24" customFormat="1" hidden="1" outlineLevel="2" x14ac:dyDescent="0.25">
      <c r="A224" s="26"/>
      <c r="B224" s="11" t="str">
        <f>CONCATENATE("          ", "6314", " - ", "LIABILITY INSURANCE")</f>
        <v xml:space="preserve">          6314 - LIABILITY INSURANCE</v>
      </c>
      <c r="C224" s="11"/>
      <c r="D224" s="7">
        <v>4288.28</v>
      </c>
      <c r="E224" s="2"/>
      <c r="F224" s="6">
        <f t="shared" si="77"/>
        <v>1.6264518444098493E-2</v>
      </c>
      <c r="G224" s="2"/>
      <c r="H224" s="7">
        <v>4045</v>
      </c>
      <c r="I224" s="2"/>
      <c r="J224" s="6">
        <f t="shared" si="78"/>
        <v>2.969610172633412E-3</v>
      </c>
      <c r="K224" s="2"/>
      <c r="L224" s="7">
        <f t="shared" si="79"/>
        <v>243.27999999999975</v>
      </c>
      <c r="M224" s="2"/>
      <c r="N224" s="6">
        <f t="shared" si="80"/>
        <v>6.0143386897404137E-2</v>
      </c>
      <c r="O224" s="11"/>
      <c r="P224" s="7">
        <v>47171.08</v>
      </c>
      <c r="Q224" s="2"/>
      <c r="R224" s="6">
        <f t="shared" si="81"/>
        <v>4.140950965270087E-3</v>
      </c>
      <c r="S224" s="2"/>
      <c r="T224" s="7">
        <v>44495</v>
      </c>
      <c r="U224" s="2"/>
      <c r="V224" s="6">
        <f t="shared" si="82"/>
        <v>3.008628116184625E-3</v>
      </c>
      <c r="W224" s="2"/>
      <c r="X224" s="7">
        <f t="shared" si="83"/>
        <v>2676.0800000000017</v>
      </c>
      <c r="Y224" s="2"/>
      <c r="Z224" s="6">
        <f t="shared" si="84"/>
        <v>6.0143386897404241E-2</v>
      </c>
    </row>
    <row r="225" spans="1:26" s="27" customFormat="1" outlineLevel="1" collapsed="1" x14ac:dyDescent="0.25">
      <c r="A225" s="25"/>
      <c r="B225" s="12" t="str">
        <f>CONCATENATE("     ","Interest                                          ")</f>
        <v xml:space="preserve">     Interest                                          </v>
      </c>
      <c r="C225" s="12"/>
      <c r="D225" s="1">
        <f>SUM(OSRRefD22_13x_0)</f>
        <v>4175</v>
      </c>
      <c r="E225" s="1"/>
      <c r="F225" s="5">
        <f t="shared" si="77"/>
        <v>1.5834871907643905E-2</v>
      </c>
      <c r="G225" s="1"/>
      <c r="H225" s="1">
        <f>SUM(OSRRefH22_13x_0)</f>
        <v>4044</v>
      </c>
      <c r="I225" s="1"/>
      <c r="J225" s="5">
        <f t="shared" si="78"/>
        <v>2.9688760292038365E-3</v>
      </c>
      <c r="K225" s="1"/>
      <c r="L225" s="1">
        <f t="shared" si="79"/>
        <v>131</v>
      </c>
      <c r="M225" s="1"/>
      <c r="N225" s="5">
        <f t="shared" si="80"/>
        <v>3.2393669634025714E-2</v>
      </c>
      <c r="O225" s="12"/>
      <c r="P225" s="1">
        <f>SUM(OSRRefP22_13x_0)</f>
        <v>44668.77</v>
      </c>
      <c r="Q225" s="1"/>
      <c r="R225" s="5">
        <f t="shared" si="81"/>
        <v>3.9212836816313618E-3</v>
      </c>
      <c r="S225" s="1"/>
      <c r="T225" s="1">
        <f>SUM(OSRRefT22_13x_0)</f>
        <v>45796</v>
      </c>
      <c r="U225" s="1"/>
      <c r="V225" s="5">
        <f t="shared" si="82"/>
        <v>3.096598116839894E-3</v>
      </c>
      <c r="W225" s="1"/>
      <c r="X225" s="1">
        <f t="shared" si="83"/>
        <v>-1127.2300000000032</v>
      </c>
      <c r="Y225" s="1"/>
      <c r="Z225" s="5">
        <f t="shared" si="84"/>
        <v>-2.461415844178538E-2</v>
      </c>
    </row>
    <row r="226" spans="1:26" s="24" customFormat="1" hidden="1" outlineLevel="2" x14ac:dyDescent="0.25">
      <c r="A226" s="26"/>
      <c r="B226" s="11" t="str">
        <f>CONCATENATE("          ", "6401", " - ", "INTEREST EXPENSE")</f>
        <v xml:space="preserve">          6401 - INTEREST EXPENSE</v>
      </c>
      <c r="C226" s="11"/>
      <c r="D226" s="7">
        <v>4175</v>
      </c>
      <c r="E226" s="2"/>
      <c r="F226" s="6">
        <f t="shared" si="77"/>
        <v>1.5834871907643905E-2</v>
      </c>
      <c r="G226" s="2"/>
      <c r="H226" s="7">
        <v>4044</v>
      </c>
      <c r="I226" s="2"/>
      <c r="J226" s="6">
        <f t="shared" si="78"/>
        <v>2.9688760292038365E-3</v>
      </c>
      <c r="K226" s="2"/>
      <c r="L226" s="7">
        <f t="shared" si="79"/>
        <v>131</v>
      </c>
      <c r="M226" s="2"/>
      <c r="N226" s="6">
        <f t="shared" si="80"/>
        <v>3.2393669634025714E-2</v>
      </c>
      <c r="O226" s="11"/>
      <c r="P226" s="7">
        <v>44668.77</v>
      </c>
      <c r="Q226" s="2"/>
      <c r="R226" s="6">
        <f t="shared" si="81"/>
        <v>3.9212836816313618E-3</v>
      </c>
      <c r="S226" s="2"/>
      <c r="T226" s="7">
        <v>45796</v>
      </c>
      <c r="U226" s="2"/>
      <c r="V226" s="6">
        <f t="shared" si="82"/>
        <v>3.096598116839894E-3</v>
      </c>
      <c r="W226" s="2"/>
      <c r="X226" s="7">
        <f t="shared" si="83"/>
        <v>-1127.2300000000032</v>
      </c>
      <c r="Y226" s="2"/>
      <c r="Z226" s="6">
        <f t="shared" si="84"/>
        <v>-2.461415844178538E-2</v>
      </c>
    </row>
    <row r="227" spans="1:26" s="27" customFormat="1" outlineLevel="1" collapsed="1" x14ac:dyDescent="0.25">
      <c r="A227" s="25"/>
      <c r="B227" s="12" t="str">
        <f>CONCATENATE("     ","Inventory Adjustment                              ")</f>
        <v xml:space="preserve">     Inventory Adjustment                              </v>
      </c>
      <c r="C227" s="12"/>
      <c r="D227" s="1">
        <f>SUM(OSRRefD22_14x_0)</f>
        <v>4550</v>
      </c>
      <c r="E227" s="1"/>
      <c r="F227" s="5">
        <f t="shared" si="77"/>
        <v>1.7257165791564017E-2</v>
      </c>
      <c r="G227" s="1"/>
      <c r="H227" s="1">
        <f>SUM(OSRRefH22_14x_0)</f>
        <v>4550</v>
      </c>
      <c r="I227" s="1"/>
      <c r="J227" s="5">
        <f t="shared" si="78"/>
        <v>3.340352604569104E-3</v>
      </c>
      <c r="K227" s="1"/>
      <c r="L227" s="1">
        <f t="shared" si="79"/>
        <v>0</v>
      </c>
      <c r="M227" s="1"/>
      <c r="N227" s="5">
        <f t="shared" si="80"/>
        <v>0</v>
      </c>
      <c r="O227" s="12"/>
      <c r="P227" s="1">
        <f>SUM(OSRRefP22_14x_0)</f>
        <v>53350</v>
      </c>
      <c r="Q227" s="1"/>
      <c r="R227" s="5">
        <f t="shared" si="81"/>
        <v>4.6833723967557904E-3</v>
      </c>
      <c r="S227" s="1"/>
      <c r="T227" s="1">
        <f>SUM(OSRRefT22_14x_0)</f>
        <v>53350</v>
      </c>
      <c r="U227" s="1"/>
      <c r="V227" s="5">
        <f t="shared" si="82"/>
        <v>3.6073785818282896E-3</v>
      </c>
      <c r="W227" s="1"/>
      <c r="X227" s="1">
        <f t="shared" si="83"/>
        <v>0</v>
      </c>
      <c r="Y227" s="1"/>
      <c r="Z227" s="5">
        <f t="shared" si="84"/>
        <v>0</v>
      </c>
    </row>
    <row r="228" spans="1:26" s="24" customFormat="1" hidden="1" outlineLevel="2" x14ac:dyDescent="0.25">
      <c r="A228" s="26"/>
      <c r="B228" s="11" t="str">
        <f>CONCATENATE("          ", "6408", " - ", "INVENTORY ADJUSTMENT")</f>
        <v xml:space="preserve">          6408 - INVENTORY ADJUSTMENT</v>
      </c>
      <c r="C228" s="11"/>
      <c r="D228" s="7">
        <v>4550</v>
      </c>
      <c r="E228" s="2"/>
      <c r="F228" s="6">
        <f t="shared" si="77"/>
        <v>1.7257165791564017E-2</v>
      </c>
      <c r="G228" s="2"/>
      <c r="H228" s="7">
        <v>4550</v>
      </c>
      <c r="I228" s="2"/>
      <c r="J228" s="6">
        <f t="shared" si="78"/>
        <v>3.340352604569104E-3</v>
      </c>
      <c r="K228" s="2"/>
      <c r="L228" s="7">
        <f t="shared" si="79"/>
        <v>0</v>
      </c>
      <c r="M228" s="2"/>
      <c r="N228" s="6">
        <f t="shared" si="80"/>
        <v>0</v>
      </c>
      <c r="O228" s="11"/>
      <c r="P228" s="7">
        <v>53350</v>
      </c>
      <c r="Q228" s="2"/>
      <c r="R228" s="6">
        <f t="shared" si="81"/>
        <v>4.6833723967557904E-3</v>
      </c>
      <c r="S228" s="2"/>
      <c r="T228" s="7">
        <v>53350</v>
      </c>
      <c r="U228" s="2"/>
      <c r="V228" s="6">
        <f t="shared" si="82"/>
        <v>3.6073785818282896E-3</v>
      </c>
      <c r="W228" s="2"/>
      <c r="X228" s="7">
        <f t="shared" si="83"/>
        <v>0</v>
      </c>
      <c r="Y228" s="2"/>
      <c r="Z228" s="6">
        <f t="shared" si="84"/>
        <v>0</v>
      </c>
    </row>
    <row r="229" spans="1:26" s="27" customFormat="1" outlineLevel="1" collapsed="1" x14ac:dyDescent="0.25">
      <c r="A229" s="25"/>
      <c r="B229" s="12" t="str">
        <f>CONCATENATE("     ","Professional Services                             ")</f>
        <v xml:space="preserve">     Professional Services                             </v>
      </c>
      <c r="C229" s="12"/>
      <c r="D229" s="1">
        <f>SUM(OSRRefD22_15x_0)</f>
        <v>0</v>
      </c>
      <c r="E229" s="1"/>
      <c r="F229" s="5">
        <f t="shared" si="77"/>
        <v>0</v>
      </c>
      <c r="G229" s="1"/>
      <c r="H229" s="1">
        <f>SUM(OSRRefH22_15x_0)</f>
        <v>1015</v>
      </c>
      <c r="I229" s="1"/>
      <c r="J229" s="5">
        <f t="shared" si="78"/>
        <v>7.4515558101926162E-4</v>
      </c>
      <c r="K229" s="1"/>
      <c r="L229" s="1">
        <f t="shared" si="79"/>
        <v>-1015</v>
      </c>
      <c r="M229" s="1"/>
      <c r="N229" s="5">
        <f t="shared" si="80"/>
        <v>-1</v>
      </c>
      <c r="O229" s="12"/>
      <c r="P229" s="1">
        <f>SUM(OSRRefP22_15x_0)</f>
        <v>9129.56</v>
      </c>
      <c r="Q229" s="1"/>
      <c r="R229" s="5">
        <f t="shared" si="81"/>
        <v>8.0144572255905883E-4</v>
      </c>
      <c r="S229" s="1"/>
      <c r="T229" s="1">
        <f>SUM(OSRRefT22_15x_0)</f>
        <v>14315</v>
      </c>
      <c r="U229" s="1"/>
      <c r="V229" s="5">
        <f t="shared" si="82"/>
        <v>9.6794047608007427E-4</v>
      </c>
      <c r="W229" s="1"/>
      <c r="X229" s="1">
        <f t="shared" si="83"/>
        <v>-5185.4400000000005</v>
      </c>
      <c r="Y229" s="1"/>
      <c r="Z229" s="5">
        <f t="shared" si="84"/>
        <v>-0.36223821166608455</v>
      </c>
    </row>
    <row r="230" spans="1:26" s="24" customFormat="1" hidden="1" outlineLevel="2" x14ac:dyDescent="0.25">
      <c r="A230" s="26"/>
      <c r="B230" s="11" t="str">
        <f>CONCATENATE("          ", "6336", " - ", "PROFESSIONAL SERVICES")</f>
        <v xml:space="preserve">          6336 - PROFESSIONAL SERVICES</v>
      </c>
      <c r="C230" s="11"/>
      <c r="D230" s="7"/>
      <c r="E230" s="2"/>
      <c r="F230" s="6">
        <f t="shared" si="77"/>
        <v>0</v>
      </c>
      <c r="G230" s="2"/>
      <c r="H230" s="7">
        <v>1015</v>
      </c>
      <c r="I230" s="2"/>
      <c r="J230" s="6">
        <f t="shared" si="78"/>
        <v>7.4515558101926162E-4</v>
      </c>
      <c r="K230" s="2"/>
      <c r="L230" s="7">
        <f t="shared" si="79"/>
        <v>-1015</v>
      </c>
      <c r="M230" s="2"/>
      <c r="N230" s="6">
        <f t="shared" si="80"/>
        <v>-1</v>
      </c>
      <c r="O230" s="11"/>
      <c r="P230" s="7">
        <v>9129.56</v>
      </c>
      <c r="Q230" s="2"/>
      <c r="R230" s="6">
        <f t="shared" si="81"/>
        <v>8.0144572255905883E-4</v>
      </c>
      <c r="S230" s="2"/>
      <c r="T230" s="7">
        <v>14315</v>
      </c>
      <c r="U230" s="2"/>
      <c r="V230" s="6">
        <f t="shared" si="82"/>
        <v>9.6794047608007427E-4</v>
      </c>
      <c r="W230" s="2"/>
      <c r="X230" s="7">
        <f t="shared" si="83"/>
        <v>-5185.4400000000005</v>
      </c>
      <c r="Y230" s="2"/>
      <c r="Z230" s="6">
        <f t="shared" si="84"/>
        <v>-0.36223821166608455</v>
      </c>
    </row>
    <row r="231" spans="1:26" s="27" customFormat="1" outlineLevel="1" collapsed="1" x14ac:dyDescent="0.25">
      <c r="A231" s="25"/>
      <c r="B231" s="12" t="str">
        <f>CONCATENATE("     ","R/H Commissions                                   ")</f>
        <v xml:space="preserve">     R/H Commissions                                   </v>
      </c>
      <c r="C231" s="12"/>
      <c r="D231" s="1">
        <f>SUM(OSRRefD22_16x_0)</f>
        <v>0</v>
      </c>
      <c r="E231" s="1"/>
      <c r="F231" s="5">
        <f t="shared" si="77"/>
        <v>0</v>
      </c>
      <c r="G231" s="1"/>
      <c r="H231" s="1">
        <f>SUM(OSRRefH22_16x_0)</f>
        <v>0</v>
      </c>
      <c r="I231" s="1"/>
      <c r="J231" s="5">
        <f t="shared" si="78"/>
        <v>0</v>
      </c>
      <c r="K231" s="1"/>
      <c r="L231" s="1">
        <f t="shared" si="79"/>
        <v>0</v>
      </c>
      <c r="M231" s="1"/>
      <c r="N231" s="5">
        <f t="shared" si="80"/>
        <v>0</v>
      </c>
      <c r="O231" s="12"/>
      <c r="P231" s="1">
        <f>SUM(OSRRefP22_16x_0)</f>
        <v>0</v>
      </c>
      <c r="Q231" s="1"/>
      <c r="R231" s="5">
        <f t="shared" si="81"/>
        <v>0</v>
      </c>
      <c r="S231" s="1"/>
      <c r="T231" s="1">
        <f>SUM(OSRRefT22_16x_0)</f>
        <v>0</v>
      </c>
      <c r="U231" s="1"/>
      <c r="V231" s="5">
        <f t="shared" si="82"/>
        <v>0</v>
      </c>
      <c r="W231" s="1"/>
      <c r="X231" s="1">
        <f t="shared" si="83"/>
        <v>0</v>
      </c>
      <c r="Y231" s="1"/>
      <c r="Z231" s="5">
        <f t="shared" si="84"/>
        <v>0</v>
      </c>
    </row>
    <row r="232" spans="1:26" s="24" customFormat="1" hidden="1" outlineLevel="2" x14ac:dyDescent="0.25">
      <c r="A232" s="26"/>
      <c r="B232" s="11" t="str">
        <f>CONCATENATE("          ", "6387", " - ", "COMMISSION DUE HOUSING")</f>
        <v xml:space="preserve">          6387 - COMMISSION DUE HOUSING</v>
      </c>
      <c r="C232" s="11"/>
      <c r="D232" s="7"/>
      <c r="E232" s="2"/>
      <c r="F232" s="6">
        <f t="shared" si="77"/>
        <v>0</v>
      </c>
      <c r="G232" s="2"/>
      <c r="H232" s="7"/>
      <c r="I232" s="2"/>
      <c r="J232" s="6">
        <f t="shared" si="78"/>
        <v>0</v>
      </c>
      <c r="K232" s="2"/>
      <c r="L232" s="7">
        <f t="shared" si="79"/>
        <v>0</v>
      </c>
      <c r="M232" s="2"/>
      <c r="N232" s="6">
        <f t="shared" si="80"/>
        <v>0</v>
      </c>
      <c r="O232" s="11"/>
      <c r="P232" s="7"/>
      <c r="Q232" s="2"/>
      <c r="R232" s="6">
        <f t="shared" si="81"/>
        <v>0</v>
      </c>
      <c r="S232" s="2"/>
      <c r="T232" s="7">
        <v>0</v>
      </c>
      <c r="U232" s="2"/>
      <c r="V232" s="6">
        <f t="shared" si="82"/>
        <v>0</v>
      </c>
      <c r="W232" s="2"/>
      <c r="X232" s="7">
        <f t="shared" si="83"/>
        <v>0</v>
      </c>
      <c r="Y232" s="2"/>
      <c r="Z232" s="6">
        <f t="shared" si="84"/>
        <v>0</v>
      </c>
    </row>
    <row r="233" spans="1:26" s="27" customFormat="1" outlineLevel="1" collapsed="1" x14ac:dyDescent="0.25">
      <c r="A233" s="25"/>
      <c r="B233" s="12" t="str">
        <f>CONCATENATE("     ","Rent                                              ")</f>
        <v xml:space="preserve">     Rent                                              </v>
      </c>
      <c r="C233" s="12"/>
      <c r="D233" s="1">
        <f>SUM(OSRRefD22_17x_0)</f>
        <v>7250</v>
      </c>
      <c r="E233" s="1"/>
      <c r="F233" s="5">
        <f t="shared" si="77"/>
        <v>2.7497681755788816E-2</v>
      </c>
      <c r="G233" s="1"/>
      <c r="H233" s="1">
        <f>SUM(OSRRefH22_17x_0)</f>
        <v>7550</v>
      </c>
      <c r="I233" s="1"/>
      <c r="J233" s="5">
        <f t="shared" si="78"/>
        <v>5.5427828932959854E-3</v>
      </c>
      <c r="K233" s="1"/>
      <c r="L233" s="1">
        <f t="shared" si="79"/>
        <v>-300</v>
      </c>
      <c r="M233" s="1"/>
      <c r="N233" s="5">
        <f t="shared" si="80"/>
        <v>-3.9735099337748346E-2</v>
      </c>
      <c r="O233" s="12"/>
      <c r="P233" s="1">
        <f>SUM(OSRRefP22_17x_0)</f>
        <v>81350</v>
      </c>
      <c r="Q233" s="1"/>
      <c r="R233" s="5">
        <f t="shared" si="81"/>
        <v>7.1413747793080328E-3</v>
      </c>
      <c r="S233" s="1"/>
      <c r="T233" s="1">
        <f>SUM(OSRRefT22_17x_0)</f>
        <v>83050</v>
      </c>
      <c r="U233" s="1"/>
      <c r="V233" s="5">
        <f t="shared" si="82"/>
        <v>5.6156099572790899E-3</v>
      </c>
      <c r="W233" s="1"/>
      <c r="X233" s="1">
        <f t="shared" si="83"/>
        <v>-1700</v>
      </c>
      <c r="Y233" s="1"/>
      <c r="Z233" s="5">
        <f t="shared" si="84"/>
        <v>-2.0469596628537028E-2</v>
      </c>
    </row>
    <row r="234" spans="1:26" s="24" customFormat="1" hidden="1" outlineLevel="2" x14ac:dyDescent="0.25">
      <c r="A234" s="26"/>
      <c r="B234" s="11" t="str">
        <f>CONCATENATE("          ", "6273", " - ", "RENT")</f>
        <v xml:space="preserve">          6273 - RENT</v>
      </c>
      <c r="C234" s="11"/>
      <c r="D234" s="7">
        <v>7250</v>
      </c>
      <c r="E234" s="2"/>
      <c r="F234" s="6">
        <f t="shared" si="77"/>
        <v>2.7497681755788816E-2</v>
      </c>
      <c r="G234" s="2"/>
      <c r="H234" s="7">
        <v>7550</v>
      </c>
      <c r="I234" s="2"/>
      <c r="J234" s="6">
        <f t="shared" si="78"/>
        <v>5.5427828932959854E-3</v>
      </c>
      <c r="K234" s="2"/>
      <c r="L234" s="7">
        <f t="shared" si="79"/>
        <v>-300</v>
      </c>
      <c r="M234" s="2"/>
      <c r="N234" s="6">
        <f t="shared" si="80"/>
        <v>-3.9735099337748346E-2</v>
      </c>
      <c r="O234" s="11"/>
      <c r="P234" s="7">
        <v>81350</v>
      </c>
      <c r="Q234" s="2"/>
      <c r="R234" s="6">
        <f t="shared" si="81"/>
        <v>7.1413747793080328E-3</v>
      </c>
      <c r="S234" s="2"/>
      <c r="T234" s="7">
        <v>83050</v>
      </c>
      <c r="U234" s="2"/>
      <c r="V234" s="6">
        <f t="shared" si="82"/>
        <v>5.6156099572790899E-3</v>
      </c>
      <c r="W234" s="2"/>
      <c r="X234" s="7">
        <f t="shared" si="83"/>
        <v>-1700</v>
      </c>
      <c r="Y234" s="2"/>
      <c r="Z234" s="6">
        <f t="shared" si="84"/>
        <v>-2.0469596628537028E-2</v>
      </c>
    </row>
    <row r="235" spans="1:26" s="27" customFormat="1" outlineLevel="1" collapsed="1" x14ac:dyDescent="0.25">
      <c r="A235" s="25"/>
      <c r="B235" s="12" t="str">
        <f>CONCATENATE("     ","Repair and Maintenance                            ")</f>
        <v xml:space="preserve">     Repair and Maintenance                            </v>
      </c>
      <c r="C235" s="12"/>
      <c r="D235" s="1">
        <f>SUM(OSRRefD22_18x_0)</f>
        <v>5388.07</v>
      </c>
      <c r="E235" s="1"/>
      <c r="F235" s="5">
        <f t="shared" si="77"/>
        <v>2.043578401902249E-2</v>
      </c>
      <c r="G235" s="1"/>
      <c r="H235" s="1">
        <f>SUM(OSRRefH22_18x_0)</f>
        <v>27631</v>
      </c>
      <c r="I235" s="1"/>
      <c r="J235" s="5">
        <f t="shared" si="78"/>
        <v>2.0285117102604156E-2</v>
      </c>
      <c r="K235" s="1"/>
      <c r="L235" s="1">
        <f t="shared" si="79"/>
        <v>-22242.93</v>
      </c>
      <c r="M235" s="1"/>
      <c r="N235" s="5">
        <f t="shared" si="80"/>
        <v>-0.80499909521913793</v>
      </c>
      <c r="O235" s="12"/>
      <c r="P235" s="1">
        <f>SUM(OSRRefP22_18x_0)</f>
        <v>151255</v>
      </c>
      <c r="Q235" s="1"/>
      <c r="R235" s="5">
        <f t="shared" si="81"/>
        <v>1.3278041084747836E-2</v>
      </c>
      <c r="S235" s="1"/>
      <c r="T235" s="1">
        <f>SUM(OSRRefT22_18x_0)</f>
        <v>231372</v>
      </c>
      <c r="U235" s="1"/>
      <c r="V235" s="5">
        <f t="shared" si="82"/>
        <v>1.5644730969723991E-2</v>
      </c>
      <c r="W235" s="1"/>
      <c r="X235" s="1">
        <f t="shared" si="83"/>
        <v>-80117</v>
      </c>
      <c r="Y235" s="1"/>
      <c r="Z235" s="5">
        <f t="shared" si="84"/>
        <v>-0.34626921148626455</v>
      </c>
    </row>
    <row r="236" spans="1:26" s="24" customFormat="1" hidden="1" outlineLevel="2" x14ac:dyDescent="0.25">
      <c r="A236" s="26"/>
      <c r="B236" s="11" t="str">
        <f>CONCATENATE("          ", "6371", " - ", "COMPUTER SOFTWARE MAINTENANCE")</f>
        <v xml:space="preserve">          6371 - COMPUTER SOFTWARE MAINTENANCE</v>
      </c>
      <c r="C236" s="11"/>
      <c r="D236" s="7"/>
      <c r="E236" s="2"/>
      <c r="F236" s="6">
        <f t="shared" si="77"/>
        <v>0</v>
      </c>
      <c r="G236" s="2"/>
      <c r="H236" s="7">
        <v>12000</v>
      </c>
      <c r="I236" s="2"/>
      <c r="J236" s="6">
        <f t="shared" si="78"/>
        <v>8.8097211549075273E-3</v>
      </c>
      <c r="K236" s="2"/>
      <c r="L236" s="7">
        <f t="shared" si="79"/>
        <v>-12000</v>
      </c>
      <c r="M236" s="2"/>
      <c r="N236" s="6">
        <f t="shared" si="80"/>
        <v>-1</v>
      </c>
      <c r="O236" s="11"/>
      <c r="P236" s="7">
        <v>17729.43</v>
      </c>
      <c r="Q236" s="2"/>
      <c r="R236" s="6">
        <f t="shared" si="81"/>
        <v>1.5563921850461858E-3</v>
      </c>
      <c r="S236" s="2"/>
      <c r="T236" s="7">
        <v>60535.000000000007</v>
      </c>
      <c r="U236" s="2"/>
      <c r="V236" s="6">
        <f t="shared" si="82"/>
        <v>4.0932082933641152E-3</v>
      </c>
      <c r="W236" s="2"/>
      <c r="X236" s="7">
        <f t="shared" si="83"/>
        <v>-42805.570000000007</v>
      </c>
      <c r="Y236" s="2"/>
      <c r="Z236" s="6">
        <f t="shared" si="84"/>
        <v>-0.70712100437763281</v>
      </c>
    </row>
    <row r="237" spans="1:26" s="24" customFormat="1" hidden="1" outlineLevel="2" x14ac:dyDescent="0.25">
      <c r="A237" s="26"/>
      <c r="B237" s="11" t="str">
        <f>CONCATENATE("          ", "6372", " - ", "COMPUTER HARDWARE MAINTENANCE")</f>
        <v xml:space="preserve">          6372 - COMPUTER HARDWARE MAINTENANCE</v>
      </c>
      <c r="C237" s="11"/>
      <c r="D237" s="7"/>
      <c r="E237" s="2"/>
      <c r="F237" s="6">
        <f t="shared" si="77"/>
        <v>0</v>
      </c>
      <c r="G237" s="2"/>
      <c r="H237" s="7"/>
      <c r="I237" s="2"/>
      <c r="J237" s="6">
        <f t="shared" si="78"/>
        <v>0</v>
      </c>
      <c r="K237" s="2"/>
      <c r="L237" s="7">
        <f t="shared" si="79"/>
        <v>0</v>
      </c>
      <c r="M237" s="2"/>
      <c r="N237" s="6">
        <f t="shared" si="80"/>
        <v>0</v>
      </c>
      <c r="O237" s="11"/>
      <c r="P237" s="7">
        <v>52.32</v>
      </c>
      <c r="Q237" s="2"/>
      <c r="R237" s="6">
        <f t="shared" si="81"/>
        <v>4.5929530233976187E-6</v>
      </c>
      <c r="S237" s="2"/>
      <c r="T237" s="7">
        <v>2000</v>
      </c>
      <c r="U237" s="2"/>
      <c r="V237" s="6">
        <f t="shared" si="82"/>
        <v>1.3523443605729295E-4</v>
      </c>
      <c r="W237" s="2"/>
      <c r="X237" s="7">
        <f t="shared" si="83"/>
        <v>-1947.68</v>
      </c>
      <c r="Y237" s="2"/>
      <c r="Z237" s="6">
        <f t="shared" si="84"/>
        <v>-0.97384000000000004</v>
      </c>
    </row>
    <row r="238" spans="1:26" s="24" customFormat="1" hidden="1" outlineLevel="2" x14ac:dyDescent="0.25">
      <c r="A238" s="26"/>
      <c r="B238" s="11" t="str">
        <f>CONCATENATE("          ", "6373", " - ", "MAINTENANCE CONTRACTS")</f>
        <v xml:space="preserve">          6373 - MAINTENANCE CONTRACTS</v>
      </c>
      <c r="C238" s="11"/>
      <c r="D238" s="7">
        <v>3743.93</v>
      </c>
      <c r="E238" s="2"/>
      <c r="F238" s="6">
        <f t="shared" si="77"/>
        <v>1.4199916642200059E-2</v>
      </c>
      <c r="G238" s="2"/>
      <c r="H238" s="7">
        <v>7040</v>
      </c>
      <c r="I238" s="2"/>
      <c r="J238" s="6">
        <f t="shared" si="78"/>
        <v>5.1683697442124156E-3</v>
      </c>
      <c r="K238" s="2"/>
      <c r="L238" s="7">
        <f t="shared" si="79"/>
        <v>-3296.07</v>
      </c>
      <c r="M238" s="2"/>
      <c r="N238" s="6">
        <f t="shared" si="80"/>
        <v>-0.46819176136363638</v>
      </c>
      <c r="O238" s="11"/>
      <c r="P238" s="7">
        <v>79558.12</v>
      </c>
      <c r="Q238" s="2"/>
      <c r="R238" s="6">
        <f t="shared" si="81"/>
        <v>6.9840731611206137E-3</v>
      </c>
      <c r="S238" s="2"/>
      <c r="T238" s="7">
        <v>77515</v>
      </c>
      <c r="U238" s="2"/>
      <c r="V238" s="6">
        <f t="shared" si="82"/>
        <v>5.2413486554905315E-3</v>
      </c>
      <c r="W238" s="2"/>
      <c r="X238" s="7">
        <f t="shared" si="83"/>
        <v>2043.1199999999953</v>
      </c>
      <c r="Y238" s="2"/>
      <c r="Z238" s="6">
        <f t="shared" si="84"/>
        <v>2.6357737212152427E-2</v>
      </c>
    </row>
    <row r="239" spans="1:26" s="24" customFormat="1" hidden="1" outlineLevel="2" x14ac:dyDescent="0.25">
      <c r="A239" s="26"/>
      <c r="B239" s="11" t="str">
        <f>CONCATENATE("          ", "6375", " - ", "OUTSIDE REPAIRS &amp; MAINTENANCE")</f>
        <v xml:space="preserve">          6375 - OUTSIDE REPAIRS &amp; MAINTENANCE</v>
      </c>
      <c r="C239" s="11"/>
      <c r="D239" s="7">
        <v>1644.14</v>
      </c>
      <c r="E239" s="2"/>
      <c r="F239" s="6">
        <f t="shared" si="77"/>
        <v>6.2358673768224317E-3</v>
      </c>
      <c r="G239" s="2"/>
      <c r="H239" s="7">
        <v>8591</v>
      </c>
      <c r="I239" s="2"/>
      <c r="J239" s="6">
        <f t="shared" si="78"/>
        <v>6.3070262034842133E-3</v>
      </c>
      <c r="K239" s="2"/>
      <c r="L239" s="7">
        <f t="shared" si="79"/>
        <v>-6946.86</v>
      </c>
      <c r="M239" s="2"/>
      <c r="N239" s="6">
        <f t="shared" si="80"/>
        <v>-0.80862064951693624</v>
      </c>
      <c r="O239" s="11"/>
      <c r="P239" s="7">
        <v>53915.13</v>
      </c>
      <c r="Q239" s="2"/>
      <c r="R239" s="6">
        <f t="shared" si="81"/>
        <v>4.7329827855576382E-3</v>
      </c>
      <c r="S239" s="2"/>
      <c r="T239" s="7">
        <v>91322</v>
      </c>
      <c r="U239" s="2"/>
      <c r="V239" s="6">
        <f t="shared" si="82"/>
        <v>6.1749395848120538E-3</v>
      </c>
      <c r="W239" s="2"/>
      <c r="X239" s="7">
        <f t="shared" si="83"/>
        <v>-37406.870000000003</v>
      </c>
      <c r="Y239" s="2"/>
      <c r="Z239" s="6">
        <f t="shared" si="84"/>
        <v>-0.40961509822386721</v>
      </c>
    </row>
    <row r="240" spans="1:26" s="27" customFormat="1" outlineLevel="1" collapsed="1" x14ac:dyDescent="0.25">
      <c r="A240" s="25"/>
      <c r="B240" s="12" t="str">
        <f>CONCATENATE("     ","Royalty &amp; Commissions                             ")</f>
        <v xml:space="preserve">     Royalty &amp; Commissions                             </v>
      </c>
      <c r="C240" s="12"/>
      <c r="D240" s="1">
        <f>SUM(OSRRefD22_19x_0)</f>
        <v>0</v>
      </c>
      <c r="E240" s="1"/>
      <c r="F240" s="5">
        <f t="shared" ref="F240:F244" si="85">IF(D$12=0,0,D240/D$12)</f>
        <v>0</v>
      </c>
      <c r="G240" s="1"/>
      <c r="H240" s="1">
        <f>SUM(OSRRefH22_19x_0)</f>
        <v>18537</v>
      </c>
      <c r="I240" s="1"/>
      <c r="J240" s="5">
        <f t="shared" ref="J240:J244" si="86">IF(H$12=0,0,H240/H$12)</f>
        <v>1.3608816754043402E-2</v>
      </c>
      <c r="K240" s="1"/>
      <c r="L240" s="1">
        <f t="shared" ref="L240:L244" si="87">+D240-H240</f>
        <v>-18537</v>
      </c>
      <c r="M240" s="1"/>
      <c r="N240" s="5">
        <f t="shared" ref="N240:N244" si="88">IF(H240=0,0,L240/H240)</f>
        <v>-1</v>
      </c>
      <c r="O240" s="12"/>
      <c r="P240" s="1">
        <f>SUM(OSRRefP22_19x_0)</f>
        <v>148005.54</v>
      </c>
      <c r="Q240" s="1"/>
      <c r="R240" s="5">
        <f t="shared" ref="R240:R244" si="89">IF(P$12=0,0,P240/P$12)</f>
        <v>1.2992784641104687E-2</v>
      </c>
      <c r="S240" s="1"/>
      <c r="T240" s="1">
        <f>SUM(OSRRefT22_19x_0)</f>
        <v>210171</v>
      </c>
      <c r="U240" s="1"/>
      <c r="V240" s="5">
        <f t="shared" ref="V240:V244" si="90">IF(T$12=0,0,T240/T$12)</f>
        <v>1.4211178330298658E-2</v>
      </c>
      <c r="W240" s="1"/>
      <c r="X240" s="1">
        <f t="shared" ref="X240:X244" si="91">+P240-T240</f>
        <v>-62165.459999999992</v>
      </c>
      <c r="Y240" s="1"/>
      <c r="Z240" s="5">
        <f t="shared" ref="Z240:Z244" si="92">IF(T240=0,0,X240/T240)</f>
        <v>-0.29578514638080416</v>
      </c>
    </row>
    <row r="241" spans="1:26" s="24" customFormat="1" hidden="1" outlineLevel="2" x14ac:dyDescent="0.25">
      <c r="A241" s="26"/>
      <c r="B241" s="11" t="str">
        <f>CONCATENATE("          ", "6252", " - ", "ROYALTY DUE CSTV")</f>
        <v xml:space="preserve">          6252 - ROYALTY DUE CSTV</v>
      </c>
      <c r="C241" s="11"/>
      <c r="D241" s="7"/>
      <c r="E241" s="2"/>
      <c r="F241" s="6">
        <f t="shared" si="85"/>
        <v>0</v>
      </c>
      <c r="G241" s="2"/>
      <c r="H241" s="7">
        <v>1085</v>
      </c>
      <c r="I241" s="2"/>
      <c r="J241" s="6">
        <f t="shared" si="86"/>
        <v>7.9654562108955561E-4</v>
      </c>
      <c r="K241" s="2"/>
      <c r="L241" s="7">
        <f t="shared" si="87"/>
        <v>-1085</v>
      </c>
      <c r="M241" s="2"/>
      <c r="N241" s="6">
        <f t="shared" si="88"/>
        <v>-1</v>
      </c>
      <c r="O241" s="11"/>
      <c r="P241" s="7"/>
      <c r="Q241" s="2"/>
      <c r="R241" s="6">
        <f t="shared" si="89"/>
        <v>0</v>
      </c>
      <c r="S241" s="2"/>
      <c r="T241" s="7">
        <v>11935</v>
      </c>
      <c r="U241" s="2"/>
      <c r="V241" s="6">
        <f t="shared" si="90"/>
        <v>8.0701149717189572E-4</v>
      </c>
      <c r="W241" s="2"/>
      <c r="X241" s="7">
        <f t="shared" si="91"/>
        <v>-11935</v>
      </c>
      <c r="Y241" s="2"/>
      <c r="Z241" s="6">
        <f t="shared" si="92"/>
        <v>-1</v>
      </c>
    </row>
    <row r="242" spans="1:26" s="24" customFormat="1" hidden="1" outlineLevel="2" x14ac:dyDescent="0.25">
      <c r="A242" s="26"/>
      <c r="B242" s="11" t="str">
        <f>CONCATENATE("          ", "6253", " - ", "ROYALTY DUE ATHLETICS-LRG")</f>
        <v xml:space="preserve">          6253 - ROYALTY DUE ATHLETICS-LRG</v>
      </c>
      <c r="C242" s="11"/>
      <c r="D242" s="7"/>
      <c r="E242" s="2"/>
      <c r="F242" s="6">
        <f t="shared" si="85"/>
        <v>0</v>
      </c>
      <c r="G242" s="2"/>
      <c r="H242" s="7">
        <v>3700</v>
      </c>
      <c r="I242" s="2"/>
      <c r="J242" s="6">
        <f t="shared" si="86"/>
        <v>2.7163306894298208E-3</v>
      </c>
      <c r="K242" s="2"/>
      <c r="L242" s="7">
        <f t="shared" si="87"/>
        <v>-3700</v>
      </c>
      <c r="M242" s="2"/>
      <c r="N242" s="6">
        <f t="shared" si="88"/>
        <v>-1</v>
      </c>
      <c r="O242" s="11"/>
      <c r="P242" s="7">
        <v>32870.44</v>
      </c>
      <c r="Q242" s="2"/>
      <c r="R242" s="6">
        <f t="shared" si="89"/>
        <v>2.885557851269305E-3</v>
      </c>
      <c r="S242" s="2"/>
      <c r="T242" s="7">
        <v>40700</v>
      </c>
      <c r="U242" s="2"/>
      <c r="V242" s="6">
        <f t="shared" si="90"/>
        <v>2.7520207737659116E-3</v>
      </c>
      <c r="W242" s="2"/>
      <c r="X242" s="7">
        <f t="shared" si="91"/>
        <v>-7829.5599999999977</v>
      </c>
      <c r="Y242" s="2"/>
      <c r="Z242" s="6">
        <f t="shared" si="92"/>
        <v>-0.19237248157248152</v>
      </c>
    </row>
    <row r="243" spans="1:26" s="24" customFormat="1" hidden="1" outlineLevel="2" x14ac:dyDescent="0.25">
      <c r="A243" s="26"/>
      <c r="B243" s="11" t="str">
        <f>CONCATENATE("          ", "6254", " - ", "ROYALTY &amp; COMMISSIONS")</f>
        <v xml:space="preserve">          6254 - ROYALTY &amp; COMMISSIONS</v>
      </c>
      <c r="C243" s="11"/>
      <c r="D243" s="7"/>
      <c r="E243" s="2"/>
      <c r="F243" s="6">
        <f t="shared" si="85"/>
        <v>0</v>
      </c>
      <c r="G243" s="2"/>
      <c r="H243" s="7">
        <v>11700</v>
      </c>
      <c r="I243" s="2"/>
      <c r="J243" s="6">
        <f t="shared" si="86"/>
        <v>8.5894781260348382E-3</v>
      </c>
      <c r="K243" s="2"/>
      <c r="L243" s="7">
        <f t="shared" si="87"/>
        <v>-11700</v>
      </c>
      <c r="M243" s="2"/>
      <c r="N243" s="6">
        <f t="shared" si="88"/>
        <v>-1</v>
      </c>
      <c r="O243" s="11"/>
      <c r="P243" s="7">
        <v>32527.360000000001</v>
      </c>
      <c r="Q243" s="2"/>
      <c r="R243" s="6">
        <f t="shared" si="89"/>
        <v>2.8554402992190895E-3</v>
      </c>
      <c r="S243" s="2"/>
      <c r="T243" s="7">
        <v>128700</v>
      </c>
      <c r="U243" s="2"/>
      <c r="V243" s="6">
        <f t="shared" si="90"/>
        <v>8.7023359602868017E-3</v>
      </c>
      <c r="W243" s="2"/>
      <c r="X243" s="7">
        <f t="shared" si="91"/>
        <v>-96172.64</v>
      </c>
      <c r="Y243" s="2"/>
      <c r="Z243" s="6">
        <f t="shared" si="92"/>
        <v>-0.74726216006216006</v>
      </c>
    </row>
    <row r="244" spans="1:26" s="24" customFormat="1" hidden="1" outlineLevel="2" x14ac:dyDescent="0.25">
      <c r="A244" s="26"/>
      <c r="B244" s="11" t="str">
        <f>CONCATENATE("          ", "6259", " - ", "ROYALTY &amp; COMMISSIONS")</f>
        <v xml:space="preserve">          6259 - ROYALTY &amp; COMMISSIONS</v>
      </c>
      <c r="C244" s="11"/>
      <c r="D244" s="7"/>
      <c r="E244" s="2"/>
      <c r="F244" s="6">
        <f t="shared" si="85"/>
        <v>0</v>
      </c>
      <c r="G244" s="2"/>
      <c r="H244" s="7">
        <v>2052</v>
      </c>
      <c r="I244" s="2"/>
      <c r="J244" s="6">
        <f t="shared" si="86"/>
        <v>1.5064623174891871E-3</v>
      </c>
      <c r="K244" s="2"/>
      <c r="L244" s="7">
        <f t="shared" si="87"/>
        <v>-2052</v>
      </c>
      <c r="M244" s="2"/>
      <c r="N244" s="6">
        <f t="shared" si="88"/>
        <v>-1</v>
      </c>
      <c r="O244" s="11"/>
      <c r="P244" s="7">
        <v>82607.740000000005</v>
      </c>
      <c r="Q244" s="2"/>
      <c r="R244" s="6">
        <f t="shared" si="89"/>
        <v>7.251786490616292E-3</v>
      </c>
      <c r="S244" s="2"/>
      <c r="T244" s="7">
        <v>28836</v>
      </c>
      <c r="U244" s="2"/>
      <c r="V244" s="6">
        <f t="shared" si="90"/>
        <v>1.9498100990740497E-3</v>
      </c>
      <c r="W244" s="2"/>
      <c r="X244" s="7">
        <f t="shared" si="91"/>
        <v>53771.740000000005</v>
      </c>
      <c r="Y244" s="2"/>
      <c r="Z244" s="6">
        <f t="shared" si="92"/>
        <v>1.8647433763351369</v>
      </c>
    </row>
    <row r="245" spans="1:26" s="27" customFormat="1" outlineLevel="1" collapsed="1" x14ac:dyDescent="0.25">
      <c r="A245" s="25"/>
      <c r="B245" s="12" t="str">
        <f>CONCATENATE("     ","Services                                          ")</f>
        <v xml:space="preserve">     Services                                          </v>
      </c>
      <c r="C245" s="12"/>
      <c r="D245" s="1">
        <f>SUM(OSRRefD22_20x_0)</f>
        <v>5301.0099999999993</v>
      </c>
      <c r="E245" s="1"/>
      <c r="F245" s="5">
        <f t="shared" ref="F245:F251" si="93">IF(D$12=0,0,D245/D$12)</f>
        <v>2.0105584270931596E-2</v>
      </c>
      <c r="G245" s="1"/>
      <c r="H245" s="1">
        <f>SUM(OSRRefH22_20x_0)</f>
        <v>5252.5</v>
      </c>
      <c r="I245" s="1"/>
      <c r="J245" s="5">
        <f t="shared" ref="J245:J251" si="94">IF(H$12=0,0,H245/H$12)</f>
        <v>3.8560883638459821E-3</v>
      </c>
      <c r="K245" s="1"/>
      <c r="L245" s="1">
        <f t="shared" ref="L245:L251" si="95">+D245-H245</f>
        <v>48.509999999999309</v>
      </c>
      <c r="M245" s="1"/>
      <c r="N245" s="5">
        <f t="shared" ref="N245:N251" si="96">IF(H245=0,0,L245/H245)</f>
        <v>9.2356020942407063E-3</v>
      </c>
      <c r="O245" s="12"/>
      <c r="P245" s="1">
        <f>SUM(OSRRefP22_20x_0)</f>
        <v>67738.39</v>
      </c>
      <c r="Q245" s="1"/>
      <c r="R245" s="5">
        <f t="shared" ref="R245:R251" si="97">IF(P$12=0,0,P245/P$12)</f>
        <v>5.9464687146518922E-3</v>
      </c>
      <c r="S245" s="1"/>
      <c r="T245" s="1">
        <f>SUM(OSRRefT22_20x_0)</f>
        <v>58823.5</v>
      </c>
      <c r="U245" s="1"/>
      <c r="V245" s="5">
        <f t="shared" ref="V245:V251" si="98">IF(T$12=0,0,T245/T$12)</f>
        <v>3.9774814247080861E-3</v>
      </c>
      <c r="W245" s="1"/>
      <c r="X245" s="1">
        <f t="shared" ref="X245:X251" si="99">+P245-T245</f>
        <v>8914.89</v>
      </c>
      <c r="Y245" s="1"/>
      <c r="Z245" s="5">
        <f t="shared" ref="Z245:Z251" si="100">IF(T245=0,0,X245/T245)</f>
        <v>0.15155320577660289</v>
      </c>
    </row>
    <row r="246" spans="1:26" s="24" customFormat="1" hidden="1" outlineLevel="2" x14ac:dyDescent="0.25">
      <c r="A246" s="26"/>
      <c r="B246" s="11" t="str">
        <f>CONCATENATE("          ", "6281", " - ", "STORAGE FEE")</f>
        <v xml:space="preserve">          6281 - STORAGE FEE</v>
      </c>
      <c r="C246" s="11"/>
      <c r="D246" s="7"/>
      <c r="E246" s="2"/>
      <c r="F246" s="6">
        <f t="shared" si="93"/>
        <v>0</v>
      </c>
      <c r="G246" s="2"/>
      <c r="H246" s="7"/>
      <c r="I246" s="2"/>
      <c r="J246" s="6">
        <f t="shared" si="94"/>
        <v>0</v>
      </c>
      <c r="K246" s="2"/>
      <c r="L246" s="7">
        <f t="shared" si="95"/>
        <v>0</v>
      </c>
      <c r="M246" s="2"/>
      <c r="N246" s="6">
        <f t="shared" si="96"/>
        <v>0</v>
      </c>
      <c r="O246" s="11"/>
      <c r="P246" s="7"/>
      <c r="Q246" s="2"/>
      <c r="R246" s="6">
        <f t="shared" si="97"/>
        <v>0</v>
      </c>
      <c r="S246" s="2"/>
      <c r="T246" s="7">
        <v>0</v>
      </c>
      <c r="U246" s="2"/>
      <c r="V246" s="6">
        <f t="shared" si="98"/>
        <v>0</v>
      </c>
      <c r="W246" s="2"/>
      <c r="X246" s="7">
        <f t="shared" si="99"/>
        <v>0</v>
      </c>
      <c r="Y246" s="2"/>
      <c r="Z246" s="6">
        <f t="shared" si="100"/>
        <v>0</v>
      </c>
    </row>
    <row r="247" spans="1:26" s="24" customFormat="1" hidden="1" outlineLevel="2" x14ac:dyDescent="0.25">
      <c r="A247" s="26"/>
      <c r="B247" s="11" t="str">
        <f>CONCATENATE("          ", "6282", " - ", "JANITORIAL/EXTERMINATOR EXPENS")</f>
        <v xml:space="preserve">          6282 - JANITORIAL/EXTERMINATOR EXPENS</v>
      </c>
      <c r="C247" s="11"/>
      <c r="D247" s="7">
        <v>372</v>
      </c>
      <c r="E247" s="2"/>
      <c r="F247" s="6">
        <f t="shared" si="93"/>
        <v>1.4109155328487504E-3</v>
      </c>
      <c r="G247" s="2"/>
      <c r="H247" s="7">
        <v>483</v>
      </c>
      <c r="I247" s="2"/>
      <c r="J247" s="6">
        <f t="shared" si="94"/>
        <v>3.5459127648502798E-4</v>
      </c>
      <c r="K247" s="2"/>
      <c r="L247" s="7">
        <f t="shared" si="95"/>
        <v>-111</v>
      </c>
      <c r="M247" s="2"/>
      <c r="N247" s="6">
        <f t="shared" si="96"/>
        <v>-0.22981366459627328</v>
      </c>
      <c r="O247" s="11"/>
      <c r="P247" s="7">
        <v>9104.11</v>
      </c>
      <c r="Q247" s="2"/>
      <c r="R247" s="6">
        <f t="shared" si="97"/>
        <v>7.9921157396491778E-4</v>
      </c>
      <c r="S247" s="2"/>
      <c r="T247" s="7">
        <v>5813</v>
      </c>
      <c r="U247" s="2"/>
      <c r="V247" s="6">
        <f t="shared" si="98"/>
        <v>3.9305888840052199E-4</v>
      </c>
      <c r="W247" s="2"/>
      <c r="X247" s="7">
        <f t="shared" si="99"/>
        <v>3291.1100000000006</v>
      </c>
      <c r="Y247" s="2"/>
      <c r="Z247" s="6">
        <f t="shared" si="100"/>
        <v>0.56616377085842085</v>
      </c>
    </row>
    <row r="248" spans="1:26" s="24" customFormat="1" hidden="1" outlineLevel="2" x14ac:dyDescent="0.25">
      <c r="A248" s="26"/>
      <c r="B248" s="11" t="str">
        <f>CONCATENATE("          ", "6283", " - ", "PLANT SERVICE")</f>
        <v xml:space="preserve">          6283 - PLANT SERVICE</v>
      </c>
      <c r="C248" s="11"/>
      <c r="D248" s="7"/>
      <c r="E248" s="2"/>
      <c r="F248" s="6">
        <f t="shared" si="93"/>
        <v>0</v>
      </c>
      <c r="G248" s="2"/>
      <c r="H248" s="7">
        <v>60</v>
      </c>
      <c r="I248" s="2"/>
      <c r="J248" s="6">
        <f t="shared" si="94"/>
        <v>4.4048605774537638E-5</v>
      </c>
      <c r="K248" s="2"/>
      <c r="L248" s="7">
        <f t="shared" si="95"/>
        <v>-60</v>
      </c>
      <c r="M248" s="2"/>
      <c r="N248" s="6">
        <f t="shared" si="96"/>
        <v>-1</v>
      </c>
      <c r="O248" s="11"/>
      <c r="P248" s="7">
        <v>541.98</v>
      </c>
      <c r="Q248" s="2"/>
      <c r="R248" s="6">
        <f t="shared" si="97"/>
        <v>4.7578147546273726E-5</v>
      </c>
      <c r="S248" s="2"/>
      <c r="T248" s="7">
        <v>660</v>
      </c>
      <c r="U248" s="2"/>
      <c r="V248" s="6">
        <f t="shared" si="98"/>
        <v>4.4627363898906672E-5</v>
      </c>
      <c r="W248" s="2"/>
      <c r="X248" s="7">
        <f t="shared" si="99"/>
        <v>-118.01999999999998</v>
      </c>
      <c r="Y248" s="2"/>
      <c r="Z248" s="6">
        <f t="shared" si="100"/>
        <v>-0.17881818181818179</v>
      </c>
    </row>
    <row r="249" spans="1:26" s="24" customFormat="1" hidden="1" outlineLevel="2" x14ac:dyDescent="0.25">
      <c r="A249" s="26"/>
      <c r="B249" s="11" t="str">
        <f>CONCATENATE("          ", "6284", " - ", "TRASH REMOVAL EXPENSE")</f>
        <v xml:space="preserve">          6284 - TRASH REMOVAL EXPENSE</v>
      </c>
      <c r="C249" s="11"/>
      <c r="D249" s="7">
        <v>423.82</v>
      </c>
      <c r="E249" s="2"/>
      <c r="F249" s="6">
        <f t="shared" si="93"/>
        <v>1.6074575836880574E-3</v>
      </c>
      <c r="G249" s="2"/>
      <c r="H249" s="7">
        <v>212.5</v>
      </c>
      <c r="I249" s="2"/>
      <c r="J249" s="6">
        <f t="shared" si="94"/>
        <v>1.5600547878482079E-4</v>
      </c>
      <c r="K249" s="2"/>
      <c r="L249" s="7">
        <f t="shared" si="95"/>
        <v>211.32</v>
      </c>
      <c r="M249" s="2"/>
      <c r="N249" s="6">
        <f t="shared" si="96"/>
        <v>0.99444705882352935</v>
      </c>
      <c r="O249" s="11"/>
      <c r="P249" s="7">
        <v>4661.0200000000004</v>
      </c>
      <c r="Q249" s="2"/>
      <c r="R249" s="6">
        <f t="shared" si="97"/>
        <v>4.0917136661155909E-4</v>
      </c>
      <c r="S249" s="2"/>
      <c r="T249" s="7">
        <v>2337.5</v>
      </c>
      <c r="U249" s="2"/>
      <c r="V249" s="6">
        <f t="shared" si="98"/>
        <v>1.5805524714196113E-4</v>
      </c>
      <c r="W249" s="2"/>
      <c r="X249" s="7">
        <f t="shared" si="99"/>
        <v>2323.5200000000004</v>
      </c>
      <c r="Y249" s="2"/>
      <c r="Z249" s="6">
        <f t="shared" si="100"/>
        <v>0.99401925133689861</v>
      </c>
    </row>
    <row r="250" spans="1:26" s="24" customFormat="1" hidden="1" outlineLevel="2" x14ac:dyDescent="0.25">
      <c r="A250" s="26"/>
      <c r="B250" s="11" t="str">
        <f>CONCATENATE("          ", "6285", " - ", "JANITORIAL SERVICES")</f>
        <v xml:space="preserve">          6285 - JANITORIAL SERVICES</v>
      </c>
      <c r="C250" s="11"/>
      <c r="D250" s="7">
        <v>4375.66</v>
      </c>
      <c r="E250" s="2"/>
      <c r="F250" s="6">
        <f t="shared" si="93"/>
        <v>1.659593188297033E-2</v>
      </c>
      <c r="G250" s="2"/>
      <c r="H250" s="7">
        <v>4407</v>
      </c>
      <c r="I250" s="2"/>
      <c r="J250" s="6">
        <f t="shared" si="94"/>
        <v>3.2353700941397893E-3</v>
      </c>
      <c r="K250" s="2"/>
      <c r="L250" s="7">
        <f t="shared" si="95"/>
        <v>-31.340000000000146</v>
      </c>
      <c r="M250" s="2"/>
      <c r="N250" s="6">
        <f t="shared" si="96"/>
        <v>-7.1114136600862595E-3</v>
      </c>
      <c r="O250" s="11"/>
      <c r="P250" s="7">
        <v>47244.11</v>
      </c>
      <c r="Q250" s="2"/>
      <c r="R250" s="6">
        <f t="shared" si="97"/>
        <v>4.1473619621985791E-3</v>
      </c>
      <c r="S250" s="2"/>
      <c r="T250" s="7">
        <v>49158</v>
      </c>
      <c r="U250" s="2"/>
      <c r="V250" s="6">
        <f t="shared" si="98"/>
        <v>3.3239272038522033E-3</v>
      </c>
      <c r="W250" s="2"/>
      <c r="X250" s="7">
        <f t="shared" si="99"/>
        <v>-1913.8899999999994</v>
      </c>
      <c r="Y250" s="2"/>
      <c r="Z250" s="6">
        <f t="shared" si="100"/>
        <v>-3.8933439114691389E-2</v>
      </c>
    </row>
    <row r="251" spans="1:26" s="24" customFormat="1" hidden="1" outlineLevel="2" x14ac:dyDescent="0.25">
      <c r="A251" s="26"/>
      <c r="B251" s="11" t="str">
        <f>CONCATENATE("          ", "6286", " - ", "LAUNDRY EXPENSE")</f>
        <v xml:space="preserve">          6286 - LAUNDRY EXPENSE</v>
      </c>
      <c r="C251" s="11"/>
      <c r="D251" s="7">
        <v>129.53</v>
      </c>
      <c r="E251" s="2"/>
      <c r="F251" s="6">
        <f t="shared" si="93"/>
        <v>4.9127927142445871E-4</v>
      </c>
      <c r="G251" s="2"/>
      <c r="H251" s="7">
        <v>90</v>
      </c>
      <c r="I251" s="2"/>
      <c r="J251" s="6">
        <f t="shared" si="94"/>
        <v>6.6072908661806456E-5</v>
      </c>
      <c r="K251" s="2"/>
      <c r="L251" s="7">
        <f t="shared" si="95"/>
        <v>39.53</v>
      </c>
      <c r="M251" s="2"/>
      <c r="N251" s="6">
        <f t="shared" si="96"/>
        <v>0.43922222222222224</v>
      </c>
      <c r="O251" s="11"/>
      <c r="P251" s="7">
        <v>6187.17</v>
      </c>
      <c r="Q251" s="2"/>
      <c r="R251" s="6">
        <f t="shared" si="97"/>
        <v>5.4314566433056276E-4</v>
      </c>
      <c r="S251" s="2"/>
      <c r="T251" s="7">
        <v>855</v>
      </c>
      <c r="U251" s="2"/>
      <c r="V251" s="6">
        <f t="shared" si="98"/>
        <v>5.7812721414492734E-5</v>
      </c>
      <c r="W251" s="2"/>
      <c r="X251" s="7">
        <f t="shared" si="99"/>
        <v>5332.17</v>
      </c>
      <c r="Y251" s="2"/>
      <c r="Z251" s="6">
        <f t="shared" si="100"/>
        <v>6.2364561403508771</v>
      </c>
    </row>
    <row r="252" spans="1:26" s="27" customFormat="1" outlineLevel="1" collapsed="1" x14ac:dyDescent="0.25">
      <c r="A252" s="25"/>
      <c r="B252" s="12" t="str">
        <f>CONCATENATE("     ","Subscriptions &amp; Dues                              ")</f>
        <v xml:space="preserve">     Subscriptions &amp; Dues                              </v>
      </c>
      <c r="C252" s="12"/>
      <c r="D252" s="1">
        <f>SUM(OSRRefD22_21x_0)</f>
        <v>260</v>
      </c>
      <c r="E252" s="1"/>
      <c r="F252" s="5">
        <f t="shared" ref="F252:F254" si="101">IF(D$12=0,0,D252/D$12)</f>
        <v>9.8612375951794375E-4</v>
      </c>
      <c r="G252" s="1"/>
      <c r="H252" s="1">
        <f>SUM(OSRRefH22_21x_0)</f>
        <v>795</v>
      </c>
      <c r="I252" s="1"/>
      <c r="J252" s="5">
        <f t="shared" ref="J252:J254" si="102">IF(H$12=0,0,H252/H$12)</f>
        <v>5.8364402651262361E-4</v>
      </c>
      <c r="K252" s="1"/>
      <c r="L252" s="1">
        <f t="shared" ref="L252:L254" si="103">+D252-H252</f>
        <v>-535</v>
      </c>
      <c r="M252" s="1"/>
      <c r="N252" s="5">
        <f t="shared" ref="N252:N254" si="104">IF(H252=0,0,L252/H252)</f>
        <v>-0.67295597484276726</v>
      </c>
      <c r="O252" s="12"/>
      <c r="P252" s="1">
        <f>SUM(OSRRefP22_21x_0)</f>
        <v>8770.0499999999993</v>
      </c>
      <c r="Q252" s="1"/>
      <c r="R252" s="5">
        <f t="shared" ref="R252:R254" si="105">IF(P$12=0,0,P252/P$12)</f>
        <v>7.6988584982508183E-4</v>
      </c>
      <c r="S252" s="1"/>
      <c r="T252" s="1">
        <f>SUM(OSRRefT22_21x_0)</f>
        <v>22835</v>
      </c>
      <c r="U252" s="1"/>
      <c r="V252" s="5">
        <f t="shared" ref="V252:V254" si="106">IF(T$12=0,0,T252/T$12)</f>
        <v>1.5440391736841422E-3</v>
      </c>
      <c r="W252" s="1"/>
      <c r="X252" s="1">
        <f t="shared" ref="X252:X254" si="107">+P252-T252</f>
        <v>-14064.95</v>
      </c>
      <c r="Y252" s="1"/>
      <c r="Z252" s="5">
        <f t="shared" ref="Z252:Z254" si="108">IF(T252=0,0,X252/T252)</f>
        <v>-0.61593825268228597</v>
      </c>
    </row>
    <row r="253" spans="1:26" s="24" customFormat="1" hidden="1" outlineLevel="2" x14ac:dyDescent="0.25">
      <c r="A253" s="26"/>
      <c r="B253" s="11" t="str">
        <f>CONCATENATE("          ", "6258", " - ", "MEMBERSHIP DUES")</f>
        <v xml:space="preserve">          6258 - MEMBERSHIP DUES</v>
      </c>
      <c r="C253" s="11"/>
      <c r="D253" s="7">
        <v>260</v>
      </c>
      <c r="E253" s="2"/>
      <c r="F253" s="6">
        <f t="shared" si="101"/>
        <v>9.8612375951794375E-4</v>
      </c>
      <c r="G253" s="2"/>
      <c r="H253" s="7">
        <v>400</v>
      </c>
      <c r="I253" s="2"/>
      <c r="J253" s="6">
        <f t="shared" si="102"/>
        <v>2.936573718302509E-4</v>
      </c>
      <c r="K253" s="2"/>
      <c r="L253" s="7">
        <f t="shared" si="103"/>
        <v>-140</v>
      </c>
      <c r="M253" s="2"/>
      <c r="N253" s="6">
        <f t="shared" si="104"/>
        <v>-0.35</v>
      </c>
      <c r="O253" s="11"/>
      <c r="P253" s="7">
        <v>4566.41</v>
      </c>
      <c r="Q253" s="2"/>
      <c r="R253" s="6">
        <f t="shared" si="105"/>
        <v>4.0086595213251376E-4</v>
      </c>
      <c r="S253" s="2"/>
      <c r="T253" s="7">
        <v>15440</v>
      </c>
      <c r="U253" s="2"/>
      <c r="V253" s="6">
        <f t="shared" si="106"/>
        <v>1.0440098463623017E-3</v>
      </c>
      <c r="W253" s="2"/>
      <c r="X253" s="7">
        <f t="shared" si="107"/>
        <v>-10873.59</v>
      </c>
      <c r="Y253" s="2"/>
      <c r="Z253" s="6">
        <f t="shared" si="108"/>
        <v>-0.70424805699481863</v>
      </c>
    </row>
    <row r="254" spans="1:26" s="24" customFormat="1" hidden="1" outlineLevel="2" x14ac:dyDescent="0.25">
      <c r="A254" s="26"/>
      <c r="B254" s="11" t="str">
        <f>CONCATENATE("          ", "6275", " - ", "SUBSCRIPTIONS")</f>
        <v xml:space="preserve">          6275 - SUBSCRIPTIONS</v>
      </c>
      <c r="C254" s="11"/>
      <c r="D254" s="7"/>
      <c r="E254" s="2"/>
      <c r="F254" s="6">
        <f t="shared" si="101"/>
        <v>0</v>
      </c>
      <c r="G254" s="2"/>
      <c r="H254" s="7">
        <v>395</v>
      </c>
      <c r="I254" s="2"/>
      <c r="J254" s="6">
        <f t="shared" si="102"/>
        <v>2.8998665468237277E-4</v>
      </c>
      <c r="K254" s="2"/>
      <c r="L254" s="7">
        <f t="shared" si="103"/>
        <v>-395</v>
      </c>
      <c r="M254" s="2"/>
      <c r="N254" s="6">
        <f t="shared" si="104"/>
        <v>-1</v>
      </c>
      <c r="O254" s="11"/>
      <c r="P254" s="7">
        <v>4203.6400000000003</v>
      </c>
      <c r="Q254" s="2"/>
      <c r="R254" s="6">
        <f t="shared" si="105"/>
        <v>3.6901989769256817E-4</v>
      </c>
      <c r="S254" s="2"/>
      <c r="T254" s="7">
        <v>7395</v>
      </c>
      <c r="U254" s="2"/>
      <c r="V254" s="6">
        <f t="shared" si="106"/>
        <v>5.0002932732184067E-4</v>
      </c>
      <c r="W254" s="2"/>
      <c r="X254" s="7">
        <f t="shared" si="107"/>
        <v>-3191.3599999999997</v>
      </c>
      <c r="Y254" s="2"/>
      <c r="Z254" s="6">
        <f t="shared" si="108"/>
        <v>-0.43155645706558482</v>
      </c>
    </row>
    <row r="255" spans="1:26" s="27" customFormat="1" outlineLevel="1" collapsed="1" x14ac:dyDescent="0.25">
      <c r="A255" s="25"/>
      <c r="B255" s="12" t="str">
        <f>CONCATENATE("     ","Supplies                                          ")</f>
        <v xml:space="preserve">     Supplies                                          </v>
      </c>
      <c r="C255" s="12"/>
      <c r="D255" s="1">
        <f>SUM(OSRRefD22_22x_0)</f>
        <v>5232.17</v>
      </c>
      <c r="E255" s="1"/>
      <c r="F255" s="5">
        <f t="shared" ref="F255:F265" si="109">IF(D$12=0,0,D255/D$12)</f>
        <v>1.984448904168077E-2</v>
      </c>
      <c r="G255" s="1"/>
      <c r="H255" s="1">
        <f>SUM(OSRRefH22_22x_0)</f>
        <v>18115</v>
      </c>
      <c r="I255" s="1"/>
      <c r="J255" s="5">
        <f t="shared" ref="J255:J265" si="110">IF(H$12=0,0,H255/H$12)</f>
        <v>1.3299008226762488E-2</v>
      </c>
      <c r="K255" s="1"/>
      <c r="L255" s="1">
        <f t="shared" ref="L255:L265" si="111">+D255-H255</f>
        <v>-12882.83</v>
      </c>
      <c r="M255" s="1"/>
      <c r="N255" s="5">
        <f t="shared" ref="N255:N265" si="112">IF(H255=0,0,L255/H255)</f>
        <v>-0.71116919679823354</v>
      </c>
      <c r="O255" s="12"/>
      <c r="P255" s="1">
        <f>SUM(OSRRefP22_22x_0)</f>
        <v>143274.61999999997</v>
      </c>
      <c r="Q255" s="1"/>
      <c r="R255" s="5">
        <f t="shared" ref="R255:R265" si="113">IF(P$12=0,0,P255/P$12)</f>
        <v>1.257747704711668E-2</v>
      </c>
      <c r="S255" s="1"/>
      <c r="T255" s="1">
        <f>SUM(OSRRefT22_22x_0)</f>
        <v>228623</v>
      </c>
      <c r="U255" s="1"/>
      <c r="V255" s="5">
        <f t="shared" ref="V255:V265" si="114">IF(T$12=0,0,T255/T$12)</f>
        <v>1.5458851237363243E-2</v>
      </c>
      <c r="W255" s="1"/>
      <c r="X255" s="1">
        <f t="shared" ref="X255:X265" si="115">+P255-T255</f>
        <v>-85348.380000000034</v>
      </c>
      <c r="Y255" s="1"/>
      <c r="Z255" s="5">
        <f t="shared" ref="Z255:Z265" si="116">IF(T255=0,0,X255/T255)</f>
        <v>-0.37331493331817023</v>
      </c>
    </row>
    <row r="256" spans="1:26" s="24" customFormat="1" hidden="1" outlineLevel="2" x14ac:dyDescent="0.25">
      <c r="A256" s="26"/>
      <c r="B256" s="11" t="str">
        <f>CONCATENATE("          ", "6234", " - ", "EXPENDABLE SUPPLIES &amp; EQUIPMEN")</f>
        <v xml:space="preserve">          6234 - EXPENDABLE SUPPLIES &amp; EQUIPMEN</v>
      </c>
      <c r="C256" s="11"/>
      <c r="D256" s="7">
        <v>700.76</v>
      </c>
      <c r="E256" s="2"/>
      <c r="F256" s="6">
        <f t="shared" si="109"/>
        <v>2.657831098922286E-3</v>
      </c>
      <c r="G256" s="2"/>
      <c r="H256" s="7">
        <v>400</v>
      </c>
      <c r="I256" s="2"/>
      <c r="J256" s="6">
        <f t="shared" si="110"/>
        <v>2.936573718302509E-4</v>
      </c>
      <c r="K256" s="2"/>
      <c r="L256" s="7">
        <f t="shared" si="111"/>
        <v>300.76</v>
      </c>
      <c r="M256" s="2"/>
      <c r="N256" s="6">
        <f t="shared" si="112"/>
        <v>0.75190000000000001</v>
      </c>
      <c r="O256" s="11"/>
      <c r="P256" s="7">
        <v>5235.0200000000004</v>
      </c>
      <c r="Q256" s="2"/>
      <c r="R256" s="6">
        <f t="shared" si="113"/>
        <v>4.5956041545388004E-4</v>
      </c>
      <c r="S256" s="2"/>
      <c r="T256" s="7">
        <v>10250</v>
      </c>
      <c r="U256" s="2"/>
      <c r="V256" s="6">
        <f t="shared" si="114"/>
        <v>6.930764847936264E-4</v>
      </c>
      <c r="W256" s="2"/>
      <c r="X256" s="7">
        <f t="shared" si="115"/>
        <v>-5014.9799999999996</v>
      </c>
      <c r="Y256" s="2"/>
      <c r="Z256" s="6">
        <f t="shared" si="116"/>
        <v>-0.48926634146341458</v>
      </c>
    </row>
    <row r="257" spans="1:26" s="24" customFormat="1" hidden="1" outlineLevel="2" x14ac:dyDescent="0.25">
      <c r="A257" s="26"/>
      <c r="B257" s="11" t="str">
        <f>CONCATENATE("          ", "6235", " - ", "COVID-19 EXPENSES")</f>
        <v xml:space="preserve">          6235 - COVID-19 EXPENSES</v>
      </c>
      <c r="C257" s="11"/>
      <c r="D257" s="7">
        <v>1550</v>
      </c>
      <c r="E257" s="2"/>
      <c r="F257" s="6">
        <f t="shared" si="109"/>
        <v>5.8788147202031267E-3</v>
      </c>
      <c r="G257" s="2"/>
      <c r="H257" s="7"/>
      <c r="I257" s="2"/>
      <c r="J257" s="6">
        <f t="shared" si="110"/>
        <v>0</v>
      </c>
      <c r="K257" s="2"/>
      <c r="L257" s="7">
        <f t="shared" si="111"/>
        <v>1550</v>
      </c>
      <c r="M257" s="2"/>
      <c r="N257" s="6">
        <f t="shared" si="112"/>
        <v>0</v>
      </c>
      <c r="O257" s="11"/>
      <c r="P257" s="7">
        <v>1550</v>
      </c>
      <c r="Q257" s="2"/>
      <c r="R257" s="6">
        <f t="shared" si="113"/>
        <v>1.3606798903414199E-4</v>
      </c>
      <c r="S257" s="2"/>
      <c r="T257" s="7"/>
      <c r="U257" s="2"/>
      <c r="V257" s="6">
        <f t="shared" si="114"/>
        <v>0</v>
      </c>
      <c r="W257" s="2"/>
      <c r="X257" s="7">
        <f t="shared" si="115"/>
        <v>1550</v>
      </c>
      <c r="Y257" s="2"/>
      <c r="Z257" s="6">
        <f t="shared" si="116"/>
        <v>0</v>
      </c>
    </row>
    <row r="258" spans="1:26" s="24" customFormat="1" hidden="1" outlineLevel="2" x14ac:dyDescent="0.25">
      <c r="A258" s="26"/>
      <c r="B258" s="11" t="str">
        <f>CONCATENATE("          ", "6237", " - ", "JANITORIAL SUPPLIES")</f>
        <v xml:space="preserve">          6237 - JANITORIAL SUPPLIES</v>
      </c>
      <c r="C258" s="11"/>
      <c r="D258" s="7"/>
      <c r="E258" s="2"/>
      <c r="F258" s="6">
        <f t="shared" si="109"/>
        <v>0</v>
      </c>
      <c r="G258" s="2"/>
      <c r="H258" s="7">
        <v>145</v>
      </c>
      <c r="I258" s="2"/>
      <c r="J258" s="6">
        <f t="shared" si="110"/>
        <v>1.0645079728846595E-4</v>
      </c>
      <c r="K258" s="2"/>
      <c r="L258" s="7">
        <f t="shared" si="111"/>
        <v>-145</v>
      </c>
      <c r="M258" s="2"/>
      <c r="N258" s="6">
        <f t="shared" si="112"/>
        <v>-1</v>
      </c>
      <c r="O258" s="11"/>
      <c r="P258" s="7">
        <v>9724.01</v>
      </c>
      <c r="Q258" s="2"/>
      <c r="R258" s="6">
        <f t="shared" si="113"/>
        <v>8.5362999099863684E-4</v>
      </c>
      <c r="S258" s="2"/>
      <c r="T258" s="7">
        <v>1990</v>
      </c>
      <c r="U258" s="2"/>
      <c r="V258" s="6">
        <f t="shared" si="114"/>
        <v>1.3455826387700649E-4</v>
      </c>
      <c r="W258" s="2"/>
      <c r="X258" s="7">
        <f t="shared" si="115"/>
        <v>7734.01</v>
      </c>
      <c r="Y258" s="2"/>
      <c r="Z258" s="6">
        <f t="shared" si="116"/>
        <v>3.8864371859296485</v>
      </c>
    </row>
    <row r="259" spans="1:26" s="24" customFormat="1" hidden="1" outlineLevel="2" x14ac:dyDescent="0.25">
      <c r="A259" s="26"/>
      <c r="B259" s="11" t="str">
        <f>CONCATENATE("          ", "6239", " - ", "KITCHEN SUPPLIES")</f>
        <v xml:space="preserve">          6239 - KITCHEN SUPPLIES</v>
      </c>
      <c r="C259" s="11"/>
      <c r="D259" s="7"/>
      <c r="E259" s="2"/>
      <c r="F259" s="6">
        <f t="shared" si="109"/>
        <v>0</v>
      </c>
      <c r="G259" s="2"/>
      <c r="H259" s="7"/>
      <c r="I259" s="2"/>
      <c r="J259" s="6">
        <f t="shared" si="110"/>
        <v>0</v>
      </c>
      <c r="K259" s="2"/>
      <c r="L259" s="7">
        <f t="shared" si="111"/>
        <v>0</v>
      </c>
      <c r="M259" s="2"/>
      <c r="N259" s="6">
        <f t="shared" si="112"/>
        <v>0</v>
      </c>
      <c r="O259" s="11"/>
      <c r="P259" s="7">
        <v>441.2</v>
      </c>
      <c r="Q259" s="2"/>
      <c r="R259" s="6">
        <f t="shared" si="113"/>
        <v>3.873109468507319E-5</v>
      </c>
      <c r="S259" s="2"/>
      <c r="T259" s="7"/>
      <c r="U259" s="2"/>
      <c r="V259" s="6">
        <f t="shared" si="114"/>
        <v>0</v>
      </c>
      <c r="W259" s="2"/>
      <c r="X259" s="7">
        <f t="shared" si="115"/>
        <v>441.2</v>
      </c>
      <c r="Y259" s="2"/>
      <c r="Z259" s="6">
        <f t="shared" si="116"/>
        <v>0</v>
      </c>
    </row>
    <row r="260" spans="1:26" s="24" customFormat="1" hidden="1" outlineLevel="2" x14ac:dyDescent="0.25">
      <c r="A260" s="26"/>
      <c r="B260" s="11" t="str">
        <f>CONCATENATE("          ", "6241", " - ", "OFFICE EXPENSE")</f>
        <v xml:space="preserve">          6241 - OFFICE EXPENSE</v>
      </c>
      <c r="C260" s="11"/>
      <c r="D260" s="7">
        <v>1299.8699999999999</v>
      </c>
      <c r="E260" s="2"/>
      <c r="F260" s="6">
        <f t="shared" si="109"/>
        <v>4.9301257357099596E-3</v>
      </c>
      <c r="G260" s="2"/>
      <c r="H260" s="7">
        <v>1075</v>
      </c>
      <c r="I260" s="2"/>
      <c r="J260" s="6">
        <f t="shared" si="110"/>
        <v>7.8920418679379934E-4</v>
      </c>
      <c r="K260" s="2"/>
      <c r="L260" s="7">
        <f t="shared" si="111"/>
        <v>224.86999999999989</v>
      </c>
      <c r="M260" s="2"/>
      <c r="N260" s="6">
        <f t="shared" si="112"/>
        <v>0.20918139534883712</v>
      </c>
      <c r="O260" s="11"/>
      <c r="P260" s="7">
        <v>26757.759999999998</v>
      </c>
      <c r="Q260" s="2"/>
      <c r="R260" s="6">
        <f t="shared" si="113"/>
        <v>2.3489513511343245E-3</v>
      </c>
      <c r="S260" s="2"/>
      <c r="T260" s="7">
        <v>17280</v>
      </c>
      <c r="U260" s="2"/>
      <c r="V260" s="6">
        <f t="shared" si="114"/>
        <v>1.1684255275350112E-3</v>
      </c>
      <c r="W260" s="2"/>
      <c r="X260" s="7">
        <f t="shared" si="115"/>
        <v>9477.7599999999984</v>
      </c>
      <c r="Y260" s="2"/>
      <c r="Z260" s="6">
        <f t="shared" si="116"/>
        <v>0.54848148148148135</v>
      </c>
    </row>
    <row r="261" spans="1:26" s="24" customFormat="1" hidden="1" outlineLevel="2" x14ac:dyDescent="0.25">
      <c r="A261" s="26"/>
      <c r="B261" s="11" t="str">
        <f>CONCATENATE("          ", "6243", " - ", "PAPER SUPPLIES")</f>
        <v xml:space="preserve">          6243 - PAPER SUPPLIES</v>
      </c>
      <c r="C261" s="11"/>
      <c r="D261" s="7">
        <v>50.85</v>
      </c>
      <c r="E261" s="2"/>
      <c r="F261" s="6">
        <f t="shared" si="109"/>
        <v>1.928630506595671E-4</v>
      </c>
      <c r="G261" s="2"/>
      <c r="H261" s="7">
        <v>250</v>
      </c>
      <c r="I261" s="2"/>
      <c r="J261" s="6">
        <f t="shared" si="110"/>
        <v>1.8353585739390682E-4</v>
      </c>
      <c r="K261" s="2"/>
      <c r="L261" s="7">
        <f t="shared" si="111"/>
        <v>-199.15</v>
      </c>
      <c r="M261" s="2"/>
      <c r="N261" s="6">
        <f t="shared" si="112"/>
        <v>-0.79659999999999997</v>
      </c>
      <c r="O261" s="11"/>
      <c r="P261" s="7">
        <v>22904.129999999997</v>
      </c>
      <c r="Q261" s="2"/>
      <c r="R261" s="6">
        <f t="shared" si="113"/>
        <v>2.0106573610816532E-3</v>
      </c>
      <c r="S261" s="2"/>
      <c r="T261" s="7">
        <v>3750</v>
      </c>
      <c r="U261" s="2"/>
      <c r="V261" s="6">
        <f t="shared" si="114"/>
        <v>2.5356456760742429E-4</v>
      </c>
      <c r="W261" s="2"/>
      <c r="X261" s="7">
        <f t="shared" si="115"/>
        <v>19154.129999999997</v>
      </c>
      <c r="Y261" s="2"/>
      <c r="Z261" s="6">
        <f t="shared" si="116"/>
        <v>5.1077679999999992</v>
      </c>
    </row>
    <row r="262" spans="1:26" s="24" customFormat="1" hidden="1" outlineLevel="2" x14ac:dyDescent="0.25">
      <c r="A262" s="26"/>
      <c r="B262" s="11" t="str">
        <f>CONCATENATE("          ", "6244", " - ", "SAFETY SUPPLY EXPENSE")</f>
        <v xml:space="preserve">          6244 - SAFETY SUPPLY EXPENSE</v>
      </c>
      <c r="C262" s="11"/>
      <c r="D262" s="7"/>
      <c r="E262" s="2"/>
      <c r="F262" s="6">
        <f t="shared" si="109"/>
        <v>0</v>
      </c>
      <c r="G262" s="2"/>
      <c r="H262" s="7"/>
      <c r="I262" s="2"/>
      <c r="J262" s="6">
        <f t="shared" si="110"/>
        <v>0</v>
      </c>
      <c r="K262" s="2"/>
      <c r="L262" s="7">
        <f t="shared" si="111"/>
        <v>0</v>
      </c>
      <c r="M262" s="2"/>
      <c r="N262" s="6">
        <f t="shared" si="112"/>
        <v>0</v>
      </c>
      <c r="O262" s="11"/>
      <c r="P262" s="7"/>
      <c r="Q262" s="2"/>
      <c r="R262" s="6">
        <f t="shared" si="113"/>
        <v>0</v>
      </c>
      <c r="S262" s="2"/>
      <c r="T262" s="7">
        <v>30</v>
      </c>
      <c r="U262" s="2"/>
      <c r="V262" s="6">
        <f t="shared" si="114"/>
        <v>2.0285165408593941E-6</v>
      </c>
      <c r="W262" s="2"/>
      <c r="X262" s="7">
        <f t="shared" si="115"/>
        <v>-30</v>
      </c>
      <c r="Y262" s="2"/>
      <c r="Z262" s="6">
        <f t="shared" si="116"/>
        <v>-1</v>
      </c>
    </row>
    <row r="263" spans="1:26" s="24" customFormat="1" hidden="1" outlineLevel="2" x14ac:dyDescent="0.25">
      <c r="A263" s="26"/>
      <c r="B263" s="11" t="str">
        <f>CONCATENATE("          ", "6245", " - ", "PRINTING")</f>
        <v xml:space="preserve">          6245 - PRINTING</v>
      </c>
      <c r="C263" s="11"/>
      <c r="D263" s="7">
        <v>66.150000000000006</v>
      </c>
      <c r="E263" s="2"/>
      <c r="F263" s="6">
        <f t="shared" si="109"/>
        <v>2.5089264112350765E-4</v>
      </c>
      <c r="G263" s="2"/>
      <c r="H263" s="7">
        <v>500</v>
      </c>
      <c r="I263" s="2"/>
      <c r="J263" s="6">
        <f t="shared" si="110"/>
        <v>3.6707171478781364E-4</v>
      </c>
      <c r="K263" s="2"/>
      <c r="L263" s="7">
        <f t="shared" si="111"/>
        <v>-433.85</v>
      </c>
      <c r="M263" s="2"/>
      <c r="N263" s="6">
        <f t="shared" si="112"/>
        <v>-0.86770000000000003</v>
      </c>
      <c r="O263" s="11"/>
      <c r="P263" s="7">
        <v>10709.34</v>
      </c>
      <c r="Q263" s="2"/>
      <c r="R263" s="6">
        <f t="shared" si="113"/>
        <v>9.4012797269864398E-4</v>
      </c>
      <c r="S263" s="2"/>
      <c r="T263" s="7">
        <v>2700</v>
      </c>
      <c r="U263" s="2"/>
      <c r="V263" s="6">
        <f t="shared" si="114"/>
        <v>1.825664886773455E-4</v>
      </c>
      <c r="W263" s="2"/>
      <c r="X263" s="7">
        <f t="shared" si="115"/>
        <v>8009.34</v>
      </c>
      <c r="Y263" s="2"/>
      <c r="Z263" s="6">
        <f t="shared" si="116"/>
        <v>2.9664222222222221</v>
      </c>
    </row>
    <row r="264" spans="1:26" s="24" customFormat="1" hidden="1" outlineLevel="2" x14ac:dyDescent="0.25">
      <c r="A264" s="26"/>
      <c r="B264" s="11" t="str">
        <f>CONCATENATE("          ", "6247", " - ", "STORE SUPPLIES")</f>
        <v xml:space="preserve">          6247 - STORE SUPPLIES</v>
      </c>
      <c r="C264" s="11"/>
      <c r="D264" s="7">
        <v>1523.47</v>
      </c>
      <c r="E264" s="2"/>
      <c r="F264" s="6">
        <f t="shared" si="109"/>
        <v>5.7781921688953922E-3</v>
      </c>
      <c r="G264" s="2"/>
      <c r="H264" s="7">
        <v>14745</v>
      </c>
      <c r="I264" s="2"/>
      <c r="J264" s="6">
        <f t="shared" si="110"/>
        <v>1.0824944869092624E-2</v>
      </c>
      <c r="K264" s="2"/>
      <c r="L264" s="7">
        <f t="shared" si="111"/>
        <v>-13221.53</v>
      </c>
      <c r="M264" s="2"/>
      <c r="N264" s="6">
        <f t="shared" si="112"/>
        <v>-0.89667887419464232</v>
      </c>
      <c r="O264" s="11"/>
      <c r="P264" s="7">
        <v>65715.069999999992</v>
      </c>
      <c r="Q264" s="2"/>
      <c r="R264" s="6">
        <f t="shared" si="113"/>
        <v>5.7688499510566921E-3</v>
      </c>
      <c r="S264" s="2"/>
      <c r="T264" s="7">
        <v>180523</v>
      </c>
      <c r="U264" s="2"/>
      <c r="V264" s="6">
        <f t="shared" si="114"/>
        <v>1.2206463050185348E-2</v>
      </c>
      <c r="W264" s="2"/>
      <c r="X264" s="7">
        <f t="shared" si="115"/>
        <v>-114807.93000000001</v>
      </c>
      <c r="Y264" s="2"/>
      <c r="Z264" s="6">
        <f t="shared" si="116"/>
        <v>-0.63597397561529556</v>
      </c>
    </row>
    <row r="265" spans="1:26" s="24" customFormat="1" hidden="1" outlineLevel="2" x14ac:dyDescent="0.25">
      <c r="A265" s="26"/>
      <c r="B265" s="11" t="str">
        <f>CONCATENATE("          ", "6248", " - ", "UNIFORMS")</f>
        <v xml:space="preserve">          6248 - UNIFORMS</v>
      </c>
      <c r="C265" s="11"/>
      <c r="D265" s="7">
        <v>41.07</v>
      </c>
      <c r="E265" s="2"/>
      <c r="F265" s="6">
        <f t="shared" si="109"/>
        <v>1.5576962616693058E-4</v>
      </c>
      <c r="G265" s="2"/>
      <c r="H265" s="7">
        <v>1000</v>
      </c>
      <c r="I265" s="2"/>
      <c r="J265" s="6">
        <f t="shared" si="110"/>
        <v>7.3414342957562728E-4</v>
      </c>
      <c r="K265" s="2"/>
      <c r="L265" s="7">
        <f t="shared" si="111"/>
        <v>-958.93</v>
      </c>
      <c r="M265" s="2"/>
      <c r="N265" s="6">
        <f t="shared" si="112"/>
        <v>-0.95892999999999995</v>
      </c>
      <c r="O265" s="11"/>
      <c r="P265" s="7">
        <v>238.09</v>
      </c>
      <c r="Q265" s="2"/>
      <c r="R265" s="6">
        <f t="shared" si="113"/>
        <v>2.0900920973637979E-5</v>
      </c>
      <c r="S265" s="2"/>
      <c r="T265" s="7">
        <v>12100</v>
      </c>
      <c r="U265" s="2"/>
      <c r="V265" s="6">
        <f t="shared" si="114"/>
        <v>8.1816833814662233E-4</v>
      </c>
      <c r="W265" s="2"/>
      <c r="X265" s="7">
        <f t="shared" si="115"/>
        <v>-11861.91</v>
      </c>
      <c r="Y265" s="2"/>
      <c r="Z265" s="6">
        <f t="shared" si="116"/>
        <v>-0.98032314049586777</v>
      </c>
    </row>
    <row r="266" spans="1:26" s="27" customFormat="1" outlineLevel="1" collapsed="1" x14ac:dyDescent="0.25">
      <c r="A266" s="25"/>
      <c r="B266" s="12" t="str">
        <f>CONCATENATE("     ","Telephone/Data Lines                              ")</f>
        <v xml:space="preserve">     Telephone/Data Lines                              </v>
      </c>
      <c r="C266" s="12"/>
      <c r="D266" s="1">
        <f>SUM(OSRRefD22_23x_0)</f>
        <v>3139.38</v>
      </c>
      <c r="E266" s="1"/>
      <c r="F266" s="5">
        <f t="shared" ref="F266:F268" si="117">IF(D$12=0,0,D266/D$12)</f>
        <v>1.1906989262136318E-2</v>
      </c>
      <c r="G266" s="1"/>
      <c r="H266" s="1">
        <f>SUM(OSRRefH22_23x_0)</f>
        <v>2880</v>
      </c>
      <c r="I266" s="1"/>
      <c r="J266" s="5">
        <f t="shared" ref="J266:J268" si="118">IF(H$12=0,0,H266/H$12)</f>
        <v>2.1143330771778066E-3</v>
      </c>
      <c r="K266" s="1"/>
      <c r="L266" s="1">
        <f t="shared" ref="L266:L268" si="119">+D266-H266</f>
        <v>259.38000000000011</v>
      </c>
      <c r="M266" s="1"/>
      <c r="N266" s="5">
        <f t="shared" ref="N266:N268" si="120">IF(H266=0,0,L266/H266)</f>
        <v>9.0062500000000031E-2</v>
      </c>
      <c r="O266" s="12"/>
      <c r="P266" s="1">
        <f>SUM(OSRRefP22_23x_0)</f>
        <v>32233.14</v>
      </c>
      <c r="Q266" s="1"/>
      <c r="R266" s="5">
        <f t="shared" ref="R266:R268" si="121">IF(P$12=0,0,P266/P$12)</f>
        <v>2.8296119613264279E-3</v>
      </c>
      <c r="S266" s="1"/>
      <c r="T266" s="1">
        <f>SUM(OSRRefT22_23x_0)</f>
        <v>35505</v>
      </c>
      <c r="U266" s="1"/>
      <c r="V266" s="5">
        <f t="shared" ref="V266:V268" si="122">IF(T$12=0,0,T266/T$12)</f>
        <v>2.4007493261070934E-3</v>
      </c>
      <c r="W266" s="1"/>
      <c r="X266" s="1">
        <f t="shared" ref="X266:X268" si="123">+P266-T266</f>
        <v>-3271.8600000000006</v>
      </c>
      <c r="Y266" s="1"/>
      <c r="Z266" s="5">
        <f t="shared" ref="Z266:Z268" si="124">IF(T266=0,0,X266/T266)</f>
        <v>-9.2152091254752863E-2</v>
      </c>
    </row>
    <row r="267" spans="1:26" s="24" customFormat="1" hidden="1" outlineLevel="2" x14ac:dyDescent="0.25">
      <c r="A267" s="26"/>
      <c r="B267" s="11" t="str">
        <f>CONCATENATE("          ", "6303", " - ", "DATA PHONE LINES")</f>
        <v xml:space="preserve">          6303 - DATA PHONE LINES</v>
      </c>
      <c r="C267" s="11"/>
      <c r="D267" s="7">
        <v>590</v>
      </c>
      <c r="E267" s="2"/>
      <c r="F267" s="6">
        <f t="shared" si="117"/>
        <v>2.2377423773676419E-3</v>
      </c>
      <c r="G267" s="2"/>
      <c r="H267" s="7">
        <v>950</v>
      </c>
      <c r="I267" s="2"/>
      <c r="J267" s="6">
        <f t="shared" si="118"/>
        <v>6.9743625809684593E-4</v>
      </c>
      <c r="K267" s="2"/>
      <c r="L267" s="7">
        <f t="shared" si="119"/>
        <v>-360</v>
      </c>
      <c r="M267" s="2"/>
      <c r="N267" s="6">
        <f t="shared" si="120"/>
        <v>-0.37894736842105264</v>
      </c>
      <c r="O267" s="11"/>
      <c r="P267" s="7">
        <v>2950</v>
      </c>
      <c r="Q267" s="2"/>
      <c r="R267" s="6">
        <f t="shared" si="121"/>
        <v>2.5896810816175412E-4</v>
      </c>
      <c r="S267" s="2"/>
      <c r="T267" s="7">
        <v>11775</v>
      </c>
      <c r="U267" s="2"/>
      <c r="V267" s="6">
        <f t="shared" si="122"/>
        <v>7.9619274228731227E-4</v>
      </c>
      <c r="W267" s="2"/>
      <c r="X267" s="7">
        <f t="shared" si="123"/>
        <v>-8825</v>
      </c>
      <c r="Y267" s="2"/>
      <c r="Z267" s="6">
        <f t="shared" si="124"/>
        <v>-0.74946921443736725</v>
      </c>
    </row>
    <row r="268" spans="1:26" s="24" customFormat="1" hidden="1" outlineLevel="2" x14ac:dyDescent="0.25">
      <c r="A268" s="26"/>
      <c r="B268" s="11" t="str">
        <f>CONCATENATE("          ", "6309", " - ", "TELEPHONE")</f>
        <v xml:space="preserve">          6309 - TELEPHONE</v>
      </c>
      <c r="C268" s="11"/>
      <c r="D268" s="7">
        <v>2549.38</v>
      </c>
      <c r="E268" s="2"/>
      <c r="F268" s="6">
        <f t="shared" si="117"/>
        <v>9.6692468847686761E-3</v>
      </c>
      <c r="G268" s="2"/>
      <c r="H268" s="7">
        <v>1930</v>
      </c>
      <c r="I268" s="2"/>
      <c r="J268" s="6">
        <f t="shared" si="118"/>
        <v>1.4168968190809606E-3</v>
      </c>
      <c r="K268" s="2"/>
      <c r="L268" s="7">
        <f t="shared" si="119"/>
        <v>619.38000000000011</v>
      </c>
      <c r="M268" s="2"/>
      <c r="N268" s="6">
        <f t="shared" si="120"/>
        <v>0.32092227979274618</v>
      </c>
      <c r="O268" s="11"/>
      <c r="P268" s="7">
        <v>29283.14</v>
      </c>
      <c r="Q268" s="2"/>
      <c r="R268" s="6">
        <f t="shared" si="121"/>
        <v>2.570643853164674E-3</v>
      </c>
      <c r="S268" s="2"/>
      <c r="T268" s="7">
        <v>23730</v>
      </c>
      <c r="U268" s="2"/>
      <c r="V268" s="6">
        <f t="shared" si="122"/>
        <v>1.604556583819781E-3</v>
      </c>
      <c r="W268" s="2"/>
      <c r="X268" s="7">
        <f t="shared" si="123"/>
        <v>5553.1399999999994</v>
      </c>
      <c r="Y268" s="2"/>
      <c r="Z268" s="6">
        <f t="shared" si="124"/>
        <v>0.23401348504003369</v>
      </c>
    </row>
    <row r="269" spans="1:26" s="27" customFormat="1" outlineLevel="1" collapsed="1" x14ac:dyDescent="0.25">
      <c r="A269" s="25"/>
      <c r="B269" s="12" t="str">
        <f>CONCATENATE("     ","Training                                          ")</f>
        <v xml:space="preserve">     Training                                          </v>
      </c>
      <c r="C269" s="12"/>
      <c r="D269" s="1">
        <f>SUM(OSRRefD22_24x_0)</f>
        <v>2140.13</v>
      </c>
      <c r="E269" s="1"/>
      <c r="F269" s="5">
        <f t="shared" ref="F269:F274" si="125">IF(D$12=0,0,D269/D$12)</f>
        <v>8.1170501594505281E-3</v>
      </c>
      <c r="G269" s="1"/>
      <c r="H269" s="1">
        <f>SUM(OSRRefH22_24x_0)</f>
        <v>1300</v>
      </c>
      <c r="I269" s="1"/>
      <c r="J269" s="5">
        <f t="shared" ref="J269:J274" si="126">IF(H$12=0,0,H269/H$12)</f>
        <v>9.5438645844831544E-4</v>
      </c>
      <c r="K269" s="1"/>
      <c r="L269" s="1">
        <f t="shared" ref="L269:L274" si="127">+D269-H269</f>
        <v>840.13000000000011</v>
      </c>
      <c r="M269" s="1"/>
      <c r="N269" s="5">
        <f t="shared" ref="N269:N274" si="128">IF(H269=0,0,L269/H269)</f>
        <v>0.64625384615384629</v>
      </c>
      <c r="O269" s="12"/>
      <c r="P269" s="1">
        <f>SUM(OSRRefP22_24x_0)</f>
        <v>23967.01</v>
      </c>
      <c r="Q269" s="1"/>
      <c r="R269" s="5">
        <f t="shared" ref="R269:R274" si="129">IF(P$12=0,0,P269/P$12)</f>
        <v>2.1039631315233364E-3</v>
      </c>
      <c r="S269" s="1"/>
      <c r="T269" s="1">
        <f>SUM(OSRRefT22_24x_0)</f>
        <v>30400</v>
      </c>
      <c r="U269" s="1"/>
      <c r="V269" s="5">
        <f t="shared" ref="V269:V274" si="130">IF(T$12=0,0,T269/T$12)</f>
        <v>2.0555634280708529E-3</v>
      </c>
      <c r="W269" s="1"/>
      <c r="X269" s="1">
        <f t="shared" ref="X269:X274" si="131">+P269-T269</f>
        <v>-6432.9900000000016</v>
      </c>
      <c r="Y269" s="1"/>
      <c r="Z269" s="5">
        <f t="shared" ref="Z269:Z274" si="132">IF(T269=0,0,X269/T269)</f>
        <v>-0.21161151315789478</v>
      </c>
    </row>
    <row r="270" spans="1:26" s="24" customFormat="1" hidden="1" outlineLevel="2" x14ac:dyDescent="0.25">
      <c r="A270" s="26"/>
      <c r="B270" s="11" t="str">
        <f>CONCATENATE("          ", "6376", " - ", "TRAINING")</f>
        <v xml:space="preserve">          6376 - TRAINING</v>
      </c>
      <c r="C270" s="11"/>
      <c r="D270" s="7">
        <v>2140.13</v>
      </c>
      <c r="E270" s="2"/>
      <c r="F270" s="6">
        <f t="shared" si="125"/>
        <v>8.1170501594505281E-3</v>
      </c>
      <c r="G270" s="2"/>
      <c r="H270" s="7">
        <v>1300</v>
      </c>
      <c r="I270" s="2"/>
      <c r="J270" s="6">
        <f t="shared" si="126"/>
        <v>9.5438645844831544E-4</v>
      </c>
      <c r="K270" s="2"/>
      <c r="L270" s="7">
        <f t="shared" si="127"/>
        <v>840.13000000000011</v>
      </c>
      <c r="M270" s="2"/>
      <c r="N270" s="6">
        <f t="shared" si="128"/>
        <v>0.64625384615384629</v>
      </c>
      <c r="O270" s="11"/>
      <c r="P270" s="7">
        <v>23967.01</v>
      </c>
      <c r="Q270" s="2"/>
      <c r="R270" s="6">
        <f t="shared" si="129"/>
        <v>2.1039631315233364E-3</v>
      </c>
      <c r="S270" s="2"/>
      <c r="T270" s="7">
        <v>30400</v>
      </c>
      <c r="U270" s="2"/>
      <c r="V270" s="6">
        <f t="shared" si="130"/>
        <v>2.0555634280708529E-3</v>
      </c>
      <c r="W270" s="2"/>
      <c r="X270" s="7">
        <f t="shared" si="131"/>
        <v>-6432.9900000000016</v>
      </c>
      <c r="Y270" s="2"/>
      <c r="Z270" s="6">
        <f t="shared" si="132"/>
        <v>-0.21161151315789478</v>
      </c>
    </row>
    <row r="271" spans="1:26" s="27" customFormat="1" outlineLevel="1" collapsed="1" x14ac:dyDescent="0.25">
      <c r="A271" s="25"/>
      <c r="B271" s="12" t="str">
        <f>CONCATENATE("     ","Travel                                            ")</f>
        <v xml:space="preserve">     Travel                                            </v>
      </c>
      <c r="C271" s="12"/>
      <c r="D271" s="1">
        <f>SUM(OSRRefD22_25x_0)</f>
        <v>0</v>
      </c>
      <c r="E271" s="1"/>
      <c r="F271" s="5">
        <f t="shared" si="125"/>
        <v>0</v>
      </c>
      <c r="G271" s="1"/>
      <c r="H271" s="1">
        <f>SUM(OSRRefH22_25x_0)</f>
        <v>100</v>
      </c>
      <c r="I271" s="1"/>
      <c r="J271" s="5">
        <f t="shared" si="126"/>
        <v>7.3414342957562725E-5</v>
      </c>
      <c r="K271" s="1"/>
      <c r="L271" s="1">
        <f t="shared" si="127"/>
        <v>-100</v>
      </c>
      <c r="M271" s="1"/>
      <c r="N271" s="5">
        <f t="shared" si="128"/>
        <v>-1</v>
      </c>
      <c r="O271" s="12"/>
      <c r="P271" s="1">
        <f>SUM(OSRRefP22_25x_0)</f>
        <v>1383.79</v>
      </c>
      <c r="Q271" s="1"/>
      <c r="R271" s="5">
        <f t="shared" si="129"/>
        <v>1.2147711131971312E-4</v>
      </c>
      <c r="S271" s="1"/>
      <c r="T271" s="1">
        <f>SUM(OSRRefT22_25x_0)</f>
        <v>2635</v>
      </c>
      <c r="U271" s="1"/>
      <c r="V271" s="5">
        <f t="shared" si="130"/>
        <v>1.7817136950548347E-4</v>
      </c>
      <c r="W271" s="1"/>
      <c r="X271" s="1">
        <f t="shared" si="131"/>
        <v>-1251.21</v>
      </c>
      <c r="Y271" s="1"/>
      <c r="Z271" s="5">
        <f t="shared" si="132"/>
        <v>-0.47484250474383305</v>
      </c>
    </row>
    <row r="272" spans="1:26" s="24" customFormat="1" hidden="1" outlineLevel="2" x14ac:dyDescent="0.25">
      <c r="A272" s="26"/>
      <c r="B272" s="11" t="str">
        <f>CONCATENATE("          ", "6292", " - ", "TRAVEL/CONFERENCE")</f>
        <v xml:space="preserve">          6292 - TRAVEL/CONFERENCE</v>
      </c>
      <c r="C272" s="11"/>
      <c r="D272" s="7"/>
      <c r="E272" s="2"/>
      <c r="F272" s="6">
        <f t="shared" si="125"/>
        <v>0</v>
      </c>
      <c r="G272" s="2"/>
      <c r="H272" s="7"/>
      <c r="I272" s="2"/>
      <c r="J272" s="6">
        <f t="shared" si="126"/>
        <v>0</v>
      </c>
      <c r="K272" s="2"/>
      <c r="L272" s="7">
        <f t="shared" si="127"/>
        <v>0</v>
      </c>
      <c r="M272" s="2"/>
      <c r="N272" s="6">
        <f t="shared" si="128"/>
        <v>0</v>
      </c>
      <c r="O272" s="11"/>
      <c r="P272" s="7">
        <v>504.66</v>
      </c>
      <c r="Q272" s="2"/>
      <c r="R272" s="6">
        <f t="shared" si="129"/>
        <v>4.4301981513529098E-5</v>
      </c>
      <c r="S272" s="2"/>
      <c r="T272" s="7">
        <v>1000</v>
      </c>
      <c r="U272" s="2"/>
      <c r="V272" s="6">
        <f t="shared" si="130"/>
        <v>6.7617218028646474E-5</v>
      </c>
      <c r="W272" s="2"/>
      <c r="X272" s="7">
        <f t="shared" si="131"/>
        <v>-495.34</v>
      </c>
      <c r="Y272" s="2"/>
      <c r="Z272" s="6">
        <f t="shared" si="132"/>
        <v>-0.49534</v>
      </c>
    </row>
    <row r="273" spans="1:26" s="24" customFormat="1" hidden="1" outlineLevel="2" x14ac:dyDescent="0.25">
      <c r="A273" s="26"/>
      <c r="B273" s="11" t="str">
        <f>CONCATENATE("          ", "6294", " - ", "TRAVEL OPERATIONAL")</f>
        <v xml:space="preserve">          6294 - TRAVEL OPERATIONAL</v>
      </c>
      <c r="C273" s="11"/>
      <c r="D273" s="7"/>
      <c r="E273" s="2"/>
      <c r="F273" s="6">
        <f t="shared" si="125"/>
        <v>0</v>
      </c>
      <c r="G273" s="2"/>
      <c r="H273" s="7">
        <v>100</v>
      </c>
      <c r="I273" s="2"/>
      <c r="J273" s="6">
        <f t="shared" si="126"/>
        <v>7.3414342957562725E-5</v>
      </c>
      <c r="K273" s="2"/>
      <c r="L273" s="7">
        <f t="shared" si="127"/>
        <v>-100</v>
      </c>
      <c r="M273" s="2"/>
      <c r="N273" s="6">
        <f t="shared" si="128"/>
        <v>-1</v>
      </c>
      <c r="O273" s="11"/>
      <c r="P273" s="7">
        <v>361.61</v>
      </c>
      <c r="Q273" s="2"/>
      <c r="R273" s="6">
        <f t="shared" si="129"/>
        <v>3.174422291266844E-5</v>
      </c>
      <c r="S273" s="2"/>
      <c r="T273" s="7">
        <v>1085</v>
      </c>
      <c r="U273" s="2"/>
      <c r="V273" s="6">
        <f t="shared" si="130"/>
        <v>7.3364681561081428E-5</v>
      </c>
      <c r="W273" s="2"/>
      <c r="X273" s="7">
        <f t="shared" si="131"/>
        <v>-723.39</v>
      </c>
      <c r="Y273" s="2"/>
      <c r="Z273" s="6">
        <f t="shared" si="132"/>
        <v>-0.66671889400921658</v>
      </c>
    </row>
    <row r="274" spans="1:26" s="24" customFormat="1" hidden="1" outlineLevel="2" x14ac:dyDescent="0.25">
      <c r="A274" s="26"/>
      <c r="B274" s="11" t="str">
        <f>CONCATENATE("          ", "6298", " - ", "VEHICLE MILEAGE")</f>
        <v xml:space="preserve">          6298 - VEHICLE MILEAGE</v>
      </c>
      <c r="C274" s="11"/>
      <c r="D274" s="7"/>
      <c r="E274" s="2"/>
      <c r="F274" s="6">
        <f t="shared" si="125"/>
        <v>0</v>
      </c>
      <c r="G274" s="2"/>
      <c r="H274" s="7"/>
      <c r="I274" s="2"/>
      <c r="J274" s="6">
        <f t="shared" si="126"/>
        <v>0</v>
      </c>
      <c r="K274" s="2"/>
      <c r="L274" s="7">
        <f t="shared" si="127"/>
        <v>0</v>
      </c>
      <c r="M274" s="2"/>
      <c r="N274" s="6">
        <f t="shared" si="128"/>
        <v>0</v>
      </c>
      <c r="O274" s="11"/>
      <c r="P274" s="7">
        <v>517.52</v>
      </c>
      <c r="Q274" s="2"/>
      <c r="R274" s="6">
        <f t="shared" si="129"/>
        <v>4.543090689351559E-5</v>
      </c>
      <c r="S274" s="2"/>
      <c r="T274" s="7">
        <v>550</v>
      </c>
      <c r="U274" s="2"/>
      <c r="V274" s="6">
        <f t="shared" si="130"/>
        <v>3.7189469915755565E-5</v>
      </c>
      <c r="W274" s="2"/>
      <c r="X274" s="7">
        <f t="shared" si="131"/>
        <v>-32.480000000000018</v>
      </c>
      <c r="Y274" s="2"/>
      <c r="Z274" s="6">
        <f t="shared" si="132"/>
        <v>-5.9054545454545485E-2</v>
      </c>
    </row>
    <row r="275" spans="1:26" s="27" customFormat="1" outlineLevel="1" collapsed="1" x14ac:dyDescent="0.25">
      <c r="A275" s="25"/>
      <c r="B275" s="12" t="str">
        <f>CONCATENATE("     ","Utilities                                         ")</f>
        <v xml:space="preserve">     Utilities                                         </v>
      </c>
      <c r="C275" s="12"/>
      <c r="D275" s="1">
        <f>SUM(OSRRefD22_26x_0)</f>
        <v>7268.43</v>
      </c>
      <c r="E275" s="1"/>
      <c r="F275" s="5">
        <f t="shared" ref="F275:F276" si="133">IF(D$12=0,0,D275/D$12)</f>
        <v>2.7567582759203881E-2</v>
      </c>
      <c r="G275" s="1"/>
      <c r="H275" s="1">
        <f>SUM(OSRRefH22_26x_0)</f>
        <v>6223</v>
      </c>
      <c r="I275" s="1"/>
      <c r="J275" s="5">
        <f t="shared" ref="J275:J276" si="134">IF(H$12=0,0,H275/H$12)</f>
        <v>4.5685745622491281E-3</v>
      </c>
      <c r="K275" s="1"/>
      <c r="L275" s="1">
        <f t="shared" ref="L275:L276" si="135">+D275-H275</f>
        <v>1045.4300000000003</v>
      </c>
      <c r="M275" s="1"/>
      <c r="N275" s="5">
        <f t="shared" ref="N275:N276" si="136">IF(H275=0,0,L275/H275)</f>
        <v>0.1679945363972361</v>
      </c>
      <c r="O275" s="12"/>
      <c r="P275" s="1">
        <f>SUM(OSRRefP22_26x_0)</f>
        <v>76968.51999999999</v>
      </c>
      <c r="Q275" s="1"/>
      <c r="R275" s="5">
        <f t="shared" ref="R275:R276" si="137">IF(P$12=0,0,P275/P$12)</f>
        <v>6.7567430550542823E-3</v>
      </c>
      <c r="S275" s="1"/>
      <c r="T275" s="1">
        <f>SUM(OSRRefT22_26x_0)</f>
        <v>71471</v>
      </c>
      <c r="U275" s="1"/>
      <c r="V275" s="5">
        <f t="shared" ref="V275:V276" si="138">IF(T$12=0,0,T275/T$12)</f>
        <v>4.8326701897253924E-3</v>
      </c>
      <c r="W275" s="1"/>
      <c r="X275" s="1">
        <f t="shared" ref="X275:X276" si="139">+P275-T275</f>
        <v>5497.5199999999895</v>
      </c>
      <c r="Y275" s="1"/>
      <c r="Z275" s="5">
        <f t="shared" ref="Z275:Z276" si="140">IF(T275=0,0,X275/T275)</f>
        <v>7.6919589763680227E-2</v>
      </c>
    </row>
    <row r="276" spans="1:26" s="24" customFormat="1" hidden="1" outlineLevel="2" x14ac:dyDescent="0.25">
      <c r="A276" s="26"/>
      <c r="B276" s="11" t="str">
        <f>CONCATENATE("          ", "6274", " - ", "UTILITIES")</f>
        <v xml:space="preserve">          6274 - UTILITIES</v>
      </c>
      <c r="C276" s="11"/>
      <c r="D276" s="7">
        <v>7268.43</v>
      </c>
      <c r="E276" s="2"/>
      <c r="F276" s="6">
        <f t="shared" si="133"/>
        <v>2.7567582759203881E-2</v>
      </c>
      <c r="G276" s="2"/>
      <c r="H276" s="7">
        <v>6223</v>
      </c>
      <c r="I276" s="2"/>
      <c r="J276" s="6">
        <f t="shared" si="134"/>
        <v>4.5685745622491281E-3</v>
      </c>
      <c r="K276" s="2"/>
      <c r="L276" s="7">
        <f t="shared" si="135"/>
        <v>1045.4300000000003</v>
      </c>
      <c r="M276" s="2"/>
      <c r="N276" s="6">
        <f t="shared" si="136"/>
        <v>0.1679945363972361</v>
      </c>
      <c r="O276" s="11"/>
      <c r="P276" s="7">
        <v>76968.51999999999</v>
      </c>
      <c r="Q276" s="2"/>
      <c r="R276" s="6">
        <f t="shared" si="137"/>
        <v>6.7567430550542823E-3</v>
      </c>
      <c r="S276" s="2"/>
      <c r="T276" s="7">
        <v>71471</v>
      </c>
      <c r="U276" s="2"/>
      <c r="V276" s="6">
        <f t="shared" si="138"/>
        <v>4.8326701897253924E-3</v>
      </c>
      <c r="W276" s="2"/>
      <c r="X276" s="7">
        <f t="shared" si="139"/>
        <v>5497.5199999999895</v>
      </c>
      <c r="Y276" s="2"/>
      <c r="Z276" s="6">
        <f t="shared" si="140"/>
        <v>7.6919589763680227E-2</v>
      </c>
    </row>
    <row r="277" spans="1:26" s="62" customFormat="1" x14ac:dyDescent="0.25">
      <c r="A277" s="36"/>
      <c r="B277" s="36"/>
      <c r="C277" s="36"/>
      <c r="D277" s="1"/>
      <c r="E277" s="1"/>
      <c r="F277" s="5"/>
      <c r="G277" s="1"/>
      <c r="H277" s="1"/>
      <c r="I277" s="1"/>
      <c r="J277" s="5"/>
      <c r="K277" s="1"/>
      <c r="L277" s="1"/>
      <c r="M277" s="1"/>
      <c r="N277" s="5"/>
      <c r="O277" s="36"/>
      <c r="P277" s="1"/>
      <c r="Q277" s="1"/>
      <c r="R277" s="5"/>
      <c r="S277" s="1"/>
      <c r="T277" s="1"/>
      <c r="U277" s="1"/>
      <c r="V277" s="5"/>
      <c r="W277" s="1"/>
      <c r="X277" s="1"/>
      <c r="Y277" s="1"/>
      <c r="Z277" s="5"/>
    </row>
    <row r="278" spans="1:26" s="23" customFormat="1" collapsed="1" x14ac:dyDescent="0.25">
      <c r="A278" s="10"/>
      <c r="B278" s="28" t="s">
        <v>0</v>
      </c>
      <c r="C278" s="10"/>
      <c r="D278" s="4">
        <f>SUM(OSRRefD25x_0)</f>
        <v>108077.11</v>
      </c>
      <c r="E278" s="4"/>
      <c r="F278" s="13">
        <f t="shared" ref="F278:F287" si="141">IF(D$12=0,0,D278/D$12)</f>
        <v>0.40991310011936294</v>
      </c>
      <c r="G278" s="4"/>
      <c r="H278" s="4">
        <f>SUM(OSRRefH25x_0)</f>
        <v>62175</v>
      </c>
      <c r="I278" s="4"/>
      <c r="J278" s="13">
        <f t="shared" ref="J278:J287" si="142">IF(H$12=0,0,H278/H$12)</f>
        <v>4.5645367733864621E-2</v>
      </c>
      <c r="K278" s="4"/>
      <c r="L278" s="4">
        <f t="shared" ref="L278:L287" si="143">+D278-H278</f>
        <v>45902.11</v>
      </c>
      <c r="M278" s="4"/>
      <c r="N278" s="13">
        <f t="shared" ref="N278:N287" si="144">IF(H278=0,0,L278/H278)</f>
        <v>0.73827277844792927</v>
      </c>
      <c r="O278" s="10"/>
      <c r="P278" s="4">
        <f>SUM(OSRRefP25x_0)</f>
        <v>1169105.1499999999</v>
      </c>
      <c r="Q278" s="4"/>
      <c r="R278" s="13">
        <f t="shared" ref="R278:R287" si="145">IF(P$12=0,0,P278/P$12)</f>
        <v>0.10263083014836059</v>
      </c>
      <c r="S278" s="4"/>
      <c r="T278" s="4">
        <f>SUM(OSRRefT25x_0)</f>
        <v>823375</v>
      </c>
      <c r="U278" s="4"/>
      <c r="V278" s="13">
        <f t="shared" ref="V278:V287" si="146">IF(T$12=0,0,T278/T$12)</f>
        <v>5.5674326894336795E-2</v>
      </c>
      <c r="W278" s="4"/>
      <c r="X278" s="4">
        <f t="shared" ref="X278:X287" si="147">+P278-T278</f>
        <v>345730.14999999991</v>
      </c>
      <c r="Y278" s="4"/>
      <c r="Z278" s="13">
        <f t="shared" ref="Z278:Z287" si="148">IF(T278=0,0,X278/T278)</f>
        <v>0.41989391225140416</v>
      </c>
    </row>
    <row r="279" spans="1:26" s="24" customFormat="1" hidden="1" outlineLevel="1" x14ac:dyDescent="0.25">
      <c r="A279" s="44"/>
      <c r="B279" s="11" t="str">
        <f>CONCATENATE("          ", "4098", " - ", "TAXABLE SALES-GRAD RENTALS")</f>
        <v xml:space="preserve">          4098 - TAXABLE SALES-GRAD RENTALS</v>
      </c>
      <c r="C279" s="11"/>
      <c r="D279" s="2">
        <f>-152</f>
        <v>-152</v>
      </c>
      <c r="E279" s="2"/>
      <c r="F279" s="19">
        <f t="shared" si="141"/>
        <v>-5.7650312094895172E-4</v>
      </c>
      <c r="G279" s="2"/>
      <c r="H279" s="2"/>
      <c r="I279" s="2"/>
      <c r="J279" s="19">
        <f t="shared" si="142"/>
        <v>0</v>
      </c>
      <c r="K279" s="2"/>
      <c r="L279" s="2">
        <f t="shared" si="143"/>
        <v>-152</v>
      </c>
      <c r="M279" s="2"/>
      <c r="N279" s="19">
        <f t="shared" si="144"/>
        <v>0</v>
      </c>
      <c r="O279" s="11"/>
      <c r="P279" s="2">
        <f>--1946.85</f>
        <v>1946.85</v>
      </c>
      <c r="Q279" s="2"/>
      <c r="R279" s="19">
        <f t="shared" si="145"/>
        <v>1.7090578351685118E-4</v>
      </c>
      <c r="S279" s="2"/>
      <c r="T279" s="2"/>
      <c r="U279" s="2"/>
      <c r="V279" s="19">
        <f t="shared" si="146"/>
        <v>0</v>
      </c>
      <c r="W279" s="2"/>
      <c r="X279" s="2">
        <f t="shared" si="147"/>
        <v>1946.85</v>
      </c>
      <c r="Y279" s="2"/>
      <c r="Z279" s="19">
        <f t="shared" si="148"/>
        <v>0</v>
      </c>
    </row>
    <row r="280" spans="1:26" s="24" customFormat="1" hidden="1" outlineLevel="1" x14ac:dyDescent="0.25">
      <c r="A280" s="44"/>
      <c r="B280" s="11" t="str">
        <f>CONCATENATE("          ", "4197", " - ", "NON-TAXABLE SALES-RETURNED CHE")</f>
        <v xml:space="preserve">          4197 - NON-TAXABLE SALES-RETURNED CHE</v>
      </c>
      <c r="C280" s="11"/>
      <c r="D280" s="2">
        <f>0</f>
        <v>0</v>
      </c>
      <c r="E280" s="2"/>
      <c r="F280" s="19">
        <f t="shared" si="141"/>
        <v>0</v>
      </c>
      <c r="G280" s="2"/>
      <c r="H280" s="2"/>
      <c r="I280" s="2"/>
      <c r="J280" s="19">
        <f t="shared" si="142"/>
        <v>0</v>
      </c>
      <c r="K280" s="2"/>
      <c r="L280" s="2">
        <f t="shared" si="143"/>
        <v>0</v>
      </c>
      <c r="M280" s="2"/>
      <c r="N280" s="19">
        <f t="shared" si="144"/>
        <v>0</v>
      </c>
      <c r="O280" s="11"/>
      <c r="P280" s="2">
        <f>--30</f>
        <v>30</v>
      </c>
      <c r="Q280" s="2"/>
      <c r="R280" s="19">
        <f t="shared" si="145"/>
        <v>2.6335739813059742E-6</v>
      </c>
      <c r="S280" s="2"/>
      <c r="T280" s="2"/>
      <c r="U280" s="2"/>
      <c r="V280" s="19">
        <f t="shared" si="146"/>
        <v>0</v>
      </c>
      <c r="W280" s="2"/>
      <c r="X280" s="2">
        <f t="shared" si="147"/>
        <v>30</v>
      </c>
      <c r="Y280" s="2"/>
      <c r="Z280" s="19">
        <f t="shared" si="148"/>
        <v>0</v>
      </c>
    </row>
    <row r="281" spans="1:26" s="24" customFormat="1" hidden="1" outlineLevel="1" x14ac:dyDescent="0.25">
      <c r="A281" s="44"/>
      <c r="B281" s="11" t="str">
        <f>CONCATENATE("          ", "4198", " - ", "NON-TAXABLE SALES-GRAD RENTALS")</f>
        <v xml:space="preserve">          4198 - NON-TAXABLE SALES-GRAD RENTALS</v>
      </c>
      <c r="C281" s="11"/>
      <c r="D281" s="2">
        <f>-3469.7</f>
        <v>-3469.7</v>
      </c>
      <c r="E281" s="2"/>
      <c r="F281" s="19">
        <f t="shared" si="141"/>
        <v>-1.315982157076696E-2</v>
      </c>
      <c r="G281" s="2"/>
      <c r="H281" s="2"/>
      <c r="I281" s="2"/>
      <c r="J281" s="19">
        <f t="shared" si="142"/>
        <v>0</v>
      </c>
      <c r="K281" s="2"/>
      <c r="L281" s="2">
        <f t="shared" si="143"/>
        <v>-3469.7</v>
      </c>
      <c r="M281" s="2"/>
      <c r="N281" s="19">
        <f t="shared" si="144"/>
        <v>0</v>
      </c>
      <c r="O281" s="11"/>
      <c r="P281" s="2">
        <f>--163.76</f>
        <v>163.76</v>
      </c>
      <c r="Q281" s="2"/>
      <c r="R281" s="19">
        <f t="shared" si="145"/>
        <v>1.4375802505955542E-5</v>
      </c>
      <c r="S281" s="2"/>
      <c r="T281" s="2"/>
      <c r="U281" s="2"/>
      <c r="V281" s="19">
        <f t="shared" si="146"/>
        <v>0</v>
      </c>
      <c r="W281" s="2"/>
      <c r="X281" s="2">
        <f t="shared" si="147"/>
        <v>163.76</v>
      </c>
      <c r="Y281" s="2"/>
      <c r="Z281" s="19">
        <f t="shared" si="148"/>
        <v>0</v>
      </c>
    </row>
    <row r="282" spans="1:26" s="24" customFormat="1" hidden="1" outlineLevel="1" x14ac:dyDescent="0.25">
      <c r="A282" s="44"/>
      <c r="B282" s="11" t="str">
        <f>CONCATENATE("          ", "9150", " - ", "MISC. INCOME")</f>
        <v xml:space="preserve">          9150 - MISC. INCOME</v>
      </c>
      <c r="C282" s="11"/>
      <c r="D282" s="2">
        <f>--48272.63</f>
        <v>48272.63</v>
      </c>
      <c r="E282" s="2"/>
      <c r="F282" s="19">
        <f t="shared" si="141"/>
        <v>0.18308764375930262</v>
      </c>
      <c r="G282" s="2"/>
      <c r="H282" s="2">
        <v>29225</v>
      </c>
      <c r="I282" s="2"/>
      <c r="J282" s="19">
        <f t="shared" si="142"/>
        <v>2.1455341729347707E-2</v>
      </c>
      <c r="K282" s="2"/>
      <c r="L282" s="2">
        <f t="shared" si="143"/>
        <v>19047.629999999997</v>
      </c>
      <c r="M282" s="2"/>
      <c r="N282" s="19">
        <f t="shared" si="144"/>
        <v>0.65175808383233524</v>
      </c>
      <c r="O282" s="11"/>
      <c r="P282" s="2">
        <f>--476038.11</f>
        <v>476038.11</v>
      </c>
      <c r="Q282" s="2"/>
      <c r="R282" s="19">
        <f t="shared" si="145"/>
        <v>4.1789386020202372E-2</v>
      </c>
      <c r="S282" s="2"/>
      <c r="T282" s="2">
        <v>333725</v>
      </c>
      <c r="U282" s="2"/>
      <c r="V282" s="19">
        <f t="shared" si="146"/>
        <v>2.2565556086610046E-2</v>
      </c>
      <c r="W282" s="2"/>
      <c r="X282" s="2">
        <f t="shared" si="147"/>
        <v>142313.10999999999</v>
      </c>
      <c r="Y282" s="2"/>
      <c r="Z282" s="19">
        <f t="shared" si="148"/>
        <v>0.42643826503857962</v>
      </c>
    </row>
    <row r="283" spans="1:26" s="24" customFormat="1" hidden="1" outlineLevel="1" x14ac:dyDescent="0.25">
      <c r="A283" s="44"/>
      <c r="B283" s="11" t="str">
        <f>CONCATENATE("          ", "9151", " - ", "MISC. INCOME")</f>
        <v xml:space="preserve">          9151 - MISC. INCOME</v>
      </c>
      <c r="C283" s="11"/>
      <c r="D283" s="2">
        <f>0</f>
        <v>0</v>
      </c>
      <c r="E283" s="2"/>
      <c r="F283" s="19">
        <f t="shared" si="141"/>
        <v>0</v>
      </c>
      <c r="G283" s="2"/>
      <c r="H283" s="2">
        <v>12850</v>
      </c>
      <c r="I283" s="2"/>
      <c r="J283" s="19">
        <f t="shared" si="142"/>
        <v>9.43374307004681E-3</v>
      </c>
      <c r="K283" s="2"/>
      <c r="L283" s="2">
        <f t="shared" si="143"/>
        <v>-12850</v>
      </c>
      <c r="M283" s="2"/>
      <c r="N283" s="19">
        <f t="shared" si="144"/>
        <v>-1</v>
      </c>
      <c r="O283" s="11"/>
      <c r="P283" s="2">
        <f>--169392.7</f>
        <v>169392.7</v>
      </c>
      <c r="Q283" s="2"/>
      <c r="R283" s="19">
        <f t="shared" si="145"/>
        <v>1.4870273578105617E-2</v>
      </c>
      <c r="S283" s="2"/>
      <c r="T283" s="2">
        <v>129100</v>
      </c>
      <c r="U283" s="2"/>
      <c r="V283" s="19">
        <f t="shared" si="146"/>
        <v>8.7293828474982599E-3</v>
      </c>
      <c r="W283" s="2"/>
      <c r="X283" s="2">
        <f t="shared" si="147"/>
        <v>40292.700000000012</v>
      </c>
      <c r="Y283" s="2"/>
      <c r="Z283" s="19">
        <f t="shared" si="148"/>
        <v>0.3121045701006972</v>
      </c>
    </row>
    <row r="284" spans="1:26" s="24" customFormat="1" hidden="1" outlineLevel="1" x14ac:dyDescent="0.25">
      <c r="A284" s="44"/>
      <c r="B284" s="11" t="str">
        <f>CONCATENATE("          ", "9152", " - ", "MISC. INCOME")</f>
        <v xml:space="preserve">          9152 - MISC. INCOME</v>
      </c>
      <c r="C284" s="11"/>
      <c r="D284" s="2">
        <f>--5092.84</f>
        <v>5092.84</v>
      </c>
      <c r="E284" s="2"/>
      <c r="F284" s="19">
        <f t="shared" si="141"/>
        <v>1.9316040490089868E-2</v>
      </c>
      <c r="G284" s="2"/>
      <c r="H284" s="2"/>
      <c r="I284" s="2"/>
      <c r="J284" s="19">
        <f t="shared" si="142"/>
        <v>0</v>
      </c>
      <c r="K284" s="2"/>
      <c r="L284" s="2">
        <f t="shared" si="143"/>
        <v>5092.84</v>
      </c>
      <c r="M284" s="2"/>
      <c r="N284" s="19">
        <f t="shared" si="144"/>
        <v>0</v>
      </c>
      <c r="O284" s="11"/>
      <c r="P284" s="2">
        <f>--9874.89</f>
        <v>9874.89</v>
      </c>
      <c r="Q284" s="2"/>
      <c r="R284" s="19">
        <f t="shared" si="145"/>
        <v>8.6687511240861824E-4</v>
      </c>
      <c r="S284" s="2"/>
      <c r="T284" s="2"/>
      <c r="U284" s="2"/>
      <c r="V284" s="19">
        <f t="shared" si="146"/>
        <v>0</v>
      </c>
      <c r="W284" s="2"/>
      <c r="X284" s="2">
        <f t="shared" si="147"/>
        <v>9874.89</v>
      </c>
      <c r="Y284" s="2"/>
      <c r="Z284" s="19">
        <f t="shared" si="148"/>
        <v>0</v>
      </c>
    </row>
    <row r="285" spans="1:26" s="24" customFormat="1" hidden="1" outlineLevel="1" x14ac:dyDescent="0.25">
      <c r="A285" s="44"/>
      <c r="B285" s="11" t="str">
        <f>CONCATENATE("          ", "9153", " - ", "MISC. INCOME")</f>
        <v xml:space="preserve">          9153 - MISC. INCOME</v>
      </c>
      <c r="C285" s="11"/>
      <c r="D285" s="2">
        <f t="shared" ref="D285:D286" si="149">0</f>
        <v>0</v>
      </c>
      <c r="E285" s="2"/>
      <c r="F285" s="19">
        <f t="shared" si="141"/>
        <v>0</v>
      </c>
      <c r="G285" s="2"/>
      <c r="H285" s="2"/>
      <c r="I285" s="2"/>
      <c r="J285" s="19">
        <f t="shared" si="142"/>
        <v>0</v>
      </c>
      <c r="K285" s="2"/>
      <c r="L285" s="2">
        <f t="shared" si="143"/>
        <v>0</v>
      </c>
      <c r="M285" s="2"/>
      <c r="N285" s="19">
        <f t="shared" si="144"/>
        <v>0</v>
      </c>
      <c r="O285" s="11"/>
      <c r="P285" s="2">
        <f>--450</f>
        <v>450</v>
      </c>
      <c r="Q285" s="2"/>
      <c r="R285" s="19">
        <f t="shared" si="145"/>
        <v>3.9503609719589607E-5</v>
      </c>
      <c r="S285" s="2"/>
      <c r="T285" s="2"/>
      <c r="U285" s="2"/>
      <c r="V285" s="19">
        <f t="shared" si="146"/>
        <v>0</v>
      </c>
      <c r="W285" s="2"/>
      <c r="X285" s="2">
        <f t="shared" si="147"/>
        <v>450</v>
      </c>
      <c r="Y285" s="2"/>
      <c r="Z285" s="19">
        <f t="shared" si="148"/>
        <v>0</v>
      </c>
    </row>
    <row r="286" spans="1:26" s="24" customFormat="1" hidden="1" outlineLevel="1" x14ac:dyDescent="0.25">
      <c r="A286" s="44"/>
      <c r="B286" s="11" t="str">
        <f>CONCATENATE("          ", "9160", " - ", "MISC. INCOME")</f>
        <v xml:space="preserve">          9160 - MISC. INCOME</v>
      </c>
      <c r="C286" s="11"/>
      <c r="D286" s="2">
        <f t="shared" si="149"/>
        <v>0</v>
      </c>
      <c r="E286" s="2"/>
      <c r="F286" s="19">
        <f t="shared" si="141"/>
        <v>0</v>
      </c>
      <c r="G286" s="2"/>
      <c r="H286" s="2">
        <v>20100</v>
      </c>
      <c r="I286" s="2"/>
      <c r="J286" s="19">
        <f t="shared" si="142"/>
        <v>1.4756282934470108E-2</v>
      </c>
      <c r="K286" s="2"/>
      <c r="L286" s="2">
        <f t="shared" si="143"/>
        <v>-20100</v>
      </c>
      <c r="M286" s="2"/>
      <c r="N286" s="19">
        <f t="shared" si="144"/>
        <v>-1</v>
      </c>
      <c r="O286" s="11"/>
      <c r="P286" s="2">
        <f>--22475</f>
        <v>22475</v>
      </c>
      <c r="Q286" s="2"/>
      <c r="R286" s="19">
        <f t="shared" si="145"/>
        <v>1.9729858409950588E-3</v>
      </c>
      <c r="S286" s="2"/>
      <c r="T286" s="2">
        <v>360550</v>
      </c>
      <c r="U286" s="2"/>
      <c r="V286" s="19">
        <f t="shared" si="146"/>
        <v>2.4379387960228486E-2</v>
      </c>
      <c r="W286" s="2"/>
      <c r="X286" s="2">
        <f t="shared" si="147"/>
        <v>-338075</v>
      </c>
      <c r="Y286" s="2"/>
      <c r="Z286" s="19">
        <f t="shared" si="148"/>
        <v>-0.9376646789626959</v>
      </c>
    </row>
    <row r="287" spans="1:26" s="24" customFormat="1" hidden="1" outlineLevel="1" x14ac:dyDescent="0.25">
      <c r="A287" s="44"/>
      <c r="B287" s="11" t="str">
        <f>CONCATENATE("          ", "9163", " - ", "MISC. INCOME")</f>
        <v xml:space="preserve">          9163 - MISC. INCOME</v>
      </c>
      <c r="C287" s="11"/>
      <c r="D287" s="2">
        <f>--58333.34</f>
        <v>58333.34</v>
      </c>
      <c r="E287" s="2"/>
      <c r="F287" s="19">
        <f t="shared" si="141"/>
        <v>0.22124574056168633</v>
      </c>
      <c r="G287" s="2"/>
      <c r="H287" s="2"/>
      <c r="I287" s="2"/>
      <c r="J287" s="19">
        <f t="shared" si="142"/>
        <v>0</v>
      </c>
      <c r="K287" s="2"/>
      <c r="L287" s="2">
        <f t="shared" si="143"/>
        <v>58333.34</v>
      </c>
      <c r="M287" s="2"/>
      <c r="N287" s="19">
        <f t="shared" si="144"/>
        <v>0</v>
      </c>
      <c r="O287" s="11"/>
      <c r="P287" s="2">
        <f>--488733.84</f>
        <v>488733.84</v>
      </c>
      <c r="Q287" s="2"/>
      <c r="R287" s="19">
        <f t="shared" si="145"/>
        <v>4.290389082692523E-2</v>
      </c>
      <c r="S287" s="2"/>
      <c r="T287" s="2"/>
      <c r="U287" s="2"/>
      <c r="V287" s="19">
        <f t="shared" si="146"/>
        <v>0</v>
      </c>
      <c r="W287" s="2"/>
      <c r="X287" s="2">
        <f t="shared" si="147"/>
        <v>488733.84</v>
      </c>
      <c r="Y287" s="2"/>
      <c r="Z287" s="19">
        <f t="shared" si="148"/>
        <v>0</v>
      </c>
    </row>
    <row r="288" spans="1:26" x14ac:dyDescent="0.25">
      <c r="A288" s="9"/>
      <c r="B288" s="10"/>
      <c r="C288" s="10"/>
      <c r="D288" s="3"/>
      <c r="E288" s="3"/>
      <c r="F288" s="8"/>
      <c r="G288" s="3"/>
      <c r="H288" s="3"/>
      <c r="I288" s="3"/>
      <c r="J288" s="8"/>
      <c r="K288" s="3"/>
      <c r="L288" s="3"/>
      <c r="M288" s="3"/>
      <c r="N288" s="8"/>
      <c r="O288" s="10"/>
      <c r="P288" s="3"/>
      <c r="Q288" s="3"/>
      <c r="R288" s="8"/>
      <c r="S288" s="3"/>
      <c r="T288" s="3"/>
      <c r="U288" s="3"/>
      <c r="V288" s="8"/>
      <c r="W288" s="3"/>
      <c r="X288" s="3"/>
      <c r="Y288" s="3"/>
      <c r="Z288" s="8"/>
    </row>
    <row r="289" spans="1:26" s="23" customFormat="1" x14ac:dyDescent="0.25">
      <c r="A289" s="10"/>
      <c r="B289" s="29" t="s">
        <v>3</v>
      </c>
      <c r="C289" s="29"/>
      <c r="D289" s="20">
        <f>+D171-D173+D278</f>
        <v>-63025.120000000185</v>
      </c>
      <c r="E289" s="14"/>
      <c r="F289" s="22">
        <f>IF(D$12=0,0,D289/D$12)</f>
        <v>-0.23904064722488358</v>
      </c>
      <c r="G289" s="14"/>
      <c r="H289" s="20">
        <f>+H171-H173+H278</f>
        <v>310395.5822686124</v>
      </c>
      <c r="I289" s="14"/>
      <c r="J289" s="22">
        <f>IF(H$12=0,0,H289/H$12)</f>
        <v>0.22787487729180286</v>
      </c>
      <c r="K289" s="16"/>
      <c r="L289" s="20">
        <f>+D289-H289</f>
        <v>-373420.70226861257</v>
      </c>
      <c r="M289" s="16"/>
      <c r="N289" s="22">
        <f>IF(H289=0,0,L289/H289)</f>
        <v>-1.2030477352137667</v>
      </c>
      <c r="O289" s="28"/>
      <c r="P289" s="20">
        <f>+P171-P173+P278</f>
        <v>1154378.2800000054</v>
      </c>
      <c r="Q289" s="14"/>
      <c r="R289" s="22">
        <f>IF(P$12=0,0,P289/P$12)</f>
        <v>0.10133802009309188</v>
      </c>
      <c r="S289" s="14"/>
      <c r="T289" s="20">
        <f>+T171-T173+T278</f>
        <v>2000470.5197187578</v>
      </c>
      <c r="U289" s="14"/>
      <c r="V289" s="22">
        <f>IF(T$12=0,0,T289/T$12)</f>
        <v>0.13526625129170297</v>
      </c>
      <c r="W289" s="16"/>
      <c r="X289" s="20">
        <f>+P289-T289</f>
        <v>-846092.23971875245</v>
      </c>
      <c r="Y289" s="16"/>
      <c r="Z289" s="22">
        <f>IF(T289=0,0,X289/T289)</f>
        <v>-0.42294661749761897</v>
      </c>
    </row>
    <row r="290" spans="1:26" x14ac:dyDescent="0.25">
      <c r="A290" s="9"/>
      <c r="B290" s="10"/>
      <c r="C290" s="9"/>
      <c r="D290" s="3"/>
      <c r="E290" s="3"/>
      <c r="F290" s="8"/>
      <c r="G290" s="3"/>
      <c r="H290" s="3"/>
      <c r="I290" s="3"/>
      <c r="J290" s="8"/>
      <c r="K290" s="3"/>
      <c r="L290" s="3"/>
      <c r="M290" s="3"/>
      <c r="N290" s="8"/>
      <c r="P290" s="3"/>
      <c r="Q290" s="3"/>
      <c r="R290" s="8"/>
      <c r="S290" s="3"/>
      <c r="T290" s="3"/>
      <c r="U290" s="3"/>
      <c r="V290" s="8"/>
      <c r="W290" s="3"/>
      <c r="X290" s="3"/>
      <c r="Y290" s="3"/>
      <c r="Z290" s="8"/>
    </row>
    <row r="291" spans="1:26" s="23" customFormat="1" x14ac:dyDescent="0.25">
      <c r="A291" s="52"/>
      <c r="B291" s="10" t="s">
        <v>14</v>
      </c>
      <c r="C291" s="10"/>
      <c r="D291" s="4">
        <v>85444.11</v>
      </c>
      <c r="E291" s="4"/>
      <c r="F291" s="13">
        <f>IF(D$12=0,0,D291/D$12)</f>
        <v>0.32407102685332589</v>
      </c>
      <c r="G291" s="4"/>
      <c r="H291" s="4">
        <v>144126</v>
      </c>
      <c r="I291" s="4"/>
      <c r="J291" s="13">
        <f>IF(H$12=0,0,H291/H$12)</f>
        <v>0.10580915593101685</v>
      </c>
      <c r="K291" s="4"/>
      <c r="L291" s="4">
        <f>+D291-H291</f>
        <v>-58681.89</v>
      </c>
      <c r="M291" s="4"/>
      <c r="N291" s="13">
        <f>IF(H291=0,0,L291/H291)</f>
        <v>-0.40715686274509805</v>
      </c>
      <c r="O291" s="10"/>
      <c r="P291" s="4">
        <v>1348915.42</v>
      </c>
      <c r="Q291" s="4"/>
      <c r="R291" s="13">
        <f>IF(P$12=0,0,P291/P$12)</f>
        <v>0.11841561843648066</v>
      </c>
      <c r="S291" s="4"/>
      <c r="T291" s="4">
        <v>1712957</v>
      </c>
      <c r="U291" s="4"/>
      <c r="V291" s="13">
        <f>IF(T$12=0,0,T291/T$12)</f>
        <v>0.11582538694269619</v>
      </c>
      <c r="W291" s="4"/>
      <c r="X291" s="4">
        <f>+P291-T291</f>
        <v>-364041.58000000007</v>
      </c>
      <c r="Y291" s="4"/>
      <c r="Z291" s="13">
        <f>IF(T291=0,0,X291/T291)</f>
        <v>-0.21252231083442263</v>
      </c>
    </row>
    <row r="292" spans="1:26" x14ac:dyDescent="0.25">
      <c r="A292" s="9"/>
      <c r="B292" s="10"/>
      <c r="C292" s="10"/>
      <c r="D292" s="3"/>
      <c r="E292" s="3"/>
      <c r="F292" s="8"/>
      <c r="G292" s="3"/>
      <c r="H292" s="3"/>
      <c r="I292" s="3"/>
      <c r="J292" s="8"/>
      <c r="K292" s="3"/>
      <c r="L292" s="3"/>
      <c r="M292" s="3"/>
      <c r="N292" s="8"/>
      <c r="O292" s="10"/>
      <c r="P292" s="3"/>
      <c r="Q292" s="3"/>
      <c r="R292" s="8"/>
      <c r="S292" s="3"/>
      <c r="T292" s="3"/>
      <c r="U292" s="3"/>
      <c r="V292" s="8"/>
      <c r="W292" s="3"/>
      <c r="X292" s="3"/>
      <c r="Y292" s="3"/>
      <c r="Z292" s="8"/>
    </row>
    <row r="293" spans="1:26" s="23" customFormat="1" ht="15.75" thickBot="1" x14ac:dyDescent="0.3">
      <c r="A293" s="10"/>
      <c r="B293" s="29" t="s">
        <v>4</v>
      </c>
      <c r="C293" s="29"/>
      <c r="D293" s="35">
        <f>+D289-D291</f>
        <v>-148469.23000000019</v>
      </c>
      <c r="E293" s="14"/>
      <c r="F293" s="32">
        <f>IF(D$12=0,0,D293/D$12)</f>
        <v>-0.5631116740782095</v>
      </c>
      <c r="G293" s="14"/>
      <c r="H293" s="35">
        <f>+H289-H291</f>
        <v>166269.5822686124</v>
      </c>
      <c r="I293" s="14"/>
      <c r="J293" s="32">
        <f>IF(H$12=0,0,H293/H$12)</f>
        <v>0.12206572136078601</v>
      </c>
      <c r="K293" s="16"/>
      <c r="L293" s="35">
        <f>D293-H293</f>
        <v>-314738.81226861256</v>
      </c>
      <c r="M293" s="16"/>
      <c r="N293" s="32">
        <f>IF(H293=0,0,L293/H293)</f>
        <v>-1.8929428219777724</v>
      </c>
      <c r="O293" s="28"/>
      <c r="P293" s="35">
        <f>+P289-P291</f>
        <v>-194537.13999999454</v>
      </c>
      <c r="Q293" s="14"/>
      <c r="R293" s="32">
        <f>IF(P$12=0,0,P293/P$12)</f>
        <v>-1.7077598343388775E-2</v>
      </c>
      <c r="S293" s="14"/>
      <c r="T293" s="35">
        <f>+T289-T291</f>
        <v>287513.51971875783</v>
      </c>
      <c r="U293" s="14"/>
      <c r="V293" s="32">
        <f>IF(T$12=0,0,T293/T$12)</f>
        <v>1.9440864349006798E-2</v>
      </c>
      <c r="W293" s="16"/>
      <c r="X293" s="35">
        <f>P293-T293</f>
        <v>-482050.65971875237</v>
      </c>
      <c r="Y293" s="16"/>
      <c r="Z293" s="32">
        <f>IF(T293=0,0,X293/T293)</f>
        <v>-1.6766191036521982</v>
      </c>
    </row>
    <row r="294" spans="1:26" ht="15.75" thickTop="1" x14ac:dyDescent="0.25">
      <c r="A294" s="9"/>
      <c r="B294" s="9"/>
      <c r="C294" s="9"/>
      <c r="D294" s="3"/>
      <c r="E294" s="3"/>
      <c r="F294" s="8"/>
      <c r="G294" s="3"/>
      <c r="H294" s="3"/>
      <c r="I294" s="3"/>
      <c r="J294" s="8"/>
      <c r="K294" s="3"/>
      <c r="L294" s="3"/>
      <c r="M294" s="3"/>
      <c r="N294" s="8"/>
      <c r="P294" s="3"/>
      <c r="Q294" s="3"/>
      <c r="R294" s="8"/>
      <c r="S294" s="3"/>
      <c r="T294" s="3"/>
      <c r="U294" s="3"/>
      <c r="V294" s="8"/>
      <c r="W294" s="3"/>
      <c r="X294" s="3"/>
      <c r="Y294" s="3"/>
      <c r="Z294" s="8"/>
    </row>
    <row r="295" spans="1:26" x14ac:dyDescent="0.25">
      <c r="A295" s="9"/>
      <c r="B295" s="9"/>
      <c r="C295" s="9"/>
      <c r="D295" s="3"/>
      <c r="E295" s="3"/>
      <c r="F295" s="8"/>
      <c r="G295" s="3"/>
      <c r="H295" s="3"/>
      <c r="I295" s="3"/>
      <c r="J295" s="8"/>
      <c r="K295" s="3"/>
      <c r="L295" s="3"/>
      <c r="M295" s="3"/>
      <c r="N295" s="8"/>
      <c r="P295" s="3"/>
      <c r="Q295" s="3"/>
      <c r="R295" s="8"/>
      <c r="S295" s="3"/>
      <c r="T295" s="3"/>
      <c r="U295" s="3"/>
      <c r="V295" s="8"/>
      <c r="W295" s="3"/>
      <c r="X295" s="3"/>
      <c r="Y295" s="3"/>
      <c r="Z295" s="8"/>
    </row>
    <row r="296" spans="1:26" s="23" customFormat="1" ht="15.75" thickBot="1" x14ac:dyDescent="0.3">
      <c r="A296" s="10"/>
      <c r="B296" s="29" t="s">
        <v>5</v>
      </c>
      <c r="C296" s="29"/>
      <c r="D296" s="34">
        <f>SUM(D293:D295)</f>
        <v>-148469.23000000019</v>
      </c>
      <c r="E296" s="14"/>
      <c r="F296" s="31">
        <f>IF(D$12=0,0,D296/D$12)</f>
        <v>-0.5631116740782095</v>
      </c>
      <c r="G296" s="14"/>
      <c r="H296" s="34">
        <f>SUM(H293:H295)</f>
        <v>166269.5822686124</v>
      </c>
      <c r="I296" s="14"/>
      <c r="J296" s="31">
        <f>IF(H$12=0,0,H296/H$12)</f>
        <v>0.12206572136078601</v>
      </c>
      <c r="K296" s="16"/>
      <c r="L296" s="34">
        <f>+D296-H296</f>
        <v>-314738.81226861256</v>
      </c>
      <c r="M296" s="16"/>
      <c r="N296" s="31">
        <f>IF(H296=0,0,L296/H296)</f>
        <v>-1.8929428219777724</v>
      </c>
      <c r="O296" s="28"/>
      <c r="P296" s="34">
        <f>SUM(P293:P295)</f>
        <v>-194537.13999999454</v>
      </c>
      <c r="Q296" s="14"/>
      <c r="R296" s="31">
        <f>IF(P$12=0,0,P296/P$12)</f>
        <v>-1.7077598343388775E-2</v>
      </c>
      <c r="S296" s="14"/>
      <c r="T296" s="34">
        <f>SUM(T293:T295)</f>
        <v>287513.51971875783</v>
      </c>
      <c r="U296" s="14"/>
      <c r="V296" s="31">
        <f>IF(T$12=0,0,T296/T$12)</f>
        <v>1.9440864349006798E-2</v>
      </c>
      <c r="W296" s="16"/>
      <c r="X296" s="34">
        <f>+P296-T296</f>
        <v>-482050.65971875237</v>
      </c>
      <c r="Y296" s="16"/>
      <c r="Z296" s="31">
        <f>IF(T296=0,0,X296/T296)</f>
        <v>-1.6766191036521982</v>
      </c>
    </row>
    <row r="297" spans="1:26" ht="15.75" thickTop="1" x14ac:dyDescent="0.25">
      <c r="A297" s="9"/>
      <c r="C297" s="9"/>
      <c r="D297" s="18"/>
      <c r="E297" s="18"/>
      <c r="G297" s="18"/>
      <c r="H297" s="18"/>
      <c r="I297" s="18"/>
      <c r="J297" s="42"/>
      <c r="K297" s="18"/>
      <c r="L297" s="18"/>
      <c r="M297" s="18"/>
      <c r="P297" s="18"/>
      <c r="Q297" s="18"/>
      <c r="R297" s="42"/>
      <c r="S297" s="18"/>
      <c r="T297" s="18"/>
      <c r="U297" s="18"/>
      <c r="V297" s="42"/>
      <c r="W297" s="18"/>
      <c r="X297" s="18"/>
    </row>
    <row r="298" spans="1:26" x14ac:dyDescent="0.25">
      <c r="A298" s="9"/>
      <c r="B298" s="59">
        <v>43992.370976423612</v>
      </c>
      <c r="D298" s="18"/>
      <c r="E298" s="18"/>
      <c r="G298" s="18"/>
      <c r="H298" s="18"/>
      <c r="I298" s="18"/>
      <c r="J298" s="42"/>
      <c r="K298" s="18"/>
      <c r="L298" s="18"/>
      <c r="M298" s="18"/>
      <c r="P298" s="18"/>
      <c r="Q298" s="18"/>
      <c r="R298" s="42"/>
      <c r="S298" s="18"/>
      <c r="T298" s="18"/>
      <c r="U298" s="18"/>
      <c r="V298" s="42"/>
      <c r="W298" s="18"/>
      <c r="X298" s="18"/>
    </row>
    <row r="299" spans="1:26" x14ac:dyDescent="0.25">
      <c r="A299" s="9"/>
      <c r="B299" s="56" t="s">
        <v>314</v>
      </c>
      <c r="D299" s="18"/>
      <c r="E299" s="18"/>
      <c r="G299" s="18"/>
      <c r="H299" s="18"/>
      <c r="I299" s="18"/>
      <c r="J299" s="42"/>
      <c r="K299" s="18"/>
      <c r="L299" s="18"/>
      <c r="M299" s="18"/>
      <c r="P299" s="18"/>
      <c r="Q299" s="18"/>
      <c r="R299" s="42"/>
      <c r="S299" s="18"/>
      <c r="T299" s="18"/>
      <c r="U299" s="18"/>
      <c r="V299" s="42"/>
      <c r="W299" s="18"/>
      <c r="X299" s="18"/>
    </row>
    <row r="300" spans="1:26" x14ac:dyDescent="0.25">
      <c r="A300" s="9"/>
      <c r="B300" s="54"/>
      <c r="D300" s="18"/>
      <c r="E300" s="18"/>
      <c r="G300" s="18"/>
      <c r="H300" s="18"/>
      <c r="I300" s="18"/>
      <c r="J300" s="42"/>
      <c r="K300" s="18"/>
      <c r="L300" s="18"/>
      <c r="M300" s="18"/>
      <c r="P300" s="18"/>
      <c r="Q300" s="18"/>
      <c r="R300" s="42"/>
      <c r="S300" s="18"/>
      <c r="T300" s="18"/>
      <c r="U300" s="18"/>
      <c r="V300" s="42"/>
      <c r="W300" s="18"/>
      <c r="X300" s="18"/>
    </row>
    <row r="301" spans="1:26" x14ac:dyDescent="0.25">
      <c r="D301" s="18"/>
      <c r="E301" s="18"/>
      <c r="G301" s="18"/>
      <c r="H301" s="18"/>
      <c r="I301" s="18"/>
      <c r="J301" s="42"/>
      <c r="K301" s="18"/>
      <c r="L301" s="18"/>
      <c r="M301" s="18"/>
      <c r="P301" s="18"/>
      <c r="Q301" s="18"/>
      <c r="R301" s="42"/>
      <c r="S301" s="18"/>
      <c r="T301" s="18"/>
      <c r="U301" s="18"/>
      <c r="V301" s="42"/>
      <c r="W301" s="18"/>
      <c r="X301" s="18"/>
    </row>
  </sheetData>
  <pageMargins left="0.25" right="0.25" top="0.75" bottom="0.75" header="0.3" footer="0.3"/>
  <pageSetup scale="55" fitToWidth="2" orientation="landscape"/>
  <drawing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288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63" t="s">
        <v>13</v>
      </c>
    </row>
    <row r="3" spans="1:26" x14ac:dyDescent="0.25">
      <c r="D3" s="63" t="s">
        <v>296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61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63" t="str">
        <f>CONCATENATE("Period ",RIGHT(202011,2),", ",2020)</f>
        <v>Period 11, 2020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61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4">
        <v>43981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61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51"/>
      <c r="C6" s="51"/>
      <c r="D6" s="23" t="s">
        <v>309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57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5" t="s">
        <v>294</v>
      </c>
      <c r="E9" s="15"/>
      <c r="F9" s="38"/>
      <c r="G9" s="15"/>
      <c r="H9" s="15"/>
      <c r="I9" s="15"/>
      <c r="J9" s="46"/>
      <c r="K9" s="15"/>
      <c r="L9" s="15"/>
      <c r="M9" s="15"/>
      <c r="N9" s="38"/>
      <c r="P9" s="15" t="s">
        <v>295</v>
      </c>
      <c r="Q9" s="15"/>
      <c r="R9" s="38"/>
      <c r="S9" s="15"/>
      <c r="T9" s="15"/>
      <c r="U9" s="15"/>
      <c r="V9" s="46"/>
      <c r="W9" s="15"/>
      <c r="X9" s="15"/>
      <c r="Y9" s="15"/>
      <c r="Z9" s="38"/>
    </row>
    <row r="10" spans="1:26" x14ac:dyDescent="0.25">
      <c r="A10" s="10"/>
      <c r="B10" s="55"/>
      <c r="C10" s="10"/>
      <c r="D10" s="43" t="s">
        <v>10</v>
      </c>
      <c r="E10" s="33"/>
      <c r="F10" s="40" t="s">
        <v>15</v>
      </c>
      <c r="G10" s="33"/>
      <c r="H10" s="47" t="s">
        <v>11</v>
      </c>
      <c r="I10" s="33"/>
      <c r="J10" s="45" t="s">
        <v>16</v>
      </c>
      <c r="K10" s="10"/>
      <c r="L10" s="43" t="s">
        <v>12</v>
      </c>
      <c r="M10" s="10"/>
      <c r="N10" s="40" t="s">
        <v>17</v>
      </c>
      <c r="O10" s="10"/>
      <c r="P10" s="53" t="s">
        <v>10</v>
      </c>
      <c r="Q10" s="33"/>
      <c r="R10" s="40" t="s">
        <v>15</v>
      </c>
      <c r="S10" s="33"/>
      <c r="T10" s="47" t="s">
        <v>11</v>
      </c>
      <c r="U10" s="33"/>
      <c r="V10" s="45" t="s">
        <v>16</v>
      </c>
      <c r="W10" s="10"/>
      <c r="X10" s="43" t="s">
        <v>12</v>
      </c>
      <c r="Y10" s="10"/>
      <c r="Z10" s="40" t="s">
        <v>17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263630.22999999986</v>
      </c>
      <c r="E12" s="4"/>
      <c r="F12" s="13"/>
      <c r="G12" s="4"/>
      <c r="H12" s="4">
        <f>SUM(OSRRefH13x_0)</f>
        <v>1096151.64855</v>
      </c>
      <c r="I12" s="4"/>
      <c r="J12" s="13"/>
      <c r="K12" s="4"/>
      <c r="L12" s="4">
        <f t="shared" ref="L12:L111" si="0">+D12-H12</f>
        <v>-832521.41855000018</v>
      </c>
      <c r="M12" s="4"/>
      <c r="N12" s="13">
        <f t="shared" ref="N12:N111" si="1">IF(H12=0,0,L12/H12)</f>
        <v>-0.75949474659940308</v>
      </c>
      <c r="O12" s="10"/>
      <c r="P12" s="4">
        <f>SUM(OSRRefP13x_0)</f>
        <v>9026754.8100000061</v>
      </c>
      <c r="Q12" s="4"/>
      <c r="R12" s="13"/>
      <c r="S12" s="4"/>
      <c r="T12" s="4">
        <f>SUM(OSRRefT13x_0)</f>
        <v>11610204.3487</v>
      </c>
      <c r="U12" s="4"/>
      <c r="V12" s="13"/>
      <c r="W12" s="4"/>
      <c r="X12" s="4">
        <f t="shared" ref="X12:X111" si="2">+P12-T12</f>
        <v>-2583449.5386999939</v>
      </c>
      <c r="Y12" s="4"/>
      <c r="Z12" s="13">
        <f t="shared" ref="Z12:Z111" si="3">IF(T12=0,0,X12/T12)</f>
        <v>-0.22251542359711041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>0</f>
        <v>0</v>
      </c>
      <c r="E13" s="2"/>
      <c r="F13" s="19"/>
      <c r="G13" s="2"/>
      <c r="H13" s="2">
        <v>780422.64854999993</v>
      </c>
      <c r="I13" s="2"/>
      <c r="J13" s="19"/>
      <c r="K13" s="2"/>
      <c r="L13" s="2">
        <f t="shared" si="0"/>
        <v>-780422.64854999993</v>
      </c>
      <c r="M13" s="2"/>
      <c r="N13" s="19">
        <f t="shared" si="1"/>
        <v>-1</v>
      </c>
      <c r="O13" s="11"/>
      <c r="P13" s="2">
        <f>0</f>
        <v>0</v>
      </c>
      <c r="Q13" s="2"/>
      <c r="R13" s="19"/>
      <c r="S13" s="2"/>
      <c r="T13" s="2">
        <v>5411900.3487</v>
      </c>
      <c r="U13" s="2"/>
      <c r="V13" s="19"/>
      <c r="W13" s="2"/>
      <c r="X13" s="2">
        <f t="shared" si="2"/>
        <v>-5411900.3487</v>
      </c>
      <c r="Y13" s="2"/>
      <c r="Z13" s="19">
        <f t="shared" si="3"/>
        <v>-1</v>
      </c>
    </row>
    <row r="14" spans="1:26" s="24" customFormat="1" hidden="1" outlineLevel="1" x14ac:dyDescent="0.25">
      <c r="A14" s="44"/>
      <c r="B14" s="11" t="str">
        <f>CONCATENATE("          ", "4001", " - ", "TAXABLE SALES-NEW TEXT")</f>
        <v xml:space="preserve">          4001 - TAXABLE SALES-NEW TEXT</v>
      </c>
      <c r="C14" s="11"/>
      <c r="D14" s="2">
        <f>--37281.91</f>
        <v>37281.910000000003</v>
      </c>
      <c r="E14" s="2"/>
      <c r="F14" s="19"/>
      <c r="G14" s="2"/>
      <c r="H14" s="2"/>
      <c r="I14" s="2"/>
      <c r="J14" s="19"/>
      <c r="K14" s="2"/>
      <c r="L14" s="2">
        <f t="shared" si="0"/>
        <v>37281.910000000003</v>
      </c>
      <c r="M14" s="2"/>
      <c r="N14" s="19">
        <f t="shared" si="1"/>
        <v>0</v>
      </c>
      <c r="O14" s="11"/>
      <c r="P14" s="2">
        <f>--2435259.64</f>
        <v>2435259.64</v>
      </c>
      <c r="Q14" s="2"/>
      <c r="R14" s="19"/>
      <c r="S14" s="2"/>
      <c r="T14" s="2"/>
      <c r="U14" s="2"/>
      <c r="V14" s="19"/>
      <c r="W14" s="2"/>
      <c r="X14" s="2">
        <f t="shared" si="2"/>
        <v>2435259.64</v>
      </c>
      <c r="Y14" s="2"/>
      <c r="Z14" s="19">
        <f t="shared" si="3"/>
        <v>0</v>
      </c>
    </row>
    <row r="15" spans="1:26" s="24" customFormat="1" hidden="1" outlineLevel="1" x14ac:dyDescent="0.25">
      <c r="A15" s="44"/>
      <c r="B15" s="11" t="str">
        <f>CONCATENATE("          ", "4002", " - ", "TAXABLE SALES-USED TEXT")</f>
        <v xml:space="preserve">          4002 - TAXABLE SALES-USED TEXT</v>
      </c>
      <c r="C15" s="11"/>
      <c r="D15" s="2">
        <f>--11509.55</f>
        <v>11509.55</v>
      </c>
      <c r="E15" s="2"/>
      <c r="F15" s="19"/>
      <c r="G15" s="2"/>
      <c r="H15" s="2"/>
      <c r="I15" s="2"/>
      <c r="J15" s="19"/>
      <c r="K15" s="2"/>
      <c r="L15" s="2">
        <f t="shared" si="0"/>
        <v>11509.55</v>
      </c>
      <c r="M15" s="2"/>
      <c r="N15" s="19">
        <f t="shared" si="1"/>
        <v>0</v>
      </c>
      <c r="O15" s="11"/>
      <c r="P15" s="2">
        <f>--1256426.74</f>
        <v>1256426.74</v>
      </c>
      <c r="Q15" s="2"/>
      <c r="R15" s="19"/>
      <c r="S15" s="2"/>
      <c r="T15" s="2"/>
      <c r="U15" s="2"/>
      <c r="V15" s="19"/>
      <c r="W15" s="2"/>
      <c r="X15" s="2">
        <f t="shared" si="2"/>
        <v>1256426.74</v>
      </c>
      <c r="Y15" s="2"/>
      <c r="Z15" s="19">
        <f t="shared" si="3"/>
        <v>0</v>
      </c>
    </row>
    <row r="16" spans="1:26" s="24" customFormat="1" hidden="1" outlineLevel="1" x14ac:dyDescent="0.25">
      <c r="A16" s="44"/>
      <c r="B16" s="11" t="str">
        <f>CONCATENATE("          ", "4003", " - ", "TAXABLE SALES-RENTAL TEXT")</f>
        <v xml:space="preserve">          4003 - TAXABLE SALES-RENTAL TEXT</v>
      </c>
      <c r="C16" s="11"/>
      <c r="D16" s="2">
        <f>--69.99</f>
        <v>69.989999999999995</v>
      </c>
      <c r="E16" s="2"/>
      <c r="F16" s="19"/>
      <c r="G16" s="2"/>
      <c r="H16" s="2"/>
      <c r="I16" s="2"/>
      <c r="J16" s="19"/>
      <c r="K16" s="2"/>
      <c r="L16" s="2">
        <f t="shared" si="0"/>
        <v>69.989999999999995</v>
      </c>
      <c r="M16" s="2"/>
      <c r="N16" s="19">
        <f t="shared" si="1"/>
        <v>0</v>
      </c>
      <c r="O16" s="11"/>
      <c r="P16" s="2">
        <f>--33764.88</f>
        <v>33764.879999999997</v>
      </c>
      <c r="Q16" s="2"/>
      <c r="R16" s="19"/>
      <c r="S16" s="2"/>
      <c r="T16" s="2"/>
      <c r="U16" s="2"/>
      <c r="V16" s="19"/>
      <c r="W16" s="2"/>
      <c r="X16" s="2">
        <f t="shared" si="2"/>
        <v>33764.879999999997</v>
      </c>
      <c r="Y16" s="2"/>
      <c r="Z16" s="19">
        <f t="shared" si="3"/>
        <v>0</v>
      </c>
    </row>
    <row r="17" spans="1:26" s="24" customFormat="1" hidden="1" outlineLevel="1" x14ac:dyDescent="0.25">
      <c r="A17" s="44"/>
      <c r="B17" s="11" t="str">
        <f>CONCATENATE("          ", "4004", " - ", "TAXABLE SALES-DIGITAL TEXT")</f>
        <v xml:space="preserve">          4004 - TAXABLE SALES-DIGITAL TEXT</v>
      </c>
      <c r="C17" s="11"/>
      <c r="D17" s="2">
        <f t="shared" ref="D17:D19" si="4">0</f>
        <v>0</v>
      </c>
      <c r="E17" s="2"/>
      <c r="F17" s="19"/>
      <c r="G17" s="2"/>
      <c r="H17" s="2"/>
      <c r="I17" s="2"/>
      <c r="J17" s="19"/>
      <c r="K17" s="2"/>
      <c r="L17" s="2">
        <f t="shared" si="0"/>
        <v>0</v>
      </c>
      <c r="M17" s="2"/>
      <c r="N17" s="19">
        <f t="shared" si="1"/>
        <v>0</v>
      </c>
      <c r="O17" s="11"/>
      <c r="P17" s="2">
        <f>--42195.3</f>
        <v>42195.3</v>
      </c>
      <c r="Q17" s="2"/>
      <c r="R17" s="19"/>
      <c r="S17" s="2"/>
      <c r="T17" s="2"/>
      <c r="U17" s="2"/>
      <c r="V17" s="19"/>
      <c r="W17" s="2"/>
      <c r="X17" s="2">
        <f t="shared" si="2"/>
        <v>42195.3</v>
      </c>
      <c r="Y17" s="2"/>
      <c r="Z17" s="19">
        <f t="shared" si="3"/>
        <v>0</v>
      </c>
    </row>
    <row r="18" spans="1:26" s="24" customFormat="1" hidden="1" outlineLevel="1" x14ac:dyDescent="0.25">
      <c r="A18" s="44"/>
      <c r="B18" s="11" t="str">
        <f>CONCATENATE("          ", "4011", " - ", "TAXABLE SALES-NO VALUE TEXT")</f>
        <v xml:space="preserve">          4011 - TAXABLE SALES-NO VALUE TEXT</v>
      </c>
      <c r="C18" s="11"/>
      <c r="D18" s="2">
        <f t="shared" si="4"/>
        <v>0</v>
      </c>
      <c r="E18" s="2"/>
      <c r="F18" s="19"/>
      <c r="G18" s="2"/>
      <c r="H18" s="2"/>
      <c r="I18" s="2"/>
      <c r="J18" s="19"/>
      <c r="K18" s="2"/>
      <c r="L18" s="2">
        <f t="shared" si="0"/>
        <v>0</v>
      </c>
      <c r="M18" s="2"/>
      <c r="N18" s="19">
        <f t="shared" si="1"/>
        <v>0</v>
      </c>
      <c r="O18" s="11"/>
      <c r="P18" s="2">
        <f>--1052.48</f>
        <v>1052.48</v>
      </c>
      <c r="Q18" s="2"/>
      <c r="R18" s="19"/>
      <c r="S18" s="2"/>
      <c r="T18" s="2"/>
      <c r="U18" s="2"/>
      <c r="V18" s="19"/>
      <c r="W18" s="2"/>
      <c r="X18" s="2">
        <f t="shared" si="2"/>
        <v>1052.48</v>
      </c>
      <c r="Y18" s="2"/>
      <c r="Z18" s="19">
        <f t="shared" si="3"/>
        <v>0</v>
      </c>
    </row>
    <row r="19" spans="1:26" s="24" customFormat="1" hidden="1" outlineLevel="1" x14ac:dyDescent="0.25">
      <c r="A19" s="44"/>
      <c r="B19" s="11" t="str">
        <f>CONCATENATE("          ", "4013", " - ", "TAXABLE SALES-TRADE BOOKS")</f>
        <v xml:space="preserve">          4013 - TAXABLE SALES-TRADE BOOKS</v>
      </c>
      <c r="C19" s="11"/>
      <c r="D19" s="2">
        <f t="shared" si="4"/>
        <v>0</v>
      </c>
      <c r="E19" s="2"/>
      <c r="F19" s="19"/>
      <c r="G19" s="2"/>
      <c r="H19" s="2"/>
      <c r="I19" s="2"/>
      <c r="J19" s="19"/>
      <c r="K19" s="2"/>
      <c r="L19" s="2">
        <f t="shared" si="0"/>
        <v>0</v>
      </c>
      <c r="M19" s="2"/>
      <c r="N19" s="19">
        <f t="shared" si="1"/>
        <v>0</v>
      </c>
      <c r="O19" s="11"/>
      <c r="P19" s="2">
        <f>--2713.36</f>
        <v>2713.36</v>
      </c>
      <c r="Q19" s="2"/>
      <c r="R19" s="19"/>
      <c r="S19" s="2"/>
      <c r="T19" s="2"/>
      <c r="U19" s="2"/>
      <c r="V19" s="19"/>
      <c r="W19" s="2"/>
      <c r="X19" s="2">
        <f t="shared" si="2"/>
        <v>2713.36</v>
      </c>
      <c r="Y19" s="2"/>
      <c r="Z19" s="19">
        <f t="shared" si="3"/>
        <v>0</v>
      </c>
    </row>
    <row r="20" spans="1:26" s="24" customFormat="1" hidden="1" outlineLevel="1" x14ac:dyDescent="0.25">
      <c r="A20" s="44"/>
      <c r="B20" s="11" t="str">
        <f>CONCATENATE("          ", "4014", " - ", "TAXABLE SALES-REMAINDERS")</f>
        <v xml:space="preserve">          4014 - TAXABLE SALES-REMAINDERS</v>
      </c>
      <c r="C20" s="11"/>
      <c r="D20" s="2">
        <f>--0.8</f>
        <v>0.8</v>
      </c>
      <c r="E20" s="2"/>
      <c r="F20" s="19"/>
      <c r="G20" s="2"/>
      <c r="H20" s="2"/>
      <c r="I20" s="2"/>
      <c r="J20" s="19"/>
      <c r="K20" s="2"/>
      <c r="L20" s="2">
        <f t="shared" si="0"/>
        <v>0.8</v>
      </c>
      <c r="M20" s="2"/>
      <c r="N20" s="19">
        <f t="shared" si="1"/>
        <v>0</v>
      </c>
      <c r="O20" s="11"/>
      <c r="P20" s="2">
        <f>--1219.98</f>
        <v>1219.98</v>
      </c>
      <c r="Q20" s="2"/>
      <c r="R20" s="19"/>
      <c r="S20" s="2"/>
      <c r="T20" s="2"/>
      <c r="U20" s="2"/>
      <c r="V20" s="19"/>
      <c r="W20" s="2"/>
      <c r="X20" s="2">
        <f t="shared" si="2"/>
        <v>1219.98</v>
      </c>
      <c r="Y20" s="2"/>
      <c r="Z20" s="19">
        <f t="shared" si="3"/>
        <v>0</v>
      </c>
    </row>
    <row r="21" spans="1:26" s="24" customFormat="1" hidden="1" outlineLevel="1" x14ac:dyDescent="0.25">
      <c r="A21" s="44"/>
      <c r="B21" s="11" t="str">
        <f>CONCATENATE("          ", "4017", " - ", "TAXABLE SALES-DORM/HOUSEWARES")</f>
        <v xml:space="preserve">          4017 - TAXABLE SALES-DORM/HOUSEWARES</v>
      </c>
      <c r="C21" s="11"/>
      <c r="D21" s="2">
        <f>0</f>
        <v>0</v>
      </c>
      <c r="E21" s="2"/>
      <c r="F21" s="19"/>
      <c r="G21" s="2"/>
      <c r="H21" s="2"/>
      <c r="I21" s="2"/>
      <c r="J21" s="19"/>
      <c r="K21" s="2"/>
      <c r="L21" s="2">
        <f t="shared" si="0"/>
        <v>0</v>
      </c>
      <c r="M21" s="2"/>
      <c r="N21" s="19">
        <f t="shared" si="1"/>
        <v>0</v>
      </c>
      <c r="O21" s="11"/>
      <c r="P21" s="2">
        <f>--347.52</f>
        <v>347.52</v>
      </c>
      <c r="Q21" s="2"/>
      <c r="R21" s="19"/>
      <c r="S21" s="2"/>
      <c r="T21" s="2"/>
      <c r="U21" s="2"/>
      <c r="V21" s="19"/>
      <c r="W21" s="2"/>
      <c r="X21" s="2">
        <f t="shared" si="2"/>
        <v>347.52</v>
      </c>
      <c r="Y21" s="2"/>
      <c r="Z21" s="19">
        <f t="shared" si="3"/>
        <v>0</v>
      </c>
    </row>
    <row r="22" spans="1:26" s="24" customFormat="1" hidden="1" outlineLevel="1" x14ac:dyDescent="0.25">
      <c r="A22" s="44"/>
      <c r="B22" s="11" t="str">
        <f>CONCATENATE("          ", "4018", " - ", "TAXABLE SALES-STUDY GUIDES")</f>
        <v xml:space="preserve">          4018 - TAXABLE SALES-STUDY GUIDES</v>
      </c>
      <c r="C22" s="11"/>
      <c r="D22" s="2">
        <f>--24.99</f>
        <v>24.99</v>
      </c>
      <c r="E22" s="2"/>
      <c r="F22" s="19"/>
      <c r="G22" s="2"/>
      <c r="H22" s="2"/>
      <c r="I22" s="2"/>
      <c r="J22" s="19"/>
      <c r="K22" s="2"/>
      <c r="L22" s="2">
        <f t="shared" si="0"/>
        <v>24.99</v>
      </c>
      <c r="M22" s="2"/>
      <c r="N22" s="19">
        <f t="shared" si="1"/>
        <v>0</v>
      </c>
      <c r="O22" s="11"/>
      <c r="P22" s="2">
        <f>--4179.3</f>
        <v>4179.3</v>
      </c>
      <c r="Q22" s="2"/>
      <c r="R22" s="19"/>
      <c r="S22" s="2"/>
      <c r="T22" s="2"/>
      <c r="U22" s="2"/>
      <c r="V22" s="19"/>
      <c r="W22" s="2"/>
      <c r="X22" s="2">
        <f t="shared" si="2"/>
        <v>4179.3</v>
      </c>
      <c r="Y22" s="2"/>
      <c r="Z22" s="19">
        <f t="shared" si="3"/>
        <v>0</v>
      </c>
    </row>
    <row r="23" spans="1:26" s="24" customFormat="1" hidden="1" outlineLevel="1" x14ac:dyDescent="0.25">
      <c r="A23" s="44"/>
      <c r="B23" s="11" t="str">
        <f>CONCATENATE("          ", "4019", " - ", "TAXABLE SALES-BOOK RELATED")</f>
        <v xml:space="preserve">          4019 - TAXABLE SALES-BOOK RELATED</v>
      </c>
      <c r="C23" s="11"/>
      <c r="D23" s="2">
        <f>0</f>
        <v>0</v>
      </c>
      <c r="E23" s="2"/>
      <c r="F23" s="19"/>
      <c r="G23" s="2"/>
      <c r="H23" s="2"/>
      <c r="I23" s="2"/>
      <c r="J23" s="19"/>
      <c r="K23" s="2"/>
      <c r="L23" s="2">
        <f t="shared" si="0"/>
        <v>0</v>
      </c>
      <c r="M23" s="2"/>
      <c r="N23" s="19">
        <f t="shared" si="1"/>
        <v>0</v>
      </c>
      <c r="O23" s="11"/>
      <c r="P23" s="2">
        <f>--42.85</f>
        <v>42.85</v>
      </c>
      <c r="Q23" s="2"/>
      <c r="R23" s="19"/>
      <c r="S23" s="2"/>
      <c r="T23" s="2"/>
      <c r="U23" s="2"/>
      <c r="V23" s="19"/>
      <c r="W23" s="2"/>
      <c r="X23" s="2">
        <f t="shared" si="2"/>
        <v>42.85</v>
      </c>
      <c r="Y23" s="2"/>
      <c r="Z23" s="19">
        <f t="shared" si="3"/>
        <v>0</v>
      </c>
    </row>
    <row r="24" spans="1:26" s="24" customFormat="1" hidden="1" outlineLevel="1" x14ac:dyDescent="0.25">
      <c r="A24" s="44"/>
      <c r="B24" s="11" t="str">
        <f>CONCATENATE("          ", "4025", " - ", "TAXABLE SALES-TEST FORMS")</f>
        <v xml:space="preserve">          4025 - TAXABLE SALES-TEST FORMS</v>
      </c>
      <c r="C24" s="11"/>
      <c r="D24" s="2">
        <f>--17.25</f>
        <v>17.25</v>
      </c>
      <c r="E24" s="2"/>
      <c r="F24" s="19"/>
      <c r="G24" s="2"/>
      <c r="H24" s="2"/>
      <c r="I24" s="2"/>
      <c r="J24" s="19"/>
      <c r="K24" s="2"/>
      <c r="L24" s="2">
        <f t="shared" si="0"/>
        <v>17.25</v>
      </c>
      <c r="M24" s="2"/>
      <c r="N24" s="19">
        <f t="shared" si="1"/>
        <v>0</v>
      </c>
      <c r="O24" s="11"/>
      <c r="P24" s="2">
        <f>--54720.11</f>
        <v>54720.11</v>
      </c>
      <c r="Q24" s="2"/>
      <c r="R24" s="19"/>
      <c r="S24" s="2"/>
      <c r="T24" s="2"/>
      <c r="U24" s="2"/>
      <c r="V24" s="19"/>
      <c r="W24" s="2"/>
      <c r="X24" s="2">
        <f t="shared" si="2"/>
        <v>54720.11</v>
      </c>
      <c r="Y24" s="2"/>
      <c r="Z24" s="19">
        <f t="shared" si="3"/>
        <v>0</v>
      </c>
    </row>
    <row r="25" spans="1:26" s="24" customFormat="1" hidden="1" outlineLevel="1" x14ac:dyDescent="0.25">
      <c r="A25" s="44"/>
      <c r="B25" s="11" t="str">
        <f>CONCATENATE("          ", "4026", " - ", "TAXABLE SALES-WRITING INSTRUME")</f>
        <v xml:space="preserve">          4026 - TAXABLE SALES-WRITING INSTRUME</v>
      </c>
      <c r="C25" s="11"/>
      <c r="D25" s="2">
        <f>--859.78</f>
        <v>859.78</v>
      </c>
      <c r="E25" s="2"/>
      <c r="F25" s="19"/>
      <c r="G25" s="2"/>
      <c r="H25" s="2"/>
      <c r="I25" s="2"/>
      <c r="J25" s="19"/>
      <c r="K25" s="2"/>
      <c r="L25" s="2">
        <f t="shared" si="0"/>
        <v>859.78</v>
      </c>
      <c r="M25" s="2"/>
      <c r="N25" s="19">
        <f t="shared" si="1"/>
        <v>0</v>
      </c>
      <c r="O25" s="11"/>
      <c r="P25" s="2">
        <f>--80809.49</f>
        <v>80809.490000000005</v>
      </c>
      <c r="Q25" s="2"/>
      <c r="R25" s="19"/>
      <c r="S25" s="2"/>
      <c r="T25" s="2"/>
      <c r="U25" s="2"/>
      <c r="V25" s="19"/>
      <c r="W25" s="2"/>
      <c r="X25" s="2">
        <f t="shared" si="2"/>
        <v>80809.490000000005</v>
      </c>
      <c r="Y25" s="2"/>
      <c r="Z25" s="19">
        <f t="shared" si="3"/>
        <v>0</v>
      </c>
    </row>
    <row r="26" spans="1:26" s="24" customFormat="1" hidden="1" outlineLevel="1" x14ac:dyDescent="0.25">
      <c r="A26" s="44"/>
      <c r="B26" s="11" t="str">
        <f>CONCATENATE("          ", "4027", " - ", "TAXABLE SALES-SCHOOL SUPPLIES")</f>
        <v xml:space="preserve">          4027 - TAXABLE SALES-SCHOOL SUPPLIES</v>
      </c>
      <c r="C26" s="11"/>
      <c r="D26" s="2">
        <f>--5530.51</f>
        <v>5530.51</v>
      </c>
      <c r="E26" s="2"/>
      <c r="F26" s="19"/>
      <c r="G26" s="2"/>
      <c r="H26" s="2"/>
      <c r="I26" s="2"/>
      <c r="J26" s="19"/>
      <c r="K26" s="2"/>
      <c r="L26" s="2">
        <f t="shared" si="0"/>
        <v>5530.51</v>
      </c>
      <c r="M26" s="2"/>
      <c r="N26" s="19">
        <f t="shared" si="1"/>
        <v>0</v>
      </c>
      <c r="O26" s="11"/>
      <c r="P26" s="2">
        <f>--276777.07</f>
        <v>276777.07</v>
      </c>
      <c r="Q26" s="2"/>
      <c r="R26" s="19"/>
      <c r="S26" s="2"/>
      <c r="T26" s="2"/>
      <c r="U26" s="2"/>
      <c r="V26" s="19"/>
      <c r="W26" s="2"/>
      <c r="X26" s="2">
        <f t="shared" si="2"/>
        <v>276777.07</v>
      </c>
      <c r="Y26" s="2"/>
      <c r="Z26" s="19">
        <f t="shared" si="3"/>
        <v>0</v>
      </c>
    </row>
    <row r="27" spans="1:26" s="24" customFormat="1" hidden="1" outlineLevel="1" x14ac:dyDescent="0.25">
      <c r="A27" s="44"/>
      <c r="B27" s="11" t="str">
        <f>CONCATENATE("          ", "4028", " - ", "TAXABLE SALES-ART/TECH")</f>
        <v xml:space="preserve">          4028 - TAXABLE SALES-ART/TECH</v>
      </c>
      <c r="C27" s="11"/>
      <c r="D27" s="2">
        <f>--425.18</f>
        <v>425.18</v>
      </c>
      <c r="E27" s="2"/>
      <c r="F27" s="19"/>
      <c r="G27" s="2"/>
      <c r="H27" s="2"/>
      <c r="I27" s="2"/>
      <c r="J27" s="19"/>
      <c r="K27" s="2"/>
      <c r="L27" s="2">
        <f t="shared" si="0"/>
        <v>425.18</v>
      </c>
      <c r="M27" s="2"/>
      <c r="N27" s="19">
        <f t="shared" si="1"/>
        <v>0</v>
      </c>
      <c r="O27" s="11"/>
      <c r="P27" s="2">
        <f>--293191.05</f>
        <v>293191.05</v>
      </c>
      <c r="Q27" s="2"/>
      <c r="R27" s="19"/>
      <c r="S27" s="2"/>
      <c r="T27" s="2"/>
      <c r="U27" s="2"/>
      <c r="V27" s="19"/>
      <c r="W27" s="2"/>
      <c r="X27" s="2">
        <f t="shared" si="2"/>
        <v>293191.05</v>
      </c>
      <c r="Y27" s="2"/>
      <c r="Z27" s="19">
        <f t="shared" si="3"/>
        <v>0</v>
      </c>
    </row>
    <row r="28" spans="1:26" s="24" customFormat="1" hidden="1" outlineLevel="1" x14ac:dyDescent="0.25">
      <c r="A28" s="44"/>
      <c r="B28" s="11" t="str">
        <f>CONCATENATE("          ", "4031", " - ", "TAXABLE SALES-FOOD")</f>
        <v xml:space="preserve">          4031 - TAXABLE SALES-FOOD</v>
      </c>
      <c r="C28" s="11"/>
      <c r="D28" s="2">
        <f t="shared" ref="D28:D33" si="5">0</f>
        <v>0</v>
      </c>
      <c r="E28" s="2"/>
      <c r="F28" s="19"/>
      <c r="G28" s="2"/>
      <c r="H28" s="2"/>
      <c r="I28" s="2"/>
      <c r="J28" s="19"/>
      <c r="K28" s="2"/>
      <c r="L28" s="2">
        <f t="shared" si="0"/>
        <v>0</v>
      </c>
      <c r="M28" s="2"/>
      <c r="N28" s="19">
        <f t="shared" si="1"/>
        <v>0</v>
      </c>
      <c r="O28" s="11"/>
      <c r="P28" s="2">
        <f>--486.34</f>
        <v>486.34</v>
      </c>
      <c r="Q28" s="2"/>
      <c r="R28" s="19"/>
      <c r="S28" s="2"/>
      <c r="T28" s="2"/>
      <c r="U28" s="2"/>
      <c r="V28" s="19"/>
      <c r="W28" s="2"/>
      <c r="X28" s="2">
        <f t="shared" si="2"/>
        <v>486.34</v>
      </c>
      <c r="Y28" s="2"/>
      <c r="Z28" s="19">
        <f t="shared" si="3"/>
        <v>0</v>
      </c>
    </row>
    <row r="29" spans="1:26" s="24" customFormat="1" hidden="1" outlineLevel="1" x14ac:dyDescent="0.25">
      <c r="A29" s="44"/>
      <c r="B29" s="11" t="str">
        <f>CONCATENATE("          ", "4032", " - ", "TAXABLE SALES-JUICE")</f>
        <v xml:space="preserve">          4032 - TAXABLE SALES-JUICE</v>
      </c>
      <c r="C29" s="11"/>
      <c r="D29" s="2">
        <f t="shared" si="5"/>
        <v>0</v>
      </c>
      <c r="E29" s="2"/>
      <c r="F29" s="19"/>
      <c r="G29" s="2"/>
      <c r="H29" s="2"/>
      <c r="I29" s="2"/>
      <c r="J29" s="19"/>
      <c r="K29" s="2"/>
      <c r="L29" s="2">
        <f t="shared" si="0"/>
        <v>0</v>
      </c>
      <c r="M29" s="2"/>
      <c r="N29" s="19">
        <f t="shared" si="1"/>
        <v>0</v>
      </c>
      <c r="O29" s="11"/>
      <c r="P29" s="2">
        <f>--1905.06</f>
        <v>1905.06</v>
      </c>
      <c r="Q29" s="2"/>
      <c r="R29" s="19"/>
      <c r="S29" s="2"/>
      <c r="T29" s="2"/>
      <c r="U29" s="2"/>
      <c r="V29" s="19"/>
      <c r="W29" s="2"/>
      <c r="X29" s="2">
        <f t="shared" si="2"/>
        <v>1905.06</v>
      </c>
      <c r="Y29" s="2"/>
      <c r="Z29" s="19">
        <f t="shared" si="3"/>
        <v>0</v>
      </c>
    </row>
    <row r="30" spans="1:26" s="24" customFormat="1" hidden="1" outlineLevel="1" x14ac:dyDescent="0.25">
      <c r="A30" s="44"/>
      <c r="B30" s="11" t="str">
        <f>CONCATENATE("          ", "4033", " - ", "TAXABLE SALES-CANDY")</f>
        <v xml:space="preserve">          4033 - TAXABLE SALES-CANDY</v>
      </c>
      <c r="C30" s="11"/>
      <c r="D30" s="2">
        <f t="shared" si="5"/>
        <v>0</v>
      </c>
      <c r="E30" s="2"/>
      <c r="F30" s="19"/>
      <c r="G30" s="2"/>
      <c r="H30" s="2"/>
      <c r="I30" s="2"/>
      <c r="J30" s="19"/>
      <c r="K30" s="2"/>
      <c r="L30" s="2">
        <f t="shared" si="0"/>
        <v>0</v>
      </c>
      <c r="M30" s="2"/>
      <c r="N30" s="19">
        <f t="shared" si="1"/>
        <v>0</v>
      </c>
      <c r="O30" s="11"/>
      <c r="P30" s="2">
        <f>--205.53</f>
        <v>205.53</v>
      </c>
      <c r="Q30" s="2"/>
      <c r="R30" s="19"/>
      <c r="S30" s="2"/>
      <c r="T30" s="2"/>
      <c r="U30" s="2"/>
      <c r="V30" s="19"/>
      <c r="W30" s="2"/>
      <c r="X30" s="2">
        <f t="shared" si="2"/>
        <v>205.53</v>
      </c>
      <c r="Y30" s="2"/>
      <c r="Z30" s="19">
        <f t="shared" si="3"/>
        <v>0</v>
      </c>
    </row>
    <row r="31" spans="1:26" s="24" customFormat="1" hidden="1" outlineLevel="1" x14ac:dyDescent="0.25">
      <c r="A31" s="44"/>
      <c r="B31" s="11" t="str">
        <f>CONCATENATE("          ", "4034", " - ", "TAXABLE SALES-SODA")</f>
        <v xml:space="preserve">          4034 - TAXABLE SALES-SODA</v>
      </c>
      <c r="C31" s="11"/>
      <c r="D31" s="2">
        <f t="shared" si="5"/>
        <v>0</v>
      </c>
      <c r="E31" s="2"/>
      <c r="F31" s="19"/>
      <c r="G31" s="2"/>
      <c r="H31" s="2"/>
      <c r="I31" s="2"/>
      <c r="J31" s="19"/>
      <c r="K31" s="2"/>
      <c r="L31" s="2">
        <f t="shared" si="0"/>
        <v>0</v>
      </c>
      <c r="M31" s="2"/>
      <c r="N31" s="19">
        <f t="shared" si="1"/>
        <v>0</v>
      </c>
      <c r="O31" s="11"/>
      <c r="P31" s="2">
        <f>--7803.51</f>
        <v>7803.51</v>
      </c>
      <c r="Q31" s="2"/>
      <c r="R31" s="19"/>
      <c r="S31" s="2"/>
      <c r="T31" s="2"/>
      <c r="U31" s="2"/>
      <c r="V31" s="19"/>
      <c r="W31" s="2"/>
      <c r="X31" s="2">
        <f t="shared" si="2"/>
        <v>7803.51</v>
      </c>
      <c r="Y31" s="2"/>
      <c r="Z31" s="19">
        <f t="shared" si="3"/>
        <v>0</v>
      </c>
    </row>
    <row r="32" spans="1:26" s="24" customFormat="1" hidden="1" outlineLevel="1" x14ac:dyDescent="0.25">
      <c r="A32" s="44"/>
      <c r="B32" s="11" t="str">
        <f>CONCATENATE("          ", "4035", " - ", "TAXABLE SALES-HEALTH &amp; BEAUTY")</f>
        <v xml:space="preserve">          4035 - TAXABLE SALES-HEALTH &amp; BEAUTY</v>
      </c>
      <c r="C32" s="11"/>
      <c r="D32" s="2">
        <f t="shared" si="5"/>
        <v>0</v>
      </c>
      <c r="E32" s="2"/>
      <c r="F32" s="19"/>
      <c r="G32" s="2"/>
      <c r="H32" s="2"/>
      <c r="I32" s="2"/>
      <c r="J32" s="19"/>
      <c r="K32" s="2"/>
      <c r="L32" s="2">
        <f t="shared" si="0"/>
        <v>0</v>
      </c>
      <c r="M32" s="2"/>
      <c r="N32" s="19">
        <f t="shared" si="1"/>
        <v>0</v>
      </c>
      <c r="O32" s="11"/>
      <c r="P32" s="2">
        <f>--1981.84</f>
        <v>1981.84</v>
      </c>
      <c r="Q32" s="2"/>
      <c r="R32" s="19"/>
      <c r="S32" s="2"/>
      <c r="T32" s="2"/>
      <c r="U32" s="2"/>
      <c r="V32" s="19"/>
      <c r="W32" s="2"/>
      <c r="X32" s="2">
        <f t="shared" si="2"/>
        <v>1981.84</v>
      </c>
      <c r="Y32" s="2"/>
      <c r="Z32" s="19">
        <f t="shared" si="3"/>
        <v>0</v>
      </c>
    </row>
    <row r="33" spans="1:26" s="24" customFormat="1" hidden="1" outlineLevel="1" x14ac:dyDescent="0.25">
      <c r="A33" s="44"/>
      <c r="B33" s="11" t="str">
        <f>CONCATENATE("          ", "4037", " - ", "TAXABLE SALES-WATER")</f>
        <v xml:space="preserve">          4037 - TAXABLE SALES-WATER</v>
      </c>
      <c r="C33" s="11"/>
      <c r="D33" s="2">
        <f t="shared" si="5"/>
        <v>0</v>
      </c>
      <c r="E33" s="2"/>
      <c r="F33" s="19"/>
      <c r="G33" s="2"/>
      <c r="H33" s="2"/>
      <c r="I33" s="2"/>
      <c r="J33" s="19"/>
      <c r="K33" s="2"/>
      <c r="L33" s="2">
        <f t="shared" si="0"/>
        <v>0</v>
      </c>
      <c r="M33" s="2"/>
      <c r="N33" s="19">
        <f t="shared" si="1"/>
        <v>0</v>
      </c>
      <c r="O33" s="11"/>
      <c r="P33" s="2">
        <f>--513.51</f>
        <v>513.51</v>
      </c>
      <c r="Q33" s="2"/>
      <c r="R33" s="19"/>
      <c r="S33" s="2"/>
      <c r="T33" s="2"/>
      <c r="U33" s="2"/>
      <c r="V33" s="19"/>
      <c r="W33" s="2"/>
      <c r="X33" s="2">
        <f t="shared" si="2"/>
        <v>513.51</v>
      </c>
      <c r="Y33" s="2"/>
      <c r="Z33" s="19">
        <f t="shared" si="3"/>
        <v>0</v>
      </c>
    </row>
    <row r="34" spans="1:26" s="24" customFormat="1" hidden="1" outlineLevel="1" x14ac:dyDescent="0.25">
      <c r="A34" s="44"/>
      <c r="B34" s="11" t="str">
        <f>CONCATENATE("          ", "4040", " - ", "TAXABLE SALES-LOGO CLOTHING")</f>
        <v xml:space="preserve">          4040 - TAXABLE SALES-LOGO CLOTHING</v>
      </c>
      <c r="C34" s="11"/>
      <c r="D34" s="2">
        <f>--50806.72</f>
        <v>50806.720000000001</v>
      </c>
      <c r="E34" s="2"/>
      <c r="F34" s="19"/>
      <c r="G34" s="2"/>
      <c r="H34" s="2"/>
      <c r="I34" s="2"/>
      <c r="J34" s="19"/>
      <c r="K34" s="2"/>
      <c r="L34" s="2">
        <f t="shared" si="0"/>
        <v>50806.720000000001</v>
      </c>
      <c r="M34" s="2"/>
      <c r="N34" s="19">
        <f t="shared" si="1"/>
        <v>0</v>
      </c>
      <c r="O34" s="11"/>
      <c r="P34" s="2">
        <f>--1894910.12</f>
        <v>1894910.12</v>
      </c>
      <c r="Q34" s="2"/>
      <c r="R34" s="19"/>
      <c r="S34" s="2"/>
      <c r="T34" s="2"/>
      <c r="U34" s="2"/>
      <c r="V34" s="19"/>
      <c r="W34" s="2"/>
      <c r="X34" s="2">
        <f t="shared" si="2"/>
        <v>1894910.12</v>
      </c>
      <c r="Y34" s="2"/>
      <c r="Z34" s="19">
        <f t="shared" si="3"/>
        <v>0</v>
      </c>
    </row>
    <row r="35" spans="1:26" s="24" customFormat="1" hidden="1" outlineLevel="1" x14ac:dyDescent="0.25">
      <c r="A35" s="44"/>
      <c r="B35" s="11" t="str">
        <f>CONCATENATE("          ", "4041", " - ", "TAXABLE SALES-LOGO GIFTS")</f>
        <v xml:space="preserve">          4041 - TAXABLE SALES-LOGO GIFTS</v>
      </c>
      <c r="C35" s="11"/>
      <c r="D35" s="2">
        <f>--45499.27</f>
        <v>45499.27</v>
      </c>
      <c r="E35" s="2"/>
      <c r="F35" s="19"/>
      <c r="G35" s="2"/>
      <c r="H35" s="2"/>
      <c r="I35" s="2"/>
      <c r="J35" s="19"/>
      <c r="K35" s="2"/>
      <c r="L35" s="2">
        <f t="shared" si="0"/>
        <v>45499.27</v>
      </c>
      <c r="M35" s="2"/>
      <c r="N35" s="19">
        <f t="shared" si="1"/>
        <v>0</v>
      </c>
      <c r="O35" s="11"/>
      <c r="P35" s="2">
        <f>--526632.56</f>
        <v>526632.56000000006</v>
      </c>
      <c r="Q35" s="2"/>
      <c r="R35" s="19"/>
      <c r="S35" s="2"/>
      <c r="T35" s="2"/>
      <c r="U35" s="2"/>
      <c r="V35" s="19"/>
      <c r="W35" s="2"/>
      <c r="X35" s="2">
        <f t="shared" si="2"/>
        <v>526632.56000000006</v>
      </c>
      <c r="Y35" s="2"/>
      <c r="Z35" s="19">
        <f t="shared" si="3"/>
        <v>0</v>
      </c>
    </row>
    <row r="36" spans="1:26" s="24" customFormat="1" hidden="1" outlineLevel="1" x14ac:dyDescent="0.25">
      <c r="A36" s="44"/>
      <c r="B36" s="11" t="str">
        <f>CONCATENATE("          ", "4042", " - ", "TAXABLE SALES-EVERYDAY GIFTS")</f>
        <v xml:space="preserve">          4042 - TAXABLE SALES-EVERYDAY GIFTS</v>
      </c>
      <c r="C36" s="11"/>
      <c r="D36" s="2">
        <f>--3419.02</f>
        <v>3419.02</v>
      </c>
      <c r="E36" s="2"/>
      <c r="F36" s="19"/>
      <c r="G36" s="2"/>
      <c r="H36" s="2"/>
      <c r="I36" s="2"/>
      <c r="J36" s="19"/>
      <c r="K36" s="2"/>
      <c r="L36" s="2">
        <f t="shared" si="0"/>
        <v>3419.02</v>
      </c>
      <c r="M36" s="2"/>
      <c r="N36" s="19">
        <f t="shared" si="1"/>
        <v>0</v>
      </c>
      <c r="O36" s="11"/>
      <c r="P36" s="2">
        <f>--282721.2</f>
        <v>282721.2</v>
      </c>
      <c r="Q36" s="2"/>
      <c r="R36" s="19"/>
      <c r="S36" s="2"/>
      <c r="T36" s="2"/>
      <c r="U36" s="2"/>
      <c r="V36" s="19"/>
      <c r="W36" s="2"/>
      <c r="X36" s="2">
        <f t="shared" si="2"/>
        <v>282721.2</v>
      </c>
      <c r="Y36" s="2"/>
      <c r="Z36" s="19">
        <f t="shared" si="3"/>
        <v>0</v>
      </c>
    </row>
    <row r="37" spans="1:26" s="24" customFormat="1" hidden="1" outlineLevel="1" x14ac:dyDescent="0.25">
      <c r="A37" s="44"/>
      <c r="B37" s="11" t="str">
        <f>CONCATENATE("          ", "4043", " - ", "TAXABLE SALES-CARDS")</f>
        <v xml:space="preserve">          4043 - TAXABLE SALES-CARDS</v>
      </c>
      <c r="C37" s="11"/>
      <c r="D37" s="2">
        <f>--49.95</f>
        <v>49.95</v>
      </c>
      <c r="E37" s="2"/>
      <c r="F37" s="19"/>
      <c r="G37" s="2"/>
      <c r="H37" s="2"/>
      <c r="I37" s="2"/>
      <c r="J37" s="19"/>
      <c r="K37" s="2"/>
      <c r="L37" s="2">
        <f t="shared" si="0"/>
        <v>49.95</v>
      </c>
      <c r="M37" s="2"/>
      <c r="N37" s="19">
        <f t="shared" si="1"/>
        <v>0</v>
      </c>
      <c r="O37" s="11"/>
      <c r="P37" s="2">
        <f>--77269.18</f>
        <v>77269.179999999993</v>
      </c>
      <c r="Q37" s="2"/>
      <c r="R37" s="19"/>
      <c r="S37" s="2"/>
      <c r="T37" s="2"/>
      <c r="U37" s="2"/>
      <c r="V37" s="19"/>
      <c r="W37" s="2"/>
      <c r="X37" s="2">
        <f t="shared" si="2"/>
        <v>77269.179999999993</v>
      </c>
      <c r="Y37" s="2"/>
      <c r="Z37" s="19">
        <f t="shared" si="3"/>
        <v>0</v>
      </c>
    </row>
    <row r="38" spans="1:26" s="24" customFormat="1" hidden="1" outlineLevel="1" x14ac:dyDescent="0.25">
      <c r="A38" s="44"/>
      <c r="B38" s="11" t="str">
        <f>CONCATENATE("          ", "4044", " - ", "TAXABLE SALES-ACCESSORIES")</f>
        <v xml:space="preserve">          4044 - TAXABLE SALES-ACCESSORIES</v>
      </c>
      <c r="C38" s="11"/>
      <c r="D38" s="2">
        <f>--3915.24</f>
        <v>3915.24</v>
      </c>
      <c r="E38" s="2"/>
      <c r="F38" s="19"/>
      <c r="G38" s="2"/>
      <c r="H38" s="2"/>
      <c r="I38" s="2"/>
      <c r="J38" s="19"/>
      <c r="K38" s="2"/>
      <c r="L38" s="2">
        <f t="shared" si="0"/>
        <v>3915.24</v>
      </c>
      <c r="M38" s="2"/>
      <c r="N38" s="19">
        <f t="shared" si="1"/>
        <v>0</v>
      </c>
      <c r="O38" s="11"/>
      <c r="P38" s="2">
        <f>--71255.76</f>
        <v>71255.759999999995</v>
      </c>
      <c r="Q38" s="2"/>
      <c r="R38" s="19"/>
      <c r="S38" s="2"/>
      <c r="T38" s="2"/>
      <c r="U38" s="2"/>
      <c r="V38" s="19"/>
      <c r="W38" s="2"/>
      <c r="X38" s="2">
        <f t="shared" si="2"/>
        <v>71255.759999999995</v>
      </c>
      <c r="Y38" s="2"/>
      <c r="Z38" s="19">
        <f t="shared" si="3"/>
        <v>0</v>
      </c>
    </row>
    <row r="39" spans="1:26" s="24" customFormat="1" hidden="1" outlineLevel="1" x14ac:dyDescent="0.25">
      <c r="A39" s="44"/>
      <c r="B39" s="11" t="str">
        <f>CONCATENATE("          ", "4045", " - ", "TAXABLE SALES-SPECIAL ORDERS")</f>
        <v xml:space="preserve">          4045 - TAXABLE SALES-SPECIAL ORDERS</v>
      </c>
      <c r="C39" s="11"/>
      <c r="D39" s="2">
        <f>--13525.59</f>
        <v>13525.59</v>
      </c>
      <c r="E39" s="2"/>
      <c r="F39" s="19"/>
      <c r="G39" s="2"/>
      <c r="H39" s="2"/>
      <c r="I39" s="2"/>
      <c r="J39" s="19"/>
      <c r="K39" s="2"/>
      <c r="L39" s="2">
        <f t="shared" si="0"/>
        <v>13525.59</v>
      </c>
      <c r="M39" s="2"/>
      <c r="N39" s="19">
        <f t="shared" si="1"/>
        <v>0</v>
      </c>
      <c r="O39" s="11"/>
      <c r="P39" s="2">
        <f>--96839.56</f>
        <v>96839.56</v>
      </c>
      <c r="Q39" s="2"/>
      <c r="R39" s="19"/>
      <c r="S39" s="2"/>
      <c r="T39" s="2"/>
      <c r="U39" s="2"/>
      <c r="V39" s="19"/>
      <c r="W39" s="2"/>
      <c r="X39" s="2">
        <f t="shared" si="2"/>
        <v>96839.56</v>
      </c>
      <c r="Y39" s="2"/>
      <c r="Z39" s="19">
        <f t="shared" si="3"/>
        <v>0</v>
      </c>
    </row>
    <row r="40" spans="1:26" s="24" customFormat="1" hidden="1" outlineLevel="1" x14ac:dyDescent="0.25">
      <c r="A40" s="44"/>
      <c r="B40" s="11" t="str">
        <f>CONCATENATE("          ", "4047", " - ", "TAXABLE SALES-MISC")</f>
        <v xml:space="preserve">          4047 - TAXABLE SALES-MISC</v>
      </c>
      <c r="C40" s="11"/>
      <c r="D40" s="2">
        <f t="shared" ref="D40:D44" si="6">0</f>
        <v>0</v>
      </c>
      <c r="E40" s="2"/>
      <c r="F40" s="19"/>
      <c r="G40" s="2"/>
      <c r="H40" s="2"/>
      <c r="I40" s="2"/>
      <c r="J40" s="19"/>
      <c r="K40" s="2"/>
      <c r="L40" s="2">
        <f t="shared" si="0"/>
        <v>0</v>
      </c>
      <c r="M40" s="2"/>
      <c r="N40" s="19">
        <f t="shared" si="1"/>
        <v>0</v>
      </c>
      <c r="O40" s="11"/>
      <c r="P40" s="2">
        <f>--2676.14</f>
        <v>2676.14</v>
      </c>
      <c r="Q40" s="2"/>
      <c r="R40" s="19"/>
      <c r="S40" s="2"/>
      <c r="T40" s="2"/>
      <c r="U40" s="2"/>
      <c r="V40" s="19"/>
      <c r="W40" s="2"/>
      <c r="X40" s="2">
        <f t="shared" si="2"/>
        <v>2676.14</v>
      </c>
      <c r="Y40" s="2"/>
      <c r="Z40" s="19">
        <f t="shared" si="3"/>
        <v>0</v>
      </c>
    </row>
    <row r="41" spans="1:26" s="24" customFormat="1" hidden="1" outlineLevel="1" x14ac:dyDescent="0.25">
      <c r="A41" s="44"/>
      <c r="B41" s="11" t="str">
        <f>CONCATENATE("          ", "4081", " - ", "TAXABLE SALES-ELECTRONICS")</f>
        <v xml:space="preserve">          4081 - TAXABLE SALES-ELECTRONICS</v>
      </c>
      <c r="C41" s="11"/>
      <c r="D41" s="2">
        <f t="shared" si="6"/>
        <v>0</v>
      </c>
      <c r="E41" s="2"/>
      <c r="F41" s="19"/>
      <c r="G41" s="2"/>
      <c r="H41" s="2"/>
      <c r="I41" s="2"/>
      <c r="J41" s="19"/>
      <c r="K41" s="2"/>
      <c r="L41" s="2">
        <f t="shared" si="0"/>
        <v>0</v>
      </c>
      <c r="M41" s="2"/>
      <c r="N41" s="19">
        <f t="shared" si="1"/>
        <v>0</v>
      </c>
      <c r="O41" s="11"/>
      <c r="P41" s="2">
        <f>--3174.93</f>
        <v>3174.93</v>
      </c>
      <c r="Q41" s="2"/>
      <c r="R41" s="19"/>
      <c r="S41" s="2"/>
      <c r="T41" s="2"/>
      <c r="U41" s="2"/>
      <c r="V41" s="19"/>
      <c r="W41" s="2"/>
      <c r="X41" s="2">
        <f t="shared" si="2"/>
        <v>3174.93</v>
      </c>
      <c r="Y41" s="2"/>
      <c r="Z41" s="19">
        <f t="shared" si="3"/>
        <v>0</v>
      </c>
    </row>
    <row r="42" spans="1:26" s="24" customFormat="1" hidden="1" outlineLevel="1" x14ac:dyDescent="0.25">
      <c r="A42" s="44"/>
      <c r="B42" s="11" t="str">
        <f>CONCATENATE("          ", "4082", " - ", "TAXABLE SALES-COMPUTER HARDWAR")</f>
        <v xml:space="preserve">          4082 - TAXABLE SALES-COMPUTER HARDWAR</v>
      </c>
      <c r="C42" s="11"/>
      <c r="D42" s="2">
        <f t="shared" si="6"/>
        <v>0</v>
      </c>
      <c r="E42" s="2"/>
      <c r="F42" s="19"/>
      <c r="G42" s="2"/>
      <c r="H42" s="2"/>
      <c r="I42" s="2"/>
      <c r="J42" s="19"/>
      <c r="K42" s="2"/>
      <c r="L42" s="2">
        <f t="shared" si="0"/>
        <v>0</v>
      </c>
      <c r="M42" s="2"/>
      <c r="N42" s="19">
        <f t="shared" si="1"/>
        <v>0</v>
      </c>
      <c r="O42" s="11"/>
      <c r="P42" s="2">
        <f>--363.94</f>
        <v>363.94</v>
      </c>
      <c r="Q42" s="2"/>
      <c r="R42" s="19"/>
      <c r="S42" s="2"/>
      <c r="T42" s="2"/>
      <c r="U42" s="2"/>
      <c r="V42" s="19"/>
      <c r="W42" s="2"/>
      <c r="X42" s="2">
        <f t="shared" si="2"/>
        <v>363.94</v>
      </c>
      <c r="Y42" s="2"/>
      <c r="Z42" s="19">
        <f t="shared" si="3"/>
        <v>0</v>
      </c>
    </row>
    <row r="43" spans="1:26" s="24" customFormat="1" hidden="1" outlineLevel="1" x14ac:dyDescent="0.25">
      <c r="A43" s="44"/>
      <c r="B43" s="11" t="str">
        <f>CONCATENATE("          ", "4083", " - ", "TAXABLE SALES-COMPUTER EQUIPME")</f>
        <v xml:space="preserve">          4083 - TAXABLE SALES-COMPUTER EQUIPME</v>
      </c>
      <c r="C43" s="11"/>
      <c r="D43" s="2">
        <f t="shared" si="6"/>
        <v>0</v>
      </c>
      <c r="E43" s="2"/>
      <c r="F43" s="19"/>
      <c r="G43" s="2"/>
      <c r="H43" s="2"/>
      <c r="I43" s="2"/>
      <c r="J43" s="19"/>
      <c r="K43" s="2"/>
      <c r="L43" s="2">
        <f t="shared" si="0"/>
        <v>0</v>
      </c>
      <c r="M43" s="2"/>
      <c r="N43" s="19">
        <f t="shared" si="1"/>
        <v>0</v>
      </c>
      <c r="O43" s="11"/>
      <c r="P43" s="2">
        <f>--914.33</f>
        <v>914.33</v>
      </c>
      <c r="Q43" s="2"/>
      <c r="R43" s="19"/>
      <c r="S43" s="2"/>
      <c r="T43" s="2"/>
      <c r="U43" s="2"/>
      <c r="V43" s="19"/>
      <c r="W43" s="2"/>
      <c r="X43" s="2">
        <f t="shared" si="2"/>
        <v>914.33</v>
      </c>
      <c r="Y43" s="2"/>
      <c r="Z43" s="19">
        <f t="shared" si="3"/>
        <v>0</v>
      </c>
    </row>
    <row r="44" spans="1:26" s="24" customFormat="1" hidden="1" outlineLevel="1" x14ac:dyDescent="0.25">
      <c r="A44" s="44"/>
      <c r="B44" s="11" t="str">
        <f>CONCATENATE("          ", "4086", " - ", "TAXABLE SALES-COMPUTER SUPPLIE")</f>
        <v xml:space="preserve">          4086 - TAXABLE SALES-COMPUTER SUPPLIE</v>
      </c>
      <c r="C44" s="11"/>
      <c r="D44" s="2">
        <f t="shared" si="6"/>
        <v>0</v>
      </c>
      <c r="E44" s="2"/>
      <c r="F44" s="19"/>
      <c r="G44" s="2"/>
      <c r="H44" s="2"/>
      <c r="I44" s="2"/>
      <c r="J44" s="19"/>
      <c r="K44" s="2"/>
      <c r="L44" s="2">
        <f t="shared" si="0"/>
        <v>0</v>
      </c>
      <c r="M44" s="2"/>
      <c r="N44" s="19">
        <f t="shared" si="1"/>
        <v>0</v>
      </c>
      <c r="O44" s="11"/>
      <c r="P44" s="2">
        <f>--813.74</f>
        <v>813.74</v>
      </c>
      <c r="Q44" s="2"/>
      <c r="R44" s="19"/>
      <c r="S44" s="2"/>
      <c r="T44" s="2"/>
      <c r="U44" s="2"/>
      <c r="V44" s="19"/>
      <c r="W44" s="2"/>
      <c r="X44" s="2">
        <f t="shared" si="2"/>
        <v>813.74</v>
      </c>
      <c r="Y44" s="2"/>
      <c r="Z44" s="19">
        <f t="shared" si="3"/>
        <v>0</v>
      </c>
    </row>
    <row r="45" spans="1:26" s="24" customFormat="1" hidden="1" outlineLevel="1" x14ac:dyDescent="0.25">
      <c r="A45" s="44"/>
      <c r="B45" s="11" t="str">
        <f>CONCATENATE("          ", "4092", " - ", "TAXABLE SALES-GRAD MERCH")</f>
        <v xml:space="preserve">          4092 - TAXABLE SALES-GRAD MERCH</v>
      </c>
      <c r="C45" s="11"/>
      <c r="D45" s="2">
        <f>--13527.29</f>
        <v>13527.29</v>
      </c>
      <c r="E45" s="2"/>
      <c r="F45" s="19"/>
      <c r="G45" s="2"/>
      <c r="H45" s="2"/>
      <c r="I45" s="2"/>
      <c r="J45" s="19"/>
      <c r="K45" s="2"/>
      <c r="L45" s="2">
        <f t="shared" si="0"/>
        <v>13527.29</v>
      </c>
      <c r="M45" s="2"/>
      <c r="N45" s="19">
        <f t="shared" si="1"/>
        <v>0</v>
      </c>
      <c r="O45" s="11"/>
      <c r="P45" s="2">
        <f>--35353.71</f>
        <v>35353.71</v>
      </c>
      <c r="Q45" s="2"/>
      <c r="R45" s="19"/>
      <c r="S45" s="2"/>
      <c r="T45" s="2"/>
      <c r="U45" s="2"/>
      <c r="V45" s="19"/>
      <c r="W45" s="2"/>
      <c r="X45" s="2">
        <f t="shared" si="2"/>
        <v>35353.71</v>
      </c>
      <c r="Y45" s="2"/>
      <c r="Z45" s="19">
        <f t="shared" si="3"/>
        <v>0</v>
      </c>
    </row>
    <row r="46" spans="1:26" s="24" customFormat="1" hidden="1" outlineLevel="1" x14ac:dyDescent="0.25">
      <c r="A46" s="44"/>
      <c r="B46" s="11" t="str">
        <f>CONCATENATE("          ", "4095", " - ", "TAXABLE SALES-CUSTOMER SERVICE")</f>
        <v xml:space="preserve">          4095 - TAXABLE SALES-CUSTOMER SERVICE</v>
      </c>
      <c r="C46" s="11"/>
      <c r="D46" s="2">
        <f>0</f>
        <v>0</v>
      </c>
      <c r="E46" s="2"/>
      <c r="F46" s="19"/>
      <c r="G46" s="2"/>
      <c r="H46" s="2"/>
      <c r="I46" s="2"/>
      <c r="J46" s="19"/>
      <c r="K46" s="2"/>
      <c r="L46" s="2">
        <f t="shared" si="0"/>
        <v>0</v>
      </c>
      <c r="M46" s="2"/>
      <c r="N46" s="19">
        <f t="shared" si="1"/>
        <v>0</v>
      </c>
      <c r="O46" s="11"/>
      <c r="P46" s="2">
        <f>--309.26</f>
        <v>309.26</v>
      </c>
      <c r="Q46" s="2"/>
      <c r="R46" s="19"/>
      <c r="S46" s="2"/>
      <c r="T46" s="2"/>
      <c r="U46" s="2"/>
      <c r="V46" s="19"/>
      <c r="W46" s="2"/>
      <c r="X46" s="2">
        <f t="shared" si="2"/>
        <v>309.26</v>
      </c>
      <c r="Y46" s="2"/>
      <c r="Z46" s="19">
        <f t="shared" si="3"/>
        <v>0</v>
      </c>
    </row>
    <row r="47" spans="1:26" s="24" customFormat="1" hidden="1" outlineLevel="1" x14ac:dyDescent="0.25">
      <c r="A47" s="44"/>
      <c r="B47" s="11" t="str">
        <f>CONCATENATE("          ", "4100", " - ", "NON-TAXABLE SALES")</f>
        <v xml:space="preserve">          4100 - NON-TAXABLE SALES</v>
      </c>
      <c r="C47" s="11"/>
      <c r="D47" s="2">
        <f>--5210.55</f>
        <v>5210.55</v>
      </c>
      <c r="E47" s="2"/>
      <c r="F47" s="19"/>
      <c r="G47" s="2"/>
      <c r="H47" s="2">
        <v>315729</v>
      </c>
      <c r="I47" s="2"/>
      <c r="J47" s="19"/>
      <c r="K47" s="2"/>
      <c r="L47" s="2">
        <f t="shared" si="0"/>
        <v>-310518.45</v>
      </c>
      <c r="M47" s="2"/>
      <c r="N47" s="19">
        <f t="shared" si="1"/>
        <v>-0.98349676463042679</v>
      </c>
      <c r="O47" s="11"/>
      <c r="P47" s="2">
        <f>--607447.02</f>
        <v>607447.02</v>
      </c>
      <c r="Q47" s="2"/>
      <c r="R47" s="19"/>
      <c r="S47" s="2"/>
      <c r="T47" s="2">
        <v>6198304</v>
      </c>
      <c r="U47" s="2"/>
      <c r="V47" s="19"/>
      <c r="W47" s="2"/>
      <c r="X47" s="2">
        <f t="shared" si="2"/>
        <v>-5590856.9800000004</v>
      </c>
      <c r="Y47" s="2"/>
      <c r="Z47" s="19">
        <f t="shared" si="3"/>
        <v>-0.9019978658678246</v>
      </c>
    </row>
    <row r="48" spans="1:26" s="24" customFormat="1" hidden="1" outlineLevel="1" x14ac:dyDescent="0.25">
      <c r="A48" s="44"/>
      <c r="B48" s="11" t="str">
        <f>CONCATENATE("          ", "4101", " - ", "NON-TAXABLE SALES-NEW TEXT")</f>
        <v xml:space="preserve">          4101 - NON-TAXABLE SALES-NEW TEXT</v>
      </c>
      <c r="C48" s="11"/>
      <c r="D48" s="2">
        <f>--7118.9</f>
        <v>7118.9</v>
      </c>
      <c r="E48" s="2"/>
      <c r="F48" s="19"/>
      <c r="G48" s="2"/>
      <c r="H48" s="2"/>
      <c r="I48" s="2"/>
      <c r="J48" s="19"/>
      <c r="K48" s="2"/>
      <c r="L48" s="2">
        <f t="shared" si="0"/>
        <v>7118.9</v>
      </c>
      <c r="M48" s="2"/>
      <c r="N48" s="19">
        <f t="shared" si="1"/>
        <v>0</v>
      </c>
      <c r="O48" s="11"/>
      <c r="P48" s="2">
        <f>--151282.34</f>
        <v>151282.34</v>
      </c>
      <c r="Q48" s="2"/>
      <c r="R48" s="19"/>
      <c r="S48" s="2"/>
      <c r="T48" s="2"/>
      <c r="U48" s="2"/>
      <c r="V48" s="19"/>
      <c r="W48" s="2"/>
      <c r="X48" s="2">
        <f t="shared" si="2"/>
        <v>151282.34</v>
      </c>
      <c r="Y48" s="2"/>
      <c r="Z48" s="19">
        <f t="shared" si="3"/>
        <v>0</v>
      </c>
    </row>
    <row r="49" spans="1:26" s="24" customFormat="1" hidden="1" outlineLevel="1" x14ac:dyDescent="0.25">
      <c r="A49" s="44"/>
      <c r="B49" s="11" t="str">
        <f>CONCATENATE("          ", "4102", " - ", "NON-TAXABLE SALES-USED TEXT")</f>
        <v xml:space="preserve">          4102 - NON-TAXABLE SALES-USED TEXT</v>
      </c>
      <c r="C49" s="11"/>
      <c r="D49" s="2">
        <f>--565.56</f>
        <v>565.55999999999995</v>
      </c>
      <c r="E49" s="2"/>
      <c r="F49" s="19"/>
      <c r="G49" s="2"/>
      <c r="H49" s="2"/>
      <c r="I49" s="2"/>
      <c r="J49" s="19"/>
      <c r="K49" s="2"/>
      <c r="L49" s="2">
        <f t="shared" si="0"/>
        <v>565.55999999999995</v>
      </c>
      <c r="M49" s="2"/>
      <c r="N49" s="19">
        <f t="shared" si="1"/>
        <v>0</v>
      </c>
      <c r="O49" s="11"/>
      <c r="P49" s="2">
        <f>--70225.46</f>
        <v>70225.460000000006</v>
      </c>
      <c r="Q49" s="2"/>
      <c r="R49" s="19"/>
      <c r="S49" s="2"/>
      <c r="T49" s="2"/>
      <c r="U49" s="2"/>
      <c r="V49" s="19"/>
      <c r="W49" s="2"/>
      <c r="X49" s="2">
        <f t="shared" si="2"/>
        <v>70225.460000000006</v>
      </c>
      <c r="Y49" s="2"/>
      <c r="Z49" s="19">
        <f t="shared" si="3"/>
        <v>0</v>
      </c>
    </row>
    <row r="50" spans="1:26" s="24" customFormat="1" hidden="1" outlineLevel="1" x14ac:dyDescent="0.25">
      <c r="A50" s="44"/>
      <c r="B50" s="11" t="str">
        <f>CONCATENATE("          ", "4103", " - ", "NON-TAXABLE SALES-RENTAL TEXT")</f>
        <v xml:space="preserve">          4103 - NON-TAXABLE SALES-RENTAL TEXT</v>
      </c>
      <c r="C50" s="11"/>
      <c r="D50" s="2">
        <f>0</f>
        <v>0</v>
      </c>
      <c r="E50" s="2"/>
      <c r="F50" s="19"/>
      <c r="G50" s="2"/>
      <c r="H50" s="2"/>
      <c r="I50" s="2"/>
      <c r="J50" s="19"/>
      <c r="K50" s="2"/>
      <c r="L50" s="2">
        <f t="shared" si="0"/>
        <v>0</v>
      </c>
      <c r="M50" s="2"/>
      <c r="N50" s="19">
        <f t="shared" si="1"/>
        <v>0</v>
      </c>
      <c r="O50" s="11"/>
      <c r="P50" s="2">
        <f>--664.97</f>
        <v>664.97</v>
      </c>
      <c r="Q50" s="2"/>
      <c r="R50" s="19"/>
      <c r="S50" s="2"/>
      <c r="T50" s="2"/>
      <c r="U50" s="2"/>
      <c r="V50" s="19"/>
      <c r="W50" s="2"/>
      <c r="X50" s="2">
        <f t="shared" si="2"/>
        <v>664.97</v>
      </c>
      <c r="Y50" s="2"/>
      <c r="Z50" s="19">
        <f t="shared" si="3"/>
        <v>0</v>
      </c>
    </row>
    <row r="51" spans="1:26" s="24" customFormat="1" hidden="1" outlineLevel="1" x14ac:dyDescent="0.25">
      <c r="A51" s="44"/>
      <c r="B51" s="11" t="str">
        <f>CONCATENATE("          ", "4104", " - ", "NON-TAXABLE SALES-DIGITAL TEXT")</f>
        <v xml:space="preserve">          4104 - NON-TAXABLE SALES-DIGITAL TEXT</v>
      </c>
      <c r="C51" s="11"/>
      <c r="D51" s="2">
        <f>--4949.29</f>
        <v>4949.29</v>
      </c>
      <c r="E51" s="2"/>
      <c r="F51" s="19"/>
      <c r="G51" s="2"/>
      <c r="H51" s="2"/>
      <c r="I51" s="2"/>
      <c r="J51" s="19"/>
      <c r="K51" s="2"/>
      <c r="L51" s="2">
        <f t="shared" si="0"/>
        <v>4949.29</v>
      </c>
      <c r="M51" s="2"/>
      <c r="N51" s="19">
        <f t="shared" si="1"/>
        <v>0</v>
      </c>
      <c r="O51" s="11"/>
      <c r="P51" s="2">
        <f>--531803.38</f>
        <v>531803.38</v>
      </c>
      <c r="Q51" s="2"/>
      <c r="R51" s="19"/>
      <c r="S51" s="2"/>
      <c r="T51" s="2"/>
      <c r="U51" s="2"/>
      <c r="V51" s="19"/>
      <c r="W51" s="2"/>
      <c r="X51" s="2">
        <f t="shared" si="2"/>
        <v>531803.38</v>
      </c>
      <c r="Y51" s="2"/>
      <c r="Z51" s="19">
        <f t="shared" si="3"/>
        <v>0</v>
      </c>
    </row>
    <row r="52" spans="1:26" s="24" customFormat="1" hidden="1" outlineLevel="1" x14ac:dyDescent="0.25">
      <c r="A52" s="44"/>
      <c r="B52" s="11" t="str">
        <f>CONCATENATE("          ", "4111", " - ", "NON-TAXABLE SALES-NO VALUE TEX")</f>
        <v xml:space="preserve">          4111 - NON-TAXABLE SALES-NO VALUE TEX</v>
      </c>
      <c r="C52" s="11"/>
      <c r="D52" s="2">
        <f>--340.46</f>
        <v>340.46</v>
      </c>
      <c r="E52" s="2"/>
      <c r="F52" s="19"/>
      <c r="G52" s="2"/>
      <c r="H52" s="2"/>
      <c r="I52" s="2"/>
      <c r="J52" s="19"/>
      <c r="K52" s="2"/>
      <c r="L52" s="2">
        <f t="shared" si="0"/>
        <v>340.46</v>
      </c>
      <c r="M52" s="2"/>
      <c r="N52" s="19">
        <f t="shared" si="1"/>
        <v>0</v>
      </c>
      <c r="O52" s="11"/>
      <c r="P52" s="2">
        <f>--15663.46</f>
        <v>15663.46</v>
      </c>
      <c r="Q52" s="2"/>
      <c r="R52" s="19"/>
      <c r="S52" s="2"/>
      <c r="T52" s="2"/>
      <c r="U52" s="2"/>
      <c r="V52" s="19"/>
      <c r="W52" s="2"/>
      <c r="X52" s="2">
        <f t="shared" si="2"/>
        <v>15663.46</v>
      </c>
      <c r="Y52" s="2"/>
      <c r="Z52" s="19">
        <f t="shared" si="3"/>
        <v>0</v>
      </c>
    </row>
    <row r="53" spans="1:26" s="24" customFormat="1" hidden="1" outlineLevel="1" x14ac:dyDescent="0.25">
      <c r="A53" s="44"/>
      <c r="B53" s="11" t="str">
        <f>CONCATENATE("          ", "4113", " - ", "NON-TAXABLE SALES-TRADE BOOKS")</f>
        <v xml:space="preserve">          4113 - NON-TAXABLE SALES-TRADE BOOKS</v>
      </c>
      <c r="C53" s="11"/>
      <c r="D53" s="2">
        <f>--24.24</f>
        <v>24.24</v>
      </c>
      <c r="E53" s="2"/>
      <c r="F53" s="19"/>
      <c r="G53" s="2"/>
      <c r="H53" s="2"/>
      <c r="I53" s="2"/>
      <c r="J53" s="19"/>
      <c r="K53" s="2"/>
      <c r="L53" s="2">
        <f t="shared" si="0"/>
        <v>24.24</v>
      </c>
      <c r="M53" s="2"/>
      <c r="N53" s="19">
        <f t="shared" si="1"/>
        <v>0</v>
      </c>
      <c r="O53" s="11"/>
      <c r="P53" s="2">
        <f>--8266.16</f>
        <v>8266.16</v>
      </c>
      <c r="Q53" s="2"/>
      <c r="R53" s="19"/>
      <c r="S53" s="2"/>
      <c r="T53" s="2"/>
      <c r="U53" s="2"/>
      <c r="V53" s="19"/>
      <c r="W53" s="2"/>
      <c r="X53" s="2">
        <f t="shared" si="2"/>
        <v>8266.16</v>
      </c>
      <c r="Y53" s="2"/>
      <c r="Z53" s="19">
        <f t="shared" si="3"/>
        <v>0</v>
      </c>
    </row>
    <row r="54" spans="1:26" s="24" customFormat="1" hidden="1" outlineLevel="1" x14ac:dyDescent="0.25">
      <c r="A54" s="44"/>
      <c r="B54" s="11" t="str">
        <f>CONCATENATE("          ", "4114", " - ", "NON-TAXABLE SALES-REMAINDERS")</f>
        <v xml:space="preserve">          4114 - NON-TAXABLE SALES-REMAINDERS</v>
      </c>
      <c r="C54" s="11"/>
      <c r="D54" s="2">
        <f>--3.19</f>
        <v>3.19</v>
      </c>
      <c r="E54" s="2"/>
      <c r="F54" s="19"/>
      <c r="G54" s="2"/>
      <c r="H54" s="2"/>
      <c r="I54" s="2"/>
      <c r="J54" s="19"/>
      <c r="K54" s="2"/>
      <c r="L54" s="2">
        <f t="shared" si="0"/>
        <v>3.19</v>
      </c>
      <c r="M54" s="2"/>
      <c r="N54" s="19">
        <f t="shared" si="1"/>
        <v>0</v>
      </c>
      <c r="O54" s="11"/>
      <c r="P54" s="2">
        <f>--3.19</f>
        <v>3.19</v>
      </c>
      <c r="Q54" s="2"/>
      <c r="R54" s="19"/>
      <c r="S54" s="2"/>
      <c r="T54" s="2"/>
      <c r="U54" s="2"/>
      <c r="V54" s="19"/>
      <c r="W54" s="2"/>
      <c r="X54" s="2">
        <f t="shared" si="2"/>
        <v>3.19</v>
      </c>
      <c r="Y54" s="2"/>
      <c r="Z54" s="19">
        <f t="shared" si="3"/>
        <v>0</v>
      </c>
    </row>
    <row r="55" spans="1:26" s="24" customFormat="1" hidden="1" outlineLevel="1" x14ac:dyDescent="0.25">
      <c r="A55" s="44"/>
      <c r="B55" s="11" t="str">
        <f>CONCATENATE("          ", "4118", " - ", "NON-TAXABLE SALES-STUDY GUIDES")</f>
        <v xml:space="preserve">          4118 - NON-TAXABLE SALES-STUDY GUIDES</v>
      </c>
      <c r="C55" s="11"/>
      <c r="D55" s="2">
        <f>--40</f>
        <v>40</v>
      </c>
      <c r="E55" s="2"/>
      <c r="F55" s="19"/>
      <c r="G55" s="2"/>
      <c r="H55" s="2"/>
      <c r="I55" s="2"/>
      <c r="J55" s="19"/>
      <c r="K55" s="2"/>
      <c r="L55" s="2">
        <f t="shared" si="0"/>
        <v>40</v>
      </c>
      <c r="M55" s="2"/>
      <c r="N55" s="19">
        <f t="shared" si="1"/>
        <v>0</v>
      </c>
      <c r="O55" s="11"/>
      <c r="P55" s="2">
        <f>--115.94</f>
        <v>115.94</v>
      </c>
      <c r="Q55" s="2"/>
      <c r="R55" s="19"/>
      <c r="S55" s="2"/>
      <c r="T55" s="2"/>
      <c r="U55" s="2"/>
      <c r="V55" s="19"/>
      <c r="W55" s="2"/>
      <c r="X55" s="2">
        <f t="shared" si="2"/>
        <v>115.94</v>
      </c>
      <c r="Y55" s="2"/>
      <c r="Z55" s="19">
        <f t="shared" si="3"/>
        <v>0</v>
      </c>
    </row>
    <row r="56" spans="1:26" s="24" customFormat="1" hidden="1" outlineLevel="1" x14ac:dyDescent="0.25">
      <c r="A56" s="44"/>
      <c r="B56" s="11" t="str">
        <f>CONCATENATE("          ", "4125", " - ", "NON-TAXABLE SALES-TEST FORMS")</f>
        <v xml:space="preserve">          4125 - NON-TAXABLE SALES-TEST FORMS</v>
      </c>
      <c r="C56" s="11"/>
      <c r="D56" s="2">
        <f>0</f>
        <v>0</v>
      </c>
      <c r="E56" s="2"/>
      <c r="F56" s="19"/>
      <c r="G56" s="2"/>
      <c r="H56" s="2"/>
      <c r="I56" s="2"/>
      <c r="J56" s="19"/>
      <c r="K56" s="2"/>
      <c r="L56" s="2">
        <f t="shared" si="0"/>
        <v>0</v>
      </c>
      <c r="M56" s="2"/>
      <c r="N56" s="19">
        <f t="shared" si="1"/>
        <v>0</v>
      </c>
      <c r="O56" s="11"/>
      <c r="P56" s="2">
        <f>--267.61</f>
        <v>267.61</v>
      </c>
      <c r="Q56" s="2"/>
      <c r="R56" s="19"/>
      <c r="S56" s="2"/>
      <c r="T56" s="2"/>
      <c r="U56" s="2"/>
      <c r="V56" s="19"/>
      <c r="W56" s="2"/>
      <c r="X56" s="2">
        <f t="shared" si="2"/>
        <v>267.61</v>
      </c>
      <c r="Y56" s="2"/>
      <c r="Z56" s="19">
        <f t="shared" si="3"/>
        <v>0</v>
      </c>
    </row>
    <row r="57" spans="1:26" s="24" customFormat="1" hidden="1" outlineLevel="1" x14ac:dyDescent="0.25">
      <c r="A57" s="44"/>
      <c r="B57" s="11" t="str">
        <f>CONCATENATE("          ", "4126", " - ", "NON-TAXABLE SALES-WRITING INST")</f>
        <v xml:space="preserve">          4126 - NON-TAXABLE SALES-WRITING INST</v>
      </c>
      <c r="C57" s="11"/>
      <c r="D57" s="2">
        <f>--110.56</f>
        <v>110.56</v>
      </c>
      <c r="E57" s="2"/>
      <c r="F57" s="19"/>
      <c r="G57" s="2"/>
      <c r="H57" s="2"/>
      <c r="I57" s="2"/>
      <c r="J57" s="19"/>
      <c r="K57" s="2"/>
      <c r="L57" s="2">
        <f t="shared" si="0"/>
        <v>110.56</v>
      </c>
      <c r="M57" s="2"/>
      <c r="N57" s="19">
        <f t="shared" si="1"/>
        <v>0</v>
      </c>
      <c r="O57" s="11"/>
      <c r="P57" s="2">
        <f>--3133.42</f>
        <v>3133.42</v>
      </c>
      <c r="Q57" s="2"/>
      <c r="R57" s="19"/>
      <c r="S57" s="2"/>
      <c r="T57" s="2"/>
      <c r="U57" s="2"/>
      <c r="V57" s="19"/>
      <c r="W57" s="2"/>
      <c r="X57" s="2">
        <f t="shared" si="2"/>
        <v>3133.42</v>
      </c>
      <c r="Y57" s="2"/>
      <c r="Z57" s="19">
        <f t="shared" si="3"/>
        <v>0</v>
      </c>
    </row>
    <row r="58" spans="1:26" s="24" customFormat="1" hidden="1" outlineLevel="1" x14ac:dyDescent="0.25">
      <c r="A58" s="44"/>
      <c r="B58" s="11" t="str">
        <f>CONCATENATE("          ", "4127", " - ", "NON-TAXABLE SALES-SCHOOL SUPPL")</f>
        <v xml:space="preserve">          4127 - NON-TAXABLE SALES-SCHOOL SUPPL</v>
      </c>
      <c r="C58" s="11"/>
      <c r="D58" s="2">
        <f>--226.84</f>
        <v>226.84</v>
      </c>
      <c r="E58" s="2"/>
      <c r="F58" s="19"/>
      <c r="G58" s="2"/>
      <c r="H58" s="2"/>
      <c r="I58" s="2"/>
      <c r="J58" s="19"/>
      <c r="K58" s="2"/>
      <c r="L58" s="2">
        <f t="shared" si="0"/>
        <v>226.84</v>
      </c>
      <c r="M58" s="2"/>
      <c r="N58" s="19">
        <f t="shared" si="1"/>
        <v>0</v>
      </c>
      <c r="O58" s="11"/>
      <c r="P58" s="2">
        <f>--6373.71</f>
        <v>6373.71</v>
      </c>
      <c r="Q58" s="2"/>
      <c r="R58" s="19"/>
      <c r="S58" s="2"/>
      <c r="T58" s="2"/>
      <c r="U58" s="2"/>
      <c r="V58" s="19"/>
      <c r="W58" s="2"/>
      <c r="X58" s="2">
        <f t="shared" si="2"/>
        <v>6373.71</v>
      </c>
      <c r="Y58" s="2"/>
      <c r="Z58" s="19">
        <f t="shared" si="3"/>
        <v>0</v>
      </c>
    </row>
    <row r="59" spans="1:26" s="24" customFormat="1" hidden="1" outlineLevel="1" x14ac:dyDescent="0.25">
      <c r="A59" s="44"/>
      <c r="B59" s="11" t="str">
        <f>CONCATENATE("          ", "4128", " - ", "NON-TAXABLE SALES-ART/TECH")</f>
        <v xml:space="preserve">          4128 - NON-TAXABLE SALES-ART/TECH</v>
      </c>
      <c r="C59" s="11"/>
      <c r="D59" s="2">
        <f>0</f>
        <v>0</v>
      </c>
      <c r="E59" s="2"/>
      <c r="F59" s="19"/>
      <c r="G59" s="2"/>
      <c r="H59" s="2"/>
      <c r="I59" s="2"/>
      <c r="J59" s="19"/>
      <c r="K59" s="2"/>
      <c r="L59" s="2">
        <f t="shared" si="0"/>
        <v>0</v>
      </c>
      <c r="M59" s="2"/>
      <c r="N59" s="19">
        <f t="shared" si="1"/>
        <v>0</v>
      </c>
      <c r="O59" s="11"/>
      <c r="P59" s="2">
        <f>--730.62</f>
        <v>730.62</v>
      </c>
      <c r="Q59" s="2"/>
      <c r="R59" s="19"/>
      <c r="S59" s="2"/>
      <c r="T59" s="2"/>
      <c r="U59" s="2"/>
      <c r="V59" s="19"/>
      <c r="W59" s="2"/>
      <c r="X59" s="2">
        <f t="shared" si="2"/>
        <v>730.62</v>
      </c>
      <c r="Y59" s="2"/>
      <c r="Z59" s="19">
        <f t="shared" si="3"/>
        <v>0</v>
      </c>
    </row>
    <row r="60" spans="1:26" s="24" customFormat="1" hidden="1" outlineLevel="1" x14ac:dyDescent="0.25">
      <c r="A60" s="44"/>
      <c r="B60" s="11" t="str">
        <f>CONCATENATE("          ", "4131", " - ", "NON-TAXABLE SALES-FOOD")</f>
        <v xml:space="preserve">          4131 - NON-TAXABLE SALES-FOOD</v>
      </c>
      <c r="C60" s="11"/>
      <c r="D60" s="2">
        <f>--6.16</f>
        <v>6.16</v>
      </c>
      <c r="E60" s="2"/>
      <c r="F60" s="19"/>
      <c r="G60" s="2"/>
      <c r="H60" s="2"/>
      <c r="I60" s="2"/>
      <c r="J60" s="19"/>
      <c r="K60" s="2"/>
      <c r="L60" s="2">
        <f t="shared" si="0"/>
        <v>6.16</v>
      </c>
      <c r="M60" s="2"/>
      <c r="N60" s="19">
        <f t="shared" si="1"/>
        <v>0</v>
      </c>
      <c r="O60" s="11"/>
      <c r="P60" s="2">
        <f>--57893.7</f>
        <v>57893.7</v>
      </c>
      <c r="Q60" s="2"/>
      <c r="R60" s="19"/>
      <c r="S60" s="2"/>
      <c r="T60" s="2"/>
      <c r="U60" s="2"/>
      <c r="V60" s="19"/>
      <c r="W60" s="2"/>
      <c r="X60" s="2">
        <f t="shared" si="2"/>
        <v>57893.7</v>
      </c>
      <c r="Y60" s="2"/>
      <c r="Z60" s="19">
        <f t="shared" si="3"/>
        <v>0</v>
      </c>
    </row>
    <row r="61" spans="1:26" s="24" customFormat="1" hidden="1" outlineLevel="1" x14ac:dyDescent="0.25">
      <c r="A61" s="44"/>
      <c r="B61" s="11" t="str">
        <f>CONCATENATE("          ", "4132", " - ", "NON-TAXABLE SALES-JUICE")</f>
        <v xml:space="preserve">          4132 - NON-TAXABLE SALES-JUICE</v>
      </c>
      <c r="C61" s="11"/>
      <c r="D61" s="2">
        <f>0</f>
        <v>0</v>
      </c>
      <c r="E61" s="2"/>
      <c r="F61" s="19"/>
      <c r="G61" s="2"/>
      <c r="H61" s="2"/>
      <c r="I61" s="2"/>
      <c r="J61" s="19"/>
      <c r="K61" s="2"/>
      <c r="L61" s="2">
        <f t="shared" si="0"/>
        <v>0</v>
      </c>
      <c r="M61" s="2"/>
      <c r="N61" s="19">
        <f t="shared" si="1"/>
        <v>0</v>
      </c>
      <c r="O61" s="11"/>
      <c r="P61" s="2">
        <f>--16199.63</f>
        <v>16199.63</v>
      </c>
      <c r="Q61" s="2"/>
      <c r="R61" s="19"/>
      <c r="S61" s="2"/>
      <c r="T61" s="2"/>
      <c r="U61" s="2"/>
      <c r="V61" s="19"/>
      <c r="W61" s="2"/>
      <c r="X61" s="2">
        <f t="shared" si="2"/>
        <v>16199.63</v>
      </c>
      <c r="Y61" s="2"/>
      <c r="Z61" s="19">
        <f t="shared" si="3"/>
        <v>0</v>
      </c>
    </row>
    <row r="62" spans="1:26" s="24" customFormat="1" hidden="1" outlineLevel="1" x14ac:dyDescent="0.25">
      <c r="A62" s="44"/>
      <c r="B62" s="11" t="str">
        <f>CONCATENATE("          ", "4133", " - ", "NON-TAXABLE SALES-CANDY")</f>
        <v xml:space="preserve">          4133 - NON-TAXABLE SALES-CANDY</v>
      </c>
      <c r="C62" s="11"/>
      <c r="D62" s="2">
        <f>--48.27</f>
        <v>48.27</v>
      </c>
      <c r="E62" s="2"/>
      <c r="F62" s="19"/>
      <c r="G62" s="2"/>
      <c r="H62" s="2"/>
      <c r="I62" s="2"/>
      <c r="J62" s="19"/>
      <c r="K62" s="2"/>
      <c r="L62" s="2">
        <f t="shared" si="0"/>
        <v>48.27</v>
      </c>
      <c r="M62" s="2"/>
      <c r="N62" s="19">
        <f t="shared" si="1"/>
        <v>0</v>
      </c>
      <c r="O62" s="11"/>
      <c r="P62" s="2">
        <f>--18136.73</f>
        <v>18136.73</v>
      </c>
      <c r="Q62" s="2"/>
      <c r="R62" s="19"/>
      <c r="S62" s="2"/>
      <c r="T62" s="2"/>
      <c r="U62" s="2"/>
      <c r="V62" s="19"/>
      <c r="W62" s="2"/>
      <c r="X62" s="2">
        <f t="shared" si="2"/>
        <v>18136.73</v>
      </c>
      <c r="Y62" s="2"/>
      <c r="Z62" s="19">
        <f t="shared" si="3"/>
        <v>0</v>
      </c>
    </row>
    <row r="63" spans="1:26" s="24" customFormat="1" hidden="1" outlineLevel="1" x14ac:dyDescent="0.25">
      <c r="A63" s="44"/>
      <c r="B63" s="11" t="str">
        <f>CONCATENATE("          ", "4134", " - ", "NON-TAXABLE SALES-SODA")</f>
        <v xml:space="preserve">          4134 - NON-TAXABLE SALES-SODA</v>
      </c>
      <c r="C63" s="11"/>
      <c r="D63" s="2">
        <f t="shared" ref="D63:D65" si="7">0</f>
        <v>0</v>
      </c>
      <c r="E63" s="2"/>
      <c r="F63" s="19"/>
      <c r="G63" s="2"/>
      <c r="H63" s="2"/>
      <c r="I63" s="2"/>
      <c r="J63" s="19"/>
      <c r="K63" s="2"/>
      <c r="L63" s="2">
        <f t="shared" si="0"/>
        <v>0</v>
      </c>
      <c r="M63" s="2"/>
      <c r="N63" s="19">
        <f t="shared" si="1"/>
        <v>0</v>
      </c>
      <c r="O63" s="11"/>
      <c r="P63" s="2">
        <f>--1.89</f>
        <v>1.89</v>
      </c>
      <c r="Q63" s="2"/>
      <c r="R63" s="19"/>
      <c r="S63" s="2"/>
      <c r="T63" s="2"/>
      <c r="U63" s="2"/>
      <c r="V63" s="19"/>
      <c r="W63" s="2"/>
      <c r="X63" s="2">
        <f t="shared" si="2"/>
        <v>1.89</v>
      </c>
      <c r="Y63" s="2"/>
      <c r="Z63" s="19">
        <f t="shared" si="3"/>
        <v>0</v>
      </c>
    </row>
    <row r="64" spans="1:26" s="24" customFormat="1" hidden="1" outlineLevel="1" x14ac:dyDescent="0.25">
      <c r="A64" s="44"/>
      <c r="B64" s="11" t="str">
        <f>CONCATENATE("          ", "4135", " - ", "NON-TAXABLE SALES")</f>
        <v xml:space="preserve">          4135 - NON-TAXABLE SALES</v>
      </c>
      <c r="C64" s="11"/>
      <c r="D64" s="2">
        <f t="shared" si="7"/>
        <v>0</v>
      </c>
      <c r="E64" s="2"/>
      <c r="F64" s="19"/>
      <c r="G64" s="2"/>
      <c r="H64" s="2"/>
      <c r="I64" s="2"/>
      <c r="J64" s="19"/>
      <c r="K64" s="2"/>
      <c r="L64" s="2">
        <f t="shared" si="0"/>
        <v>0</v>
      </c>
      <c r="M64" s="2"/>
      <c r="N64" s="19">
        <f t="shared" si="1"/>
        <v>0</v>
      </c>
      <c r="O64" s="11"/>
      <c r="P64" s="2">
        <f>--161.4</f>
        <v>161.4</v>
      </c>
      <c r="Q64" s="2"/>
      <c r="R64" s="19"/>
      <c r="S64" s="2"/>
      <c r="T64" s="2"/>
      <c r="U64" s="2"/>
      <c r="V64" s="19"/>
      <c r="W64" s="2"/>
      <c r="X64" s="2">
        <f t="shared" si="2"/>
        <v>161.4</v>
      </c>
      <c r="Y64" s="2"/>
      <c r="Z64" s="19">
        <f t="shared" si="3"/>
        <v>0</v>
      </c>
    </row>
    <row r="65" spans="1:26" s="24" customFormat="1" hidden="1" outlineLevel="1" x14ac:dyDescent="0.25">
      <c r="A65" s="44"/>
      <c r="B65" s="11" t="str">
        <f>CONCATENATE("          ", "4137", " - ", "NON-TAXABLE SALES-WATER")</f>
        <v xml:space="preserve">          4137 - NON-TAXABLE SALES-WATER</v>
      </c>
      <c r="C65" s="11"/>
      <c r="D65" s="2">
        <f t="shared" si="7"/>
        <v>0</v>
      </c>
      <c r="E65" s="2"/>
      <c r="F65" s="19"/>
      <c r="G65" s="2"/>
      <c r="H65" s="2"/>
      <c r="I65" s="2"/>
      <c r="J65" s="19"/>
      <c r="K65" s="2"/>
      <c r="L65" s="2">
        <f t="shared" si="0"/>
        <v>0</v>
      </c>
      <c r="M65" s="2"/>
      <c r="N65" s="19">
        <f t="shared" si="1"/>
        <v>0</v>
      </c>
      <c r="O65" s="11"/>
      <c r="P65" s="2">
        <f>--8519.06</f>
        <v>8519.06</v>
      </c>
      <c r="Q65" s="2"/>
      <c r="R65" s="19"/>
      <c r="S65" s="2"/>
      <c r="T65" s="2"/>
      <c r="U65" s="2"/>
      <c r="V65" s="19"/>
      <c r="W65" s="2"/>
      <c r="X65" s="2">
        <f t="shared" si="2"/>
        <v>8519.06</v>
      </c>
      <c r="Y65" s="2"/>
      <c r="Z65" s="19">
        <f t="shared" si="3"/>
        <v>0</v>
      </c>
    </row>
    <row r="66" spans="1:26" s="24" customFormat="1" hidden="1" outlineLevel="1" x14ac:dyDescent="0.25">
      <c r="A66" s="44"/>
      <c r="B66" s="11" t="str">
        <f>CONCATENATE("          ", "4140", " - ", "NON-TAXABLE SALES-LOGO CLOTHIN")</f>
        <v xml:space="preserve">          4140 - NON-TAXABLE SALES-LOGO CLOTHIN</v>
      </c>
      <c r="C66" s="11"/>
      <c r="D66" s="2">
        <f>--56556.05</f>
        <v>56556.05</v>
      </c>
      <c r="E66" s="2"/>
      <c r="F66" s="19"/>
      <c r="G66" s="2"/>
      <c r="H66" s="2"/>
      <c r="I66" s="2"/>
      <c r="J66" s="19"/>
      <c r="K66" s="2"/>
      <c r="L66" s="2">
        <f t="shared" si="0"/>
        <v>56556.05</v>
      </c>
      <c r="M66" s="2"/>
      <c r="N66" s="19">
        <f t="shared" si="1"/>
        <v>0</v>
      </c>
      <c r="O66" s="11"/>
      <c r="P66" s="2">
        <f>--135480.76</f>
        <v>135480.76</v>
      </c>
      <c r="Q66" s="2"/>
      <c r="R66" s="19"/>
      <c r="S66" s="2"/>
      <c r="T66" s="2"/>
      <c r="U66" s="2"/>
      <c r="V66" s="19"/>
      <c r="W66" s="2"/>
      <c r="X66" s="2">
        <f t="shared" si="2"/>
        <v>135480.76</v>
      </c>
      <c r="Y66" s="2"/>
      <c r="Z66" s="19">
        <f t="shared" si="3"/>
        <v>0</v>
      </c>
    </row>
    <row r="67" spans="1:26" s="24" customFormat="1" hidden="1" outlineLevel="1" x14ac:dyDescent="0.25">
      <c r="A67" s="44"/>
      <c r="B67" s="11" t="str">
        <f>CONCATENATE("          ", "4141", " - ", "NON-TAXABLE SALES-LOGO GIFTS")</f>
        <v xml:space="preserve">          4141 - NON-TAXABLE SALES-LOGO GIFTS</v>
      </c>
      <c r="C67" s="11"/>
      <c r="D67" s="2">
        <f>--4184.98</f>
        <v>4184.9799999999996</v>
      </c>
      <c r="E67" s="2"/>
      <c r="F67" s="19"/>
      <c r="G67" s="2"/>
      <c r="H67" s="2"/>
      <c r="I67" s="2"/>
      <c r="J67" s="19"/>
      <c r="K67" s="2"/>
      <c r="L67" s="2">
        <f t="shared" si="0"/>
        <v>4184.9799999999996</v>
      </c>
      <c r="M67" s="2"/>
      <c r="N67" s="19">
        <f t="shared" si="1"/>
        <v>0</v>
      </c>
      <c r="O67" s="11"/>
      <c r="P67" s="2">
        <f>--16960.31</f>
        <v>16960.310000000001</v>
      </c>
      <c r="Q67" s="2"/>
      <c r="R67" s="19"/>
      <c r="S67" s="2"/>
      <c r="T67" s="2"/>
      <c r="U67" s="2"/>
      <c r="V67" s="19"/>
      <c r="W67" s="2"/>
      <c r="X67" s="2">
        <f t="shared" si="2"/>
        <v>16960.310000000001</v>
      </c>
      <c r="Y67" s="2"/>
      <c r="Z67" s="19">
        <f t="shared" si="3"/>
        <v>0</v>
      </c>
    </row>
    <row r="68" spans="1:26" s="24" customFormat="1" hidden="1" outlineLevel="1" x14ac:dyDescent="0.25">
      <c r="A68" s="44"/>
      <c r="B68" s="11" t="str">
        <f>CONCATENATE("          ", "4142", " - ", "NON-TAXABLE SALES-EVERYDAY GIF")</f>
        <v xml:space="preserve">          4142 - NON-TAXABLE SALES-EVERYDAY GIF</v>
      </c>
      <c r="C68" s="11"/>
      <c r="D68" s="2">
        <f>--1204.14</f>
        <v>1204.1400000000001</v>
      </c>
      <c r="E68" s="2"/>
      <c r="F68" s="19"/>
      <c r="G68" s="2"/>
      <c r="H68" s="2"/>
      <c r="I68" s="2"/>
      <c r="J68" s="19"/>
      <c r="K68" s="2"/>
      <c r="L68" s="2">
        <f t="shared" si="0"/>
        <v>1204.1400000000001</v>
      </c>
      <c r="M68" s="2"/>
      <c r="N68" s="19">
        <f t="shared" si="1"/>
        <v>0</v>
      </c>
      <c r="O68" s="11"/>
      <c r="P68" s="2">
        <f>--15332.22</f>
        <v>15332.22</v>
      </c>
      <c r="Q68" s="2"/>
      <c r="R68" s="19"/>
      <c r="S68" s="2"/>
      <c r="T68" s="2"/>
      <c r="U68" s="2"/>
      <c r="V68" s="19"/>
      <c r="W68" s="2"/>
      <c r="X68" s="2">
        <f t="shared" si="2"/>
        <v>15332.22</v>
      </c>
      <c r="Y68" s="2"/>
      <c r="Z68" s="19">
        <f t="shared" si="3"/>
        <v>0</v>
      </c>
    </row>
    <row r="69" spans="1:26" s="24" customFormat="1" hidden="1" outlineLevel="1" x14ac:dyDescent="0.25">
      <c r="A69" s="44"/>
      <c r="B69" s="11" t="str">
        <f>CONCATENATE("          ", "4143", " - ", "NON-TAXABLE SALES-CARDS")</f>
        <v xml:space="preserve">          4143 - NON-TAXABLE SALES-CARDS</v>
      </c>
      <c r="C69" s="11"/>
      <c r="D69" s="2">
        <f>--19.98</f>
        <v>19.98</v>
      </c>
      <c r="E69" s="2"/>
      <c r="F69" s="19"/>
      <c r="G69" s="2"/>
      <c r="H69" s="2"/>
      <c r="I69" s="2"/>
      <c r="J69" s="19"/>
      <c r="K69" s="2"/>
      <c r="L69" s="2">
        <f t="shared" si="0"/>
        <v>19.98</v>
      </c>
      <c r="M69" s="2"/>
      <c r="N69" s="19">
        <f t="shared" si="1"/>
        <v>0</v>
      </c>
      <c r="O69" s="11"/>
      <c r="P69" s="2">
        <f>--19.98</f>
        <v>19.98</v>
      </c>
      <c r="Q69" s="2"/>
      <c r="R69" s="19"/>
      <c r="S69" s="2"/>
      <c r="T69" s="2"/>
      <c r="U69" s="2"/>
      <c r="V69" s="19"/>
      <c r="W69" s="2"/>
      <c r="X69" s="2">
        <f t="shared" si="2"/>
        <v>19.98</v>
      </c>
      <c r="Y69" s="2"/>
      <c r="Z69" s="19">
        <f t="shared" si="3"/>
        <v>0</v>
      </c>
    </row>
    <row r="70" spans="1:26" s="24" customFormat="1" hidden="1" outlineLevel="1" x14ac:dyDescent="0.25">
      <c r="A70" s="44"/>
      <c r="B70" s="11" t="str">
        <f>CONCATENATE("          ", "4144", " - ", "NON-TAXABLE SALES-ACCESSORIES")</f>
        <v xml:space="preserve">          4144 - NON-TAXABLE SALES-ACCESSORIES</v>
      </c>
      <c r="C70" s="11"/>
      <c r="D70" s="2">
        <f>--984.35</f>
        <v>984.35</v>
      </c>
      <c r="E70" s="2"/>
      <c r="F70" s="19"/>
      <c r="G70" s="2"/>
      <c r="H70" s="2"/>
      <c r="I70" s="2"/>
      <c r="J70" s="19"/>
      <c r="K70" s="2"/>
      <c r="L70" s="2">
        <f t="shared" si="0"/>
        <v>984.35</v>
      </c>
      <c r="M70" s="2"/>
      <c r="N70" s="19">
        <f t="shared" si="1"/>
        <v>0</v>
      </c>
      <c r="O70" s="11"/>
      <c r="P70" s="2">
        <f>--3324.02</f>
        <v>3324.02</v>
      </c>
      <c r="Q70" s="2"/>
      <c r="R70" s="19"/>
      <c r="S70" s="2"/>
      <c r="T70" s="2"/>
      <c r="U70" s="2"/>
      <c r="V70" s="19"/>
      <c r="W70" s="2"/>
      <c r="X70" s="2">
        <f t="shared" si="2"/>
        <v>3324.02</v>
      </c>
      <c r="Y70" s="2"/>
      <c r="Z70" s="19">
        <f t="shared" si="3"/>
        <v>0</v>
      </c>
    </row>
    <row r="71" spans="1:26" s="24" customFormat="1" hidden="1" outlineLevel="1" x14ac:dyDescent="0.25">
      <c r="A71" s="44"/>
      <c r="B71" s="11" t="str">
        <f>CONCATENATE("          ", "4145", " - ", "NON-TAXABLE SALES-SPECIAL ORDE")</f>
        <v xml:space="preserve">          4145 - NON-TAXABLE SALES-SPECIAL ORDE</v>
      </c>
      <c r="C71" s="11"/>
      <c r="D71" s="2">
        <f>--7688.68</f>
        <v>7688.68</v>
      </c>
      <c r="E71" s="2"/>
      <c r="F71" s="19"/>
      <c r="G71" s="2"/>
      <c r="H71" s="2"/>
      <c r="I71" s="2"/>
      <c r="J71" s="19"/>
      <c r="K71" s="2"/>
      <c r="L71" s="2">
        <f t="shared" si="0"/>
        <v>7688.68</v>
      </c>
      <c r="M71" s="2"/>
      <c r="N71" s="19">
        <f t="shared" si="1"/>
        <v>0</v>
      </c>
      <c r="O71" s="11"/>
      <c r="P71" s="2">
        <f>--7828.68</f>
        <v>7828.68</v>
      </c>
      <c r="Q71" s="2"/>
      <c r="R71" s="19"/>
      <c r="S71" s="2"/>
      <c r="T71" s="2"/>
      <c r="U71" s="2"/>
      <c r="V71" s="19"/>
      <c r="W71" s="2"/>
      <c r="X71" s="2">
        <f t="shared" si="2"/>
        <v>7828.68</v>
      </c>
      <c r="Y71" s="2"/>
      <c r="Z71" s="19">
        <f t="shared" si="3"/>
        <v>0</v>
      </c>
    </row>
    <row r="72" spans="1:26" s="24" customFormat="1" hidden="1" outlineLevel="1" x14ac:dyDescent="0.25">
      <c r="A72" s="44"/>
      <c r="B72" s="11" t="str">
        <f>CONCATENATE("          ", "4146", " - ", "NON-TAXABLE SALES-COIN OP MACH")</f>
        <v xml:space="preserve">          4146 - NON-TAXABLE SALES-COIN OP MACH</v>
      </c>
      <c r="C72" s="11"/>
      <c r="D72" s="2">
        <f>0</f>
        <v>0</v>
      </c>
      <c r="E72" s="2"/>
      <c r="F72" s="19"/>
      <c r="G72" s="2"/>
      <c r="H72" s="2"/>
      <c r="I72" s="2"/>
      <c r="J72" s="19"/>
      <c r="K72" s="2"/>
      <c r="L72" s="2">
        <f t="shared" si="0"/>
        <v>0</v>
      </c>
      <c r="M72" s="2"/>
      <c r="N72" s="19">
        <f t="shared" si="1"/>
        <v>0</v>
      </c>
      <c r="O72" s="11"/>
      <c r="P72" s="2">
        <f>--205908.65</f>
        <v>205908.65</v>
      </c>
      <c r="Q72" s="2"/>
      <c r="R72" s="19"/>
      <c r="S72" s="2"/>
      <c r="T72" s="2"/>
      <c r="U72" s="2"/>
      <c r="V72" s="19"/>
      <c r="W72" s="2"/>
      <c r="X72" s="2">
        <f t="shared" si="2"/>
        <v>205908.65</v>
      </c>
      <c r="Y72" s="2"/>
      <c r="Z72" s="19">
        <f t="shared" si="3"/>
        <v>0</v>
      </c>
    </row>
    <row r="73" spans="1:26" s="24" customFormat="1" hidden="1" outlineLevel="1" x14ac:dyDescent="0.25">
      <c r="A73" s="44"/>
      <c r="B73" s="11" t="str">
        <f>CONCATENATE("          ", "4147", " - ", "NON-TAXABLE SALES-MISC")</f>
        <v xml:space="preserve">          4147 - NON-TAXABLE SALES-MISC</v>
      </c>
      <c r="C73" s="11"/>
      <c r="D73" s="2">
        <f>--10</f>
        <v>10</v>
      </c>
      <c r="E73" s="2"/>
      <c r="F73" s="19"/>
      <c r="G73" s="2"/>
      <c r="H73" s="2"/>
      <c r="I73" s="2"/>
      <c r="J73" s="19"/>
      <c r="K73" s="2"/>
      <c r="L73" s="2">
        <f t="shared" si="0"/>
        <v>10</v>
      </c>
      <c r="M73" s="2"/>
      <c r="N73" s="19">
        <f t="shared" si="1"/>
        <v>0</v>
      </c>
      <c r="O73" s="11"/>
      <c r="P73" s="2">
        <f>--3446.37</f>
        <v>3446.37</v>
      </c>
      <c r="Q73" s="2"/>
      <c r="R73" s="19"/>
      <c r="S73" s="2"/>
      <c r="T73" s="2"/>
      <c r="U73" s="2"/>
      <c r="V73" s="19"/>
      <c r="W73" s="2"/>
      <c r="X73" s="2">
        <f t="shared" si="2"/>
        <v>3446.37</v>
      </c>
      <c r="Y73" s="2"/>
      <c r="Z73" s="19">
        <f t="shared" si="3"/>
        <v>0</v>
      </c>
    </row>
    <row r="74" spans="1:26" s="24" customFormat="1" hidden="1" outlineLevel="1" x14ac:dyDescent="0.25">
      <c r="A74" s="44"/>
      <c r="B74" s="11" t="str">
        <f>CONCATENATE("          ", "4186", " - ", "NON-TAXABLE SALES-COMPUTER SUP")</f>
        <v xml:space="preserve">          4186 - NON-TAXABLE SALES-COMPUTER SUP</v>
      </c>
      <c r="C74" s="11"/>
      <c r="D74" s="2">
        <f>0</f>
        <v>0</v>
      </c>
      <c r="E74" s="2"/>
      <c r="F74" s="19"/>
      <c r="G74" s="2"/>
      <c r="H74" s="2"/>
      <c r="I74" s="2"/>
      <c r="J74" s="19"/>
      <c r="K74" s="2"/>
      <c r="L74" s="2">
        <f t="shared" si="0"/>
        <v>0</v>
      </c>
      <c r="M74" s="2"/>
      <c r="N74" s="19">
        <f t="shared" si="1"/>
        <v>0</v>
      </c>
      <c r="O74" s="11"/>
      <c r="P74" s="2">
        <f>-30.97</f>
        <v>-30.97</v>
      </c>
      <c r="Q74" s="2"/>
      <c r="R74" s="19"/>
      <c r="S74" s="2"/>
      <c r="T74" s="2"/>
      <c r="U74" s="2"/>
      <c r="V74" s="19"/>
      <c r="W74" s="2"/>
      <c r="X74" s="2">
        <f t="shared" si="2"/>
        <v>-30.97</v>
      </c>
      <c r="Y74" s="2"/>
      <c r="Z74" s="19">
        <f t="shared" si="3"/>
        <v>0</v>
      </c>
    </row>
    <row r="75" spans="1:26" s="24" customFormat="1" hidden="1" outlineLevel="1" x14ac:dyDescent="0.25">
      <c r="A75" s="44"/>
      <c r="B75" s="11" t="str">
        <f>CONCATENATE("          ", "4192", " - ", "NON-TAXABLE SALES-GRAD MERCH")</f>
        <v xml:space="preserve">          4192 - NON-TAXABLE SALES-GRAD MERCH</v>
      </c>
      <c r="C75" s="11"/>
      <c r="D75" s="2">
        <f>--119.4</f>
        <v>119.4</v>
      </c>
      <c r="E75" s="2"/>
      <c r="F75" s="19"/>
      <c r="G75" s="2"/>
      <c r="H75" s="2"/>
      <c r="I75" s="2"/>
      <c r="J75" s="19"/>
      <c r="K75" s="2"/>
      <c r="L75" s="2">
        <f t="shared" si="0"/>
        <v>119.4</v>
      </c>
      <c r="M75" s="2"/>
      <c r="N75" s="19">
        <f t="shared" si="1"/>
        <v>0</v>
      </c>
      <c r="O75" s="11"/>
      <c r="P75" s="2">
        <f>--119.4</f>
        <v>119.4</v>
      </c>
      <c r="Q75" s="2"/>
      <c r="R75" s="19"/>
      <c r="S75" s="2"/>
      <c r="T75" s="2"/>
      <c r="U75" s="2"/>
      <c r="V75" s="19"/>
      <c r="W75" s="2"/>
      <c r="X75" s="2">
        <f t="shared" si="2"/>
        <v>119.4</v>
      </c>
      <c r="Y75" s="2"/>
      <c r="Z75" s="19">
        <f t="shared" si="3"/>
        <v>0</v>
      </c>
    </row>
    <row r="76" spans="1:26" s="24" customFormat="1" hidden="1" outlineLevel="1" x14ac:dyDescent="0.25">
      <c r="A76" s="44"/>
      <c r="B76" s="11" t="str">
        <f>CONCATENATE("          ", "4201", " - ", "SALES RETURN TAXABLE-NEW TEXT")</f>
        <v xml:space="preserve">          4201 - SALES RETURN TAXABLE-NEW TEXT</v>
      </c>
      <c r="C76" s="11"/>
      <c r="D76" s="2">
        <f>-228.6</f>
        <v>-228.6</v>
      </c>
      <c r="E76" s="2"/>
      <c r="F76" s="19"/>
      <c r="G76" s="2"/>
      <c r="H76" s="2"/>
      <c r="I76" s="2"/>
      <c r="J76" s="19"/>
      <c r="K76" s="2"/>
      <c r="L76" s="2">
        <f t="shared" si="0"/>
        <v>-228.6</v>
      </c>
      <c r="M76" s="2"/>
      <c r="N76" s="19">
        <f t="shared" si="1"/>
        <v>0</v>
      </c>
      <c r="O76" s="11"/>
      <c r="P76" s="2">
        <f>-121451.61</f>
        <v>-121451.61</v>
      </c>
      <c r="Q76" s="2"/>
      <c r="R76" s="19"/>
      <c r="S76" s="2"/>
      <c r="T76" s="2"/>
      <c r="U76" s="2"/>
      <c r="V76" s="19"/>
      <c r="W76" s="2"/>
      <c r="X76" s="2">
        <f t="shared" si="2"/>
        <v>-121451.61</v>
      </c>
      <c r="Y76" s="2"/>
      <c r="Z76" s="19">
        <f t="shared" si="3"/>
        <v>0</v>
      </c>
    </row>
    <row r="77" spans="1:26" s="24" customFormat="1" hidden="1" outlineLevel="1" x14ac:dyDescent="0.25">
      <c r="A77" s="44"/>
      <c r="B77" s="11" t="str">
        <f>CONCATENATE("          ", "4202", " - ", "SALES RETURN TAXABLE-USED TEXT")</f>
        <v xml:space="preserve">          4202 - SALES RETURN TAXABLE-USED TEXT</v>
      </c>
      <c r="C77" s="11"/>
      <c r="D77" s="2">
        <f>-60.4</f>
        <v>-60.4</v>
      </c>
      <c r="E77" s="2"/>
      <c r="F77" s="19"/>
      <c r="G77" s="2"/>
      <c r="H77" s="2"/>
      <c r="I77" s="2"/>
      <c r="J77" s="19"/>
      <c r="K77" s="2"/>
      <c r="L77" s="2">
        <f t="shared" si="0"/>
        <v>-60.4</v>
      </c>
      <c r="M77" s="2"/>
      <c r="N77" s="19">
        <f t="shared" si="1"/>
        <v>0</v>
      </c>
      <c r="O77" s="11"/>
      <c r="P77" s="2">
        <f>-45613.11</f>
        <v>-45613.11</v>
      </c>
      <c r="Q77" s="2"/>
      <c r="R77" s="19"/>
      <c r="S77" s="2"/>
      <c r="T77" s="2"/>
      <c r="U77" s="2"/>
      <c r="V77" s="19"/>
      <c r="W77" s="2"/>
      <c r="X77" s="2">
        <f t="shared" si="2"/>
        <v>-45613.11</v>
      </c>
      <c r="Y77" s="2"/>
      <c r="Z77" s="19">
        <f t="shared" si="3"/>
        <v>0</v>
      </c>
    </row>
    <row r="78" spans="1:26" s="24" customFormat="1" hidden="1" outlineLevel="1" x14ac:dyDescent="0.25">
      <c r="A78" s="44"/>
      <c r="B78" s="11" t="str">
        <f>CONCATENATE("          ", "4203", " - ", "SALES RETURN TAXABLE-RENTAL TE")</f>
        <v xml:space="preserve">          4203 - SALES RETURN TAXABLE-RENTAL TE</v>
      </c>
      <c r="C78" s="11"/>
      <c r="D78" s="2">
        <f t="shared" ref="D78:D83" si="8">0</f>
        <v>0</v>
      </c>
      <c r="E78" s="2"/>
      <c r="F78" s="19"/>
      <c r="G78" s="2"/>
      <c r="H78" s="2"/>
      <c r="I78" s="2"/>
      <c r="J78" s="19"/>
      <c r="K78" s="2"/>
      <c r="L78" s="2">
        <f t="shared" si="0"/>
        <v>0</v>
      </c>
      <c r="M78" s="2"/>
      <c r="N78" s="19">
        <f t="shared" si="1"/>
        <v>0</v>
      </c>
      <c r="O78" s="11"/>
      <c r="P78" s="2">
        <f>-144.99</f>
        <v>-144.99</v>
      </c>
      <c r="Q78" s="2"/>
      <c r="R78" s="19"/>
      <c r="S78" s="2"/>
      <c r="T78" s="2"/>
      <c r="U78" s="2"/>
      <c r="V78" s="19"/>
      <c r="W78" s="2"/>
      <c r="X78" s="2">
        <f t="shared" si="2"/>
        <v>-144.99</v>
      </c>
      <c r="Y78" s="2"/>
      <c r="Z78" s="19">
        <f t="shared" si="3"/>
        <v>0</v>
      </c>
    </row>
    <row r="79" spans="1:26" s="24" customFormat="1" hidden="1" outlineLevel="1" x14ac:dyDescent="0.25">
      <c r="A79" s="44"/>
      <c r="B79" s="11" t="str">
        <f>CONCATENATE("          ", "4204", " - ", "SALES RETURN TAXABLE-DIGITAL T")</f>
        <v xml:space="preserve">          4204 - SALES RETURN TAXABLE-DIGITAL T</v>
      </c>
      <c r="C79" s="11"/>
      <c r="D79" s="2">
        <f t="shared" si="8"/>
        <v>0</v>
      </c>
      <c r="E79" s="2"/>
      <c r="F79" s="19"/>
      <c r="G79" s="2"/>
      <c r="H79" s="2"/>
      <c r="I79" s="2"/>
      <c r="J79" s="19"/>
      <c r="K79" s="2"/>
      <c r="L79" s="2">
        <f t="shared" si="0"/>
        <v>0</v>
      </c>
      <c r="M79" s="2"/>
      <c r="N79" s="19">
        <f t="shared" si="1"/>
        <v>0</v>
      </c>
      <c r="O79" s="11"/>
      <c r="P79" s="2">
        <f>-17255.33</f>
        <v>-17255.330000000002</v>
      </c>
      <c r="Q79" s="2"/>
      <c r="R79" s="19"/>
      <c r="S79" s="2"/>
      <c r="T79" s="2"/>
      <c r="U79" s="2"/>
      <c r="V79" s="19"/>
      <c r="W79" s="2"/>
      <c r="X79" s="2">
        <f t="shared" si="2"/>
        <v>-17255.330000000002</v>
      </c>
      <c r="Y79" s="2"/>
      <c r="Z79" s="19">
        <f t="shared" si="3"/>
        <v>0</v>
      </c>
    </row>
    <row r="80" spans="1:26" s="24" customFormat="1" hidden="1" outlineLevel="1" x14ac:dyDescent="0.25">
      <c r="A80" s="44"/>
      <c r="B80" s="11" t="str">
        <f>CONCATENATE("          ", "4213", " - ", "NON-TAXABLE SALES-TRADE BOOKS")</f>
        <v xml:space="preserve">          4213 - NON-TAXABLE SALES-TRADE BOOKS</v>
      </c>
      <c r="C80" s="11"/>
      <c r="D80" s="2">
        <f t="shared" si="8"/>
        <v>0</v>
      </c>
      <c r="E80" s="2"/>
      <c r="F80" s="19"/>
      <c r="G80" s="2"/>
      <c r="H80" s="2"/>
      <c r="I80" s="2"/>
      <c r="J80" s="19"/>
      <c r="K80" s="2"/>
      <c r="L80" s="2">
        <f t="shared" si="0"/>
        <v>0</v>
      </c>
      <c r="M80" s="2"/>
      <c r="N80" s="19">
        <f t="shared" si="1"/>
        <v>0</v>
      </c>
      <c r="O80" s="11"/>
      <c r="P80" s="2">
        <f>-2768.67</f>
        <v>-2768.67</v>
      </c>
      <c r="Q80" s="2"/>
      <c r="R80" s="19"/>
      <c r="S80" s="2"/>
      <c r="T80" s="2"/>
      <c r="U80" s="2"/>
      <c r="V80" s="19"/>
      <c r="W80" s="2"/>
      <c r="X80" s="2">
        <f t="shared" si="2"/>
        <v>-2768.67</v>
      </c>
      <c r="Y80" s="2"/>
      <c r="Z80" s="19">
        <f t="shared" si="3"/>
        <v>0</v>
      </c>
    </row>
    <row r="81" spans="1:26" s="24" customFormat="1" hidden="1" outlineLevel="1" x14ac:dyDescent="0.25">
      <c r="A81" s="44"/>
      <c r="B81" s="11" t="str">
        <f>CONCATENATE("          ", "4214", " - ", "SALES RETURN TAXABLE-REMAINDER")</f>
        <v xml:space="preserve">          4214 - SALES RETURN TAXABLE-REMAINDER</v>
      </c>
      <c r="C81" s="11"/>
      <c r="D81" s="2">
        <f t="shared" si="8"/>
        <v>0</v>
      </c>
      <c r="E81" s="2"/>
      <c r="F81" s="19"/>
      <c r="G81" s="2"/>
      <c r="H81" s="2"/>
      <c r="I81" s="2"/>
      <c r="J81" s="19"/>
      <c r="K81" s="2"/>
      <c r="L81" s="2">
        <f t="shared" si="0"/>
        <v>0</v>
      </c>
      <c r="M81" s="2"/>
      <c r="N81" s="19">
        <f t="shared" si="1"/>
        <v>0</v>
      </c>
      <c r="O81" s="11"/>
      <c r="P81" s="2">
        <f>-11.94</f>
        <v>-11.94</v>
      </c>
      <c r="Q81" s="2"/>
      <c r="R81" s="19"/>
      <c r="S81" s="2"/>
      <c r="T81" s="2"/>
      <c r="U81" s="2"/>
      <c r="V81" s="19"/>
      <c r="W81" s="2"/>
      <c r="X81" s="2">
        <f t="shared" si="2"/>
        <v>-11.94</v>
      </c>
      <c r="Y81" s="2"/>
      <c r="Z81" s="19">
        <f t="shared" si="3"/>
        <v>0</v>
      </c>
    </row>
    <row r="82" spans="1:26" s="24" customFormat="1" hidden="1" outlineLevel="1" x14ac:dyDescent="0.25">
      <c r="A82" s="44"/>
      <c r="B82" s="11" t="str">
        <f>CONCATENATE("          ", "4217", " - ", "NON-TAXABLE SALES-DORM/HOUSEWA")</f>
        <v xml:space="preserve">          4217 - NON-TAXABLE SALES-DORM/HOUSEWA</v>
      </c>
      <c r="C82" s="11"/>
      <c r="D82" s="2">
        <f t="shared" si="8"/>
        <v>0</v>
      </c>
      <c r="E82" s="2"/>
      <c r="F82" s="19"/>
      <c r="G82" s="2"/>
      <c r="H82" s="2"/>
      <c r="I82" s="2"/>
      <c r="J82" s="19"/>
      <c r="K82" s="2"/>
      <c r="L82" s="2">
        <f t="shared" si="0"/>
        <v>0</v>
      </c>
      <c r="M82" s="2"/>
      <c r="N82" s="19">
        <f t="shared" si="1"/>
        <v>0</v>
      </c>
      <c r="O82" s="11"/>
      <c r="P82" s="2">
        <f>-2.98</f>
        <v>-2.98</v>
      </c>
      <c r="Q82" s="2"/>
      <c r="R82" s="19"/>
      <c r="S82" s="2"/>
      <c r="T82" s="2"/>
      <c r="U82" s="2"/>
      <c r="V82" s="19"/>
      <c r="W82" s="2"/>
      <c r="X82" s="2">
        <f t="shared" si="2"/>
        <v>-2.98</v>
      </c>
      <c r="Y82" s="2"/>
      <c r="Z82" s="19">
        <f t="shared" si="3"/>
        <v>0</v>
      </c>
    </row>
    <row r="83" spans="1:26" s="24" customFormat="1" hidden="1" outlineLevel="1" x14ac:dyDescent="0.25">
      <c r="A83" s="44"/>
      <c r="B83" s="11" t="str">
        <f>CONCATENATE("          ", "4218", " - ", "SALES RETURN TAXABLE-STUDY GUI")</f>
        <v xml:space="preserve">          4218 - SALES RETURN TAXABLE-STUDY GUI</v>
      </c>
      <c r="C83" s="11"/>
      <c r="D83" s="2">
        <f t="shared" si="8"/>
        <v>0</v>
      </c>
      <c r="E83" s="2"/>
      <c r="F83" s="19"/>
      <c r="G83" s="2"/>
      <c r="H83" s="2"/>
      <c r="I83" s="2"/>
      <c r="J83" s="19"/>
      <c r="K83" s="2"/>
      <c r="L83" s="2">
        <f t="shared" si="0"/>
        <v>0</v>
      </c>
      <c r="M83" s="2"/>
      <c r="N83" s="19">
        <f t="shared" si="1"/>
        <v>0</v>
      </c>
      <c r="O83" s="11"/>
      <c r="P83" s="2">
        <f>-39.25</f>
        <v>-39.25</v>
      </c>
      <c r="Q83" s="2"/>
      <c r="R83" s="19"/>
      <c r="S83" s="2"/>
      <c r="T83" s="2"/>
      <c r="U83" s="2"/>
      <c r="V83" s="19"/>
      <c r="W83" s="2"/>
      <c r="X83" s="2">
        <f t="shared" si="2"/>
        <v>-39.25</v>
      </c>
      <c r="Y83" s="2"/>
      <c r="Z83" s="19">
        <f t="shared" si="3"/>
        <v>0</v>
      </c>
    </row>
    <row r="84" spans="1:26" s="24" customFormat="1" hidden="1" outlineLevel="1" x14ac:dyDescent="0.25">
      <c r="A84" s="44"/>
      <c r="B84" s="11" t="str">
        <f>CONCATENATE("          ", "4225", " - ", "SALES RETURN TAXABLE-TEST FORM")</f>
        <v xml:space="preserve">          4225 - SALES RETURN TAXABLE-TEST FORM</v>
      </c>
      <c r="C84" s="11"/>
      <c r="D84" s="2">
        <f>-29.5</f>
        <v>-29.5</v>
      </c>
      <c r="E84" s="2"/>
      <c r="F84" s="19"/>
      <c r="G84" s="2"/>
      <c r="H84" s="2"/>
      <c r="I84" s="2"/>
      <c r="J84" s="19"/>
      <c r="K84" s="2"/>
      <c r="L84" s="2">
        <f t="shared" si="0"/>
        <v>-29.5</v>
      </c>
      <c r="M84" s="2"/>
      <c r="N84" s="19">
        <f t="shared" si="1"/>
        <v>0</v>
      </c>
      <c r="O84" s="11"/>
      <c r="P84" s="2">
        <f>-205.91</f>
        <v>-205.91</v>
      </c>
      <c r="Q84" s="2"/>
      <c r="R84" s="19"/>
      <c r="S84" s="2"/>
      <c r="T84" s="2"/>
      <c r="U84" s="2"/>
      <c r="V84" s="19"/>
      <c r="W84" s="2"/>
      <c r="X84" s="2">
        <f t="shared" si="2"/>
        <v>-205.91</v>
      </c>
      <c r="Y84" s="2"/>
      <c r="Z84" s="19">
        <f t="shared" si="3"/>
        <v>0</v>
      </c>
    </row>
    <row r="85" spans="1:26" s="24" customFormat="1" hidden="1" outlineLevel="1" x14ac:dyDescent="0.25">
      <c r="A85" s="44"/>
      <c r="B85" s="11" t="str">
        <f>CONCATENATE("          ", "4226", " - ", "SALES RETURN TAXABLE-WRITING I")</f>
        <v xml:space="preserve">          4226 - SALES RETURN TAXABLE-WRITING I</v>
      </c>
      <c r="C85" s="11"/>
      <c r="D85" s="2">
        <f>-159.4</f>
        <v>-159.4</v>
      </c>
      <c r="E85" s="2"/>
      <c r="F85" s="19"/>
      <c r="G85" s="2"/>
      <c r="H85" s="2"/>
      <c r="I85" s="2"/>
      <c r="J85" s="19"/>
      <c r="K85" s="2"/>
      <c r="L85" s="2">
        <f t="shared" si="0"/>
        <v>-159.4</v>
      </c>
      <c r="M85" s="2"/>
      <c r="N85" s="19">
        <f t="shared" si="1"/>
        <v>0</v>
      </c>
      <c r="O85" s="11"/>
      <c r="P85" s="2">
        <f>-924.44</f>
        <v>-924.44</v>
      </c>
      <c r="Q85" s="2"/>
      <c r="R85" s="19"/>
      <c r="S85" s="2"/>
      <c r="T85" s="2"/>
      <c r="U85" s="2"/>
      <c r="V85" s="19"/>
      <c r="W85" s="2"/>
      <c r="X85" s="2">
        <f t="shared" si="2"/>
        <v>-924.44</v>
      </c>
      <c r="Y85" s="2"/>
      <c r="Z85" s="19">
        <f t="shared" si="3"/>
        <v>0</v>
      </c>
    </row>
    <row r="86" spans="1:26" s="24" customFormat="1" hidden="1" outlineLevel="1" x14ac:dyDescent="0.25">
      <c r="A86" s="44"/>
      <c r="B86" s="11" t="str">
        <f>CONCATENATE("          ", "4227", " - ", "SALES RETURN TAXABLE-SCHOOL SU")</f>
        <v xml:space="preserve">          4227 - SALES RETURN TAXABLE-SCHOOL SU</v>
      </c>
      <c r="C86" s="11"/>
      <c r="D86" s="2">
        <f>-53.42</f>
        <v>-53.42</v>
      </c>
      <c r="E86" s="2"/>
      <c r="F86" s="19"/>
      <c r="G86" s="2"/>
      <c r="H86" s="2"/>
      <c r="I86" s="2"/>
      <c r="J86" s="19"/>
      <c r="K86" s="2"/>
      <c r="L86" s="2">
        <f t="shared" si="0"/>
        <v>-53.42</v>
      </c>
      <c r="M86" s="2"/>
      <c r="N86" s="19">
        <f t="shared" si="1"/>
        <v>0</v>
      </c>
      <c r="O86" s="11"/>
      <c r="P86" s="2">
        <f>-8647.03</f>
        <v>-8647.0300000000007</v>
      </c>
      <c r="Q86" s="2"/>
      <c r="R86" s="19"/>
      <c r="S86" s="2"/>
      <c r="T86" s="2"/>
      <c r="U86" s="2"/>
      <c r="V86" s="19"/>
      <c r="W86" s="2"/>
      <c r="X86" s="2">
        <f t="shared" si="2"/>
        <v>-8647.0300000000007</v>
      </c>
      <c r="Y86" s="2"/>
      <c r="Z86" s="19">
        <f t="shared" si="3"/>
        <v>0</v>
      </c>
    </row>
    <row r="87" spans="1:26" s="24" customFormat="1" hidden="1" outlineLevel="1" x14ac:dyDescent="0.25">
      <c r="A87" s="44"/>
      <c r="B87" s="11" t="str">
        <f>CONCATENATE("          ", "4228", " - ", "SALES RETURN TAXABLE-ART/TECH")</f>
        <v xml:space="preserve">          4228 - SALES RETURN TAXABLE-ART/TECH</v>
      </c>
      <c r="C87" s="11"/>
      <c r="D87" s="2">
        <f t="shared" ref="D87:D88" si="9">0</f>
        <v>0</v>
      </c>
      <c r="E87" s="2"/>
      <c r="F87" s="19"/>
      <c r="G87" s="2"/>
      <c r="H87" s="2"/>
      <c r="I87" s="2"/>
      <c r="J87" s="19"/>
      <c r="K87" s="2"/>
      <c r="L87" s="2">
        <f t="shared" si="0"/>
        <v>0</v>
      </c>
      <c r="M87" s="2"/>
      <c r="N87" s="19">
        <f t="shared" si="1"/>
        <v>0</v>
      </c>
      <c r="O87" s="11"/>
      <c r="P87" s="2">
        <f>-4739.1</f>
        <v>-4739.1000000000004</v>
      </c>
      <c r="Q87" s="2"/>
      <c r="R87" s="19"/>
      <c r="S87" s="2"/>
      <c r="T87" s="2"/>
      <c r="U87" s="2"/>
      <c r="V87" s="19"/>
      <c r="W87" s="2"/>
      <c r="X87" s="2">
        <f t="shared" si="2"/>
        <v>-4739.1000000000004</v>
      </c>
      <c r="Y87" s="2"/>
      <c r="Z87" s="19">
        <f t="shared" si="3"/>
        <v>0</v>
      </c>
    </row>
    <row r="88" spans="1:26" s="24" customFormat="1" hidden="1" outlineLevel="1" x14ac:dyDescent="0.25">
      <c r="A88" s="44"/>
      <c r="B88" s="11" t="str">
        <f>CONCATENATE("          ", "4233", " - ", "SALES RETURN TAXABLE-CANDY")</f>
        <v xml:space="preserve">          4233 - SALES RETURN TAXABLE-CANDY</v>
      </c>
      <c r="C88" s="11"/>
      <c r="D88" s="2">
        <f t="shared" si="9"/>
        <v>0</v>
      </c>
      <c r="E88" s="2"/>
      <c r="F88" s="19"/>
      <c r="G88" s="2"/>
      <c r="H88" s="2"/>
      <c r="I88" s="2"/>
      <c r="J88" s="19"/>
      <c r="K88" s="2"/>
      <c r="L88" s="2">
        <f t="shared" si="0"/>
        <v>0</v>
      </c>
      <c r="M88" s="2"/>
      <c r="N88" s="19">
        <f t="shared" si="1"/>
        <v>0</v>
      </c>
      <c r="O88" s="11"/>
      <c r="P88" s="2">
        <f>-8.25</f>
        <v>-8.25</v>
      </c>
      <c r="Q88" s="2"/>
      <c r="R88" s="19"/>
      <c r="S88" s="2"/>
      <c r="T88" s="2"/>
      <c r="U88" s="2"/>
      <c r="V88" s="19"/>
      <c r="W88" s="2"/>
      <c r="X88" s="2">
        <f t="shared" si="2"/>
        <v>-8.25</v>
      </c>
      <c r="Y88" s="2"/>
      <c r="Z88" s="19">
        <f t="shared" si="3"/>
        <v>0</v>
      </c>
    </row>
    <row r="89" spans="1:26" s="24" customFormat="1" hidden="1" outlineLevel="1" x14ac:dyDescent="0.25">
      <c r="A89" s="44"/>
      <c r="B89" s="11" t="str">
        <f>CONCATENATE("          ", "4240", " - ", "SALES RETURN TAXABLE-LOGO CLOT")</f>
        <v xml:space="preserve">          4240 - SALES RETURN TAXABLE-LOGO CLOT</v>
      </c>
      <c r="C89" s="11"/>
      <c r="D89" s="2">
        <f>-3229.58</f>
        <v>-3229.58</v>
      </c>
      <c r="E89" s="2"/>
      <c r="F89" s="19"/>
      <c r="G89" s="2"/>
      <c r="H89" s="2"/>
      <c r="I89" s="2"/>
      <c r="J89" s="19"/>
      <c r="K89" s="2"/>
      <c r="L89" s="2">
        <f t="shared" si="0"/>
        <v>-3229.58</v>
      </c>
      <c r="M89" s="2"/>
      <c r="N89" s="19">
        <f t="shared" si="1"/>
        <v>0</v>
      </c>
      <c r="O89" s="11"/>
      <c r="P89" s="2">
        <f>-77684.77</f>
        <v>-77684.77</v>
      </c>
      <c r="Q89" s="2"/>
      <c r="R89" s="19"/>
      <c r="S89" s="2"/>
      <c r="T89" s="2"/>
      <c r="U89" s="2"/>
      <c r="V89" s="19"/>
      <c r="W89" s="2"/>
      <c r="X89" s="2">
        <f t="shared" si="2"/>
        <v>-77684.77</v>
      </c>
      <c r="Y89" s="2"/>
      <c r="Z89" s="19">
        <f t="shared" si="3"/>
        <v>0</v>
      </c>
    </row>
    <row r="90" spans="1:26" s="24" customFormat="1" hidden="1" outlineLevel="1" x14ac:dyDescent="0.25">
      <c r="A90" s="44"/>
      <c r="B90" s="11" t="str">
        <f>CONCATENATE("          ", "4241", " - ", "SALES RETURN TAXABLE-LOGO GIFT")</f>
        <v xml:space="preserve">          4241 - SALES RETURN TAXABLE-LOGO GIFT</v>
      </c>
      <c r="C90" s="11"/>
      <c r="D90" s="2">
        <f>-1133.39</f>
        <v>-1133.3900000000001</v>
      </c>
      <c r="E90" s="2"/>
      <c r="F90" s="19"/>
      <c r="G90" s="2"/>
      <c r="H90" s="2"/>
      <c r="I90" s="2"/>
      <c r="J90" s="19"/>
      <c r="K90" s="2"/>
      <c r="L90" s="2">
        <f t="shared" si="0"/>
        <v>-1133.3900000000001</v>
      </c>
      <c r="M90" s="2"/>
      <c r="N90" s="19">
        <f t="shared" si="1"/>
        <v>0</v>
      </c>
      <c r="O90" s="11"/>
      <c r="P90" s="2">
        <f>-7465.27</f>
        <v>-7465.27</v>
      </c>
      <c r="Q90" s="2"/>
      <c r="R90" s="19"/>
      <c r="S90" s="2"/>
      <c r="T90" s="2"/>
      <c r="U90" s="2"/>
      <c r="V90" s="19"/>
      <c r="W90" s="2"/>
      <c r="X90" s="2">
        <f t="shared" si="2"/>
        <v>-7465.27</v>
      </c>
      <c r="Y90" s="2"/>
      <c r="Z90" s="19">
        <f t="shared" si="3"/>
        <v>0</v>
      </c>
    </row>
    <row r="91" spans="1:26" s="24" customFormat="1" hidden="1" outlineLevel="1" x14ac:dyDescent="0.25">
      <c r="A91" s="44"/>
      <c r="B91" s="11" t="str">
        <f>CONCATENATE("          ", "4242", " - ", "SALES RETURN TAXABLE-EVERYDAY")</f>
        <v xml:space="preserve">          4242 - SALES RETURN TAXABLE-EVERYDAY</v>
      </c>
      <c r="C91" s="11"/>
      <c r="D91" s="2">
        <f t="shared" ref="D91:D92" si="10">0</f>
        <v>0</v>
      </c>
      <c r="E91" s="2"/>
      <c r="F91" s="19"/>
      <c r="G91" s="2"/>
      <c r="H91" s="2"/>
      <c r="I91" s="2"/>
      <c r="J91" s="19"/>
      <c r="K91" s="2"/>
      <c r="L91" s="2">
        <f t="shared" si="0"/>
        <v>0</v>
      </c>
      <c r="M91" s="2"/>
      <c r="N91" s="19">
        <f t="shared" si="1"/>
        <v>0</v>
      </c>
      <c r="O91" s="11"/>
      <c r="P91" s="2">
        <f>-4181.41</f>
        <v>-4181.41</v>
      </c>
      <c r="Q91" s="2"/>
      <c r="R91" s="19"/>
      <c r="S91" s="2"/>
      <c r="T91" s="2"/>
      <c r="U91" s="2"/>
      <c r="V91" s="19"/>
      <c r="W91" s="2"/>
      <c r="X91" s="2">
        <f t="shared" si="2"/>
        <v>-4181.41</v>
      </c>
      <c r="Y91" s="2"/>
      <c r="Z91" s="19">
        <f t="shared" si="3"/>
        <v>0</v>
      </c>
    </row>
    <row r="92" spans="1:26" s="24" customFormat="1" hidden="1" outlineLevel="1" x14ac:dyDescent="0.25">
      <c r="A92" s="44"/>
      <c r="B92" s="11" t="str">
        <f>CONCATENATE("          ", "4243", " - ", "SALES RETURN TAXABLE-CARDS")</f>
        <v xml:space="preserve">          4243 - SALES RETURN TAXABLE-CARDS</v>
      </c>
      <c r="C92" s="11"/>
      <c r="D92" s="2">
        <f t="shared" si="10"/>
        <v>0</v>
      </c>
      <c r="E92" s="2"/>
      <c r="F92" s="19"/>
      <c r="G92" s="2"/>
      <c r="H92" s="2"/>
      <c r="I92" s="2"/>
      <c r="J92" s="19"/>
      <c r="K92" s="2"/>
      <c r="L92" s="2">
        <f t="shared" si="0"/>
        <v>0</v>
      </c>
      <c r="M92" s="2"/>
      <c r="N92" s="19">
        <f t="shared" si="1"/>
        <v>0</v>
      </c>
      <c r="O92" s="11"/>
      <c r="P92" s="2">
        <f>-3006.31</f>
        <v>-3006.31</v>
      </c>
      <c r="Q92" s="2"/>
      <c r="R92" s="19"/>
      <c r="S92" s="2"/>
      <c r="T92" s="2"/>
      <c r="U92" s="2"/>
      <c r="V92" s="19"/>
      <c r="W92" s="2"/>
      <c r="X92" s="2">
        <f t="shared" si="2"/>
        <v>-3006.31</v>
      </c>
      <c r="Y92" s="2"/>
      <c r="Z92" s="19">
        <f t="shared" si="3"/>
        <v>0</v>
      </c>
    </row>
    <row r="93" spans="1:26" s="24" customFormat="1" hidden="1" outlineLevel="1" x14ac:dyDescent="0.25">
      <c r="A93" s="44"/>
      <c r="B93" s="11" t="str">
        <f>CONCATENATE("          ", "4244", " - ", "SALES RETURN TAXABLE-ACCESSORI")</f>
        <v xml:space="preserve">          4244 - SALES RETURN TAXABLE-ACCESSORI</v>
      </c>
      <c r="C93" s="11"/>
      <c r="D93" s="2">
        <f>-255.71</f>
        <v>-255.71</v>
      </c>
      <c r="E93" s="2"/>
      <c r="F93" s="19"/>
      <c r="G93" s="2"/>
      <c r="H93" s="2"/>
      <c r="I93" s="2"/>
      <c r="J93" s="19"/>
      <c r="K93" s="2"/>
      <c r="L93" s="2">
        <f t="shared" si="0"/>
        <v>-255.71</v>
      </c>
      <c r="M93" s="2"/>
      <c r="N93" s="19">
        <f t="shared" si="1"/>
        <v>0</v>
      </c>
      <c r="O93" s="11"/>
      <c r="P93" s="2">
        <f>-2726.41</f>
        <v>-2726.41</v>
      </c>
      <c r="Q93" s="2"/>
      <c r="R93" s="19"/>
      <c r="S93" s="2"/>
      <c r="T93" s="2"/>
      <c r="U93" s="2"/>
      <c r="V93" s="19"/>
      <c r="W93" s="2"/>
      <c r="X93" s="2">
        <f t="shared" si="2"/>
        <v>-2726.41</v>
      </c>
      <c r="Y93" s="2"/>
      <c r="Z93" s="19">
        <f t="shared" si="3"/>
        <v>0</v>
      </c>
    </row>
    <row r="94" spans="1:26" s="24" customFormat="1" hidden="1" outlineLevel="1" x14ac:dyDescent="0.25">
      <c r="A94" s="44"/>
      <c r="B94" s="11" t="str">
        <f>CONCATENATE("          ", "4245", " - ", "SALES RETURN TAXABLE-SPECIAL O")</f>
        <v xml:space="preserve">          4245 - SALES RETURN TAXABLE-SPECIAL O</v>
      </c>
      <c r="C94" s="11"/>
      <c r="D94" s="2">
        <f>-175</f>
        <v>-175</v>
      </c>
      <c r="E94" s="2"/>
      <c r="F94" s="19"/>
      <c r="G94" s="2"/>
      <c r="H94" s="2"/>
      <c r="I94" s="2"/>
      <c r="J94" s="19"/>
      <c r="K94" s="2"/>
      <c r="L94" s="2">
        <f t="shared" si="0"/>
        <v>-175</v>
      </c>
      <c r="M94" s="2"/>
      <c r="N94" s="19">
        <f t="shared" si="1"/>
        <v>0</v>
      </c>
      <c r="O94" s="11"/>
      <c r="P94" s="2">
        <f>-1910.03</f>
        <v>-1910.03</v>
      </c>
      <c r="Q94" s="2"/>
      <c r="R94" s="19"/>
      <c r="S94" s="2"/>
      <c r="T94" s="2"/>
      <c r="U94" s="2"/>
      <c r="V94" s="19"/>
      <c r="W94" s="2"/>
      <c r="X94" s="2">
        <f t="shared" si="2"/>
        <v>-1910.03</v>
      </c>
      <c r="Y94" s="2"/>
      <c r="Z94" s="19">
        <f t="shared" si="3"/>
        <v>0</v>
      </c>
    </row>
    <row r="95" spans="1:26" s="24" customFormat="1" hidden="1" outlineLevel="1" x14ac:dyDescent="0.25">
      <c r="A95" s="44"/>
      <c r="B95" s="11" t="str">
        <f>CONCATENATE("          ", "4281", " - ", "SALES RETURN TAXABLE-ELECTRONI")</f>
        <v xml:space="preserve">          4281 - SALES RETURN TAXABLE-ELECTRONI</v>
      </c>
      <c r="C95" s="11"/>
      <c r="D95" s="2">
        <f>0</f>
        <v>0</v>
      </c>
      <c r="E95" s="2"/>
      <c r="F95" s="19"/>
      <c r="G95" s="2"/>
      <c r="H95" s="2"/>
      <c r="I95" s="2"/>
      <c r="J95" s="19"/>
      <c r="K95" s="2"/>
      <c r="L95" s="2">
        <f t="shared" si="0"/>
        <v>0</v>
      </c>
      <c r="M95" s="2"/>
      <c r="N95" s="19">
        <f t="shared" si="1"/>
        <v>0</v>
      </c>
      <c r="O95" s="11"/>
      <c r="P95" s="2">
        <f>-54.97</f>
        <v>-54.97</v>
      </c>
      <c r="Q95" s="2"/>
      <c r="R95" s="19"/>
      <c r="S95" s="2"/>
      <c r="T95" s="2"/>
      <c r="U95" s="2"/>
      <c r="V95" s="19"/>
      <c r="W95" s="2"/>
      <c r="X95" s="2">
        <f t="shared" si="2"/>
        <v>-54.97</v>
      </c>
      <c r="Y95" s="2"/>
      <c r="Z95" s="19">
        <f t="shared" si="3"/>
        <v>0</v>
      </c>
    </row>
    <row r="96" spans="1:26" s="24" customFormat="1" hidden="1" outlineLevel="1" x14ac:dyDescent="0.25">
      <c r="A96" s="44"/>
      <c r="B96" s="11" t="str">
        <f>CONCATENATE("          ", "4292", " - ", "SALES RETURN TAXABLE-GRAD MERC")</f>
        <v xml:space="preserve">          4292 - SALES RETURN TAXABLE-GRAD MERC</v>
      </c>
      <c r="C96" s="11"/>
      <c r="D96" s="2">
        <f>-64.89</f>
        <v>-64.89</v>
      </c>
      <c r="E96" s="2"/>
      <c r="F96" s="19"/>
      <c r="G96" s="2"/>
      <c r="H96" s="2"/>
      <c r="I96" s="2"/>
      <c r="J96" s="19"/>
      <c r="K96" s="2"/>
      <c r="L96" s="2">
        <f t="shared" si="0"/>
        <v>-64.89</v>
      </c>
      <c r="M96" s="2"/>
      <c r="N96" s="19">
        <f t="shared" si="1"/>
        <v>0</v>
      </c>
      <c r="O96" s="11"/>
      <c r="P96" s="2">
        <f>-578.84</f>
        <v>-578.84</v>
      </c>
      <c r="Q96" s="2"/>
      <c r="R96" s="19"/>
      <c r="S96" s="2"/>
      <c r="T96" s="2"/>
      <c r="U96" s="2"/>
      <c r="V96" s="19"/>
      <c r="W96" s="2"/>
      <c r="X96" s="2">
        <f t="shared" si="2"/>
        <v>-578.84</v>
      </c>
      <c r="Y96" s="2"/>
      <c r="Z96" s="19">
        <f t="shared" si="3"/>
        <v>0</v>
      </c>
    </row>
    <row r="97" spans="1:26" s="24" customFormat="1" hidden="1" outlineLevel="1" x14ac:dyDescent="0.25">
      <c r="A97" s="44"/>
      <c r="B97" s="11" t="str">
        <f>CONCATENATE("          ", "4295", " - ", "SALES RETURN TAXABLE-CUSTOMER")</f>
        <v xml:space="preserve">          4295 - SALES RETURN TAXABLE-CUSTOMER</v>
      </c>
      <c r="C97" s="11"/>
      <c r="D97" s="2">
        <f>0</f>
        <v>0</v>
      </c>
      <c r="E97" s="2"/>
      <c r="F97" s="19"/>
      <c r="G97" s="2"/>
      <c r="H97" s="2"/>
      <c r="I97" s="2"/>
      <c r="J97" s="19"/>
      <c r="K97" s="2"/>
      <c r="L97" s="2">
        <f t="shared" si="0"/>
        <v>0</v>
      </c>
      <c r="M97" s="2"/>
      <c r="N97" s="19">
        <f t="shared" si="1"/>
        <v>0</v>
      </c>
      <c r="O97" s="11"/>
      <c r="P97" s="2">
        <f>--0.99</f>
        <v>0.99</v>
      </c>
      <c r="Q97" s="2"/>
      <c r="R97" s="19"/>
      <c r="S97" s="2"/>
      <c r="T97" s="2"/>
      <c r="U97" s="2"/>
      <c r="V97" s="19"/>
      <c r="W97" s="2"/>
      <c r="X97" s="2">
        <f t="shared" si="2"/>
        <v>0.99</v>
      </c>
      <c r="Y97" s="2"/>
      <c r="Z97" s="19">
        <f t="shared" si="3"/>
        <v>0</v>
      </c>
    </row>
    <row r="98" spans="1:26" s="24" customFormat="1" hidden="1" outlineLevel="1" x14ac:dyDescent="0.25">
      <c r="A98" s="44"/>
      <c r="B98" s="11" t="str">
        <f>CONCATENATE("          ", "4301", " - ", "SALES RETURN NON TAXABLE-NEW T")</f>
        <v xml:space="preserve">          4301 - SALES RETURN NON TAXABLE-NEW T</v>
      </c>
      <c r="C98" s="11"/>
      <c r="D98" s="2">
        <f>-5710.44</f>
        <v>-5710.44</v>
      </c>
      <c r="E98" s="2"/>
      <c r="F98" s="19"/>
      <c r="G98" s="2"/>
      <c r="H98" s="2"/>
      <c r="I98" s="2"/>
      <c r="J98" s="19"/>
      <c r="K98" s="2"/>
      <c r="L98" s="2">
        <f t="shared" si="0"/>
        <v>-5710.44</v>
      </c>
      <c r="M98" s="2"/>
      <c r="N98" s="19">
        <f t="shared" si="1"/>
        <v>0</v>
      </c>
      <c r="O98" s="11"/>
      <c r="P98" s="2">
        <f>-21289.87</f>
        <v>-21289.87</v>
      </c>
      <c r="Q98" s="2"/>
      <c r="R98" s="19"/>
      <c r="S98" s="2"/>
      <c r="T98" s="2"/>
      <c r="U98" s="2"/>
      <c r="V98" s="19"/>
      <c r="W98" s="2"/>
      <c r="X98" s="2">
        <f t="shared" si="2"/>
        <v>-21289.87</v>
      </c>
      <c r="Y98" s="2"/>
      <c r="Z98" s="19">
        <f t="shared" si="3"/>
        <v>0</v>
      </c>
    </row>
    <row r="99" spans="1:26" s="24" customFormat="1" hidden="1" outlineLevel="1" x14ac:dyDescent="0.25">
      <c r="A99" s="44"/>
      <c r="B99" s="11" t="str">
        <f>CONCATENATE("          ", "4302", " - ", "SALES RETURN NON TAXABLE-TEXT")</f>
        <v xml:space="preserve">          4302 - SALES RETURN NON TAXABLE-TEXT</v>
      </c>
      <c r="C99" s="11"/>
      <c r="D99" s="2">
        <f>-67.5</f>
        <v>-67.5</v>
      </c>
      <c r="E99" s="2"/>
      <c r="F99" s="19"/>
      <c r="G99" s="2"/>
      <c r="H99" s="2"/>
      <c r="I99" s="2"/>
      <c r="J99" s="19"/>
      <c r="K99" s="2"/>
      <c r="L99" s="2">
        <f t="shared" si="0"/>
        <v>-67.5</v>
      </c>
      <c r="M99" s="2"/>
      <c r="N99" s="19">
        <f t="shared" si="1"/>
        <v>0</v>
      </c>
      <c r="O99" s="11"/>
      <c r="P99" s="2">
        <f>-1379.87</f>
        <v>-1379.87</v>
      </c>
      <c r="Q99" s="2"/>
      <c r="R99" s="19"/>
      <c r="S99" s="2"/>
      <c r="T99" s="2"/>
      <c r="U99" s="2"/>
      <c r="V99" s="19"/>
      <c r="W99" s="2"/>
      <c r="X99" s="2">
        <f t="shared" si="2"/>
        <v>-1379.87</v>
      </c>
      <c r="Y99" s="2"/>
      <c r="Z99" s="19">
        <f t="shared" si="3"/>
        <v>0</v>
      </c>
    </row>
    <row r="100" spans="1:26" s="24" customFormat="1" hidden="1" outlineLevel="1" x14ac:dyDescent="0.25">
      <c r="A100" s="44"/>
      <c r="B100" s="11" t="str">
        <f>CONCATENATE("          ", "4303", " - ", "SALES RETURN NON-TAXABLE-RENTA")</f>
        <v xml:space="preserve">          4303 - SALES RETURN NON-TAXABLE-RENTA</v>
      </c>
      <c r="C100" s="11"/>
      <c r="D100" s="2">
        <f>0</f>
        <v>0</v>
      </c>
      <c r="E100" s="2"/>
      <c r="F100" s="19"/>
      <c r="G100" s="2"/>
      <c r="H100" s="2"/>
      <c r="I100" s="2"/>
      <c r="J100" s="19"/>
      <c r="K100" s="2"/>
      <c r="L100" s="2">
        <f t="shared" si="0"/>
        <v>0</v>
      </c>
      <c r="M100" s="2"/>
      <c r="N100" s="19">
        <f t="shared" si="1"/>
        <v>0</v>
      </c>
      <c r="O100" s="11"/>
      <c r="P100" s="2">
        <f>-184.99</f>
        <v>-184.99</v>
      </c>
      <c r="Q100" s="2"/>
      <c r="R100" s="19"/>
      <c r="S100" s="2"/>
      <c r="T100" s="2"/>
      <c r="U100" s="2"/>
      <c r="V100" s="19"/>
      <c r="W100" s="2"/>
      <c r="X100" s="2">
        <f t="shared" si="2"/>
        <v>-184.99</v>
      </c>
      <c r="Y100" s="2"/>
      <c r="Z100" s="19">
        <f t="shared" si="3"/>
        <v>0</v>
      </c>
    </row>
    <row r="101" spans="1:26" s="24" customFormat="1" hidden="1" outlineLevel="1" x14ac:dyDescent="0.25">
      <c r="A101" s="44"/>
      <c r="B101" s="11" t="str">
        <f>CONCATENATE("          ", "4304", " - ", "SALES RETURN NON TAXABLE-DIGIT")</f>
        <v xml:space="preserve">          4304 - SALES RETURN NON TAXABLE-DIGIT</v>
      </c>
      <c r="C101" s="11"/>
      <c r="D101" s="2">
        <f>-438.2</f>
        <v>-438.2</v>
      </c>
      <c r="E101" s="2"/>
      <c r="F101" s="19"/>
      <c r="G101" s="2"/>
      <c r="H101" s="2"/>
      <c r="I101" s="2"/>
      <c r="J101" s="19"/>
      <c r="K101" s="2"/>
      <c r="L101" s="2">
        <f t="shared" si="0"/>
        <v>-438.2</v>
      </c>
      <c r="M101" s="2"/>
      <c r="N101" s="19">
        <f t="shared" si="1"/>
        <v>0</v>
      </c>
      <c r="O101" s="11"/>
      <c r="P101" s="2">
        <f>-19474.33</f>
        <v>-19474.330000000002</v>
      </c>
      <c r="Q101" s="2"/>
      <c r="R101" s="19"/>
      <c r="S101" s="2"/>
      <c r="T101" s="2"/>
      <c r="U101" s="2"/>
      <c r="V101" s="19"/>
      <c r="W101" s="2"/>
      <c r="X101" s="2">
        <f t="shared" si="2"/>
        <v>-19474.330000000002</v>
      </c>
      <c r="Y101" s="2"/>
      <c r="Z101" s="19">
        <f t="shared" si="3"/>
        <v>0</v>
      </c>
    </row>
    <row r="102" spans="1:26" s="24" customFormat="1" hidden="1" outlineLevel="1" x14ac:dyDescent="0.25">
      <c r="A102" s="44"/>
      <c r="B102" s="11" t="str">
        <f>CONCATENATE("          ", "4311", " - ", "SALES RETURN NON TAXABLE-NO VA")</f>
        <v xml:space="preserve">          4311 - SALES RETURN NON TAXABLE-NO VA</v>
      </c>
      <c r="C102" s="11"/>
      <c r="D102" s="2">
        <f t="shared" ref="D102:D106" si="11">0</f>
        <v>0</v>
      </c>
      <c r="E102" s="2"/>
      <c r="F102" s="19"/>
      <c r="G102" s="2"/>
      <c r="H102" s="2"/>
      <c r="I102" s="2"/>
      <c r="J102" s="19"/>
      <c r="K102" s="2"/>
      <c r="L102" s="2">
        <f t="shared" si="0"/>
        <v>0</v>
      </c>
      <c r="M102" s="2"/>
      <c r="N102" s="19">
        <f t="shared" si="1"/>
        <v>0</v>
      </c>
      <c r="O102" s="11"/>
      <c r="P102" s="2">
        <f>-941.28</f>
        <v>-941.28</v>
      </c>
      <c r="Q102" s="2"/>
      <c r="R102" s="19"/>
      <c r="S102" s="2"/>
      <c r="T102" s="2"/>
      <c r="U102" s="2"/>
      <c r="V102" s="19"/>
      <c r="W102" s="2"/>
      <c r="X102" s="2">
        <f t="shared" si="2"/>
        <v>-941.28</v>
      </c>
      <c r="Y102" s="2"/>
      <c r="Z102" s="19">
        <f t="shared" si="3"/>
        <v>0</v>
      </c>
    </row>
    <row r="103" spans="1:26" s="24" customFormat="1" hidden="1" outlineLevel="1" x14ac:dyDescent="0.25">
      <c r="A103" s="44"/>
      <c r="B103" s="11" t="str">
        <f>CONCATENATE("          ", "4313", " - ", "SALES RETURN NON TAXABLE-TRADE")</f>
        <v xml:space="preserve">          4313 - SALES RETURN NON TAXABLE-TRADE</v>
      </c>
      <c r="C103" s="11"/>
      <c r="D103" s="2">
        <f t="shared" si="11"/>
        <v>0</v>
      </c>
      <c r="E103" s="2"/>
      <c r="F103" s="19"/>
      <c r="G103" s="2"/>
      <c r="H103" s="2"/>
      <c r="I103" s="2"/>
      <c r="J103" s="19"/>
      <c r="K103" s="2"/>
      <c r="L103" s="2">
        <f t="shared" si="0"/>
        <v>0</v>
      </c>
      <c r="M103" s="2"/>
      <c r="N103" s="19">
        <f t="shared" si="1"/>
        <v>0</v>
      </c>
      <c r="O103" s="11"/>
      <c r="P103" s="2">
        <f>-2481.44</f>
        <v>-2481.44</v>
      </c>
      <c r="Q103" s="2"/>
      <c r="R103" s="19"/>
      <c r="S103" s="2"/>
      <c r="T103" s="2"/>
      <c r="U103" s="2"/>
      <c r="V103" s="19"/>
      <c r="W103" s="2"/>
      <c r="X103" s="2">
        <f t="shared" si="2"/>
        <v>-2481.44</v>
      </c>
      <c r="Y103" s="2"/>
      <c r="Z103" s="19">
        <f t="shared" si="3"/>
        <v>0</v>
      </c>
    </row>
    <row r="104" spans="1:26" s="24" customFormat="1" hidden="1" outlineLevel="1" x14ac:dyDescent="0.25">
      <c r="A104" s="44"/>
      <c r="B104" s="11" t="str">
        <f>CONCATENATE("          ", "4327", " - ", "SALES RETURN NON TAXABLE-SCHOO")</f>
        <v xml:space="preserve">          4327 - SALES RETURN NON TAXABLE-SCHOO</v>
      </c>
      <c r="C104" s="11"/>
      <c r="D104" s="2">
        <f t="shared" si="11"/>
        <v>0</v>
      </c>
      <c r="E104" s="2"/>
      <c r="F104" s="19"/>
      <c r="G104" s="2"/>
      <c r="H104" s="2"/>
      <c r="I104" s="2"/>
      <c r="J104" s="19"/>
      <c r="K104" s="2"/>
      <c r="L104" s="2">
        <f t="shared" si="0"/>
        <v>0</v>
      </c>
      <c r="M104" s="2"/>
      <c r="N104" s="19">
        <f t="shared" si="1"/>
        <v>0</v>
      </c>
      <c r="O104" s="11"/>
      <c r="P104" s="2">
        <f>-21.87</f>
        <v>-21.87</v>
      </c>
      <c r="Q104" s="2"/>
      <c r="R104" s="19"/>
      <c r="S104" s="2"/>
      <c r="T104" s="2"/>
      <c r="U104" s="2"/>
      <c r="V104" s="19"/>
      <c r="W104" s="2"/>
      <c r="X104" s="2">
        <f t="shared" si="2"/>
        <v>-21.87</v>
      </c>
      <c r="Y104" s="2"/>
      <c r="Z104" s="19">
        <f t="shared" si="3"/>
        <v>0</v>
      </c>
    </row>
    <row r="105" spans="1:26" s="24" customFormat="1" hidden="1" outlineLevel="1" x14ac:dyDescent="0.25">
      <c r="A105" s="44"/>
      <c r="B105" s="11" t="str">
        <f>CONCATENATE("          ", "4331", " - ", "SALES RETURN NON TAXABLE-FOOD")</f>
        <v xml:space="preserve">          4331 - SALES RETURN NON TAXABLE-FOOD</v>
      </c>
      <c r="C105" s="11"/>
      <c r="D105" s="2">
        <f t="shared" si="11"/>
        <v>0</v>
      </c>
      <c r="E105" s="2"/>
      <c r="F105" s="19"/>
      <c r="G105" s="2"/>
      <c r="H105" s="2"/>
      <c r="I105" s="2"/>
      <c r="J105" s="19"/>
      <c r="K105" s="2"/>
      <c r="L105" s="2">
        <f t="shared" si="0"/>
        <v>0</v>
      </c>
      <c r="M105" s="2"/>
      <c r="N105" s="19">
        <f t="shared" si="1"/>
        <v>0</v>
      </c>
      <c r="O105" s="11"/>
      <c r="P105" s="2">
        <f>-12.57</f>
        <v>-12.57</v>
      </c>
      <c r="Q105" s="2"/>
      <c r="R105" s="19"/>
      <c r="S105" s="2"/>
      <c r="T105" s="2"/>
      <c r="U105" s="2"/>
      <c r="V105" s="19"/>
      <c r="W105" s="2"/>
      <c r="X105" s="2">
        <f t="shared" si="2"/>
        <v>-12.57</v>
      </c>
      <c r="Y105" s="2"/>
      <c r="Z105" s="19">
        <f t="shared" si="3"/>
        <v>0</v>
      </c>
    </row>
    <row r="106" spans="1:26" s="24" customFormat="1" hidden="1" outlineLevel="1" x14ac:dyDescent="0.25">
      <c r="A106" s="44"/>
      <c r="B106" s="11" t="str">
        <f>CONCATENATE("          ", "4332", " - ", "SALES RETURN NON TAXABLE-JUICE")</f>
        <v xml:space="preserve">          4332 - SALES RETURN NON TAXABLE-JUICE</v>
      </c>
      <c r="C106" s="11"/>
      <c r="D106" s="2">
        <f t="shared" si="11"/>
        <v>0</v>
      </c>
      <c r="E106" s="2"/>
      <c r="F106" s="19"/>
      <c r="G106" s="2"/>
      <c r="H106" s="2"/>
      <c r="I106" s="2"/>
      <c r="J106" s="19"/>
      <c r="K106" s="2"/>
      <c r="L106" s="2">
        <f t="shared" si="0"/>
        <v>0</v>
      </c>
      <c r="M106" s="2"/>
      <c r="N106" s="19">
        <f t="shared" si="1"/>
        <v>0</v>
      </c>
      <c r="O106" s="11"/>
      <c r="P106" s="2">
        <f>-2.79</f>
        <v>-2.79</v>
      </c>
      <c r="Q106" s="2"/>
      <c r="R106" s="19"/>
      <c r="S106" s="2"/>
      <c r="T106" s="2"/>
      <c r="U106" s="2"/>
      <c r="V106" s="19"/>
      <c r="W106" s="2"/>
      <c r="X106" s="2">
        <f t="shared" si="2"/>
        <v>-2.79</v>
      </c>
      <c r="Y106" s="2"/>
      <c r="Z106" s="19">
        <f t="shared" si="3"/>
        <v>0</v>
      </c>
    </row>
    <row r="107" spans="1:26" s="24" customFormat="1" hidden="1" outlineLevel="1" x14ac:dyDescent="0.25">
      <c r="A107" s="44"/>
      <c r="B107" s="11" t="str">
        <f>CONCATENATE("          ", "4340", " - ", "SALES RETURN NON TAXABLE-LOGO")</f>
        <v xml:space="preserve">          4340 - SALES RETURN NON TAXABLE-LOGO</v>
      </c>
      <c r="C107" s="11"/>
      <c r="D107" s="2">
        <f>-598.43</f>
        <v>-598.42999999999995</v>
      </c>
      <c r="E107" s="2"/>
      <c r="F107" s="19"/>
      <c r="G107" s="2"/>
      <c r="H107" s="2"/>
      <c r="I107" s="2"/>
      <c r="J107" s="19"/>
      <c r="K107" s="2"/>
      <c r="L107" s="2">
        <f t="shared" si="0"/>
        <v>-598.42999999999995</v>
      </c>
      <c r="M107" s="2"/>
      <c r="N107" s="19">
        <f t="shared" si="1"/>
        <v>0</v>
      </c>
      <c r="O107" s="11"/>
      <c r="P107" s="2">
        <f>-1618.83</f>
        <v>-1618.83</v>
      </c>
      <c r="Q107" s="2"/>
      <c r="R107" s="19"/>
      <c r="S107" s="2"/>
      <c r="T107" s="2"/>
      <c r="U107" s="2"/>
      <c r="V107" s="19"/>
      <c r="W107" s="2"/>
      <c r="X107" s="2">
        <f t="shared" si="2"/>
        <v>-1618.83</v>
      </c>
      <c r="Y107" s="2"/>
      <c r="Z107" s="19">
        <f t="shared" si="3"/>
        <v>0</v>
      </c>
    </row>
    <row r="108" spans="1:26" s="24" customFormat="1" hidden="1" outlineLevel="1" x14ac:dyDescent="0.25">
      <c r="A108" s="44"/>
      <c r="B108" s="11" t="str">
        <f>CONCATENATE("          ", "4341", " - ", "SALES RETURN NON TAXABLE-LOGO")</f>
        <v xml:space="preserve">          4341 - SALES RETURN NON TAXABLE-LOGO</v>
      </c>
      <c r="C108" s="11"/>
      <c r="D108" s="2">
        <f>-39.95</f>
        <v>-39.950000000000003</v>
      </c>
      <c r="E108" s="2"/>
      <c r="F108" s="19"/>
      <c r="G108" s="2"/>
      <c r="H108" s="2"/>
      <c r="I108" s="2"/>
      <c r="J108" s="19"/>
      <c r="K108" s="2"/>
      <c r="L108" s="2">
        <f t="shared" si="0"/>
        <v>-39.950000000000003</v>
      </c>
      <c r="M108" s="2"/>
      <c r="N108" s="19">
        <f t="shared" si="1"/>
        <v>0</v>
      </c>
      <c r="O108" s="11"/>
      <c r="P108" s="2">
        <f>-285.45</f>
        <v>-285.45</v>
      </c>
      <c r="Q108" s="2"/>
      <c r="R108" s="19"/>
      <c r="S108" s="2"/>
      <c r="T108" s="2"/>
      <c r="U108" s="2"/>
      <c r="V108" s="19"/>
      <c r="W108" s="2"/>
      <c r="X108" s="2">
        <f t="shared" si="2"/>
        <v>-285.45</v>
      </c>
      <c r="Y108" s="2"/>
      <c r="Z108" s="19">
        <f t="shared" si="3"/>
        <v>0</v>
      </c>
    </row>
    <row r="109" spans="1:26" s="24" customFormat="1" hidden="1" outlineLevel="1" x14ac:dyDescent="0.25">
      <c r="A109" s="44"/>
      <c r="B109" s="11" t="str">
        <f>CONCATENATE("          ", "4342", " - ", "SALES RETURN NON TAXABLE-EVERY")</f>
        <v xml:space="preserve">          4342 - SALES RETURN NON TAXABLE-EVERY</v>
      </c>
      <c r="C109" s="11"/>
      <c r="D109" s="2">
        <f t="shared" ref="D109:D111" si="12">0</f>
        <v>0</v>
      </c>
      <c r="E109" s="2"/>
      <c r="F109" s="19"/>
      <c r="G109" s="2"/>
      <c r="H109" s="2"/>
      <c r="I109" s="2"/>
      <c r="J109" s="19"/>
      <c r="K109" s="2"/>
      <c r="L109" s="2">
        <f t="shared" si="0"/>
        <v>0</v>
      </c>
      <c r="M109" s="2"/>
      <c r="N109" s="19">
        <f t="shared" si="1"/>
        <v>0</v>
      </c>
      <c r="O109" s="11"/>
      <c r="P109" s="2">
        <f>-149.22</f>
        <v>-149.22</v>
      </c>
      <c r="Q109" s="2"/>
      <c r="R109" s="19"/>
      <c r="S109" s="2"/>
      <c r="T109" s="2"/>
      <c r="U109" s="2"/>
      <c r="V109" s="19"/>
      <c r="W109" s="2"/>
      <c r="X109" s="2">
        <f t="shared" si="2"/>
        <v>-149.22</v>
      </c>
      <c r="Y109" s="2"/>
      <c r="Z109" s="19">
        <f t="shared" si="3"/>
        <v>0</v>
      </c>
    </row>
    <row r="110" spans="1:26" s="24" customFormat="1" hidden="1" outlineLevel="1" x14ac:dyDescent="0.25">
      <c r="A110" s="44"/>
      <c r="B110" s="11" t="str">
        <f>CONCATENATE("          ", "4346", " - ", "SALES RETURN NON TAXABLE-COIN-")</f>
        <v xml:space="preserve">          4346 - SALES RETURN NON TAXABLE-COIN-</v>
      </c>
      <c r="C110" s="11"/>
      <c r="D110" s="2">
        <f t="shared" si="12"/>
        <v>0</v>
      </c>
      <c r="E110" s="2"/>
      <c r="F110" s="19"/>
      <c r="G110" s="2"/>
      <c r="H110" s="2"/>
      <c r="I110" s="2"/>
      <c r="J110" s="19"/>
      <c r="K110" s="2"/>
      <c r="L110" s="2">
        <f t="shared" si="0"/>
        <v>0</v>
      </c>
      <c r="M110" s="2"/>
      <c r="N110" s="19">
        <f t="shared" si="1"/>
        <v>0</v>
      </c>
      <c r="O110" s="11"/>
      <c r="P110" s="2">
        <f>-8.15</f>
        <v>-8.15</v>
      </c>
      <c r="Q110" s="2"/>
      <c r="R110" s="19"/>
      <c r="S110" s="2"/>
      <c r="T110" s="2"/>
      <c r="U110" s="2"/>
      <c r="V110" s="19"/>
      <c r="W110" s="2"/>
      <c r="X110" s="2">
        <f t="shared" si="2"/>
        <v>-8.15</v>
      </c>
      <c r="Y110" s="2"/>
      <c r="Z110" s="19">
        <f t="shared" si="3"/>
        <v>0</v>
      </c>
    </row>
    <row r="111" spans="1:26" s="24" customFormat="1" hidden="1" outlineLevel="1" x14ac:dyDescent="0.25">
      <c r="A111" s="44"/>
      <c r="B111" s="11" t="str">
        <f>CONCATENATE("          ", "4347", " - ", "SALES RETURN NON TAXABLE-MISC")</f>
        <v xml:space="preserve">          4347 - SALES RETURN NON TAXABLE-MISC</v>
      </c>
      <c r="C111" s="11"/>
      <c r="D111" s="2">
        <f t="shared" si="12"/>
        <v>0</v>
      </c>
      <c r="E111" s="2"/>
      <c r="F111" s="19"/>
      <c r="G111" s="2"/>
      <c r="H111" s="2"/>
      <c r="I111" s="2"/>
      <c r="J111" s="19"/>
      <c r="K111" s="2"/>
      <c r="L111" s="2">
        <f t="shared" si="0"/>
        <v>0</v>
      </c>
      <c r="M111" s="2"/>
      <c r="N111" s="19">
        <f t="shared" si="1"/>
        <v>0</v>
      </c>
      <c r="O111" s="11"/>
      <c r="P111" s="2">
        <f>-84</f>
        <v>-84</v>
      </c>
      <c r="Q111" s="2"/>
      <c r="R111" s="19"/>
      <c r="S111" s="2"/>
      <c r="T111" s="2"/>
      <c r="U111" s="2"/>
      <c r="V111" s="19"/>
      <c r="W111" s="2"/>
      <c r="X111" s="2">
        <f t="shared" si="2"/>
        <v>-84</v>
      </c>
      <c r="Y111" s="2"/>
      <c r="Z111" s="19">
        <f t="shared" si="3"/>
        <v>0</v>
      </c>
    </row>
    <row r="112" spans="1:26" x14ac:dyDescent="0.25">
      <c r="A112" s="9"/>
      <c r="B112" s="10"/>
      <c r="C112" s="9"/>
      <c r="D112" s="3"/>
      <c r="E112" s="3"/>
      <c r="F112" s="8"/>
      <c r="G112" s="3"/>
      <c r="H112" s="3"/>
      <c r="I112" s="3"/>
      <c r="J112" s="8"/>
      <c r="K112" s="3"/>
      <c r="L112" s="3"/>
      <c r="M112" s="3"/>
      <c r="N112" s="8"/>
      <c r="P112" s="3"/>
      <c r="Q112" s="3"/>
      <c r="R112" s="8"/>
      <c r="S112" s="3"/>
      <c r="T112" s="3"/>
      <c r="U112" s="3"/>
      <c r="V112" s="8"/>
      <c r="W112" s="3"/>
      <c r="X112" s="3"/>
      <c r="Y112" s="3"/>
      <c r="Z112" s="8"/>
    </row>
    <row r="113" spans="1:26" s="23" customFormat="1" collapsed="1" x14ac:dyDescent="0.25">
      <c r="A113" s="10"/>
      <c r="B113" s="28" t="s">
        <v>8</v>
      </c>
      <c r="C113" s="10"/>
      <c r="D113" s="4">
        <f>SUM(OSRRefD16x_0)</f>
        <v>154827.63000000003</v>
      </c>
      <c r="E113" s="4"/>
      <c r="F113" s="13">
        <f t="shared" ref="F113:F164" si="13">IF(D$12=0,0,D113/D$12)</f>
        <v>0.58729088086749426</v>
      </c>
      <c r="G113" s="4"/>
      <c r="H113" s="4">
        <f>SUM(OSRRefH16x_0)</f>
        <v>483768.29676</v>
      </c>
      <c r="I113" s="4"/>
      <c r="J113" s="13">
        <f t="shared" ref="J113:J164" si="14">IF(H$12=0,0,H113/H$12)</f>
        <v>0.44133336605380591</v>
      </c>
      <c r="K113" s="4"/>
      <c r="L113" s="4">
        <f t="shared" ref="L113:L164" si="15">+D113-H113</f>
        <v>-328940.66675999993</v>
      </c>
      <c r="M113" s="4"/>
      <c r="N113" s="13">
        <f t="shared" ref="N113:N164" si="16">IF(H113=0,0,L113/H113)</f>
        <v>-0.67995498870648219</v>
      </c>
      <c r="O113" s="10"/>
      <c r="P113" s="4">
        <f>SUM(OSRRefP16x_0)</f>
        <v>5247181.540000001</v>
      </c>
      <c r="Q113" s="4"/>
      <c r="R113" s="13">
        <f t="shared" ref="R113:R164" si="17">IF(P$12=0,0,P113/P$12)</f>
        <v>0.5812921310532414</v>
      </c>
      <c r="S113" s="4"/>
      <c r="T113" s="4">
        <f>SUM(OSRRefT16x_0)</f>
        <v>6393198.9142999994</v>
      </c>
      <c r="U113" s="4"/>
      <c r="V113" s="13">
        <f t="shared" ref="V113:V164" si="18">IF(T$12=0,0,T113/T$12)</f>
        <v>0.5506534357438635</v>
      </c>
      <c r="W113" s="4"/>
      <c r="X113" s="4">
        <f t="shared" ref="X113:X164" si="19">+P113-T113</f>
        <v>-1146017.3742999984</v>
      </c>
      <c r="Y113" s="4"/>
      <c r="Z113" s="13">
        <f t="shared" ref="Z113:Z164" si="20">IF(T113=0,0,X113/T113)</f>
        <v>-0.17925570432927435</v>
      </c>
    </row>
    <row r="114" spans="1:26" s="24" customFormat="1" hidden="1" outlineLevel="1" x14ac:dyDescent="0.25">
      <c r="A114" s="44"/>
      <c r="B114" s="11" t="str">
        <f>CONCATENATE("          ", "5000", " - ", "PURCHASES @ COST")</f>
        <v xml:space="preserve">          5000 - PURCHASES @ COST</v>
      </c>
      <c r="C114" s="11"/>
      <c r="D114" s="2"/>
      <c r="E114" s="2"/>
      <c r="F114" s="19">
        <f t="shared" si="13"/>
        <v>0</v>
      </c>
      <c r="G114" s="2"/>
      <c r="H114" s="2">
        <v>483768.29676</v>
      </c>
      <c r="I114" s="2"/>
      <c r="J114" s="19">
        <f t="shared" si="14"/>
        <v>0.44133336605380591</v>
      </c>
      <c r="K114" s="2"/>
      <c r="L114" s="2">
        <f t="shared" si="15"/>
        <v>-483768.29676</v>
      </c>
      <c r="M114" s="2"/>
      <c r="N114" s="19">
        <f t="shared" si="16"/>
        <v>-1</v>
      </c>
      <c r="O114" s="11"/>
      <c r="P114" s="2"/>
      <c r="Q114" s="2"/>
      <c r="R114" s="19">
        <f t="shared" si="17"/>
        <v>0</v>
      </c>
      <c r="S114" s="2"/>
      <c r="T114" s="2">
        <v>6393198.9142999994</v>
      </c>
      <c r="U114" s="2"/>
      <c r="V114" s="19">
        <f t="shared" si="18"/>
        <v>0.5506534357438635</v>
      </c>
      <c r="W114" s="2"/>
      <c r="X114" s="2">
        <f t="shared" si="19"/>
        <v>-6393198.9142999994</v>
      </c>
      <c r="Y114" s="2"/>
      <c r="Z114" s="19">
        <f t="shared" si="20"/>
        <v>-1</v>
      </c>
    </row>
    <row r="115" spans="1:26" s="24" customFormat="1" hidden="1" outlineLevel="1" x14ac:dyDescent="0.25">
      <c r="A115" s="44"/>
      <c r="B115" s="11" t="str">
        <f>CONCATENATE("          ", "5001", " - ", "PURCHASES @ COST-NEW TEXT")</f>
        <v xml:space="preserve">          5001 - PURCHASES @ COST-NEW TEXT</v>
      </c>
      <c r="C115" s="11"/>
      <c r="D115" s="2">
        <v>71528.210000000006</v>
      </c>
      <c r="E115" s="2"/>
      <c r="F115" s="19">
        <f t="shared" si="13"/>
        <v>0.27132021240507981</v>
      </c>
      <c r="G115" s="2"/>
      <c r="H115" s="2"/>
      <c r="I115" s="2"/>
      <c r="J115" s="19">
        <f t="shared" si="14"/>
        <v>0</v>
      </c>
      <c r="K115" s="2"/>
      <c r="L115" s="2">
        <f t="shared" si="15"/>
        <v>71528.210000000006</v>
      </c>
      <c r="M115" s="2"/>
      <c r="N115" s="19">
        <f t="shared" si="16"/>
        <v>0</v>
      </c>
      <c r="O115" s="11"/>
      <c r="P115" s="2">
        <v>1641280.46</v>
      </c>
      <c r="Q115" s="2"/>
      <c r="R115" s="19">
        <f t="shared" si="17"/>
        <v>0.18182397711542569</v>
      </c>
      <c r="S115" s="2"/>
      <c r="T115" s="2"/>
      <c r="U115" s="2"/>
      <c r="V115" s="19">
        <f t="shared" si="18"/>
        <v>0</v>
      </c>
      <c r="W115" s="2"/>
      <c r="X115" s="2">
        <f t="shared" si="19"/>
        <v>1641280.46</v>
      </c>
      <c r="Y115" s="2"/>
      <c r="Z115" s="19">
        <f t="shared" si="20"/>
        <v>0</v>
      </c>
    </row>
    <row r="116" spans="1:26" s="24" customFormat="1" hidden="1" outlineLevel="1" x14ac:dyDescent="0.25">
      <c r="A116" s="44"/>
      <c r="B116" s="11" t="str">
        <f>CONCATENATE("          ", "5002", " - ", "PURCHASES @ COST-USED TEXT")</f>
        <v xml:space="preserve">          5002 - PURCHASES @ COST-USED TEXT</v>
      </c>
      <c r="C116" s="11"/>
      <c r="D116" s="2">
        <v>14738.6</v>
      </c>
      <c r="E116" s="2"/>
      <c r="F116" s="19">
        <f t="shared" si="13"/>
        <v>5.5906335172563514E-2</v>
      </c>
      <c r="G116" s="2"/>
      <c r="H116" s="2"/>
      <c r="I116" s="2"/>
      <c r="J116" s="19">
        <f t="shared" si="14"/>
        <v>0</v>
      </c>
      <c r="K116" s="2"/>
      <c r="L116" s="2">
        <f t="shared" si="15"/>
        <v>14738.6</v>
      </c>
      <c r="M116" s="2"/>
      <c r="N116" s="19">
        <f t="shared" si="16"/>
        <v>0</v>
      </c>
      <c r="O116" s="11"/>
      <c r="P116" s="2">
        <v>610321.38</v>
      </c>
      <c r="Q116" s="2"/>
      <c r="R116" s="19">
        <f t="shared" si="17"/>
        <v>6.7612491182753157E-2</v>
      </c>
      <c r="S116" s="2"/>
      <c r="T116" s="2"/>
      <c r="U116" s="2"/>
      <c r="V116" s="19">
        <f t="shared" si="18"/>
        <v>0</v>
      </c>
      <c r="W116" s="2"/>
      <c r="X116" s="2">
        <f t="shared" si="19"/>
        <v>610321.38</v>
      </c>
      <c r="Y116" s="2"/>
      <c r="Z116" s="19">
        <f t="shared" si="20"/>
        <v>0</v>
      </c>
    </row>
    <row r="117" spans="1:26" s="24" customFormat="1" hidden="1" outlineLevel="1" x14ac:dyDescent="0.25">
      <c r="A117" s="44"/>
      <c r="B117" s="11" t="str">
        <f>CONCATENATE("          ", "5003", " - ", "PURCHASES @ COST-RENTAL TEXT")</f>
        <v xml:space="preserve">          5003 - PURCHASES @ COST-RENTAL TEXT</v>
      </c>
      <c r="C117" s="11"/>
      <c r="D117" s="2"/>
      <c r="E117" s="2"/>
      <c r="F117" s="19">
        <f t="shared" si="13"/>
        <v>0</v>
      </c>
      <c r="G117" s="2"/>
      <c r="H117" s="2"/>
      <c r="I117" s="2"/>
      <c r="J117" s="19">
        <f t="shared" si="14"/>
        <v>0</v>
      </c>
      <c r="K117" s="2"/>
      <c r="L117" s="2">
        <f t="shared" si="15"/>
        <v>0</v>
      </c>
      <c r="M117" s="2"/>
      <c r="N117" s="19">
        <f t="shared" si="16"/>
        <v>0</v>
      </c>
      <c r="O117" s="11"/>
      <c r="P117" s="2">
        <v>-78.400000000000006</v>
      </c>
      <c r="Q117" s="2"/>
      <c r="R117" s="19">
        <f t="shared" si="17"/>
        <v>-8.6852918518565543E-6</v>
      </c>
      <c r="S117" s="2"/>
      <c r="T117" s="2"/>
      <c r="U117" s="2"/>
      <c r="V117" s="19">
        <f t="shared" si="18"/>
        <v>0</v>
      </c>
      <c r="W117" s="2"/>
      <c r="X117" s="2">
        <f t="shared" si="19"/>
        <v>-78.400000000000006</v>
      </c>
      <c r="Y117" s="2"/>
      <c r="Z117" s="19">
        <f t="shared" si="20"/>
        <v>0</v>
      </c>
    </row>
    <row r="118" spans="1:26" s="24" customFormat="1" hidden="1" outlineLevel="1" x14ac:dyDescent="0.25">
      <c r="A118" s="44"/>
      <c r="B118" s="11" t="str">
        <f>CONCATENATE("          ", "5004", " - ", "PURCHASES @ COST-DIGITAL TEXT")</f>
        <v xml:space="preserve">          5004 - PURCHASES @ COST-DIGITAL TEXT</v>
      </c>
      <c r="C118" s="11"/>
      <c r="D118" s="2">
        <v>-46518.259999999995</v>
      </c>
      <c r="E118" s="2"/>
      <c r="F118" s="19">
        <f t="shared" si="13"/>
        <v>-0.17645267767660794</v>
      </c>
      <c r="G118" s="2"/>
      <c r="H118" s="2"/>
      <c r="I118" s="2"/>
      <c r="J118" s="19">
        <f t="shared" si="14"/>
        <v>0</v>
      </c>
      <c r="K118" s="2"/>
      <c r="L118" s="2">
        <f t="shared" si="15"/>
        <v>-46518.259999999995</v>
      </c>
      <c r="M118" s="2"/>
      <c r="N118" s="19">
        <f t="shared" si="16"/>
        <v>0</v>
      </c>
      <c r="O118" s="11"/>
      <c r="P118" s="2">
        <v>446269.65</v>
      </c>
      <c r="Q118" s="2"/>
      <c r="R118" s="19">
        <f t="shared" si="17"/>
        <v>4.9438547893824951E-2</v>
      </c>
      <c r="S118" s="2"/>
      <c r="T118" s="2"/>
      <c r="U118" s="2"/>
      <c r="V118" s="19">
        <f t="shared" si="18"/>
        <v>0</v>
      </c>
      <c r="W118" s="2"/>
      <c r="X118" s="2">
        <f t="shared" si="19"/>
        <v>446269.65</v>
      </c>
      <c r="Y118" s="2"/>
      <c r="Z118" s="19">
        <f t="shared" si="20"/>
        <v>0</v>
      </c>
    </row>
    <row r="119" spans="1:26" s="24" customFormat="1" hidden="1" outlineLevel="1" x14ac:dyDescent="0.25">
      <c r="A119" s="44"/>
      <c r="B119" s="11" t="str">
        <f>CONCATENATE("          ", "5011", " - ", "PURCHASES @ COST-NO VALUE TEXT")</f>
        <v xml:space="preserve">          5011 - PURCHASES @ COST-NO VALUE TEXT</v>
      </c>
      <c r="C119" s="11"/>
      <c r="D119" s="2"/>
      <c r="E119" s="2"/>
      <c r="F119" s="19">
        <f t="shared" si="13"/>
        <v>0</v>
      </c>
      <c r="G119" s="2"/>
      <c r="H119" s="2"/>
      <c r="I119" s="2"/>
      <c r="J119" s="19">
        <f t="shared" si="14"/>
        <v>0</v>
      </c>
      <c r="K119" s="2"/>
      <c r="L119" s="2">
        <f t="shared" si="15"/>
        <v>0</v>
      </c>
      <c r="M119" s="2"/>
      <c r="N119" s="19">
        <f t="shared" si="16"/>
        <v>0</v>
      </c>
      <c r="O119" s="11"/>
      <c r="P119" s="2">
        <v>6363</v>
      </c>
      <c r="Q119" s="2"/>
      <c r="R119" s="19">
        <f t="shared" si="17"/>
        <v>7.0490449047657202E-4</v>
      </c>
      <c r="S119" s="2"/>
      <c r="T119" s="2"/>
      <c r="U119" s="2"/>
      <c r="V119" s="19">
        <f t="shared" si="18"/>
        <v>0</v>
      </c>
      <c r="W119" s="2"/>
      <c r="X119" s="2">
        <f t="shared" si="19"/>
        <v>6363</v>
      </c>
      <c r="Y119" s="2"/>
      <c r="Z119" s="19">
        <f t="shared" si="20"/>
        <v>0</v>
      </c>
    </row>
    <row r="120" spans="1:26" s="24" customFormat="1" hidden="1" outlineLevel="1" x14ac:dyDescent="0.25">
      <c r="A120" s="44"/>
      <c r="B120" s="11" t="str">
        <f>CONCATENATE("          ", "5013", " - ", "PURCHASES @ COST-TRADE BOOKS")</f>
        <v xml:space="preserve">          5013 - PURCHASES @ COST-TRADE BOOKS</v>
      </c>
      <c r="C120" s="11"/>
      <c r="D120" s="2"/>
      <c r="E120" s="2"/>
      <c r="F120" s="19">
        <f t="shared" si="13"/>
        <v>0</v>
      </c>
      <c r="G120" s="2"/>
      <c r="H120" s="2"/>
      <c r="I120" s="2"/>
      <c r="J120" s="19">
        <f t="shared" si="14"/>
        <v>0</v>
      </c>
      <c r="K120" s="2"/>
      <c r="L120" s="2">
        <f t="shared" si="15"/>
        <v>0</v>
      </c>
      <c r="M120" s="2"/>
      <c r="N120" s="19">
        <f t="shared" si="16"/>
        <v>0</v>
      </c>
      <c r="O120" s="11"/>
      <c r="P120" s="2">
        <v>3197.85</v>
      </c>
      <c r="Q120" s="2"/>
      <c r="R120" s="19">
        <f t="shared" si="17"/>
        <v>3.5426352740381984E-4</v>
      </c>
      <c r="S120" s="2"/>
      <c r="T120" s="2"/>
      <c r="U120" s="2"/>
      <c r="V120" s="19">
        <f t="shared" si="18"/>
        <v>0</v>
      </c>
      <c r="W120" s="2"/>
      <c r="X120" s="2">
        <f t="shared" si="19"/>
        <v>3197.85</v>
      </c>
      <c r="Y120" s="2"/>
      <c r="Z120" s="19">
        <f t="shared" si="20"/>
        <v>0</v>
      </c>
    </row>
    <row r="121" spans="1:26" s="24" customFormat="1" hidden="1" outlineLevel="1" x14ac:dyDescent="0.25">
      <c r="A121" s="44"/>
      <c r="B121" s="11" t="str">
        <f>CONCATENATE("          ", "5014", " - ", "PURCHASES @ COST-REMAINDERS")</f>
        <v xml:space="preserve">          5014 - PURCHASES @ COST-REMAINDERS</v>
      </c>
      <c r="C121" s="11"/>
      <c r="D121" s="2"/>
      <c r="E121" s="2"/>
      <c r="F121" s="19">
        <f t="shared" si="13"/>
        <v>0</v>
      </c>
      <c r="G121" s="2"/>
      <c r="H121" s="2"/>
      <c r="I121" s="2"/>
      <c r="J121" s="19">
        <f t="shared" si="14"/>
        <v>0</v>
      </c>
      <c r="K121" s="2"/>
      <c r="L121" s="2">
        <f t="shared" si="15"/>
        <v>0</v>
      </c>
      <c r="M121" s="2"/>
      <c r="N121" s="19">
        <f t="shared" si="16"/>
        <v>0</v>
      </c>
      <c r="O121" s="11"/>
      <c r="P121" s="2">
        <v>615.07000000000005</v>
      </c>
      <c r="Q121" s="2"/>
      <c r="R121" s="19">
        <f t="shared" si="17"/>
        <v>6.8138551777058808E-5</v>
      </c>
      <c r="S121" s="2"/>
      <c r="T121" s="2"/>
      <c r="U121" s="2"/>
      <c r="V121" s="19">
        <f t="shared" si="18"/>
        <v>0</v>
      </c>
      <c r="W121" s="2"/>
      <c r="X121" s="2">
        <f t="shared" si="19"/>
        <v>615.07000000000005</v>
      </c>
      <c r="Y121" s="2"/>
      <c r="Z121" s="19">
        <f t="shared" si="20"/>
        <v>0</v>
      </c>
    </row>
    <row r="122" spans="1:26" s="24" customFormat="1" hidden="1" outlineLevel="1" x14ac:dyDescent="0.25">
      <c r="A122" s="44"/>
      <c r="B122" s="11" t="str">
        <f>CONCATENATE("          ", "5017", " - ", "PURCHASES @ COST-DORM/HOUSEWAR")</f>
        <v xml:space="preserve">          5017 - PURCHASES @ COST-DORM/HOUSEWAR</v>
      </c>
      <c r="C122" s="11"/>
      <c r="D122" s="2"/>
      <c r="E122" s="2"/>
      <c r="F122" s="19">
        <f t="shared" si="13"/>
        <v>0</v>
      </c>
      <c r="G122" s="2"/>
      <c r="H122" s="2"/>
      <c r="I122" s="2"/>
      <c r="J122" s="19">
        <f t="shared" si="14"/>
        <v>0</v>
      </c>
      <c r="K122" s="2"/>
      <c r="L122" s="2">
        <f t="shared" si="15"/>
        <v>0</v>
      </c>
      <c r="M122" s="2"/>
      <c r="N122" s="19">
        <f t="shared" si="16"/>
        <v>0</v>
      </c>
      <c r="O122" s="11"/>
      <c r="P122" s="2">
        <v>14.46</v>
      </c>
      <c r="Q122" s="2"/>
      <c r="R122" s="19">
        <f t="shared" si="17"/>
        <v>1.6019045941051755E-6</v>
      </c>
      <c r="S122" s="2"/>
      <c r="T122" s="2"/>
      <c r="U122" s="2"/>
      <c r="V122" s="19">
        <f t="shared" si="18"/>
        <v>0</v>
      </c>
      <c r="W122" s="2"/>
      <c r="X122" s="2">
        <f t="shared" si="19"/>
        <v>14.46</v>
      </c>
      <c r="Y122" s="2"/>
      <c r="Z122" s="19">
        <f t="shared" si="20"/>
        <v>0</v>
      </c>
    </row>
    <row r="123" spans="1:26" s="24" customFormat="1" hidden="1" outlineLevel="1" x14ac:dyDescent="0.25">
      <c r="A123" s="44"/>
      <c r="B123" s="11" t="str">
        <f>CONCATENATE("          ", "5018", " - ", "PURCHASES @ COST-STUDY GUIDES")</f>
        <v xml:space="preserve">          5018 - PURCHASES @ COST-STUDY GUIDES</v>
      </c>
      <c r="C123" s="11"/>
      <c r="D123" s="2"/>
      <c r="E123" s="2"/>
      <c r="F123" s="19">
        <f t="shared" si="13"/>
        <v>0</v>
      </c>
      <c r="G123" s="2"/>
      <c r="H123" s="2"/>
      <c r="I123" s="2"/>
      <c r="J123" s="19">
        <f t="shared" si="14"/>
        <v>0</v>
      </c>
      <c r="K123" s="2"/>
      <c r="L123" s="2">
        <f t="shared" si="15"/>
        <v>0</v>
      </c>
      <c r="M123" s="2"/>
      <c r="N123" s="19">
        <f t="shared" si="16"/>
        <v>0</v>
      </c>
      <c r="O123" s="11"/>
      <c r="P123" s="2">
        <v>-205.14</v>
      </c>
      <c r="Q123" s="2"/>
      <c r="R123" s="19">
        <f t="shared" si="17"/>
        <v>-2.2725775133799147E-5</v>
      </c>
      <c r="S123" s="2"/>
      <c r="T123" s="2"/>
      <c r="U123" s="2"/>
      <c r="V123" s="19">
        <f t="shared" si="18"/>
        <v>0</v>
      </c>
      <c r="W123" s="2"/>
      <c r="X123" s="2">
        <f t="shared" si="19"/>
        <v>-205.14</v>
      </c>
      <c r="Y123" s="2"/>
      <c r="Z123" s="19">
        <f t="shared" si="20"/>
        <v>0</v>
      </c>
    </row>
    <row r="124" spans="1:26" s="24" customFormat="1" hidden="1" outlineLevel="1" x14ac:dyDescent="0.25">
      <c r="A124" s="44"/>
      <c r="B124" s="11" t="str">
        <f>CONCATENATE("          ", "5025", " - ", "PURCHASES @ COST-TEST FORMS")</f>
        <v xml:space="preserve">          5025 - PURCHASES @ COST-TEST FORMS</v>
      </c>
      <c r="C124" s="11"/>
      <c r="D124" s="2"/>
      <c r="E124" s="2"/>
      <c r="F124" s="19">
        <f t="shared" si="13"/>
        <v>0</v>
      </c>
      <c r="G124" s="2"/>
      <c r="H124" s="2"/>
      <c r="I124" s="2"/>
      <c r="J124" s="19">
        <f t="shared" si="14"/>
        <v>0</v>
      </c>
      <c r="K124" s="2"/>
      <c r="L124" s="2">
        <f t="shared" si="15"/>
        <v>0</v>
      </c>
      <c r="M124" s="2"/>
      <c r="N124" s="19">
        <f t="shared" si="16"/>
        <v>0</v>
      </c>
      <c r="O124" s="11"/>
      <c r="P124" s="2">
        <v>26400.390000000003</v>
      </c>
      <c r="Q124" s="2"/>
      <c r="R124" s="19">
        <f t="shared" si="17"/>
        <v>2.9246822978677965E-3</v>
      </c>
      <c r="S124" s="2"/>
      <c r="T124" s="2"/>
      <c r="U124" s="2"/>
      <c r="V124" s="19">
        <f t="shared" si="18"/>
        <v>0</v>
      </c>
      <c r="W124" s="2"/>
      <c r="X124" s="2">
        <f t="shared" si="19"/>
        <v>26400.390000000003</v>
      </c>
      <c r="Y124" s="2"/>
      <c r="Z124" s="19">
        <f t="shared" si="20"/>
        <v>0</v>
      </c>
    </row>
    <row r="125" spans="1:26" s="24" customFormat="1" hidden="1" outlineLevel="1" x14ac:dyDescent="0.25">
      <c r="A125" s="44"/>
      <c r="B125" s="11" t="str">
        <f>CONCATENATE("          ", "5026", " - ", "PURCHASES @ COST-WRITING INSTR")</f>
        <v xml:space="preserve">          5026 - PURCHASES @ COST-WRITING INSTR</v>
      </c>
      <c r="C125" s="11"/>
      <c r="D125" s="2">
        <v>-7248</v>
      </c>
      <c r="E125" s="2"/>
      <c r="F125" s="19">
        <f t="shared" si="13"/>
        <v>-2.7493053433212129E-2</v>
      </c>
      <c r="G125" s="2"/>
      <c r="H125" s="2"/>
      <c r="I125" s="2"/>
      <c r="J125" s="19">
        <f t="shared" si="14"/>
        <v>0</v>
      </c>
      <c r="K125" s="2"/>
      <c r="L125" s="2">
        <f t="shared" si="15"/>
        <v>-7248</v>
      </c>
      <c r="M125" s="2"/>
      <c r="N125" s="19">
        <f t="shared" si="16"/>
        <v>0</v>
      </c>
      <c r="O125" s="11"/>
      <c r="P125" s="2">
        <v>44186.57</v>
      </c>
      <c r="Q125" s="2"/>
      <c r="R125" s="19">
        <f t="shared" si="17"/>
        <v>4.895067045695015E-3</v>
      </c>
      <c r="S125" s="2"/>
      <c r="T125" s="2"/>
      <c r="U125" s="2"/>
      <c r="V125" s="19">
        <f t="shared" si="18"/>
        <v>0</v>
      </c>
      <c r="W125" s="2"/>
      <c r="X125" s="2">
        <f t="shared" si="19"/>
        <v>44186.57</v>
      </c>
      <c r="Y125" s="2"/>
      <c r="Z125" s="19">
        <f t="shared" si="20"/>
        <v>0</v>
      </c>
    </row>
    <row r="126" spans="1:26" s="24" customFormat="1" hidden="1" outlineLevel="1" x14ac:dyDescent="0.25">
      <c r="A126" s="44"/>
      <c r="B126" s="11" t="str">
        <f>CONCATENATE("          ", "5027", " - ", "PURCHASES @ COST-SCHOOL SUPPLI")</f>
        <v xml:space="preserve">          5027 - PURCHASES @ COST-SCHOOL SUPPLI</v>
      </c>
      <c r="C126" s="11"/>
      <c r="D126" s="2">
        <v>-2393.63</v>
      </c>
      <c r="E126" s="2"/>
      <c r="F126" s="19">
        <f t="shared" si="13"/>
        <v>-9.0794974461009328E-3</v>
      </c>
      <c r="G126" s="2"/>
      <c r="H126" s="2"/>
      <c r="I126" s="2"/>
      <c r="J126" s="19">
        <f t="shared" si="14"/>
        <v>0</v>
      </c>
      <c r="K126" s="2"/>
      <c r="L126" s="2">
        <f t="shared" si="15"/>
        <v>-2393.63</v>
      </c>
      <c r="M126" s="2"/>
      <c r="N126" s="19">
        <f t="shared" si="16"/>
        <v>0</v>
      </c>
      <c r="O126" s="11"/>
      <c r="P126" s="2">
        <v>141214.54</v>
      </c>
      <c r="Q126" s="2"/>
      <c r="R126" s="19">
        <f t="shared" si="17"/>
        <v>1.5643998643184585E-2</v>
      </c>
      <c r="S126" s="2"/>
      <c r="T126" s="2"/>
      <c r="U126" s="2"/>
      <c r="V126" s="19">
        <f t="shared" si="18"/>
        <v>0</v>
      </c>
      <c r="W126" s="2"/>
      <c r="X126" s="2">
        <f t="shared" si="19"/>
        <v>141214.54</v>
      </c>
      <c r="Y126" s="2"/>
      <c r="Z126" s="19">
        <f t="shared" si="20"/>
        <v>0</v>
      </c>
    </row>
    <row r="127" spans="1:26" s="24" customFormat="1" hidden="1" outlineLevel="1" x14ac:dyDescent="0.25">
      <c r="A127" s="44"/>
      <c r="B127" s="11" t="str">
        <f>CONCATENATE("          ", "5028", " - ", "PURCHASES @ COST-ART/TECH")</f>
        <v xml:space="preserve">          5028 - PURCHASES @ COST-ART/TECH</v>
      </c>
      <c r="C127" s="11"/>
      <c r="D127" s="2">
        <v>-60.3</v>
      </c>
      <c r="E127" s="2"/>
      <c r="F127" s="19">
        <f t="shared" si="13"/>
        <v>-2.287294594402168E-4</v>
      </c>
      <c r="G127" s="2"/>
      <c r="H127" s="2"/>
      <c r="I127" s="2"/>
      <c r="J127" s="19">
        <f t="shared" si="14"/>
        <v>0</v>
      </c>
      <c r="K127" s="2"/>
      <c r="L127" s="2">
        <f t="shared" si="15"/>
        <v>-60.3</v>
      </c>
      <c r="M127" s="2"/>
      <c r="N127" s="19">
        <f t="shared" si="16"/>
        <v>0</v>
      </c>
      <c r="O127" s="11"/>
      <c r="P127" s="2">
        <v>159627.69</v>
      </c>
      <c r="Q127" s="2"/>
      <c r="R127" s="19">
        <f t="shared" si="17"/>
        <v>1.7683840246016373E-2</v>
      </c>
      <c r="S127" s="2"/>
      <c r="T127" s="2"/>
      <c r="U127" s="2"/>
      <c r="V127" s="19">
        <f t="shared" si="18"/>
        <v>0</v>
      </c>
      <c r="W127" s="2"/>
      <c r="X127" s="2">
        <f t="shared" si="19"/>
        <v>159627.69</v>
      </c>
      <c r="Y127" s="2"/>
      <c r="Z127" s="19">
        <f t="shared" si="20"/>
        <v>0</v>
      </c>
    </row>
    <row r="128" spans="1:26" s="24" customFormat="1" hidden="1" outlineLevel="1" x14ac:dyDescent="0.25">
      <c r="A128" s="44"/>
      <c r="B128" s="11" t="str">
        <f>CONCATENATE("          ", "5031", " - ", "PURCHASES @ COST-FOOD")</f>
        <v xml:space="preserve">          5031 - PURCHASES @ COST-FOOD</v>
      </c>
      <c r="C128" s="11"/>
      <c r="D128" s="2"/>
      <c r="E128" s="2"/>
      <c r="F128" s="19">
        <f t="shared" si="13"/>
        <v>0</v>
      </c>
      <c r="G128" s="2"/>
      <c r="H128" s="2"/>
      <c r="I128" s="2"/>
      <c r="J128" s="19">
        <f t="shared" si="14"/>
        <v>0</v>
      </c>
      <c r="K128" s="2"/>
      <c r="L128" s="2">
        <f t="shared" si="15"/>
        <v>0</v>
      </c>
      <c r="M128" s="2"/>
      <c r="N128" s="19">
        <f t="shared" si="16"/>
        <v>0</v>
      </c>
      <c r="O128" s="11"/>
      <c r="P128" s="2">
        <v>33239.879999999997</v>
      </c>
      <c r="Q128" s="2"/>
      <c r="R128" s="19">
        <f t="shared" si="17"/>
        <v>3.6823732005189995E-3</v>
      </c>
      <c r="S128" s="2"/>
      <c r="T128" s="2"/>
      <c r="U128" s="2"/>
      <c r="V128" s="19">
        <f t="shared" si="18"/>
        <v>0</v>
      </c>
      <c r="W128" s="2"/>
      <c r="X128" s="2">
        <f t="shared" si="19"/>
        <v>33239.879999999997</v>
      </c>
      <c r="Y128" s="2"/>
      <c r="Z128" s="19">
        <f t="shared" si="20"/>
        <v>0</v>
      </c>
    </row>
    <row r="129" spans="1:26" s="24" customFormat="1" hidden="1" outlineLevel="1" x14ac:dyDescent="0.25">
      <c r="A129" s="44"/>
      <c r="B129" s="11" t="str">
        <f>CONCATENATE("          ", "5032", " - ", "PURCHASES @ COST-JUICE")</f>
        <v xml:space="preserve">          5032 - PURCHASES @ COST-JUICE</v>
      </c>
      <c r="C129" s="11"/>
      <c r="D129" s="2"/>
      <c r="E129" s="2"/>
      <c r="F129" s="19">
        <f t="shared" si="13"/>
        <v>0</v>
      </c>
      <c r="G129" s="2"/>
      <c r="H129" s="2"/>
      <c r="I129" s="2"/>
      <c r="J129" s="19">
        <f t="shared" si="14"/>
        <v>0</v>
      </c>
      <c r="K129" s="2"/>
      <c r="L129" s="2">
        <f t="shared" si="15"/>
        <v>0</v>
      </c>
      <c r="M129" s="2"/>
      <c r="N129" s="19">
        <f t="shared" si="16"/>
        <v>0</v>
      </c>
      <c r="O129" s="11"/>
      <c r="P129" s="2">
        <v>7802.45</v>
      </c>
      <c r="Q129" s="2"/>
      <c r="R129" s="19">
        <f t="shared" si="17"/>
        <v>8.643693292030378E-4</v>
      </c>
      <c r="S129" s="2"/>
      <c r="T129" s="2"/>
      <c r="U129" s="2"/>
      <c r="V129" s="19">
        <f t="shared" si="18"/>
        <v>0</v>
      </c>
      <c r="W129" s="2"/>
      <c r="X129" s="2">
        <f t="shared" si="19"/>
        <v>7802.45</v>
      </c>
      <c r="Y129" s="2"/>
      <c r="Z129" s="19">
        <f t="shared" si="20"/>
        <v>0</v>
      </c>
    </row>
    <row r="130" spans="1:26" s="24" customFormat="1" hidden="1" outlineLevel="1" x14ac:dyDescent="0.25">
      <c r="A130" s="44"/>
      <c r="B130" s="11" t="str">
        <f>CONCATENATE("          ", "5033", " - ", "PURCHASES @ COST-CANDY")</f>
        <v xml:space="preserve">          5033 - PURCHASES @ COST-CANDY</v>
      </c>
      <c r="C130" s="11"/>
      <c r="D130" s="2"/>
      <c r="E130" s="2"/>
      <c r="F130" s="19">
        <f t="shared" si="13"/>
        <v>0</v>
      </c>
      <c r="G130" s="2"/>
      <c r="H130" s="2"/>
      <c r="I130" s="2"/>
      <c r="J130" s="19">
        <f t="shared" si="14"/>
        <v>0</v>
      </c>
      <c r="K130" s="2"/>
      <c r="L130" s="2">
        <f t="shared" si="15"/>
        <v>0</v>
      </c>
      <c r="M130" s="2"/>
      <c r="N130" s="19">
        <f t="shared" si="16"/>
        <v>0</v>
      </c>
      <c r="O130" s="11"/>
      <c r="P130" s="2">
        <v>9998.41</v>
      </c>
      <c r="Q130" s="2"/>
      <c r="R130" s="19">
        <f t="shared" si="17"/>
        <v>1.1076416952107281E-3</v>
      </c>
      <c r="S130" s="2"/>
      <c r="T130" s="2"/>
      <c r="U130" s="2"/>
      <c r="V130" s="19">
        <f t="shared" si="18"/>
        <v>0</v>
      </c>
      <c r="W130" s="2"/>
      <c r="X130" s="2">
        <f t="shared" si="19"/>
        <v>9998.41</v>
      </c>
      <c r="Y130" s="2"/>
      <c r="Z130" s="19">
        <f t="shared" si="20"/>
        <v>0</v>
      </c>
    </row>
    <row r="131" spans="1:26" s="24" customFormat="1" hidden="1" outlineLevel="1" x14ac:dyDescent="0.25">
      <c r="A131" s="44"/>
      <c r="B131" s="11" t="str">
        <f>CONCATENATE("          ", "5034", " - ", "PURCHASES @ COST-SODA")</f>
        <v xml:space="preserve">          5034 - PURCHASES @ COST-SODA</v>
      </c>
      <c r="C131" s="11"/>
      <c r="D131" s="2"/>
      <c r="E131" s="2"/>
      <c r="F131" s="19">
        <f t="shared" si="13"/>
        <v>0</v>
      </c>
      <c r="G131" s="2"/>
      <c r="H131" s="2"/>
      <c r="I131" s="2"/>
      <c r="J131" s="19">
        <f t="shared" si="14"/>
        <v>0</v>
      </c>
      <c r="K131" s="2"/>
      <c r="L131" s="2">
        <f t="shared" si="15"/>
        <v>0</v>
      </c>
      <c r="M131" s="2"/>
      <c r="N131" s="19">
        <f t="shared" si="16"/>
        <v>0</v>
      </c>
      <c r="O131" s="11"/>
      <c r="P131" s="2">
        <v>4033.88</v>
      </c>
      <c r="Q131" s="2"/>
      <c r="R131" s="19">
        <f t="shared" si="17"/>
        <v>4.4688042213478462E-4</v>
      </c>
      <c r="S131" s="2"/>
      <c r="T131" s="2"/>
      <c r="U131" s="2"/>
      <c r="V131" s="19">
        <f t="shared" si="18"/>
        <v>0</v>
      </c>
      <c r="W131" s="2"/>
      <c r="X131" s="2">
        <f t="shared" si="19"/>
        <v>4033.88</v>
      </c>
      <c r="Y131" s="2"/>
      <c r="Z131" s="19">
        <f t="shared" si="20"/>
        <v>0</v>
      </c>
    </row>
    <row r="132" spans="1:26" s="24" customFormat="1" hidden="1" outlineLevel="1" x14ac:dyDescent="0.25">
      <c r="A132" s="44"/>
      <c r="B132" s="11" t="str">
        <f>CONCATENATE("          ", "5035", " - ", "PURCHASES @ COST-HEALTH &amp; BEAU")</f>
        <v xml:space="preserve">          5035 - PURCHASES @ COST-HEALTH &amp; BEAU</v>
      </c>
      <c r="C132" s="11"/>
      <c r="D132" s="2"/>
      <c r="E132" s="2"/>
      <c r="F132" s="19">
        <f t="shared" si="13"/>
        <v>0</v>
      </c>
      <c r="G132" s="2"/>
      <c r="H132" s="2"/>
      <c r="I132" s="2"/>
      <c r="J132" s="19">
        <f t="shared" si="14"/>
        <v>0</v>
      </c>
      <c r="K132" s="2"/>
      <c r="L132" s="2">
        <f t="shared" si="15"/>
        <v>0</v>
      </c>
      <c r="M132" s="2"/>
      <c r="N132" s="19">
        <f t="shared" si="16"/>
        <v>0</v>
      </c>
      <c r="O132" s="11"/>
      <c r="P132" s="2">
        <v>1117.6500000000001</v>
      </c>
      <c r="Q132" s="2"/>
      <c r="R132" s="19">
        <f t="shared" si="17"/>
        <v>1.2381526069167701E-4</v>
      </c>
      <c r="S132" s="2"/>
      <c r="T132" s="2"/>
      <c r="U132" s="2"/>
      <c r="V132" s="19">
        <f t="shared" si="18"/>
        <v>0</v>
      </c>
      <c r="W132" s="2"/>
      <c r="X132" s="2">
        <f t="shared" si="19"/>
        <v>1117.6500000000001</v>
      </c>
      <c r="Y132" s="2"/>
      <c r="Z132" s="19">
        <f t="shared" si="20"/>
        <v>0</v>
      </c>
    </row>
    <row r="133" spans="1:26" s="24" customFormat="1" hidden="1" outlineLevel="1" x14ac:dyDescent="0.25">
      <c r="A133" s="44"/>
      <c r="B133" s="11" t="str">
        <f>CONCATENATE("          ", "5037", " - ", "PURCHASES @ COST-WATER")</f>
        <v xml:space="preserve">          5037 - PURCHASES @ COST-WATER</v>
      </c>
      <c r="C133" s="11"/>
      <c r="D133" s="2"/>
      <c r="E133" s="2"/>
      <c r="F133" s="19">
        <f t="shared" si="13"/>
        <v>0</v>
      </c>
      <c r="G133" s="2"/>
      <c r="H133" s="2"/>
      <c r="I133" s="2"/>
      <c r="J133" s="19">
        <f t="shared" si="14"/>
        <v>0</v>
      </c>
      <c r="K133" s="2"/>
      <c r="L133" s="2">
        <f t="shared" si="15"/>
        <v>0</v>
      </c>
      <c r="M133" s="2"/>
      <c r="N133" s="19">
        <f t="shared" si="16"/>
        <v>0</v>
      </c>
      <c r="O133" s="11"/>
      <c r="P133" s="2">
        <v>5693.57</v>
      </c>
      <c r="Q133" s="2"/>
      <c r="R133" s="19">
        <f t="shared" si="17"/>
        <v>6.3074384093080244E-4</v>
      </c>
      <c r="S133" s="2"/>
      <c r="T133" s="2"/>
      <c r="U133" s="2"/>
      <c r="V133" s="19">
        <f t="shared" si="18"/>
        <v>0</v>
      </c>
      <c r="W133" s="2"/>
      <c r="X133" s="2">
        <f t="shared" si="19"/>
        <v>5693.57</v>
      </c>
      <c r="Y133" s="2"/>
      <c r="Z133" s="19">
        <f t="shared" si="20"/>
        <v>0</v>
      </c>
    </row>
    <row r="134" spans="1:26" s="24" customFormat="1" hidden="1" outlineLevel="1" x14ac:dyDescent="0.25">
      <c r="A134" s="44"/>
      <c r="B134" s="11" t="str">
        <f>CONCATENATE("          ", "5040", " - ", "PURCHASES @ COST-LOGO CLOTHING")</f>
        <v xml:space="preserve">          5040 - PURCHASES @ COST-LOGO CLOTHING</v>
      </c>
      <c r="C134" s="11"/>
      <c r="D134" s="2">
        <v>1557.89</v>
      </c>
      <c r="E134" s="2"/>
      <c r="F134" s="19">
        <f t="shared" si="13"/>
        <v>5.9093754157101058E-3</v>
      </c>
      <c r="G134" s="2"/>
      <c r="H134" s="2"/>
      <c r="I134" s="2"/>
      <c r="J134" s="19">
        <f t="shared" si="14"/>
        <v>0</v>
      </c>
      <c r="K134" s="2"/>
      <c r="L134" s="2">
        <f t="shared" si="15"/>
        <v>1557.89</v>
      </c>
      <c r="M134" s="2"/>
      <c r="N134" s="19">
        <f t="shared" si="16"/>
        <v>0</v>
      </c>
      <c r="O134" s="11"/>
      <c r="P134" s="2">
        <v>976469.33000000007</v>
      </c>
      <c r="Q134" s="2"/>
      <c r="R134" s="19">
        <f t="shared" si="17"/>
        <v>0.10817501422751057</v>
      </c>
      <c r="S134" s="2"/>
      <c r="T134" s="2"/>
      <c r="U134" s="2"/>
      <c r="V134" s="19">
        <f t="shared" si="18"/>
        <v>0</v>
      </c>
      <c r="W134" s="2"/>
      <c r="X134" s="2">
        <f t="shared" si="19"/>
        <v>976469.33000000007</v>
      </c>
      <c r="Y134" s="2"/>
      <c r="Z134" s="19">
        <f t="shared" si="20"/>
        <v>0</v>
      </c>
    </row>
    <row r="135" spans="1:26" s="24" customFormat="1" hidden="1" outlineLevel="1" x14ac:dyDescent="0.25">
      <c r="A135" s="44"/>
      <c r="B135" s="11" t="str">
        <f>CONCATENATE("          ", "5041", " - ", "PURCHASES @ COST-LOGO GIFTS")</f>
        <v xml:space="preserve">          5041 - PURCHASES @ COST-LOGO GIFTS</v>
      </c>
      <c r="C135" s="11"/>
      <c r="D135" s="2">
        <v>4290.8100000000004</v>
      </c>
      <c r="E135" s="2"/>
      <c r="F135" s="19">
        <f t="shared" si="13"/>
        <v>1.6275864873311389E-2</v>
      </c>
      <c r="G135" s="2"/>
      <c r="H135" s="2"/>
      <c r="I135" s="2"/>
      <c r="J135" s="19">
        <f t="shared" si="14"/>
        <v>0</v>
      </c>
      <c r="K135" s="2"/>
      <c r="L135" s="2">
        <f t="shared" si="15"/>
        <v>4290.8100000000004</v>
      </c>
      <c r="M135" s="2"/>
      <c r="N135" s="19">
        <f t="shared" si="16"/>
        <v>0</v>
      </c>
      <c r="O135" s="11"/>
      <c r="P135" s="2">
        <v>149750.84</v>
      </c>
      <c r="Q135" s="2"/>
      <c r="R135" s="19">
        <f t="shared" si="17"/>
        <v>1.6589665184447377E-2</v>
      </c>
      <c r="S135" s="2"/>
      <c r="T135" s="2"/>
      <c r="U135" s="2"/>
      <c r="V135" s="19">
        <f t="shared" si="18"/>
        <v>0</v>
      </c>
      <c r="W135" s="2"/>
      <c r="X135" s="2">
        <f t="shared" si="19"/>
        <v>149750.84</v>
      </c>
      <c r="Y135" s="2"/>
      <c r="Z135" s="19">
        <f t="shared" si="20"/>
        <v>0</v>
      </c>
    </row>
    <row r="136" spans="1:26" s="24" customFormat="1" hidden="1" outlineLevel="1" x14ac:dyDescent="0.25">
      <c r="A136" s="44"/>
      <c r="B136" s="11" t="str">
        <f>CONCATENATE("          ", "5042", " - ", "PURCHASES @ COST-EVERYDAY GIFT")</f>
        <v xml:space="preserve">          5042 - PURCHASES @ COST-EVERYDAY GIFT</v>
      </c>
      <c r="C136" s="11"/>
      <c r="D136" s="2">
        <v>10730.16</v>
      </c>
      <c r="E136" s="2"/>
      <c r="F136" s="19">
        <f t="shared" si="13"/>
        <v>4.0701553839254341E-2</v>
      </c>
      <c r="G136" s="2"/>
      <c r="H136" s="2"/>
      <c r="I136" s="2"/>
      <c r="J136" s="19">
        <f t="shared" si="14"/>
        <v>0</v>
      </c>
      <c r="K136" s="2"/>
      <c r="L136" s="2">
        <f t="shared" si="15"/>
        <v>10730.16</v>
      </c>
      <c r="M136" s="2"/>
      <c r="N136" s="19">
        <f t="shared" si="16"/>
        <v>0</v>
      </c>
      <c r="O136" s="11"/>
      <c r="P136" s="2">
        <v>126615.2</v>
      </c>
      <c r="Q136" s="2"/>
      <c r="R136" s="19">
        <f t="shared" si="17"/>
        <v>1.4026657715321272E-2</v>
      </c>
      <c r="S136" s="2"/>
      <c r="T136" s="2"/>
      <c r="U136" s="2"/>
      <c r="V136" s="19">
        <f t="shared" si="18"/>
        <v>0</v>
      </c>
      <c r="W136" s="2"/>
      <c r="X136" s="2">
        <f t="shared" si="19"/>
        <v>126615.2</v>
      </c>
      <c r="Y136" s="2"/>
      <c r="Z136" s="19">
        <f t="shared" si="20"/>
        <v>0</v>
      </c>
    </row>
    <row r="137" spans="1:26" s="24" customFormat="1" hidden="1" outlineLevel="1" x14ac:dyDescent="0.25">
      <c r="A137" s="44"/>
      <c r="B137" s="11" t="str">
        <f>CONCATENATE("          ", "5043", " - ", "PURCHASES @ COST-CARDS")</f>
        <v xml:space="preserve">          5043 - PURCHASES @ COST-CARDS</v>
      </c>
      <c r="C137" s="11"/>
      <c r="D137" s="2"/>
      <c r="E137" s="2"/>
      <c r="F137" s="19">
        <f t="shared" si="13"/>
        <v>0</v>
      </c>
      <c r="G137" s="2"/>
      <c r="H137" s="2"/>
      <c r="I137" s="2"/>
      <c r="J137" s="19">
        <f t="shared" si="14"/>
        <v>0</v>
      </c>
      <c r="K137" s="2"/>
      <c r="L137" s="2">
        <f t="shared" si="15"/>
        <v>0</v>
      </c>
      <c r="M137" s="2"/>
      <c r="N137" s="19">
        <f t="shared" si="16"/>
        <v>0</v>
      </c>
      <c r="O137" s="11"/>
      <c r="P137" s="2">
        <v>30914.659999999996</v>
      </c>
      <c r="Q137" s="2"/>
      <c r="R137" s="19">
        <f t="shared" si="17"/>
        <v>3.4247811811341285E-3</v>
      </c>
      <c r="S137" s="2"/>
      <c r="T137" s="2"/>
      <c r="U137" s="2"/>
      <c r="V137" s="19">
        <f t="shared" si="18"/>
        <v>0</v>
      </c>
      <c r="W137" s="2"/>
      <c r="X137" s="2">
        <f t="shared" si="19"/>
        <v>30914.659999999996</v>
      </c>
      <c r="Y137" s="2"/>
      <c r="Z137" s="19">
        <f t="shared" si="20"/>
        <v>0</v>
      </c>
    </row>
    <row r="138" spans="1:26" s="24" customFormat="1" hidden="1" outlineLevel="1" x14ac:dyDescent="0.25">
      <c r="A138" s="44"/>
      <c r="B138" s="11" t="str">
        <f>CONCATENATE("          ", "5044", " - ", "PURCHASES @ COST-ACCESSORIES")</f>
        <v xml:space="preserve">          5044 - PURCHASES @ COST-ACCESSORIES</v>
      </c>
      <c r="C138" s="11"/>
      <c r="D138" s="2">
        <v>1395</v>
      </c>
      <c r="E138" s="2"/>
      <c r="F138" s="19">
        <f t="shared" si="13"/>
        <v>5.2915024198856133E-3</v>
      </c>
      <c r="G138" s="2"/>
      <c r="H138" s="2"/>
      <c r="I138" s="2"/>
      <c r="J138" s="19">
        <f t="shared" si="14"/>
        <v>0</v>
      </c>
      <c r="K138" s="2"/>
      <c r="L138" s="2">
        <f t="shared" si="15"/>
        <v>1395</v>
      </c>
      <c r="M138" s="2"/>
      <c r="N138" s="19">
        <f t="shared" si="16"/>
        <v>0</v>
      </c>
      <c r="O138" s="11"/>
      <c r="P138" s="2">
        <v>37869.03</v>
      </c>
      <c r="Q138" s="2"/>
      <c r="R138" s="19">
        <f t="shared" si="17"/>
        <v>4.1951986951111143E-3</v>
      </c>
      <c r="S138" s="2"/>
      <c r="T138" s="2"/>
      <c r="U138" s="2"/>
      <c r="V138" s="19">
        <f t="shared" si="18"/>
        <v>0</v>
      </c>
      <c r="W138" s="2"/>
      <c r="X138" s="2">
        <f t="shared" si="19"/>
        <v>37869.03</v>
      </c>
      <c r="Y138" s="2"/>
      <c r="Z138" s="19">
        <f t="shared" si="20"/>
        <v>0</v>
      </c>
    </row>
    <row r="139" spans="1:26" s="24" customFormat="1" hidden="1" outlineLevel="1" x14ac:dyDescent="0.25">
      <c r="A139" s="44"/>
      <c r="B139" s="11" t="str">
        <f>CONCATENATE("          ", "5045", " - ", "PURCHASES @ COST-SPECIAL ORDER")</f>
        <v xml:space="preserve">          5045 - PURCHASES @ COST-SPECIAL ORDER</v>
      </c>
      <c r="C139" s="11"/>
      <c r="D139" s="2">
        <v>16919.25</v>
      </c>
      <c r="E139" s="2"/>
      <c r="F139" s="19">
        <f t="shared" si="13"/>
        <v>6.417795865064492E-2</v>
      </c>
      <c r="G139" s="2"/>
      <c r="H139" s="2"/>
      <c r="I139" s="2"/>
      <c r="J139" s="19">
        <f t="shared" si="14"/>
        <v>0</v>
      </c>
      <c r="K139" s="2"/>
      <c r="L139" s="2">
        <f t="shared" si="15"/>
        <v>16919.25</v>
      </c>
      <c r="M139" s="2"/>
      <c r="N139" s="19">
        <f t="shared" si="16"/>
        <v>0</v>
      </c>
      <c r="O139" s="11"/>
      <c r="P139" s="2">
        <v>78842.399999999994</v>
      </c>
      <c r="Q139" s="2"/>
      <c r="R139" s="19">
        <f t="shared" si="17"/>
        <v>8.7343017130206008E-3</v>
      </c>
      <c r="S139" s="2"/>
      <c r="T139" s="2"/>
      <c r="U139" s="2"/>
      <c r="V139" s="19">
        <f t="shared" si="18"/>
        <v>0</v>
      </c>
      <c r="W139" s="2"/>
      <c r="X139" s="2">
        <f t="shared" si="19"/>
        <v>78842.399999999994</v>
      </c>
      <c r="Y139" s="2"/>
      <c r="Z139" s="19">
        <f t="shared" si="20"/>
        <v>0</v>
      </c>
    </row>
    <row r="140" spans="1:26" s="24" customFormat="1" hidden="1" outlineLevel="1" x14ac:dyDescent="0.25">
      <c r="A140" s="44"/>
      <c r="B140" s="11" t="str">
        <f>CONCATENATE("          ", "5081", " - ", "PURCHASES @ COST-ELECTRONICS")</f>
        <v xml:space="preserve">          5081 - PURCHASES @ COST-ELECTRONICS</v>
      </c>
      <c r="C140" s="11"/>
      <c r="D140" s="2"/>
      <c r="E140" s="2"/>
      <c r="F140" s="19">
        <f t="shared" si="13"/>
        <v>0</v>
      </c>
      <c r="G140" s="2"/>
      <c r="H140" s="2"/>
      <c r="I140" s="2"/>
      <c r="J140" s="19">
        <f t="shared" si="14"/>
        <v>0</v>
      </c>
      <c r="K140" s="2"/>
      <c r="L140" s="2">
        <f t="shared" si="15"/>
        <v>0</v>
      </c>
      <c r="M140" s="2"/>
      <c r="N140" s="19">
        <f t="shared" si="16"/>
        <v>0</v>
      </c>
      <c r="O140" s="11"/>
      <c r="P140" s="2">
        <v>2008.03</v>
      </c>
      <c r="Q140" s="2"/>
      <c r="R140" s="19">
        <f t="shared" si="17"/>
        <v>2.224531453735142E-4</v>
      </c>
      <c r="S140" s="2"/>
      <c r="T140" s="2"/>
      <c r="U140" s="2"/>
      <c r="V140" s="19">
        <f t="shared" si="18"/>
        <v>0</v>
      </c>
      <c r="W140" s="2"/>
      <c r="X140" s="2">
        <f t="shared" si="19"/>
        <v>2008.03</v>
      </c>
      <c r="Y140" s="2"/>
      <c r="Z140" s="19">
        <f t="shared" si="20"/>
        <v>0</v>
      </c>
    </row>
    <row r="141" spans="1:26" s="24" customFormat="1" hidden="1" outlineLevel="1" x14ac:dyDescent="0.25">
      <c r="A141" s="44"/>
      <c r="B141" s="11" t="str">
        <f>CONCATENATE("          ", "5082", " - ", "PURCHASES @ COST-COMPUTER HARD")</f>
        <v xml:space="preserve">          5082 - PURCHASES @ COST-COMPUTER HARD</v>
      </c>
      <c r="C141" s="11"/>
      <c r="D141" s="2"/>
      <c r="E141" s="2"/>
      <c r="F141" s="19">
        <f t="shared" si="13"/>
        <v>0</v>
      </c>
      <c r="G141" s="2"/>
      <c r="H141" s="2"/>
      <c r="I141" s="2"/>
      <c r="J141" s="19">
        <f t="shared" si="14"/>
        <v>0</v>
      </c>
      <c r="K141" s="2"/>
      <c r="L141" s="2">
        <f t="shared" si="15"/>
        <v>0</v>
      </c>
      <c r="M141" s="2"/>
      <c r="N141" s="19">
        <f t="shared" si="16"/>
        <v>0</v>
      </c>
      <c r="O141" s="11"/>
      <c r="P141" s="2">
        <v>349.6</v>
      </c>
      <c r="Q141" s="2"/>
      <c r="R141" s="19">
        <f t="shared" si="17"/>
        <v>3.872931162511545E-5</v>
      </c>
      <c r="S141" s="2"/>
      <c r="T141" s="2"/>
      <c r="U141" s="2"/>
      <c r="V141" s="19">
        <f t="shared" si="18"/>
        <v>0</v>
      </c>
      <c r="W141" s="2"/>
      <c r="X141" s="2">
        <f t="shared" si="19"/>
        <v>349.6</v>
      </c>
      <c r="Y141" s="2"/>
      <c r="Z141" s="19">
        <f t="shared" si="20"/>
        <v>0</v>
      </c>
    </row>
    <row r="142" spans="1:26" s="24" customFormat="1" hidden="1" outlineLevel="1" x14ac:dyDescent="0.25">
      <c r="A142" s="44"/>
      <c r="B142" s="11" t="str">
        <f>CONCATENATE("          ", "5083", " - ", "PURCHASES @ COST-COMPUTER EQUI")</f>
        <v xml:space="preserve">          5083 - PURCHASES @ COST-COMPUTER EQUI</v>
      </c>
      <c r="C142" s="11"/>
      <c r="D142" s="2"/>
      <c r="E142" s="2"/>
      <c r="F142" s="19">
        <f t="shared" si="13"/>
        <v>0</v>
      </c>
      <c r="G142" s="2"/>
      <c r="H142" s="2"/>
      <c r="I142" s="2"/>
      <c r="J142" s="19">
        <f t="shared" si="14"/>
        <v>0</v>
      </c>
      <c r="K142" s="2"/>
      <c r="L142" s="2">
        <f t="shared" si="15"/>
        <v>0</v>
      </c>
      <c r="M142" s="2"/>
      <c r="N142" s="19">
        <f t="shared" si="16"/>
        <v>0</v>
      </c>
      <c r="O142" s="11"/>
      <c r="P142" s="2">
        <v>395.06</v>
      </c>
      <c r="Q142" s="2"/>
      <c r="R142" s="19">
        <f t="shared" si="17"/>
        <v>4.3765451517786347E-5</v>
      </c>
      <c r="S142" s="2"/>
      <c r="T142" s="2"/>
      <c r="U142" s="2"/>
      <c r="V142" s="19">
        <f t="shared" si="18"/>
        <v>0</v>
      </c>
      <c r="W142" s="2"/>
      <c r="X142" s="2">
        <f t="shared" si="19"/>
        <v>395.06</v>
      </c>
      <c r="Y142" s="2"/>
      <c r="Z142" s="19">
        <f t="shared" si="20"/>
        <v>0</v>
      </c>
    </row>
    <row r="143" spans="1:26" s="24" customFormat="1" hidden="1" outlineLevel="1" x14ac:dyDescent="0.25">
      <c r="A143" s="44"/>
      <c r="B143" s="11" t="str">
        <f>CONCATENATE("          ", "5086", " - ", "PURCHASES @ COST-COMPUTER SUPP")</f>
        <v xml:space="preserve">          5086 - PURCHASES @ COST-COMPUTER SUPP</v>
      </c>
      <c r="C143" s="11"/>
      <c r="D143" s="2"/>
      <c r="E143" s="2"/>
      <c r="F143" s="19">
        <f t="shared" si="13"/>
        <v>0</v>
      </c>
      <c r="G143" s="2"/>
      <c r="H143" s="2"/>
      <c r="I143" s="2"/>
      <c r="J143" s="19">
        <f t="shared" si="14"/>
        <v>0</v>
      </c>
      <c r="K143" s="2"/>
      <c r="L143" s="2">
        <f t="shared" si="15"/>
        <v>0</v>
      </c>
      <c r="M143" s="2"/>
      <c r="N143" s="19">
        <f t="shared" si="16"/>
        <v>0</v>
      </c>
      <c r="O143" s="11"/>
      <c r="P143" s="2">
        <v>426.22</v>
      </c>
      <c r="Q143" s="2"/>
      <c r="R143" s="19">
        <f t="shared" si="17"/>
        <v>4.7217411901764032E-5</v>
      </c>
      <c r="S143" s="2"/>
      <c r="T143" s="2"/>
      <c r="U143" s="2"/>
      <c r="V143" s="19">
        <f t="shared" si="18"/>
        <v>0</v>
      </c>
      <c r="W143" s="2"/>
      <c r="X143" s="2">
        <f t="shared" si="19"/>
        <v>426.22</v>
      </c>
      <c r="Y143" s="2"/>
      <c r="Z143" s="19">
        <f t="shared" si="20"/>
        <v>0</v>
      </c>
    </row>
    <row r="144" spans="1:26" s="24" customFormat="1" hidden="1" outlineLevel="1" x14ac:dyDescent="0.25">
      <c r="A144" s="44"/>
      <c r="B144" s="11" t="str">
        <f>CONCATENATE("          ", "5092", " - ", "PURCHASES @ COST-GRAD MERCH")</f>
        <v xml:space="preserve">          5092 - PURCHASES @ COST-GRAD MERCH</v>
      </c>
      <c r="C144" s="11"/>
      <c r="D144" s="2">
        <v>-3999.6</v>
      </c>
      <c r="E144" s="2"/>
      <c r="F144" s="19">
        <f t="shared" si="13"/>
        <v>-1.5171249518691395E-2</v>
      </c>
      <c r="G144" s="2"/>
      <c r="H144" s="2"/>
      <c r="I144" s="2"/>
      <c r="J144" s="19">
        <f t="shared" si="14"/>
        <v>0</v>
      </c>
      <c r="K144" s="2"/>
      <c r="L144" s="2">
        <f t="shared" si="15"/>
        <v>-3999.6</v>
      </c>
      <c r="M144" s="2"/>
      <c r="N144" s="19">
        <f t="shared" si="16"/>
        <v>0</v>
      </c>
      <c r="O144" s="11"/>
      <c r="P144" s="2">
        <v>4485.88</v>
      </c>
      <c r="Q144" s="2"/>
      <c r="R144" s="19">
        <f t="shared" si="17"/>
        <v>4.9695378842354939E-4</v>
      </c>
      <c r="S144" s="2"/>
      <c r="T144" s="2"/>
      <c r="U144" s="2"/>
      <c r="V144" s="19">
        <f t="shared" si="18"/>
        <v>0</v>
      </c>
      <c r="W144" s="2"/>
      <c r="X144" s="2">
        <f t="shared" si="19"/>
        <v>4485.88</v>
      </c>
      <c r="Y144" s="2"/>
      <c r="Z144" s="19">
        <f t="shared" si="20"/>
        <v>0</v>
      </c>
    </row>
    <row r="145" spans="1:26" s="24" customFormat="1" hidden="1" outlineLevel="1" x14ac:dyDescent="0.25">
      <c r="A145" s="44"/>
      <c r="B145" s="11" t="str">
        <f>CONCATENATE("          ", "5095", " - ", "PURCHASES @ COST-CUSTOMER SERV")</f>
        <v xml:space="preserve">          5095 - PURCHASES @ COST-CUSTOMER SERV</v>
      </c>
      <c r="C145" s="11"/>
      <c r="D145" s="2"/>
      <c r="E145" s="2"/>
      <c r="F145" s="19">
        <f t="shared" si="13"/>
        <v>0</v>
      </c>
      <c r="G145" s="2"/>
      <c r="H145" s="2"/>
      <c r="I145" s="2"/>
      <c r="J145" s="19">
        <f t="shared" si="14"/>
        <v>0</v>
      </c>
      <c r="K145" s="2"/>
      <c r="L145" s="2">
        <f t="shared" si="15"/>
        <v>0</v>
      </c>
      <c r="M145" s="2"/>
      <c r="N145" s="19">
        <f t="shared" si="16"/>
        <v>0</v>
      </c>
      <c r="O145" s="11"/>
      <c r="P145" s="2">
        <v>0</v>
      </c>
      <c r="Q145" s="2"/>
      <c r="R145" s="19">
        <f t="shared" si="17"/>
        <v>0</v>
      </c>
      <c r="S145" s="2"/>
      <c r="T145" s="2"/>
      <c r="U145" s="2"/>
      <c r="V145" s="19">
        <f t="shared" si="18"/>
        <v>0</v>
      </c>
      <c r="W145" s="2"/>
      <c r="X145" s="2">
        <f t="shared" si="19"/>
        <v>0</v>
      </c>
      <c r="Y145" s="2"/>
      <c r="Z145" s="19">
        <f t="shared" si="20"/>
        <v>0</v>
      </c>
    </row>
    <row r="146" spans="1:26" s="24" customFormat="1" hidden="1" outlineLevel="1" x14ac:dyDescent="0.25">
      <c r="A146" s="44"/>
      <c r="B146" s="11" t="str">
        <f>CONCATENATE("          ", "5200", " - ", "PURCHASES OFFSET")</f>
        <v xml:space="preserve">          5200 - PURCHASES OFFSET</v>
      </c>
      <c r="C146" s="11"/>
      <c r="D146" s="2">
        <v>-56682</v>
      </c>
      <c r="E146" s="2"/>
      <c r="F146" s="19">
        <f t="shared" si="13"/>
        <v>-0.21500569187380381</v>
      </c>
      <c r="G146" s="2"/>
      <c r="H146" s="2"/>
      <c r="I146" s="2"/>
      <c r="J146" s="19">
        <f t="shared" si="14"/>
        <v>0</v>
      </c>
      <c r="K146" s="2"/>
      <c r="L146" s="2">
        <f t="shared" si="15"/>
        <v>-56682</v>
      </c>
      <c r="M146" s="2"/>
      <c r="N146" s="19">
        <f t="shared" si="16"/>
        <v>0</v>
      </c>
      <c r="O146" s="11"/>
      <c r="P146" s="2">
        <v>-3474853</v>
      </c>
      <c r="Q146" s="2"/>
      <c r="R146" s="19">
        <f t="shared" si="17"/>
        <v>-0.38495041386861351</v>
      </c>
      <c r="S146" s="2"/>
      <c r="T146" s="2"/>
      <c r="U146" s="2"/>
      <c r="V146" s="19">
        <f t="shared" si="18"/>
        <v>0</v>
      </c>
      <c r="W146" s="2"/>
      <c r="X146" s="2">
        <f t="shared" si="19"/>
        <v>-3474853</v>
      </c>
      <c r="Y146" s="2"/>
      <c r="Z146" s="19">
        <f t="shared" si="20"/>
        <v>0</v>
      </c>
    </row>
    <row r="147" spans="1:26" s="24" customFormat="1" hidden="1" outlineLevel="1" x14ac:dyDescent="0.25">
      <c r="A147" s="44"/>
      <c r="B147" s="11" t="str">
        <f>CONCATENATE("          ", "5300", " - ", "COG$ OFFSET")</f>
        <v xml:space="preserve">          5300 - COG$ OFFSET</v>
      </c>
      <c r="C147" s="11"/>
      <c r="D147" s="2">
        <v>148333</v>
      </c>
      <c r="E147" s="2"/>
      <c r="F147" s="19">
        <f t="shared" si="13"/>
        <v>0.56265550426443911</v>
      </c>
      <c r="G147" s="2"/>
      <c r="H147" s="2"/>
      <c r="I147" s="2"/>
      <c r="J147" s="19">
        <f t="shared" si="14"/>
        <v>0</v>
      </c>
      <c r="K147" s="2"/>
      <c r="L147" s="2">
        <f t="shared" si="15"/>
        <v>148333</v>
      </c>
      <c r="M147" s="2"/>
      <c r="N147" s="19">
        <f t="shared" si="16"/>
        <v>0</v>
      </c>
      <c r="O147" s="11"/>
      <c r="P147" s="2">
        <v>4035934.47</v>
      </c>
      <c r="Q147" s="2"/>
      <c r="R147" s="19">
        <f t="shared" si="17"/>
        <v>0.44710801998619892</v>
      </c>
      <c r="S147" s="2"/>
      <c r="T147" s="2"/>
      <c r="U147" s="2"/>
      <c r="V147" s="19">
        <f t="shared" si="18"/>
        <v>0</v>
      </c>
      <c r="W147" s="2"/>
      <c r="X147" s="2">
        <f t="shared" si="19"/>
        <v>4035934.47</v>
      </c>
      <c r="Y147" s="2"/>
      <c r="Z147" s="19">
        <f t="shared" si="20"/>
        <v>0</v>
      </c>
    </row>
    <row r="148" spans="1:26" s="24" customFormat="1" hidden="1" outlineLevel="1" x14ac:dyDescent="0.25">
      <c r="A148" s="44"/>
      <c r="B148" s="11" t="str">
        <f>CONCATENATE("          ", "5500", " - ", "FREIGHT-IN")</f>
        <v xml:space="preserve">          5500 - FREIGHT-IN</v>
      </c>
      <c r="C148" s="11"/>
      <c r="D148" s="2"/>
      <c r="E148" s="2"/>
      <c r="F148" s="19">
        <f t="shared" si="13"/>
        <v>0</v>
      </c>
      <c r="G148" s="2"/>
      <c r="H148" s="2"/>
      <c r="I148" s="2"/>
      <c r="J148" s="19">
        <f t="shared" si="14"/>
        <v>0</v>
      </c>
      <c r="K148" s="2"/>
      <c r="L148" s="2">
        <f t="shared" si="15"/>
        <v>0</v>
      </c>
      <c r="M148" s="2"/>
      <c r="N148" s="19">
        <f t="shared" si="16"/>
        <v>0</v>
      </c>
      <c r="O148" s="11"/>
      <c r="P148" s="2">
        <v>156.47999999999999</v>
      </c>
      <c r="Q148" s="2"/>
      <c r="R148" s="19">
        <f t="shared" si="17"/>
        <v>1.7335133532889199E-5</v>
      </c>
      <c r="S148" s="2"/>
      <c r="T148" s="2"/>
      <c r="U148" s="2"/>
      <c r="V148" s="19">
        <f t="shared" si="18"/>
        <v>0</v>
      </c>
      <c r="W148" s="2"/>
      <c r="X148" s="2">
        <f t="shared" si="19"/>
        <v>156.47999999999999</v>
      </c>
      <c r="Y148" s="2"/>
      <c r="Z148" s="19">
        <f t="shared" si="20"/>
        <v>0</v>
      </c>
    </row>
    <row r="149" spans="1:26" s="24" customFormat="1" hidden="1" outlineLevel="1" x14ac:dyDescent="0.25">
      <c r="A149" s="44"/>
      <c r="B149" s="11" t="str">
        <f>CONCATENATE("          ", "5501", " - ", "FREIGHT-IN-NEW TEXT")</f>
        <v xml:space="preserve">          5501 - FREIGHT-IN-NEW TEXT</v>
      </c>
      <c r="C149" s="11"/>
      <c r="D149" s="2">
        <v>-21.22</v>
      </c>
      <c r="E149" s="2"/>
      <c r="F149" s="19">
        <f t="shared" si="13"/>
        <v>-8.0491527849442797E-5</v>
      </c>
      <c r="G149" s="2"/>
      <c r="H149" s="2"/>
      <c r="I149" s="2"/>
      <c r="J149" s="19">
        <f t="shared" si="14"/>
        <v>0</v>
      </c>
      <c r="K149" s="2"/>
      <c r="L149" s="2">
        <f t="shared" si="15"/>
        <v>-21.22</v>
      </c>
      <c r="M149" s="2"/>
      <c r="N149" s="19">
        <f t="shared" si="16"/>
        <v>0</v>
      </c>
      <c r="O149" s="11"/>
      <c r="P149" s="2">
        <v>69747.73000000001</v>
      </c>
      <c r="Q149" s="2"/>
      <c r="R149" s="19">
        <f t="shared" si="17"/>
        <v>7.7267779471236094E-3</v>
      </c>
      <c r="S149" s="2"/>
      <c r="T149" s="2"/>
      <c r="U149" s="2"/>
      <c r="V149" s="19">
        <f t="shared" si="18"/>
        <v>0</v>
      </c>
      <c r="W149" s="2"/>
      <c r="X149" s="2">
        <f t="shared" si="19"/>
        <v>69747.73000000001</v>
      </c>
      <c r="Y149" s="2"/>
      <c r="Z149" s="19">
        <f t="shared" si="20"/>
        <v>0</v>
      </c>
    </row>
    <row r="150" spans="1:26" s="24" customFormat="1" hidden="1" outlineLevel="1" x14ac:dyDescent="0.25">
      <c r="A150" s="44"/>
      <c r="B150" s="11" t="str">
        <f>CONCATENATE("          ", "5502", " - ", "FREIGHT-IN-USED TEXT")</f>
        <v xml:space="preserve">          5502 - FREIGHT-IN-USED TEXT</v>
      </c>
      <c r="C150" s="11"/>
      <c r="D150" s="2">
        <v>379.42</v>
      </c>
      <c r="E150" s="2"/>
      <c r="F150" s="19">
        <f t="shared" si="13"/>
        <v>1.4392127943749099E-3</v>
      </c>
      <c r="G150" s="2"/>
      <c r="H150" s="2"/>
      <c r="I150" s="2"/>
      <c r="J150" s="19">
        <f t="shared" si="14"/>
        <v>0</v>
      </c>
      <c r="K150" s="2"/>
      <c r="L150" s="2">
        <f t="shared" si="15"/>
        <v>379.42</v>
      </c>
      <c r="M150" s="2"/>
      <c r="N150" s="19">
        <f t="shared" si="16"/>
        <v>0</v>
      </c>
      <c r="O150" s="11"/>
      <c r="P150" s="2">
        <v>15680.76</v>
      </c>
      <c r="Q150" s="2"/>
      <c r="R150" s="19">
        <f t="shared" si="17"/>
        <v>1.7371425645270175E-3</v>
      </c>
      <c r="S150" s="2"/>
      <c r="T150" s="2"/>
      <c r="U150" s="2"/>
      <c r="V150" s="19">
        <f t="shared" si="18"/>
        <v>0</v>
      </c>
      <c r="W150" s="2"/>
      <c r="X150" s="2">
        <f t="shared" si="19"/>
        <v>15680.76</v>
      </c>
      <c r="Y150" s="2"/>
      <c r="Z150" s="19">
        <f t="shared" si="20"/>
        <v>0</v>
      </c>
    </row>
    <row r="151" spans="1:26" s="24" customFormat="1" hidden="1" outlineLevel="1" x14ac:dyDescent="0.25">
      <c r="A151" s="44"/>
      <c r="B151" s="11" t="str">
        <f>CONCATENATE("          ", "5504", " - ", "FREIGHT-IN-DIGITAL TEXT")</f>
        <v xml:space="preserve">          5504 - FREIGHT-IN-DIGITAL TEXT</v>
      </c>
      <c r="C151" s="11"/>
      <c r="D151" s="2"/>
      <c r="E151" s="2"/>
      <c r="F151" s="19">
        <f t="shared" si="13"/>
        <v>0</v>
      </c>
      <c r="G151" s="2"/>
      <c r="H151" s="2"/>
      <c r="I151" s="2"/>
      <c r="J151" s="19">
        <f t="shared" si="14"/>
        <v>0</v>
      </c>
      <c r="K151" s="2"/>
      <c r="L151" s="2">
        <f t="shared" si="15"/>
        <v>0</v>
      </c>
      <c r="M151" s="2"/>
      <c r="N151" s="19">
        <f t="shared" si="16"/>
        <v>0</v>
      </c>
      <c r="O151" s="11"/>
      <c r="P151" s="2">
        <v>118.75</v>
      </c>
      <c r="Q151" s="2"/>
      <c r="R151" s="19">
        <f t="shared" si="17"/>
        <v>1.3155336829183235E-5</v>
      </c>
      <c r="S151" s="2"/>
      <c r="T151" s="2"/>
      <c r="U151" s="2"/>
      <c r="V151" s="19">
        <f t="shared" si="18"/>
        <v>0</v>
      </c>
      <c r="W151" s="2"/>
      <c r="X151" s="2">
        <f t="shared" si="19"/>
        <v>118.75</v>
      </c>
      <c r="Y151" s="2"/>
      <c r="Z151" s="19">
        <f t="shared" si="20"/>
        <v>0</v>
      </c>
    </row>
    <row r="152" spans="1:26" s="24" customFormat="1" hidden="1" outlineLevel="1" x14ac:dyDescent="0.25">
      <c r="A152" s="44"/>
      <c r="B152" s="11" t="str">
        <f>CONCATENATE("          ", "5513", " - ", "FREIGHT-IN-TRADE BOOKS")</f>
        <v xml:space="preserve">          5513 - FREIGHT-IN-TRADE BOOKS</v>
      </c>
      <c r="C152" s="11"/>
      <c r="D152" s="2"/>
      <c r="E152" s="2"/>
      <c r="F152" s="19">
        <f t="shared" si="13"/>
        <v>0</v>
      </c>
      <c r="G152" s="2"/>
      <c r="H152" s="2"/>
      <c r="I152" s="2"/>
      <c r="J152" s="19">
        <f t="shared" si="14"/>
        <v>0</v>
      </c>
      <c r="K152" s="2"/>
      <c r="L152" s="2">
        <f t="shared" si="15"/>
        <v>0</v>
      </c>
      <c r="M152" s="2"/>
      <c r="N152" s="19">
        <f t="shared" si="16"/>
        <v>0</v>
      </c>
      <c r="O152" s="11"/>
      <c r="P152" s="2">
        <v>30.24</v>
      </c>
      <c r="Q152" s="2"/>
      <c r="R152" s="19">
        <f t="shared" si="17"/>
        <v>3.3500411428589558E-6</v>
      </c>
      <c r="S152" s="2"/>
      <c r="T152" s="2"/>
      <c r="U152" s="2"/>
      <c r="V152" s="19">
        <f t="shared" si="18"/>
        <v>0</v>
      </c>
      <c r="W152" s="2"/>
      <c r="X152" s="2">
        <f t="shared" si="19"/>
        <v>30.24</v>
      </c>
      <c r="Y152" s="2"/>
      <c r="Z152" s="19">
        <f t="shared" si="20"/>
        <v>0</v>
      </c>
    </row>
    <row r="153" spans="1:26" s="24" customFormat="1" hidden="1" outlineLevel="1" x14ac:dyDescent="0.25">
      <c r="A153" s="44"/>
      <c r="B153" s="11" t="str">
        <f>CONCATENATE("          ", "5518", " - ", "FREIGHT-IN-STUDY GUIDES")</f>
        <v xml:space="preserve">          5518 - FREIGHT-IN-STUDY GUIDES</v>
      </c>
      <c r="C153" s="11"/>
      <c r="D153" s="2"/>
      <c r="E153" s="2"/>
      <c r="F153" s="19">
        <f t="shared" si="13"/>
        <v>0</v>
      </c>
      <c r="G153" s="2"/>
      <c r="H153" s="2"/>
      <c r="I153" s="2"/>
      <c r="J153" s="19">
        <f t="shared" si="14"/>
        <v>0</v>
      </c>
      <c r="K153" s="2"/>
      <c r="L153" s="2">
        <f t="shared" si="15"/>
        <v>0</v>
      </c>
      <c r="M153" s="2"/>
      <c r="N153" s="19">
        <f t="shared" si="16"/>
        <v>0</v>
      </c>
      <c r="O153" s="11"/>
      <c r="P153" s="2">
        <v>21.13</v>
      </c>
      <c r="Q153" s="2"/>
      <c r="R153" s="19">
        <f t="shared" si="17"/>
        <v>2.3408190922159306E-6</v>
      </c>
      <c r="S153" s="2"/>
      <c r="T153" s="2"/>
      <c r="U153" s="2"/>
      <c r="V153" s="19">
        <f t="shared" si="18"/>
        <v>0</v>
      </c>
      <c r="W153" s="2"/>
      <c r="X153" s="2">
        <f t="shared" si="19"/>
        <v>21.13</v>
      </c>
      <c r="Y153" s="2"/>
      <c r="Z153" s="19">
        <f t="shared" si="20"/>
        <v>0</v>
      </c>
    </row>
    <row r="154" spans="1:26" s="24" customFormat="1" hidden="1" outlineLevel="1" x14ac:dyDescent="0.25">
      <c r="A154" s="44"/>
      <c r="B154" s="11" t="str">
        <f>CONCATENATE("          ", "5525", " - ", "FREIGHT-IN-TEST FORMS")</f>
        <v xml:space="preserve">          5525 - FREIGHT-IN-TEST FORMS</v>
      </c>
      <c r="C154" s="11"/>
      <c r="D154" s="2">
        <v>377.1</v>
      </c>
      <c r="E154" s="2"/>
      <c r="F154" s="19">
        <f t="shared" si="13"/>
        <v>1.4304125896335948E-3</v>
      </c>
      <c r="G154" s="2"/>
      <c r="H154" s="2"/>
      <c r="I154" s="2"/>
      <c r="J154" s="19">
        <f t="shared" si="14"/>
        <v>0</v>
      </c>
      <c r="K154" s="2"/>
      <c r="L154" s="2">
        <f t="shared" si="15"/>
        <v>377.1</v>
      </c>
      <c r="M154" s="2"/>
      <c r="N154" s="19">
        <f t="shared" si="16"/>
        <v>0</v>
      </c>
      <c r="O154" s="11"/>
      <c r="P154" s="2">
        <v>1614.32</v>
      </c>
      <c r="Q154" s="2"/>
      <c r="R154" s="19">
        <f t="shared" si="17"/>
        <v>1.7883724926389121E-4</v>
      </c>
      <c r="S154" s="2"/>
      <c r="T154" s="2"/>
      <c r="U154" s="2"/>
      <c r="V154" s="19">
        <f t="shared" si="18"/>
        <v>0</v>
      </c>
      <c r="W154" s="2"/>
      <c r="X154" s="2">
        <f t="shared" si="19"/>
        <v>1614.32</v>
      </c>
      <c r="Y154" s="2"/>
      <c r="Z154" s="19">
        <f t="shared" si="20"/>
        <v>0</v>
      </c>
    </row>
    <row r="155" spans="1:26" s="24" customFormat="1" hidden="1" outlineLevel="1" x14ac:dyDescent="0.25">
      <c r="A155" s="44"/>
      <c r="B155" s="11" t="str">
        <f>CONCATENATE("          ", "5526", " - ", "FREIGHT-IN-WRITING INSTRUMENTS")</f>
        <v xml:space="preserve">          5526 - FREIGHT-IN-WRITING INSTRUMENTS</v>
      </c>
      <c r="C155" s="11"/>
      <c r="D155" s="2">
        <v>14.15</v>
      </c>
      <c r="E155" s="2"/>
      <c r="F155" s="19">
        <f t="shared" si="13"/>
        <v>5.3673662538624677E-5</v>
      </c>
      <c r="G155" s="2"/>
      <c r="H155" s="2"/>
      <c r="I155" s="2"/>
      <c r="J155" s="19">
        <f t="shared" si="14"/>
        <v>0</v>
      </c>
      <c r="K155" s="2"/>
      <c r="L155" s="2">
        <f t="shared" si="15"/>
        <v>14.15</v>
      </c>
      <c r="M155" s="2"/>
      <c r="N155" s="19">
        <f t="shared" si="16"/>
        <v>0</v>
      </c>
      <c r="O155" s="11"/>
      <c r="P155" s="2">
        <v>274.5</v>
      </c>
      <c r="Q155" s="2"/>
      <c r="R155" s="19">
        <f t="shared" si="17"/>
        <v>3.0409599659880406E-5</v>
      </c>
      <c r="S155" s="2"/>
      <c r="T155" s="2"/>
      <c r="U155" s="2"/>
      <c r="V155" s="19">
        <f t="shared" si="18"/>
        <v>0</v>
      </c>
      <c r="W155" s="2"/>
      <c r="X155" s="2">
        <f t="shared" si="19"/>
        <v>274.5</v>
      </c>
      <c r="Y155" s="2"/>
      <c r="Z155" s="19">
        <f t="shared" si="20"/>
        <v>0</v>
      </c>
    </row>
    <row r="156" spans="1:26" s="24" customFormat="1" hidden="1" outlineLevel="1" x14ac:dyDescent="0.25">
      <c r="A156" s="44"/>
      <c r="B156" s="11" t="str">
        <f>CONCATENATE("          ", "5527", " - ", "FREIGHT-IN-SCHOOL SUPPLIES")</f>
        <v xml:space="preserve">          5527 - FREIGHT-IN-SCHOOL SUPPLIES</v>
      </c>
      <c r="C156" s="11"/>
      <c r="D156" s="2">
        <v>-250.91</v>
      </c>
      <c r="E156" s="2"/>
      <c r="F156" s="19">
        <f t="shared" si="13"/>
        <v>-9.5174972915663015E-4</v>
      </c>
      <c r="G156" s="2"/>
      <c r="H156" s="2"/>
      <c r="I156" s="2"/>
      <c r="J156" s="19">
        <f t="shared" si="14"/>
        <v>0</v>
      </c>
      <c r="K156" s="2"/>
      <c r="L156" s="2">
        <f t="shared" si="15"/>
        <v>-250.91</v>
      </c>
      <c r="M156" s="2"/>
      <c r="N156" s="19">
        <f t="shared" si="16"/>
        <v>0</v>
      </c>
      <c r="O156" s="11"/>
      <c r="P156" s="2">
        <v>1808</v>
      </c>
      <c r="Q156" s="2"/>
      <c r="R156" s="19">
        <f t="shared" si="17"/>
        <v>2.0029346515505929E-4</v>
      </c>
      <c r="S156" s="2"/>
      <c r="T156" s="2"/>
      <c r="U156" s="2"/>
      <c r="V156" s="19">
        <f t="shared" si="18"/>
        <v>0</v>
      </c>
      <c r="W156" s="2"/>
      <c r="X156" s="2">
        <f t="shared" si="19"/>
        <v>1808</v>
      </c>
      <c r="Y156" s="2"/>
      <c r="Z156" s="19">
        <f t="shared" si="20"/>
        <v>0</v>
      </c>
    </row>
    <row r="157" spans="1:26" s="24" customFormat="1" hidden="1" outlineLevel="1" x14ac:dyDescent="0.25">
      <c r="A157" s="44"/>
      <c r="B157" s="11" t="str">
        <f>CONCATENATE("          ", "5528", " - ", "FREIGHT-IN-ART/TECH")</f>
        <v xml:space="preserve">          5528 - FREIGHT-IN-ART/TECH</v>
      </c>
      <c r="C157" s="11"/>
      <c r="D157" s="2">
        <v>-19.75</v>
      </c>
      <c r="E157" s="2"/>
      <c r="F157" s="19">
        <f t="shared" si="13"/>
        <v>-7.4915536052143982E-5</v>
      </c>
      <c r="G157" s="2"/>
      <c r="H157" s="2"/>
      <c r="I157" s="2"/>
      <c r="J157" s="19">
        <f t="shared" si="14"/>
        <v>0</v>
      </c>
      <c r="K157" s="2"/>
      <c r="L157" s="2">
        <f t="shared" si="15"/>
        <v>-19.75</v>
      </c>
      <c r="M157" s="2"/>
      <c r="N157" s="19">
        <f t="shared" si="16"/>
        <v>0</v>
      </c>
      <c r="O157" s="11"/>
      <c r="P157" s="2">
        <v>2824.37</v>
      </c>
      <c r="Q157" s="2"/>
      <c r="R157" s="19">
        <f t="shared" si="17"/>
        <v>3.1288874678097055E-4</v>
      </c>
      <c r="S157" s="2"/>
      <c r="T157" s="2"/>
      <c r="U157" s="2"/>
      <c r="V157" s="19">
        <f t="shared" si="18"/>
        <v>0</v>
      </c>
      <c r="W157" s="2"/>
      <c r="X157" s="2">
        <f t="shared" si="19"/>
        <v>2824.37</v>
      </c>
      <c r="Y157" s="2"/>
      <c r="Z157" s="19">
        <f t="shared" si="20"/>
        <v>0</v>
      </c>
    </row>
    <row r="158" spans="1:26" s="24" customFormat="1" hidden="1" outlineLevel="1" x14ac:dyDescent="0.25">
      <c r="A158" s="44"/>
      <c r="B158" s="11" t="str">
        <f>CONCATENATE("          ", "5540", " - ", "FREIGHT-IN-LOGO CLOTHING")</f>
        <v xml:space="preserve">          5540 - FREIGHT-IN-LOGO CLOTHING</v>
      </c>
      <c r="C158" s="11"/>
      <c r="D158" s="2">
        <v>815.7</v>
      </c>
      <c r="E158" s="2"/>
      <c r="F158" s="19">
        <f t="shared" si="13"/>
        <v>3.0941064687460178E-3</v>
      </c>
      <c r="G158" s="2"/>
      <c r="H158" s="2"/>
      <c r="I158" s="2"/>
      <c r="J158" s="19">
        <f t="shared" si="14"/>
        <v>0</v>
      </c>
      <c r="K158" s="2"/>
      <c r="L158" s="2">
        <f t="shared" si="15"/>
        <v>815.7</v>
      </c>
      <c r="M158" s="2"/>
      <c r="N158" s="19">
        <f t="shared" si="16"/>
        <v>0</v>
      </c>
      <c r="O158" s="11"/>
      <c r="P158" s="2">
        <v>32519</v>
      </c>
      <c r="Q158" s="2"/>
      <c r="R158" s="19">
        <f t="shared" si="17"/>
        <v>3.6025128281954497E-3</v>
      </c>
      <c r="S158" s="2"/>
      <c r="T158" s="2"/>
      <c r="U158" s="2"/>
      <c r="V158" s="19">
        <f t="shared" si="18"/>
        <v>0</v>
      </c>
      <c r="W158" s="2"/>
      <c r="X158" s="2">
        <f t="shared" si="19"/>
        <v>32519</v>
      </c>
      <c r="Y158" s="2"/>
      <c r="Z158" s="19">
        <f t="shared" si="20"/>
        <v>0</v>
      </c>
    </row>
    <row r="159" spans="1:26" s="24" customFormat="1" hidden="1" outlineLevel="1" x14ac:dyDescent="0.25">
      <c r="A159" s="44"/>
      <c r="B159" s="11" t="str">
        <f>CONCATENATE("          ", "5541", " - ", "FREIGHT-IN-LOGO GIFTS")</f>
        <v xml:space="preserve">          5541 - FREIGHT-IN-LOGO GIFTS</v>
      </c>
      <c r="C159" s="11"/>
      <c r="D159" s="2">
        <v>343.16</v>
      </c>
      <c r="E159" s="2"/>
      <c r="F159" s="19">
        <f t="shared" si="13"/>
        <v>1.3016716633748725E-3</v>
      </c>
      <c r="G159" s="2"/>
      <c r="H159" s="2"/>
      <c r="I159" s="2"/>
      <c r="J159" s="19">
        <f t="shared" si="14"/>
        <v>0</v>
      </c>
      <c r="K159" s="2"/>
      <c r="L159" s="2">
        <f t="shared" si="15"/>
        <v>343.16</v>
      </c>
      <c r="M159" s="2"/>
      <c r="N159" s="19">
        <f t="shared" si="16"/>
        <v>0</v>
      </c>
      <c r="O159" s="11"/>
      <c r="P159" s="2">
        <v>5226.1000000000004</v>
      </c>
      <c r="Q159" s="2"/>
      <c r="R159" s="19">
        <f t="shared" si="17"/>
        <v>5.7895668044626958E-4</v>
      </c>
      <c r="S159" s="2"/>
      <c r="T159" s="2"/>
      <c r="U159" s="2"/>
      <c r="V159" s="19">
        <f t="shared" si="18"/>
        <v>0</v>
      </c>
      <c r="W159" s="2"/>
      <c r="X159" s="2">
        <f t="shared" si="19"/>
        <v>5226.1000000000004</v>
      </c>
      <c r="Y159" s="2"/>
      <c r="Z159" s="19">
        <f t="shared" si="20"/>
        <v>0</v>
      </c>
    </row>
    <row r="160" spans="1:26" s="24" customFormat="1" hidden="1" outlineLevel="1" x14ac:dyDescent="0.25">
      <c r="A160" s="44"/>
      <c r="B160" s="11" t="str">
        <f>CONCATENATE("          ", "5542", " - ", "FREIGHT-IN-EVERYDAY GIFTS")</f>
        <v xml:space="preserve">          5542 - FREIGHT-IN-EVERYDAY GIFTS</v>
      </c>
      <c r="C160" s="11"/>
      <c r="D160" s="2">
        <v>384.47</v>
      </c>
      <c r="E160" s="2"/>
      <c r="F160" s="19">
        <f t="shared" si="13"/>
        <v>1.4583684124540657E-3</v>
      </c>
      <c r="G160" s="2"/>
      <c r="H160" s="2"/>
      <c r="I160" s="2"/>
      <c r="J160" s="19">
        <f t="shared" si="14"/>
        <v>0</v>
      </c>
      <c r="K160" s="2"/>
      <c r="L160" s="2">
        <f t="shared" si="15"/>
        <v>384.47</v>
      </c>
      <c r="M160" s="2"/>
      <c r="N160" s="19">
        <f t="shared" si="16"/>
        <v>0</v>
      </c>
      <c r="O160" s="11"/>
      <c r="P160" s="2">
        <v>2223.5100000000002</v>
      </c>
      <c r="Q160" s="2"/>
      <c r="R160" s="19">
        <f t="shared" si="17"/>
        <v>2.463244041520608E-4</v>
      </c>
      <c r="S160" s="2"/>
      <c r="T160" s="2"/>
      <c r="U160" s="2"/>
      <c r="V160" s="19">
        <f t="shared" si="18"/>
        <v>0</v>
      </c>
      <c r="W160" s="2"/>
      <c r="X160" s="2">
        <f t="shared" si="19"/>
        <v>2223.5100000000002</v>
      </c>
      <c r="Y160" s="2"/>
      <c r="Z160" s="19">
        <f t="shared" si="20"/>
        <v>0</v>
      </c>
    </row>
    <row r="161" spans="1:26" s="24" customFormat="1" hidden="1" outlineLevel="1" x14ac:dyDescent="0.25">
      <c r="A161" s="44"/>
      <c r="B161" s="11" t="str">
        <f>CONCATENATE("          ", "5543", " - ", "FREIGHT-IN-CARDS")</f>
        <v xml:space="preserve">          5543 - FREIGHT-IN-CARDS</v>
      </c>
      <c r="C161" s="11"/>
      <c r="D161" s="2"/>
      <c r="E161" s="2"/>
      <c r="F161" s="19">
        <f t="shared" si="13"/>
        <v>0</v>
      </c>
      <c r="G161" s="2"/>
      <c r="H161" s="2"/>
      <c r="I161" s="2"/>
      <c r="J161" s="19">
        <f t="shared" si="14"/>
        <v>0</v>
      </c>
      <c r="K161" s="2"/>
      <c r="L161" s="2">
        <f t="shared" si="15"/>
        <v>0</v>
      </c>
      <c r="M161" s="2"/>
      <c r="N161" s="19">
        <f t="shared" si="16"/>
        <v>0</v>
      </c>
      <c r="O161" s="11"/>
      <c r="P161" s="2">
        <v>2926.76</v>
      </c>
      <c r="Q161" s="2"/>
      <c r="R161" s="19">
        <f t="shared" si="17"/>
        <v>3.2423169362678174E-4</v>
      </c>
      <c r="S161" s="2"/>
      <c r="T161" s="2"/>
      <c r="U161" s="2"/>
      <c r="V161" s="19">
        <f t="shared" si="18"/>
        <v>0</v>
      </c>
      <c r="W161" s="2"/>
      <c r="X161" s="2">
        <f t="shared" si="19"/>
        <v>2926.76</v>
      </c>
      <c r="Y161" s="2"/>
      <c r="Z161" s="19">
        <f t="shared" si="20"/>
        <v>0</v>
      </c>
    </row>
    <row r="162" spans="1:26" s="24" customFormat="1" hidden="1" outlineLevel="1" x14ac:dyDescent="0.25">
      <c r="A162" s="44"/>
      <c r="B162" s="11" t="str">
        <f>CONCATENATE("          ", "5544", " - ", "FREIGHT-IN-ACCESSORIES")</f>
        <v xml:space="preserve">          5544 - FREIGHT-IN-ACCESSORIES</v>
      </c>
      <c r="C162" s="11"/>
      <c r="D162" s="2"/>
      <c r="E162" s="2"/>
      <c r="F162" s="19">
        <f t="shared" si="13"/>
        <v>0</v>
      </c>
      <c r="G162" s="2"/>
      <c r="H162" s="2"/>
      <c r="I162" s="2"/>
      <c r="J162" s="19">
        <f t="shared" si="14"/>
        <v>0</v>
      </c>
      <c r="K162" s="2"/>
      <c r="L162" s="2">
        <f t="shared" si="15"/>
        <v>0</v>
      </c>
      <c r="M162" s="2"/>
      <c r="N162" s="19">
        <f t="shared" si="16"/>
        <v>0</v>
      </c>
      <c r="O162" s="11"/>
      <c r="P162" s="2">
        <v>483.44</v>
      </c>
      <c r="Q162" s="2"/>
      <c r="R162" s="19">
        <f t="shared" si="17"/>
        <v>5.3556345572213416E-5</v>
      </c>
      <c r="S162" s="2"/>
      <c r="T162" s="2"/>
      <c r="U162" s="2"/>
      <c r="V162" s="19">
        <f t="shared" si="18"/>
        <v>0</v>
      </c>
      <c r="W162" s="2"/>
      <c r="X162" s="2">
        <f t="shared" si="19"/>
        <v>483.44</v>
      </c>
      <c r="Y162" s="2"/>
      <c r="Z162" s="19">
        <f t="shared" si="20"/>
        <v>0</v>
      </c>
    </row>
    <row r="163" spans="1:26" s="24" customFormat="1" hidden="1" outlineLevel="1" x14ac:dyDescent="0.25">
      <c r="A163" s="44"/>
      <c r="B163" s="11" t="str">
        <f>CONCATENATE("          ", "5545", " - ", "FREIGHT-IN-SPECIAL ORDERS")</f>
        <v xml:space="preserve">          5545 - FREIGHT-IN-SPECIAL ORDERS</v>
      </c>
      <c r="C163" s="11"/>
      <c r="D163" s="2">
        <v>173.06</v>
      </c>
      <c r="E163" s="2"/>
      <c r="F163" s="19">
        <f t="shared" si="13"/>
        <v>6.5644975540172341E-4</v>
      </c>
      <c r="G163" s="2"/>
      <c r="H163" s="2"/>
      <c r="I163" s="2"/>
      <c r="J163" s="19">
        <f t="shared" si="14"/>
        <v>0</v>
      </c>
      <c r="K163" s="2"/>
      <c r="L163" s="2">
        <f t="shared" si="15"/>
        <v>173.06</v>
      </c>
      <c r="M163" s="2"/>
      <c r="N163" s="19">
        <f t="shared" si="16"/>
        <v>0</v>
      </c>
      <c r="O163" s="11"/>
      <c r="P163" s="2">
        <v>1065.32</v>
      </c>
      <c r="Q163" s="2"/>
      <c r="R163" s="19">
        <f t="shared" si="17"/>
        <v>1.1801804994413038E-4</v>
      </c>
      <c r="S163" s="2"/>
      <c r="T163" s="2"/>
      <c r="U163" s="2"/>
      <c r="V163" s="19">
        <f t="shared" si="18"/>
        <v>0</v>
      </c>
      <c r="W163" s="2"/>
      <c r="X163" s="2">
        <f t="shared" si="19"/>
        <v>1065.32</v>
      </c>
      <c r="Y163" s="2"/>
      <c r="Z163" s="19">
        <f t="shared" si="20"/>
        <v>0</v>
      </c>
    </row>
    <row r="164" spans="1:26" s="24" customFormat="1" hidden="1" outlineLevel="1" x14ac:dyDescent="0.25">
      <c r="A164" s="44"/>
      <c r="B164" s="11" t="str">
        <f>CONCATENATE("          ", "5592", " - ", "FREIGHT-IN-GRAD MERCH")</f>
        <v xml:space="preserve">          5592 - FREIGHT-IN-GRAD MERCH</v>
      </c>
      <c r="C164" s="11"/>
      <c r="D164" s="2">
        <v>41.32</v>
      </c>
      <c r="E164" s="2"/>
      <c r="F164" s="19">
        <f t="shared" si="13"/>
        <v>1.5673468099618173E-4</v>
      </c>
      <c r="G164" s="2"/>
      <c r="H164" s="2"/>
      <c r="I164" s="2"/>
      <c r="J164" s="19">
        <f t="shared" si="14"/>
        <v>0</v>
      </c>
      <c r="K164" s="2"/>
      <c r="L164" s="2">
        <f t="shared" si="15"/>
        <v>41.32</v>
      </c>
      <c r="M164" s="2"/>
      <c r="N164" s="19">
        <f t="shared" si="16"/>
        <v>0</v>
      </c>
      <c r="O164" s="11"/>
      <c r="P164" s="2">
        <v>160.05000000000001</v>
      </c>
      <c r="Q164" s="2"/>
      <c r="R164" s="19">
        <f t="shared" si="17"/>
        <v>1.7730624501143386E-5</v>
      </c>
      <c r="S164" s="2"/>
      <c r="T164" s="2"/>
      <c r="U164" s="2"/>
      <c r="V164" s="19">
        <f t="shared" si="18"/>
        <v>0</v>
      </c>
      <c r="W164" s="2"/>
      <c r="X164" s="2">
        <f t="shared" si="19"/>
        <v>160.05000000000001</v>
      </c>
      <c r="Y164" s="2"/>
      <c r="Z164" s="19">
        <f t="shared" si="20"/>
        <v>0</v>
      </c>
    </row>
    <row r="165" spans="1:26" x14ac:dyDescent="0.25">
      <c r="A165" s="9"/>
      <c r="B165" s="10"/>
      <c r="C165" s="10"/>
      <c r="D165" s="3"/>
      <c r="E165" s="3"/>
      <c r="F165" s="8"/>
      <c r="G165" s="3"/>
      <c r="H165" s="3"/>
      <c r="I165" s="3"/>
      <c r="J165" s="8"/>
      <c r="K165" s="3"/>
      <c r="L165" s="3"/>
      <c r="M165" s="3"/>
      <c r="N165" s="8"/>
      <c r="O165" s="10"/>
      <c r="P165" s="3"/>
      <c r="Q165" s="3"/>
      <c r="R165" s="8"/>
      <c r="S165" s="3"/>
      <c r="T165" s="3"/>
      <c r="U165" s="3"/>
      <c r="V165" s="8"/>
      <c r="W165" s="3"/>
      <c r="X165" s="3"/>
      <c r="Y165" s="3"/>
      <c r="Z165" s="8"/>
    </row>
    <row r="166" spans="1:26" s="23" customFormat="1" x14ac:dyDescent="0.25">
      <c r="A166" s="10"/>
      <c r="B166" s="29" t="s">
        <v>6</v>
      </c>
      <c r="C166" s="29"/>
      <c r="D166" s="20">
        <f>D12-D113</f>
        <v>108802.59999999983</v>
      </c>
      <c r="E166" s="14"/>
      <c r="F166" s="22">
        <f>IF(D$12=0,0,D166/D$12)</f>
        <v>0.41270911913250574</v>
      </c>
      <c r="G166" s="14"/>
      <c r="H166" s="20">
        <f>H12-H113</f>
        <v>612383.35178999999</v>
      </c>
      <c r="I166" s="14"/>
      <c r="J166" s="22">
        <f>IF(H$12=0,0,H166/H$12)</f>
        <v>0.55866663394619398</v>
      </c>
      <c r="K166" s="16"/>
      <c r="L166" s="20">
        <f>+D166-H166</f>
        <v>-503580.75179000013</v>
      </c>
      <c r="M166" s="16"/>
      <c r="N166" s="22">
        <f>IF(H166=0,0,L166/H166)</f>
        <v>-0.82232926534993278</v>
      </c>
      <c r="O166" s="28"/>
      <c r="P166" s="20">
        <f>P12-P113</f>
        <v>3779573.2700000051</v>
      </c>
      <c r="Q166" s="14"/>
      <c r="R166" s="22">
        <f>IF(P$12=0,0,P166/P$12)</f>
        <v>0.4187078689467586</v>
      </c>
      <c r="S166" s="14"/>
      <c r="T166" s="20">
        <f>T12-T113</f>
        <v>5217005.4344000006</v>
      </c>
      <c r="U166" s="14"/>
      <c r="V166" s="22">
        <f>IF(T$12=0,0,T166/T$12)</f>
        <v>0.44934656425613656</v>
      </c>
      <c r="W166" s="16"/>
      <c r="X166" s="20">
        <f>+P166-T166</f>
        <v>-1437432.1643999955</v>
      </c>
      <c r="Y166" s="16"/>
      <c r="Z166" s="22">
        <f>IF(T166=0,0,X166/T166)</f>
        <v>-0.27552820913733861</v>
      </c>
    </row>
    <row r="167" spans="1:26" x14ac:dyDescent="0.25">
      <c r="A167" s="9"/>
      <c r="B167" s="10"/>
      <c r="C167" s="9"/>
      <c r="D167" s="1"/>
      <c r="E167" s="1"/>
      <c r="F167" s="5"/>
      <c r="G167" s="1"/>
      <c r="H167" s="1"/>
      <c r="I167" s="1"/>
      <c r="J167" s="5"/>
      <c r="K167" s="1"/>
      <c r="L167" s="1"/>
      <c r="M167" s="1"/>
      <c r="N167" s="5"/>
      <c r="O167" s="36"/>
      <c r="P167" s="1"/>
      <c r="Q167" s="1"/>
      <c r="R167" s="5"/>
      <c r="S167" s="1"/>
      <c r="T167" s="1"/>
      <c r="U167" s="1"/>
      <c r="V167" s="5"/>
      <c r="W167" s="1"/>
      <c r="X167" s="1"/>
      <c r="Y167" s="1"/>
      <c r="Z167" s="5"/>
    </row>
    <row r="168" spans="1:26" s="23" customFormat="1" x14ac:dyDescent="0.25">
      <c r="A168" s="10"/>
      <c r="B168" s="28" t="s">
        <v>9</v>
      </c>
      <c r="C168" s="10"/>
      <c r="D168" s="21">
        <f>SUM(OSRRefD22x_0)</f>
        <v>246220.08</v>
      </c>
      <c r="E168" s="21"/>
      <c r="F168" s="30">
        <f t="shared" ref="F168:F179" si="21">IF(D$12=0,0,D168/D$12)</f>
        <v>0.9339599635443937</v>
      </c>
      <c r="G168" s="21"/>
      <c r="H168" s="21">
        <f>SUM(OSRRefH22x_0)</f>
        <v>390967.10397893999</v>
      </c>
      <c r="I168" s="21"/>
      <c r="J168" s="30">
        <f t="shared" ref="J168:J179" si="22">IF(H$12=0,0,H168/H$12)</f>
        <v>0.35667245904899658</v>
      </c>
      <c r="K168" s="4"/>
      <c r="L168" s="21">
        <f t="shared" ref="L168:L179" si="23">+D168-H168</f>
        <v>-144747.02397894001</v>
      </c>
      <c r="M168" s="4"/>
      <c r="N168" s="30">
        <f t="shared" ref="N168:N179" si="24">IF(H168=0,0,L168/H168)</f>
        <v>-0.37022814069476551</v>
      </c>
      <c r="O168" s="10"/>
      <c r="P168" s="21">
        <f>SUM(OSRRefP22x_0)</f>
        <v>3894900.24</v>
      </c>
      <c r="Q168" s="21"/>
      <c r="R168" s="30">
        <f t="shared" ref="R168:R179" si="25">IF(P$12=0,0,P168/P$12)</f>
        <v>0.43148399640645579</v>
      </c>
      <c r="S168" s="21"/>
      <c r="T168" s="21">
        <f>SUM(OSRRefT22x_0)</f>
        <v>4491120.6224727295</v>
      </c>
      <c r="U168" s="21"/>
      <c r="V168" s="30">
        <f t="shared" ref="V168:V179" si="26">IF(T$12=0,0,T168/T$12)</f>
        <v>0.3868252864107084</v>
      </c>
      <c r="W168" s="4"/>
      <c r="X168" s="21">
        <f t="shared" ref="X168:X179" si="27">+P168-T168</f>
        <v>-596220.38247272931</v>
      </c>
      <c r="Y168" s="4"/>
      <c r="Z168" s="30">
        <f t="shared" ref="Z168:Z179" si="28">IF(T168=0,0,X168/T168)</f>
        <v>-0.13275537056149278</v>
      </c>
    </row>
    <row r="169" spans="1:26" s="27" customFormat="1" outlineLevel="1" collapsed="1" x14ac:dyDescent="0.25">
      <c r="A169" s="25"/>
      <c r="B169" s="12" t="str">
        <f>CONCATENATE("     ","*Benefits                                         ")</f>
        <v xml:space="preserve">     *Benefits                                         </v>
      </c>
      <c r="C169" s="12"/>
      <c r="D169" s="1">
        <f>SUM(OSRRefD22_0x_0)</f>
        <v>34546.320000000007</v>
      </c>
      <c r="E169" s="1"/>
      <c r="F169" s="5">
        <f t="shared" si="21"/>
        <v>0.13104081424956471</v>
      </c>
      <c r="G169" s="1"/>
      <c r="H169" s="1">
        <f>SUM(OSRRefH22_0x_0)</f>
        <v>47526.678149974061</v>
      </c>
      <c r="I169" s="1"/>
      <c r="J169" s="5">
        <f t="shared" si="22"/>
        <v>4.3357758219716047E-2</v>
      </c>
      <c r="K169" s="1"/>
      <c r="L169" s="1">
        <f t="shared" si="23"/>
        <v>-12980.358149974054</v>
      </c>
      <c r="M169" s="1"/>
      <c r="N169" s="5">
        <f t="shared" si="24"/>
        <v>-0.27311730285490482</v>
      </c>
      <c r="O169" s="12"/>
      <c r="P169" s="1">
        <f>SUM(OSRRefP22_0x_0)</f>
        <v>485164.55</v>
      </c>
      <c r="Q169" s="1"/>
      <c r="R169" s="5">
        <f t="shared" si="25"/>
        <v>5.3747394297508307E-2</v>
      </c>
      <c r="S169" s="1"/>
      <c r="T169" s="1">
        <f>SUM(OSRRefT22_0x_0)</f>
        <v>540469.71705634706</v>
      </c>
      <c r="U169" s="1"/>
      <c r="V169" s="5">
        <f t="shared" si="26"/>
        <v>4.6551266525887092E-2</v>
      </c>
      <c r="W169" s="1"/>
      <c r="X169" s="1">
        <f t="shared" si="27"/>
        <v>-55305.167056347069</v>
      </c>
      <c r="Y169" s="1"/>
      <c r="Z169" s="5">
        <f t="shared" si="28"/>
        <v>-0.10232796641699944</v>
      </c>
    </row>
    <row r="170" spans="1:26" s="24" customFormat="1" hidden="1" outlineLevel="2" x14ac:dyDescent="0.25">
      <c r="A170" s="26"/>
      <c r="B170" s="11" t="str">
        <f>CONCATENATE("          ", "6111", " - ", "F.I.C.A.")</f>
        <v xml:space="preserve">          6111 - F.I.C.A.</v>
      </c>
      <c r="C170" s="11"/>
      <c r="D170" s="7">
        <v>6049.72</v>
      </c>
      <c r="E170" s="2"/>
      <c r="F170" s="6">
        <f t="shared" si="21"/>
        <v>2.294774768432286E-2</v>
      </c>
      <c r="G170" s="2"/>
      <c r="H170" s="7">
        <v>8914.5228629953854</v>
      </c>
      <c r="I170" s="2"/>
      <c r="J170" s="6">
        <f t="shared" si="22"/>
        <v>8.1325634776790254E-3</v>
      </c>
      <c r="K170" s="2"/>
      <c r="L170" s="7">
        <f t="shared" si="23"/>
        <v>-2864.8028629953851</v>
      </c>
      <c r="M170" s="2"/>
      <c r="N170" s="6">
        <f t="shared" si="24"/>
        <v>-0.32136356673527866</v>
      </c>
      <c r="O170" s="11"/>
      <c r="P170" s="7">
        <v>99844.84</v>
      </c>
      <c r="Q170" s="2"/>
      <c r="R170" s="6">
        <f t="shared" si="25"/>
        <v>1.1060989480891853E-2</v>
      </c>
      <c r="S170" s="2"/>
      <c r="T170" s="7">
        <v>100887.73702285733</v>
      </c>
      <c r="U170" s="2"/>
      <c r="V170" s="6">
        <f t="shared" si="26"/>
        <v>8.6895746183962529E-3</v>
      </c>
      <c r="W170" s="2"/>
      <c r="X170" s="7">
        <f t="shared" si="27"/>
        <v>-1042.8970228573307</v>
      </c>
      <c r="Y170" s="2"/>
      <c r="Z170" s="6">
        <f t="shared" si="28"/>
        <v>-1.0337203049970781E-2</v>
      </c>
    </row>
    <row r="171" spans="1:26" s="24" customFormat="1" hidden="1" outlineLevel="2" x14ac:dyDescent="0.25">
      <c r="A171" s="26"/>
      <c r="B171" s="11" t="str">
        <f>CONCATENATE("          ", "6112", " - ", "COMPENSATION INSURANCE")</f>
        <v xml:space="preserve">          6112 - COMPENSATION INSURANCE</v>
      </c>
      <c r="C171" s="11"/>
      <c r="D171" s="7">
        <v>1933.73</v>
      </c>
      <c r="E171" s="2"/>
      <c r="F171" s="6">
        <f t="shared" si="21"/>
        <v>7.3350085838031591E-3</v>
      </c>
      <c r="G171" s="2"/>
      <c r="H171" s="7">
        <v>3499.875019892308</v>
      </c>
      <c r="I171" s="2"/>
      <c r="J171" s="6">
        <f t="shared" si="22"/>
        <v>3.1928748403763077E-3</v>
      </c>
      <c r="K171" s="2"/>
      <c r="L171" s="7">
        <f t="shared" si="23"/>
        <v>-1566.145019892308</v>
      </c>
      <c r="M171" s="2"/>
      <c r="N171" s="6">
        <f t="shared" si="24"/>
        <v>-0.44748598478253621</v>
      </c>
      <c r="O171" s="11"/>
      <c r="P171" s="7">
        <v>26308.79</v>
      </c>
      <c r="Q171" s="2"/>
      <c r="R171" s="6">
        <f t="shared" si="25"/>
        <v>2.9145346864694536E-3</v>
      </c>
      <c r="S171" s="2"/>
      <c r="T171" s="7">
        <v>38986.500797107677</v>
      </c>
      <c r="U171" s="2"/>
      <c r="V171" s="6">
        <f t="shared" si="26"/>
        <v>3.3579513009581968E-3</v>
      </c>
      <c r="W171" s="2"/>
      <c r="X171" s="7">
        <f t="shared" si="27"/>
        <v>-12677.710797107677</v>
      </c>
      <c r="Y171" s="2"/>
      <c r="Z171" s="6">
        <f t="shared" si="28"/>
        <v>-0.32518206399401223</v>
      </c>
    </row>
    <row r="172" spans="1:26" s="24" customFormat="1" hidden="1" outlineLevel="2" x14ac:dyDescent="0.25">
      <c r="A172" s="26"/>
      <c r="B172" s="11" t="str">
        <f>CONCATENATE("          ", "6113", " - ", "GROUP INSURANCE")</f>
        <v xml:space="preserve">          6113 - GROUP INSURANCE</v>
      </c>
      <c r="C172" s="11"/>
      <c r="D172" s="7">
        <v>13413.27</v>
      </c>
      <c r="E172" s="2"/>
      <c r="F172" s="6">
        <f t="shared" si="21"/>
        <v>5.087910441833627E-2</v>
      </c>
      <c r="G172" s="2"/>
      <c r="H172" s="7">
        <v>18510.81923076923</v>
      </c>
      <c r="I172" s="2"/>
      <c r="J172" s="6">
        <f t="shared" si="22"/>
        <v>1.6887097013680106E-2</v>
      </c>
      <c r="K172" s="2"/>
      <c r="L172" s="7">
        <f t="shared" si="23"/>
        <v>-5097.5492307692293</v>
      </c>
      <c r="M172" s="2"/>
      <c r="N172" s="6">
        <f t="shared" si="24"/>
        <v>-0.27538215176862257</v>
      </c>
      <c r="O172" s="11"/>
      <c r="P172" s="7">
        <v>190029.07</v>
      </c>
      <c r="Q172" s="2"/>
      <c r="R172" s="6">
        <f t="shared" si="25"/>
        <v>2.1051759353148961E-2</v>
      </c>
      <c r="S172" s="2"/>
      <c r="T172" s="7">
        <v>205505.78076923077</v>
      </c>
      <c r="U172" s="2"/>
      <c r="V172" s="6">
        <f t="shared" si="26"/>
        <v>1.7700444763682505E-2</v>
      </c>
      <c r="W172" s="2"/>
      <c r="X172" s="7">
        <f t="shared" si="27"/>
        <v>-15476.710769230762</v>
      </c>
      <c r="Y172" s="2"/>
      <c r="Z172" s="6">
        <f t="shared" si="28"/>
        <v>-7.5310342664326665E-2</v>
      </c>
    </row>
    <row r="173" spans="1:26" s="24" customFormat="1" hidden="1" outlineLevel="2" x14ac:dyDescent="0.25">
      <c r="A173" s="26"/>
      <c r="B173" s="11" t="str">
        <f>CONCATENATE("          ", "6114", " - ", "STATE UNEMPLOYMENT INSURANCE")</f>
        <v xml:space="preserve">          6114 - STATE UNEMPLOYMENT INSURANCE</v>
      </c>
      <c r="C173" s="11"/>
      <c r="D173" s="7">
        <v>338.46</v>
      </c>
      <c r="E173" s="2"/>
      <c r="F173" s="6">
        <f t="shared" si="21"/>
        <v>1.2838436623903114E-3</v>
      </c>
      <c r="G173" s="2"/>
      <c r="H173" s="7">
        <v>496.38647616703139</v>
      </c>
      <c r="I173" s="2"/>
      <c r="J173" s="6">
        <f t="shared" si="22"/>
        <v>4.5284471069642255E-4</v>
      </c>
      <c r="K173" s="2"/>
      <c r="L173" s="7">
        <f t="shared" si="23"/>
        <v>-157.92647616703141</v>
      </c>
      <c r="M173" s="2"/>
      <c r="N173" s="6">
        <f t="shared" si="24"/>
        <v>-0.31815225383757234</v>
      </c>
      <c r="O173" s="11"/>
      <c r="P173" s="7">
        <v>5103.99</v>
      </c>
      <c r="Q173" s="2"/>
      <c r="R173" s="6">
        <f t="shared" si="25"/>
        <v>5.6542911682343525E-4</v>
      </c>
      <c r="S173" s="2"/>
      <c r="T173" s="7">
        <v>5537.4442772820357</v>
      </c>
      <c r="U173" s="2"/>
      <c r="V173" s="6">
        <f t="shared" si="26"/>
        <v>4.7694632333513288E-4</v>
      </c>
      <c r="W173" s="2"/>
      <c r="X173" s="7">
        <f t="shared" si="27"/>
        <v>-433.45427728203595</v>
      </c>
      <c r="Y173" s="2"/>
      <c r="Z173" s="6">
        <f t="shared" si="28"/>
        <v>-7.8276955139815863E-2</v>
      </c>
    </row>
    <row r="174" spans="1:26" s="24" customFormat="1" hidden="1" outlineLevel="2" x14ac:dyDescent="0.25">
      <c r="A174" s="26"/>
      <c r="B174" s="11" t="str">
        <f>CONCATENATE("          ", "6115", " - ", "P.E.R.S.")</f>
        <v xml:space="preserve">          6115 - P.E.R.S.</v>
      </c>
      <c r="C174" s="11"/>
      <c r="D174" s="7">
        <v>4664.0600000000004</v>
      </c>
      <c r="E174" s="2"/>
      <c r="F174" s="6">
        <f t="shared" si="21"/>
        <v>1.7691673674904439E-2</v>
      </c>
      <c r="G174" s="2"/>
      <c r="H174" s="7">
        <v>6067.9547279230692</v>
      </c>
      <c r="I174" s="2"/>
      <c r="J174" s="6">
        <f t="shared" si="22"/>
        <v>5.5356890955278112E-3</v>
      </c>
      <c r="K174" s="2"/>
      <c r="L174" s="7">
        <f t="shared" si="23"/>
        <v>-1403.8947279230688</v>
      </c>
      <c r="M174" s="2"/>
      <c r="N174" s="6">
        <f t="shared" si="24"/>
        <v>-0.23136209659948992</v>
      </c>
      <c r="O174" s="11"/>
      <c r="P174" s="7">
        <v>74460.61</v>
      </c>
      <c r="Q174" s="2"/>
      <c r="R174" s="6">
        <f t="shared" si="25"/>
        <v>8.2488792004753644E-3</v>
      </c>
      <c r="S174" s="2"/>
      <c r="T174" s="7">
        <v>72429.075935076835</v>
      </c>
      <c r="U174" s="2"/>
      <c r="V174" s="6">
        <f t="shared" si="26"/>
        <v>6.2383980298492125E-3</v>
      </c>
      <c r="W174" s="2"/>
      <c r="X174" s="7">
        <f t="shared" si="27"/>
        <v>2031.5340649231657</v>
      </c>
      <c r="Y174" s="2"/>
      <c r="Z174" s="6">
        <f t="shared" si="28"/>
        <v>2.8048598421222017E-2</v>
      </c>
    </row>
    <row r="175" spans="1:26" s="24" customFormat="1" hidden="1" outlineLevel="2" x14ac:dyDescent="0.25">
      <c r="A175" s="26"/>
      <c r="B175" s="11" t="str">
        <f>CONCATENATE("          ", "6116", " - ", "EDUCATIONAL BENEFITS")</f>
        <v xml:space="preserve">          6116 - EDUCATIONAL BENEFITS</v>
      </c>
      <c r="C175" s="11"/>
      <c r="D175" s="7"/>
      <c r="E175" s="2"/>
      <c r="F175" s="6">
        <f t="shared" si="21"/>
        <v>0</v>
      </c>
      <c r="G175" s="2"/>
      <c r="H175" s="7">
        <v>0</v>
      </c>
      <c r="I175" s="2"/>
      <c r="J175" s="6">
        <f t="shared" si="22"/>
        <v>0</v>
      </c>
      <c r="K175" s="2"/>
      <c r="L175" s="7">
        <f t="shared" si="23"/>
        <v>0</v>
      </c>
      <c r="M175" s="2"/>
      <c r="N175" s="6">
        <f t="shared" si="24"/>
        <v>0</v>
      </c>
      <c r="O175" s="11"/>
      <c r="P175" s="7"/>
      <c r="Q175" s="2"/>
      <c r="R175" s="6">
        <f t="shared" si="25"/>
        <v>0</v>
      </c>
      <c r="S175" s="2"/>
      <c r="T175" s="7">
        <v>0</v>
      </c>
      <c r="U175" s="2"/>
      <c r="V175" s="6">
        <f t="shared" si="26"/>
        <v>0</v>
      </c>
      <c r="W175" s="2"/>
      <c r="X175" s="7">
        <f t="shared" si="27"/>
        <v>0</v>
      </c>
      <c r="Y175" s="2"/>
      <c r="Z175" s="6">
        <f t="shared" si="28"/>
        <v>0</v>
      </c>
    </row>
    <row r="176" spans="1:26" s="24" customFormat="1" hidden="1" outlineLevel="2" x14ac:dyDescent="0.25">
      <c r="A176" s="26"/>
      <c r="B176" s="11" t="str">
        <f>CONCATENATE("          ", "6117", " - ", "RETIREMENT STAFF HOURLY")</f>
        <v xml:space="preserve">          6117 - RETIREMENT STAFF HOURLY</v>
      </c>
      <c r="C176" s="11"/>
      <c r="D176" s="7">
        <v>219.6</v>
      </c>
      <c r="E176" s="2"/>
      <c r="F176" s="6">
        <f t="shared" si="21"/>
        <v>8.3298489706586424E-4</v>
      </c>
      <c r="G176" s="2"/>
      <c r="H176" s="7"/>
      <c r="I176" s="2"/>
      <c r="J176" s="6">
        <f t="shared" si="22"/>
        <v>0</v>
      </c>
      <c r="K176" s="2"/>
      <c r="L176" s="7">
        <f t="shared" si="23"/>
        <v>219.6</v>
      </c>
      <c r="M176" s="2"/>
      <c r="N176" s="6">
        <f t="shared" si="24"/>
        <v>0</v>
      </c>
      <c r="O176" s="11"/>
      <c r="P176" s="7">
        <v>1835.92</v>
      </c>
      <c r="Q176" s="2"/>
      <c r="R176" s="6">
        <f t="shared" si="25"/>
        <v>2.0338649255944495E-4</v>
      </c>
      <c r="S176" s="2"/>
      <c r="T176" s="7"/>
      <c r="U176" s="2"/>
      <c r="V176" s="6">
        <f t="shared" si="26"/>
        <v>0</v>
      </c>
      <c r="W176" s="2"/>
      <c r="X176" s="7">
        <f t="shared" si="27"/>
        <v>1835.92</v>
      </c>
      <c r="Y176" s="2"/>
      <c r="Z176" s="6">
        <f t="shared" si="28"/>
        <v>0</v>
      </c>
    </row>
    <row r="177" spans="1:26" s="24" customFormat="1" hidden="1" outlineLevel="2" x14ac:dyDescent="0.25">
      <c r="A177" s="26"/>
      <c r="B177" s="11" t="str">
        <f>CONCATENATE("          ", "6118", " - ", "VACATION")</f>
        <v xml:space="preserve">          6118 - VACATION</v>
      </c>
      <c r="C177" s="11"/>
      <c r="D177" s="7">
        <v>4493.24</v>
      </c>
      <c r="E177" s="2"/>
      <c r="F177" s="6">
        <f t="shared" si="21"/>
        <v>1.7043720668908122E-2</v>
      </c>
      <c r="G177" s="2"/>
      <c r="H177" s="7">
        <v>4420.3785989384578</v>
      </c>
      <c r="I177" s="2"/>
      <c r="J177" s="6">
        <f t="shared" si="22"/>
        <v>4.032634175011986E-3</v>
      </c>
      <c r="K177" s="2"/>
      <c r="L177" s="7">
        <f t="shared" si="23"/>
        <v>72.861401061541983</v>
      </c>
      <c r="M177" s="2"/>
      <c r="N177" s="6">
        <f t="shared" si="24"/>
        <v>1.6483068006672427E-2</v>
      </c>
      <c r="O177" s="11"/>
      <c r="P177" s="7">
        <v>62712.65</v>
      </c>
      <c r="Q177" s="2"/>
      <c r="R177" s="6">
        <f t="shared" si="25"/>
        <v>6.9474192353741306E-3</v>
      </c>
      <c r="S177" s="2"/>
      <c r="T177" s="7">
        <v>52759.999187261499</v>
      </c>
      <c r="U177" s="2"/>
      <c r="V177" s="6">
        <f t="shared" si="26"/>
        <v>4.5442782575286075E-3</v>
      </c>
      <c r="W177" s="2"/>
      <c r="X177" s="7">
        <f t="shared" si="27"/>
        <v>9952.6508127385023</v>
      </c>
      <c r="Y177" s="2"/>
      <c r="Z177" s="6">
        <f t="shared" si="28"/>
        <v>0.1886400865438507</v>
      </c>
    </row>
    <row r="178" spans="1:26" s="24" customFormat="1" hidden="1" outlineLevel="2" x14ac:dyDescent="0.25">
      <c r="A178" s="26"/>
      <c r="B178" s="11" t="str">
        <f>CONCATENATE("          ", "6119", " - ", "SICK LEAVE")</f>
        <v xml:space="preserve">          6119 - SICK LEAVE</v>
      </c>
      <c r="C178" s="11"/>
      <c r="D178" s="7">
        <v>2857.44</v>
      </c>
      <c r="E178" s="2"/>
      <c r="F178" s="6">
        <f t="shared" si="21"/>
        <v>1.083881768794118E-2</v>
      </c>
      <c r="G178" s="2"/>
      <c r="H178" s="7">
        <v>4066.741233288581</v>
      </c>
      <c r="I178" s="2"/>
      <c r="J178" s="6">
        <f t="shared" si="22"/>
        <v>3.7100169841172118E-3</v>
      </c>
      <c r="K178" s="2"/>
      <c r="L178" s="7">
        <f t="shared" si="23"/>
        <v>-1209.301233288581</v>
      </c>
      <c r="M178" s="2"/>
      <c r="N178" s="6">
        <f t="shared" si="24"/>
        <v>-0.29736370324961059</v>
      </c>
      <c r="O178" s="11"/>
      <c r="P178" s="7">
        <v>6043.11</v>
      </c>
      <c r="Q178" s="2"/>
      <c r="R178" s="6">
        <f t="shared" si="25"/>
        <v>6.6946650564888839E-4</v>
      </c>
      <c r="S178" s="2"/>
      <c r="T178" s="7">
        <v>47313.179067530873</v>
      </c>
      <c r="U178" s="2"/>
      <c r="V178" s="6">
        <f t="shared" si="26"/>
        <v>4.0751374951319055E-3</v>
      </c>
      <c r="W178" s="2"/>
      <c r="X178" s="7">
        <f t="shared" si="27"/>
        <v>-41270.069067530872</v>
      </c>
      <c r="Y178" s="2"/>
      <c r="Z178" s="6">
        <f t="shared" si="28"/>
        <v>-0.87227427708092553</v>
      </c>
    </row>
    <row r="179" spans="1:26" s="24" customFormat="1" hidden="1" outlineLevel="2" x14ac:dyDescent="0.25">
      <c r="A179" s="26"/>
      <c r="B179" s="11" t="str">
        <f>CONCATENATE("          ", "6156", " - ", "EMPLOYEE MEALS")</f>
        <v xml:space="preserve">          6156 - EMPLOYEE MEALS</v>
      </c>
      <c r="C179" s="11"/>
      <c r="D179" s="7">
        <v>576.79999999999995</v>
      </c>
      <c r="E179" s="2"/>
      <c r="F179" s="6">
        <f t="shared" si="21"/>
        <v>2.1879129718924886E-3</v>
      </c>
      <c r="G179" s="2"/>
      <c r="H179" s="7">
        <v>1550</v>
      </c>
      <c r="I179" s="2"/>
      <c r="J179" s="6">
        <f t="shared" si="22"/>
        <v>1.4140379226271792E-3</v>
      </c>
      <c r="K179" s="2"/>
      <c r="L179" s="7">
        <f t="shared" si="23"/>
        <v>-973.2</v>
      </c>
      <c r="M179" s="2"/>
      <c r="N179" s="6">
        <f t="shared" si="24"/>
        <v>-0.62787096774193552</v>
      </c>
      <c r="O179" s="11"/>
      <c r="P179" s="7">
        <v>18825.57</v>
      </c>
      <c r="Q179" s="2"/>
      <c r="R179" s="6">
        <f t="shared" si="25"/>
        <v>2.085530226116775E-3</v>
      </c>
      <c r="S179" s="2"/>
      <c r="T179" s="7">
        <v>17050</v>
      </c>
      <c r="U179" s="2"/>
      <c r="V179" s="6">
        <f t="shared" si="26"/>
        <v>1.4685357370052747E-3</v>
      </c>
      <c r="W179" s="2"/>
      <c r="X179" s="7">
        <f t="shared" si="27"/>
        <v>1775.5699999999997</v>
      </c>
      <c r="Y179" s="2"/>
      <c r="Z179" s="6">
        <f t="shared" si="28"/>
        <v>0.10413900293255131</v>
      </c>
    </row>
    <row r="180" spans="1:26" s="27" customFormat="1" outlineLevel="1" collapsed="1" x14ac:dyDescent="0.25">
      <c r="A180" s="25"/>
      <c r="B180" s="12" t="str">
        <f>CONCATENATE("     ","*Payroll                                          ")</f>
        <v xml:space="preserve">     *Payroll                                          </v>
      </c>
      <c r="C180" s="12"/>
      <c r="D180" s="1">
        <f>SUM(OSRRefD22_1x_0)</f>
        <v>84495.489999999991</v>
      </c>
      <c r="E180" s="1"/>
      <c r="F180" s="5">
        <f t="shared" ref="F180:F190" si="29">IF(D$12=0,0,D180/D$12)</f>
        <v>0.32050759125764916</v>
      </c>
      <c r="G180" s="1"/>
      <c r="H180" s="1">
        <f>SUM(OSRRefH22_1x_0)</f>
        <v>183421.92582896593</v>
      </c>
      <c r="I180" s="1"/>
      <c r="J180" s="5">
        <f t="shared" ref="J180:J190" si="30">IF(H$12=0,0,H180/H$12)</f>
        <v>0.1673326186861081</v>
      </c>
      <c r="K180" s="1"/>
      <c r="L180" s="1">
        <f t="shared" ref="L180:L190" si="31">+D180-H180</f>
        <v>-98926.435828965943</v>
      </c>
      <c r="M180" s="1"/>
      <c r="N180" s="5">
        <f t="shared" ref="N180:N190" si="32">IF(H180=0,0,L180/H180)</f>
        <v>-0.53933811555992017</v>
      </c>
      <c r="O180" s="12"/>
      <c r="P180" s="1">
        <f>SUM(OSRRefP22_1x_0)</f>
        <v>1794940.71</v>
      </c>
      <c r="Q180" s="1"/>
      <c r="R180" s="5">
        <f t="shared" ref="R180:R190" si="33">IF(P$12=0,0,P180/P$12)</f>
        <v>0.19884673371337519</v>
      </c>
      <c r="S180" s="1"/>
      <c r="T180" s="1">
        <f>SUM(OSRRefT22_1x_0)</f>
        <v>2042140.4054163829</v>
      </c>
      <c r="U180" s="1"/>
      <c r="V180" s="5">
        <f t="shared" ref="V180:V190" si="34">IF(T$12=0,0,T180/T$12)</f>
        <v>0.17589185720448083</v>
      </c>
      <c r="W180" s="1"/>
      <c r="X180" s="1">
        <f t="shared" ref="X180:X190" si="35">+P180-T180</f>
        <v>-247199.69541638298</v>
      </c>
      <c r="Y180" s="1"/>
      <c r="Z180" s="5">
        <f t="shared" ref="Z180:Z190" si="36">IF(T180=0,0,X180/T180)</f>
        <v>-0.12104931412195437</v>
      </c>
    </row>
    <row r="181" spans="1:26" s="24" customFormat="1" hidden="1" outlineLevel="2" x14ac:dyDescent="0.25">
      <c r="A181" s="26"/>
      <c r="B181" s="11" t="str">
        <f>CONCATENATE("          ", "6001", " - ", "ADMINISTRATIVE SALARIES")</f>
        <v xml:space="preserve">          6001 - ADMINISTRATIVE SALARIES</v>
      </c>
      <c r="C181" s="11"/>
      <c r="D181" s="7"/>
      <c r="E181" s="2"/>
      <c r="F181" s="6">
        <f t="shared" si="29"/>
        <v>0</v>
      </c>
      <c r="G181" s="2"/>
      <c r="H181" s="7">
        <v>24506.560901846147</v>
      </c>
      <c r="I181" s="2"/>
      <c r="J181" s="6">
        <f t="shared" si="30"/>
        <v>2.2356907398956762E-2</v>
      </c>
      <c r="K181" s="2"/>
      <c r="L181" s="7">
        <f t="shared" si="31"/>
        <v>-24506.560901846147</v>
      </c>
      <c r="M181" s="2"/>
      <c r="N181" s="6">
        <f t="shared" si="32"/>
        <v>-1</v>
      </c>
      <c r="O181" s="11"/>
      <c r="P181" s="7">
        <v>93238.31</v>
      </c>
      <c r="Q181" s="2"/>
      <c r="R181" s="6">
        <f t="shared" si="33"/>
        <v>1.0329106302600451E-2</v>
      </c>
      <c r="S181" s="2"/>
      <c r="T181" s="7">
        <v>294078.7308221538</v>
      </c>
      <c r="U181" s="2"/>
      <c r="V181" s="6">
        <f t="shared" si="34"/>
        <v>2.5329332885952342E-2</v>
      </c>
      <c r="W181" s="2"/>
      <c r="X181" s="7">
        <f t="shared" si="35"/>
        <v>-200840.4208221538</v>
      </c>
      <c r="Y181" s="2"/>
      <c r="Z181" s="6">
        <f t="shared" si="36"/>
        <v>-0.68294779517262494</v>
      </c>
    </row>
    <row r="182" spans="1:26" s="24" customFormat="1" hidden="1" outlineLevel="2" x14ac:dyDescent="0.25">
      <c r="A182" s="26"/>
      <c r="B182" s="11" t="str">
        <f>CONCATENATE("          ", "6002", " - ", "STAFF SALARIES")</f>
        <v xml:space="preserve">          6002 - STAFF SALARIES</v>
      </c>
      <c r="C182" s="11"/>
      <c r="D182" s="7">
        <v>45369.93</v>
      </c>
      <c r="E182" s="2"/>
      <c r="F182" s="6">
        <f t="shared" si="29"/>
        <v>0.17209684185307589</v>
      </c>
      <c r="G182" s="2"/>
      <c r="H182" s="7">
        <v>39749.506545646182</v>
      </c>
      <c r="I182" s="2"/>
      <c r="J182" s="6">
        <f t="shared" si="30"/>
        <v>3.6262780426619998E-2</v>
      </c>
      <c r="K182" s="2"/>
      <c r="L182" s="7">
        <f t="shared" si="31"/>
        <v>5620.4234543538187</v>
      </c>
      <c r="M182" s="2"/>
      <c r="N182" s="6">
        <f t="shared" si="32"/>
        <v>0.14139605602146604</v>
      </c>
      <c r="O182" s="11"/>
      <c r="P182" s="7">
        <v>611117.42000000004</v>
      </c>
      <c r="Q182" s="2"/>
      <c r="R182" s="6">
        <f t="shared" si="33"/>
        <v>6.7700677913948973E-2</v>
      </c>
      <c r="S182" s="2"/>
      <c r="T182" s="7">
        <v>472980.51054775401</v>
      </c>
      <c r="U182" s="2"/>
      <c r="V182" s="6">
        <f t="shared" si="34"/>
        <v>4.073834502324792E-2</v>
      </c>
      <c r="W182" s="2"/>
      <c r="X182" s="7">
        <f t="shared" si="35"/>
        <v>138136.90945224604</v>
      </c>
      <c r="Y182" s="2"/>
      <c r="Z182" s="6">
        <f t="shared" si="36"/>
        <v>0.29205623989088064</v>
      </c>
    </row>
    <row r="183" spans="1:26" s="24" customFormat="1" hidden="1" outlineLevel="2" x14ac:dyDescent="0.25">
      <c r="A183" s="26"/>
      <c r="B183" s="11" t="str">
        <f>CONCATENATE("          ", "6003", " - ", "STAFF HOURLY-9 MONTH")</f>
        <v xml:space="preserve">          6003 - STAFF HOURLY-9 MONTH</v>
      </c>
      <c r="C183" s="11"/>
      <c r="D183" s="7"/>
      <c r="E183" s="2"/>
      <c r="F183" s="6">
        <f t="shared" si="29"/>
        <v>0</v>
      </c>
      <c r="G183" s="2"/>
      <c r="H183" s="7">
        <v>0</v>
      </c>
      <c r="I183" s="2"/>
      <c r="J183" s="6">
        <f t="shared" si="30"/>
        <v>0</v>
      </c>
      <c r="K183" s="2"/>
      <c r="L183" s="7">
        <f t="shared" si="31"/>
        <v>0</v>
      </c>
      <c r="M183" s="2"/>
      <c r="N183" s="6">
        <f t="shared" si="32"/>
        <v>0</v>
      </c>
      <c r="O183" s="11"/>
      <c r="P183" s="7"/>
      <c r="Q183" s="2"/>
      <c r="R183" s="6">
        <f t="shared" si="33"/>
        <v>0</v>
      </c>
      <c r="S183" s="2"/>
      <c r="T183" s="7">
        <v>0</v>
      </c>
      <c r="U183" s="2"/>
      <c r="V183" s="6">
        <f t="shared" si="34"/>
        <v>0</v>
      </c>
      <c r="W183" s="2"/>
      <c r="X183" s="7">
        <f t="shared" si="35"/>
        <v>0</v>
      </c>
      <c r="Y183" s="2"/>
      <c r="Z183" s="6">
        <f t="shared" si="36"/>
        <v>0</v>
      </c>
    </row>
    <row r="184" spans="1:26" s="24" customFormat="1" hidden="1" outlineLevel="2" x14ac:dyDescent="0.25">
      <c r="A184" s="26"/>
      <c r="B184" s="11" t="str">
        <f>CONCATENATE("          ", "6004", " - ", "STAFF HOURLY")</f>
        <v xml:space="preserve">          6004 - STAFF HOURLY</v>
      </c>
      <c r="C184" s="11"/>
      <c r="D184" s="7">
        <v>11060.64</v>
      </c>
      <c r="E184" s="2"/>
      <c r="F184" s="6">
        <f t="shared" si="29"/>
        <v>4.1955127831887887E-2</v>
      </c>
      <c r="G184" s="2"/>
      <c r="H184" s="7">
        <v>21701.512381999997</v>
      </c>
      <c r="I184" s="2"/>
      <c r="J184" s="6">
        <f t="shared" si="30"/>
        <v>1.9797910636458894E-2</v>
      </c>
      <c r="K184" s="2"/>
      <c r="L184" s="7">
        <f t="shared" si="31"/>
        <v>-10640.872381999998</v>
      </c>
      <c r="M184" s="2"/>
      <c r="N184" s="6">
        <f t="shared" si="32"/>
        <v>-0.49032860911693482</v>
      </c>
      <c r="O184" s="11"/>
      <c r="P184" s="7">
        <v>62836.97</v>
      </c>
      <c r="Q184" s="2"/>
      <c r="R184" s="6">
        <f t="shared" si="33"/>
        <v>6.9611916267392181E-3</v>
      </c>
      <c r="S184" s="2"/>
      <c r="T184" s="7">
        <v>255767.50483400002</v>
      </c>
      <c r="U184" s="2"/>
      <c r="V184" s="6">
        <f t="shared" si="34"/>
        <v>2.2029543766181724E-2</v>
      </c>
      <c r="W184" s="2"/>
      <c r="X184" s="7">
        <f t="shared" si="35"/>
        <v>-192930.53483400002</v>
      </c>
      <c r="Y184" s="2"/>
      <c r="Z184" s="6">
        <f t="shared" si="36"/>
        <v>-0.75431996319945771</v>
      </c>
    </row>
    <row r="185" spans="1:26" s="24" customFormat="1" hidden="1" outlineLevel="2" x14ac:dyDescent="0.25">
      <c r="A185" s="26"/>
      <c r="B185" s="11" t="str">
        <f>CONCATENATE("          ", "6005", " - ", "TEMPORARY WAGES-HOURLY")</f>
        <v xml:space="preserve">          6005 - TEMPORARY WAGES-HOURLY</v>
      </c>
      <c r="C185" s="11"/>
      <c r="D185" s="7">
        <v>8052.32</v>
      </c>
      <c r="E185" s="2"/>
      <c r="F185" s="6">
        <f t="shared" si="29"/>
        <v>3.0543993380425318E-2</v>
      </c>
      <c r="G185" s="2"/>
      <c r="H185" s="7">
        <v>3545.84</v>
      </c>
      <c r="I185" s="2"/>
      <c r="J185" s="6">
        <f t="shared" si="30"/>
        <v>3.234807888753779E-3</v>
      </c>
      <c r="K185" s="2"/>
      <c r="L185" s="7">
        <f t="shared" si="31"/>
        <v>4506.4799999999996</v>
      </c>
      <c r="M185" s="2"/>
      <c r="N185" s="6">
        <f t="shared" si="32"/>
        <v>1.2709202896915821</v>
      </c>
      <c r="O185" s="11"/>
      <c r="P185" s="7">
        <v>188348.22</v>
      </c>
      <c r="Q185" s="2"/>
      <c r="R185" s="6">
        <f t="shared" si="33"/>
        <v>2.0865551791807213E-2</v>
      </c>
      <c r="S185" s="2"/>
      <c r="T185" s="7">
        <v>37161.519999999997</v>
      </c>
      <c r="U185" s="2"/>
      <c r="V185" s="6">
        <f t="shared" si="34"/>
        <v>3.2007636458320382E-3</v>
      </c>
      <c r="W185" s="2"/>
      <c r="X185" s="7">
        <f t="shared" si="35"/>
        <v>151186.70000000001</v>
      </c>
      <c r="Y185" s="2"/>
      <c r="Z185" s="6">
        <f t="shared" si="36"/>
        <v>4.0683669559264537</v>
      </c>
    </row>
    <row r="186" spans="1:26" s="24" customFormat="1" hidden="1" outlineLevel="2" x14ac:dyDescent="0.25">
      <c r="A186" s="26"/>
      <c r="B186" s="11" t="str">
        <f>CONCATENATE("          ", "6006", " - ", "TEMPORARY PART TIME")</f>
        <v xml:space="preserve">          6006 - TEMPORARY PART TIME</v>
      </c>
      <c r="C186" s="11"/>
      <c r="D186" s="7">
        <v>1929.14</v>
      </c>
      <c r="E186" s="2"/>
      <c r="F186" s="6">
        <f t="shared" si="29"/>
        <v>7.3175978339054711E-3</v>
      </c>
      <c r="G186" s="2"/>
      <c r="H186" s="7">
        <v>0</v>
      </c>
      <c r="I186" s="2"/>
      <c r="J186" s="6">
        <f t="shared" si="30"/>
        <v>0</v>
      </c>
      <c r="K186" s="2"/>
      <c r="L186" s="7">
        <f t="shared" si="31"/>
        <v>1929.14</v>
      </c>
      <c r="M186" s="2"/>
      <c r="N186" s="6">
        <f t="shared" si="32"/>
        <v>0</v>
      </c>
      <c r="O186" s="11"/>
      <c r="P186" s="7">
        <v>35085.4</v>
      </c>
      <c r="Q186" s="2"/>
      <c r="R186" s="6">
        <f t="shared" si="33"/>
        <v>3.8868231982031624E-3</v>
      </c>
      <c r="S186" s="2"/>
      <c r="T186" s="7">
        <v>0</v>
      </c>
      <c r="U186" s="2"/>
      <c r="V186" s="6">
        <f t="shared" si="34"/>
        <v>0</v>
      </c>
      <c r="W186" s="2"/>
      <c r="X186" s="7">
        <f t="shared" si="35"/>
        <v>35085.4</v>
      </c>
      <c r="Y186" s="2"/>
      <c r="Z186" s="6">
        <f t="shared" si="36"/>
        <v>0</v>
      </c>
    </row>
    <row r="187" spans="1:26" s="24" customFormat="1" hidden="1" outlineLevel="2" x14ac:dyDescent="0.25">
      <c r="A187" s="26"/>
      <c r="B187" s="11" t="str">
        <f>CONCATENATE("          ", "6007", " - ", "STUDENT HOURLY")</f>
        <v xml:space="preserve">          6007 - STUDENT HOURLY</v>
      </c>
      <c r="C187" s="11"/>
      <c r="D187" s="7">
        <v>18083.46</v>
      </c>
      <c r="E187" s="2"/>
      <c r="F187" s="6">
        <f t="shared" si="29"/>
        <v>6.859403035835461E-2</v>
      </c>
      <c r="G187" s="2"/>
      <c r="H187" s="7">
        <v>23132.8125</v>
      </c>
      <c r="I187" s="2"/>
      <c r="J187" s="6">
        <f t="shared" si="30"/>
        <v>2.1103660730338095E-2</v>
      </c>
      <c r="K187" s="2"/>
      <c r="L187" s="7">
        <f t="shared" si="31"/>
        <v>-5049.3525000000009</v>
      </c>
      <c r="M187" s="2"/>
      <c r="N187" s="6">
        <f t="shared" si="32"/>
        <v>-0.21827663627152993</v>
      </c>
      <c r="O187" s="11"/>
      <c r="P187" s="7">
        <v>788834.47</v>
      </c>
      <c r="Q187" s="2"/>
      <c r="R187" s="6">
        <f t="shared" si="33"/>
        <v>8.7388489729012531E-2</v>
      </c>
      <c r="S187" s="2"/>
      <c r="T187" s="7">
        <v>207957.85170120001</v>
      </c>
      <c r="U187" s="2"/>
      <c r="V187" s="6">
        <f t="shared" si="34"/>
        <v>1.7911644399651341E-2</v>
      </c>
      <c r="W187" s="2"/>
      <c r="X187" s="7">
        <f t="shared" si="35"/>
        <v>580876.61829879996</v>
      </c>
      <c r="Y187" s="2"/>
      <c r="Z187" s="6">
        <f t="shared" si="36"/>
        <v>2.7932420610567794</v>
      </c>
    </row>
    <row r="188" spans="1:26" s="24" customFormat="1" hidden="1" outlineLevel="2" x14ac:dyDescent="0.25">
      <c r="A188" s="26"/>
      <c r="B188" s="11" t="str">
        <f>CONCATENATE("          ", "6008", " - ", "STUDENT HOURLY-FICA EXEMPT")</f>
        <v xml:space="preserve">          6008 - STUDENT HOURLY-FICA EXEMPT</v>
      </c>
      <c r="C188" s="11"/>
      <c r="D188" s="7"/>
      <c r="E188" s="2"/>
      <c r="F188" s="6">
        <f t="shared" si="29"/>
        <v>0</v>
      </c>
      <c r="G188" s="2"/>
      <c r="H188" s="7">
        <v>70785.693499473608</v>
      </c>
      <c r="I188" s="2"/>
      <c r="J188" s="6">
        <f t="shared" si="30"/>
        <v>6.4576551604980575E-2</v>
      </c>
      <c r="K188" s="2"/>
      <c r="L188" s="7">
        <f t="shared" si="31"/>
        <v>-70785.693499473608</v>
      </c>
      <c r="M188" s="2"/>
      <c r="N188" s="6">
        <f t="shared" si="32"/>
        <v>-1</v>
      </c>
      <c r="O188" s="11"/>
      <c r="P188" s="7">
        <v>15479.92</v>
      </c>
      <c r="Q188" s="2"/>
      <c r="R188" s="6">
        <f t="shared" si="33"/>
        <v>1.7148931510636645E-3</v>
      </c>
      <c r="S188" s="2"/>
      <c r="T188" s="7">
        <v>774194.28751127515</v>
      </c>
      <c r="U188" s="2"/>
      <c r="V188" s="6">
        <f t="shared" si="34"/>
        <v>6.6682227483615478E-2</v>
      </c>
      <c r="W188" s="2"/>
      <c r="X188" s="7">
        <f t="shared" si="35"/>
        <v>-758714.36751127511</v>
      </c>
      <c r="Y188" s="2"/>
      <c r="Z188" s="6">
        <f t="shared" si="36"/>
        <v>-0.98000512242248417</v>
      </c>
    </row>
    <row r="189" spans="1:26" s="24" customFormat="1" hidden="1" outlineLevel="2" x14ac:dyDescent="0.25">
      <c r="A189" s="26"/>
      <c r="B189" s="11" t="str">
        <f>CONCATENATE("          ", "6009", " - ", "TEMPORARY-SEASONAL")</f>
        <v xml:space="preserve">          6009 - TEMPORARY-SEASONAL</v>
      </c>
      <c r="C189" s="11"/>
      <c r="D189" s="7"/>
      <c r="E189" s="2"/>
      <c r="F189" s="6">
        <f t="shared" si="29"/>
        <v>0</v>
      </c>
      <c r="G189" s="2"/>
      <c r="H189" s="7">
        <v>0</v>
      </c>
      <c r="I189" s="2"/>
      <c r="J189" s="6">
        <f t="shared" si="30"/>
        <v>0</v>
      </c>
      <c r="K189" s="2"/>
      <c r="L189" s="7">
        <f t="shared" si="31"/>
        <v>0</v>
      </c>
      <c r="M189" s="2"/>
      <c r="N189" s="6">
        <f t="shared" si="32"/>
        <v>0</v>
      </c>
      <c r="O189" s="11"/>
      <c r="P189" s="7"/>
      <c r="Q189" s="2"/>
      <c r="R189" s="6">
        <f t="shared" si="33"/>
        <v>0</v>
      </c>
      <c r="S189" s="2"/>
      <c r="T189" s="7">
        <v>0</v>
      </c>
      <c r="U189" s="2"/>
      <c r="V189" s="6">
        <f t="shared" si="34"/>
        <v>0</v>
      </c>
      <c r="W189" s="2"/>
      <c r="X189" s="7">
        <f t="shared" si="35"/>
        <v>0</v>
      </c>
      <c r="Y189" s="2"/>
      <c r="Z189" s="6">
        <f t="shared" si="36"/>
        <v>0</v>
      </c>
    </row>
    <row r="190" spans="1:26" s="24" customFormat="1" hidden="1" outlineLevel="2" x14ac:dyDescent="0.25">
      <c r="A190" s="26"/>
      <c r="B190" s="11" t="str">
        <f>CONCATENATE("          ", "6010", " - ", "GRATUITY")</f>
        <v xml:space="preserve">          6010 - GRATUITY</v>
      </c>
      <c r="C190" s="11"/>
      <c r="D190" s="7"/>
      <c r="E190" s="2"/>
      <c r="F190" s="6">
        <f t="shared" si="29"/>
        <v>0</v>
      </c>
      <c r="G190" s="2"/>
      <c r="H190" s="7">
        <v>0</v>
      </c>
      <c r="I190" s="2"/>
      <c r="J190" s="6">
        <f t="shared" si="30"/>
        <v>0</v>
      </c>
      <c r="K190" s="2"/>
      <c r="L190" s="7">
        <f t="shared" si="31"/>
        <v>0</v>
      </c>
      <c r="M190" s="2"/>
      <c r="N190" s="6">
        <f t="shared" si="32"/>
        <v>0</v>
      </c>
      <c r="O190" s="11"/>
      <c r="P190" s="7"/>
      <c r="Q190" s="2"/>
      <c r="R190" s="6">
        <f t="shared" si="33"/>
        <v>0</v>
      </c>
      <c r="S190" s="2"/>
      <c r="T190" s="7">
        <v>0</v>
      </c>
      <c r="U190" s="2"/>
      <c r="V190" s="6">
        <f t="shared" si="34"/>
        <v>0</v>
      </c>
      <c r="W190" s="2"/>
      <c r="X190" s="7">
        <f t="shared" si="35"/>
        <v>0</v>
      </c>
      <c r="Y190" s="2"/>
      <c r="Z190" s="6">
        <f t="shared" si="36"/>
        <v>0</v>
      </c>
    </row>
    <row r="191" spans="1:26" s="27" customFormat="1" outlineLevel="1" collapsed="1" x14ac:dyDescent="0.25">
      <c r="A191" s="25"/>
      <c r="B191" s="12" t="str">
        <f>CONCATENATE("     ","Advertising/Promo                                 ")</f>
        <v xml:space="preserve">     Advertising/Promo                                 </v>
      </c>
      <c r="C191" s="12"/>
      <c r="D191" s="1">
        <f>SUM(OSRRefD22_2x_0)</f>
        <v>1029</v>
      </c>
      <c r="E191" s="1"/>
      <c r="F191" s="5">
        <f t="shared" ref="F191:F195" si="37">IF(D$12=0,0,D191/D$12)</f>
        <v>3.9031942581091725E-3</v>
      </c>
      <c r="G191" s="1"/>
      <c r="H191" s="1">
        <f>SUM(OSRRefH22_2x_0)</f>
        <v>3770</v>
      </c>
      <c r="I191" s="1"/>
      <c r="J191" s="5">
        <f t="shared" ref="J191:J195" si="38">IF(H$12=0,0,H191/H$12)</f>
        <v>3.4393051408415911E-3</v>
      </c>
      <c r="K191" s="1"/>
      <c r="L191" s="1">
        <f t="shared" ref="L191:L195" si="39">+D191-H191</f>
        <v>-2741</v>
      </c>
      <c r="M191" s="1"/>
      <c r="N191" s="5">
        <f t="shared" ref="N191:N195" si="40">IF(H191=0,0,L191/H191)</f>
        <v>-0.72705570291777188</v>
      </c>
      <c r="O191" s="12"/>
      <c r="P191" s="1">
        <f>SUM(OSRRefP22_2x_0)</f>
        <v>45471.49</v>
      </c>
      <c r="Q191" s="1"/>
      <c r="R191" s="5">
        <f t="shared" ref="R191:R195" si="41">IF(P$12=0,0,P191/P$12)</f>
        <v>5.0374127753670499E-3</v>
      </c>
      <c r="S191" s="1"/>
      <c r="T191" s="1">
        <f>SUM(OSRRefT22_2x_0)</f>
        <v>68620</v>
      </c>
      <c r="U191" s="1"/>
      <c r="V191" s="5">
        <f t="shared" ref="V191:V195" si="42">IF(T$12=0,0,T191/T$12)</f>
        <v>5.9103180218945429E-3</v>
      </c>
      <c r="W191" s="1"/>
      <c r="X191" s="1">
        <f t="shared" ref="X191:X195" si="43">+P191-T191</f>
        <v>-23148.510000000002</v>
      </c>
      <c r="Y191" s="1"/>
      <c r="Z191" s="5">
        <f t="shared" ref="Z191:Z195" si="44">IF(T191=0,0,X191/T191)</f>
        <v>-0.33734348586417956</v>
      </c>
    </row>
    <row r="192" spans="1:26" s="24" customFormat="1" hidden="1" outlineLevel="2" x14ac:dyDescent="0.25">
      <c r="A192" s="26"/>
      <c r="B192" s="11" t="str">
        <f>CONCATENATE("          ", "6362", " - ", "ADVERTISING EXPENSE")</f>
        <v xml:space="preserve">          6362 - ADVERTISING EXPENSE</v>
      </c>
      <c r="C192" s="11"/>
      <c r="D192" s="7">
        <v>1029</v>
      </c>
      <c r="E192" s="2"/>
      <c r="F192" s="6">
        <f t="shared" si="37"/>
        <v>3.9031942581091725E-3</v>
      </c>
      <c r="G192" s="2"/>
      <c r="H192" s="7">
        <v>3770</v>
      </c>
      <c r="I192" s="2"/>
      <c r="J192" s="6">
        <f t="shared" si="38"/>
        <v>3.4393051408415911E-3</v>
      </c>
      <c r="K192" s="2"/>
      <c r="L192" s="7">
        <f t="shared" si="39"/>
        <v>-2741</v>
      </c>
      <c r="M192" s="2"/>
      <c r="N192" s="6">
        <f t="shared" si="40"/>
        <v>-0.72705570291777188</v>
      </c>
      <c r="O192" s="11"/>
      <c r="P192" s="7">
        <v>45471.49</v>
      </c>
      <c r="Q192" s="2"/>
      <c r="R192" s="6">
        <f t="shared" si="41"/>
        <v>5.0374127753670499E-3</v>
      </c>
      <c r="S192" s="2"/>
      <c r="T192" s="7">
        <v>68620</v>
      </c>
      <c r="U192" s="2"/>
      <c r="V192" s="6">
        <f t="shared" si="42"/>
        <v>5.9103180218945429E-3</v>
      </c>
      <c r="W192" s="2"/>
      <c r="X192" s="7">
        <f t="shared" si="43"/>
        <v>-23148.510000000002</v>
      </c>
      <c r="Y192" s="2"/>
      <c r="Z192" s="6">
        <f t="shared" si="44"/>
        <v>-0.33734348586417956</v>
      </c>
    </row>
    <row r="193" spans="1:26" s="27" customFormat="1" outlineLevel="1" collapsed="1" x14ac:dyDescent="0.25">
      <c r="A193" s="25"/>
      <c r="B193" s="12" t="str">
        <f>CONCATENATE("     ","Bad Debts/Over/Short                              ")</f>
        <v xml:space="preserve">     Bad Debts/Over/Short                              </v>
      </c>
      <c r="C193" s="12"/>
      <c r="D193" s="1">
        <f>SUM(OSRRefD22_3x_0)</f>
        <v>-4.55</v>
      </c>
      <c r="E193" s="1"/>
      <c r="F193" s="5">
        <f t="shared" si="37"/>
        <v>-1.7259022229734436E-5</v>
      </c>
      <c r="G193" s="1"/>
      <c r="H193" s="1">
        <f>SUM(OSRRefH22_3x_0)</f>
        <v>135</v>
      </c>
      <c r="I193" s="1"/>
      <c r="J193" s="5">
        <f t="shared" si="38"/>
        <v>1.2315814164817369E-4</v>
      </c>
      <c r="K193" s="1"/>
      <c r="L193" s="1">
        <f t="shared" si="39"/>
        <v>-139.55000000000001</v>
      </c>
      <c r="M193" s="1"/>
      <c r="N193" s="5">
        <f t="shared" si="40"/>
        <v>-1.0337037037037038</v>
      </c>
      <c r="O193" s="12"/>
      <c r="P193" s="1">
        <f>SUM(OSRRefP22_3x_0)</f>
        <v>-30.92</v>
      </c>
      <c r="Q193" s="1"/>
      <c r="R193" s="5">
        <f t="shared" si="41"/>
        <v>-3.4253727558597531E-6</v>
      </c>
      <c r="S193" s="1"/>
      <c r="T193" s="1">
        <f>SUM(OSRRefT22_3x_0)</f>
        <v>1485</v>
      </c>
      <c r="U193" s="1"/>
      <c r="V193" s="5">
        <f t="shared" si="42"/>
        <v>1.2790472548110458E-4</v>
      </c>
      <c r="W193" s="1"/>
      <c r="X193" s="1">
        <f t="shared" si="43"/>
        <v>-1515.92</v>
      </c>
      <c r="Y193" s="1"/>
      <c r="Z193" s="5">
        <f t="shared" si="44"/>
        <v>-1.0208215488215489</v>
      </c>
    </row>
    <row r="194" spans="1:26" s="24" customFormat="1" hidden="1" outlineLevel="2" x14ac:dyDescent="0.25">
      <c r="A194" s="26"/>
      <c r="B194" s="11" t="str">
        <f>CONCATENATE("          ", "6272", " - ", "CASH (OVER/SHORT)")</f>
        <v xml:space="preserve">          6272 - CASH (OVER/SHORT)</v>
      </c>
      <c r="C194" s="11"/>
      <c r="D194" s="7">
        <v>-4.55</v>
      </c>
      <c r="E194" s="2"/>
      <c r="F194" s="6">
        <f t="shared" si="37"/>
        <v>-1.7259022229734436E-5</v>
      </c>
      <c r="G194" s="2"/>
      <c r="H194" s="7">
        <v>125</v>
      </c>
      <c r="I194" s="2"/>
      <c r="J194" s="6">
        <f t="shared" si="38"/>
        <v>1.1403531634090155E-4</v>
      </c>
      <c r="K194" s="2"/>
      <c r="L194" s="7">
        <f t="shared" si="39"/>
        <v>-129.55000000000001</v>
      </c>
      <c r="M194" s="2"/>
      <c r="N194" s="6">
        <f t="shared" si="40"/>
        <v>-1.0364</v>
      </c>
      <c r="O194" s="11"/>
      <c r="P194" s="7">
        <v>-75.72</v>
      </c>
      <c r="Q194" s="2"/>
      <c r="R194" s="6">
        <f t="shared" si="41"/>
        <v>-8.3883966712063545E-6</v>
      </c>
      <c r="S194" s="2"/>
      <c r="T194" s="7">
        <v>1375</v>
      </c>
      <c r="U194" s="2"/>
      <c r="V194" s="6">
        <f t="shared" si="42"/>
        <v>1.1843030137139312E-4</v>
      </c>
      <c r="W194" s="2"/>
      <c r="X194" s="7">
        <f t="shared" si="43"/>
        <v>-1450.72</v>
      </c>
      <c r="Y194" s="2"/>
      <c r="Z194" s="6">
        <f t="shared" si="44"/>
        <v>-1.055069090909091</v>
      </c>
    </row>
    <row r="195" spans="1:26" s="24" customFormat="1" hidden="1" outlineLevel="2" x14ac:dyDescent="0.25">
      <c r="A195" s="26"/>
      <c r="B195" s="11" t="str">
        <f>CONCATENATE("          ", "6342", " - ", "BAD DEBT")</f>
        <v xml:space="preserve">          6342 - BAD DEBT</v>
      </c>
      <c r="C195" s="11"/>
      <c r="D195" s="7"/>
      <c r="E195" s="2"/>
      <c r="F195" s="6">
        <f t="shared" si="37"/>
        <v>0</v>
      </c>
      <c r="G195" s="2"/>
      <c r="H195" s="7">
        <v>10</v>
      </c>
      <c r="I195" s="2"/>
      <c r="J195" s="6">
        <f t="shared" si="38"/>
        <v>9.1228253072721251E-6</v>
      </c>
      <c r="K195" s="2"/>
      <c r="L195" s="7">
        <f t="shared" si="39"/>
        <v>-10</v>
      </c>
      <c r="M195" s="2"/>
      <c r="N195" s="6">
        <f t="shared" si="40"/>
        <v>-1</v>
      </c>
      <c r="O195" s="11"/>
      <c r="P195" s="7">
        <v>44.8</v>
      </c>
      <c r="Q195" s="2"/>
      <c r="R195" s="6">
        <f t="shared" si="41"/>
        <v>4.963023915346601E-6</v>
      </c>
      <c r="S195" s="2"/>
      <c r="T195" s="7">
        <v>110</v>
      </c>
      <c r="U195" s="2"/>
      <c r="V195" s="6">
        <f t="shared" si="42"/>
        <v>9.4744241097114505E-6</v>
      </c>
      <c r="W195" s="2"/>
      <c r="X195" s="7">
        <f t="shared" si="43"/>
        <v>-65.2</v>
      </c>
      <c r="Y195" s="2"/>
      <c r="Z195" s="6">
        <f t="shared" si="44"/>
        <v>-0.59272727272727277</v>
      </c>
    </row>
    <row r="196" spans="1:26" s="27" customFormat="1" outlineLevel="1" collapsed="1" x14ac:dyDescent="0.25">
      <c r="A196" s="25"/>
      <c r="B196" s="12" t="str">
        <f>CONCATENATE("     ","Bank/card Fees                                    ")</f>
        <v xml:space="preserve">     Bank/card Fees                                    </v>
      </c>
      <c r="C196" s="12"/>
      <c r="D196" s="1">
        <f>SUM(OSRRefD22_4x_0)</f>
        <v>5413.34</v>
      </c>
      <c r="E196" s="1"/>
      <c r="F196" s="5">
        <f t="shared" ref="F196:F202" si="45">IF(D$12=0,0,D196/D$12)</f>
        <v>2.0533836351013322E-2</v>
      </c>
      <c r="G196" s="1"/>
      <c r="H196" s="1">
        <f>SUM(OSRRefH22_4x_0)</f>
        <v>11000</v>
      </c>
      <c r="I196" s="1"/>
      <c r="J196" s="5">
        <f t="shared" ref="J196:J202" si="46">IF(H$12=0,0,H196/H$12)</f>
        <v>1.0035107837999336E-2</v>
      </c>
      <c r="K196" s="1"/>
      <c r="L196" s="1">
        <f t="shared" ref="L196:L202" si="47">+D196-H196</f>
        <v>-5586.66</v>
      </c>
      <c r="M196" s="1"/>
      <c r="N196" s="5">
        <f t="shared" ref="N196:N202" si="48">IF(H196=0,0,L196/H196)</f>
        <v>-0.50787818181818178</v>
      </c>
      <c r="O196" s="12"/>
      <c r="P196" s="1">
        <f>SUM(OSRRefP22_4x_0)</f>
        <v>145245.03</v>
      </c>
      <c r="Q196" s="1"/>
      <c r="R196" s="5">
        <f t="shared" ref="R196:R202" si="49">IF(P$12=0,0,P196/P$12)</f>
        <v>1.6090503515072203E-2</v>
      </c>
      <c r="S196" s="1"/>
      <c r="T196" s="1">
        <f>SUM(OSRRefT22_4x_0)</f>
        <v>181385</v>
      </c>
      <c r="U196" s="1"/>
      <c r="V196" s="5">
        <f t="shared" ref="V196:V202" si="50">IF(T$12=0,0,T196/T$12)</f>
        <v>1.562289470127283E-2</v>
      </c>
      <c r="W196" s="1"/>
      <c r="X196" s="1">
        <f t="shared" ref="X196:X202" si="51">+P196-T196</f>
        <v>-36139.97</v>
      </c>
      <c r="Y196" s="1"/>
      <c r="Z196" s="5">
        <f t="shared" ref="Z196:Z202" si="52">IF(T196=0,0,X196/T196)</f>
        <v>-0.1992445351048874</v>
      </c>
    </row>
    <row r="197" spans="1:26" s="24" customFormat="1" hidden="1" outlineLevel="2" x14ac:dyDescent="0.25">
      <c r="A197" s="26"/>
      <c r="B197" s="11" t="str">
        <f>CONCATENATE("          ", "6381", " - ", "BANK/CREDIT CARD FEES")</f>
        <v xml:space="preserve">          6381 - BANK/CREDIT CARD FEES</v>
      </c>
      <c r="C197" s="11"/>
      <c r="D197" s="7">
        <v>5413.34</v>
      </c>
      <c r="E197" s="2"/>
      <c r="F197" s="6">
        <f t="shared" si="45"/>
        <v>2.0533836351013322E-2</v>
      </c>
      <c r="G197" s="2"/>
      <c r="H197" s="7">
        <v>11000</v>
      </c>
      <c r="I197" s="2"/>
      <c r="J197" s="6">
        <f t="shared" si="46"/>
        <v>1.0035107837999336E-2</v>
      </c>
      <c r="K197" s="2"/>
      <c r="L197" s="7">
        <f t="shared" si="47"/>
        <v>-5586.66</v>
      </c>
      <c r="M197" s="2"/>
      <c r="N197" s="6">
        <f t="shared" si="48"/>
        <v>-0.50787818181818178</v>
      </c>
      <c r="O197" s="11"/>
      <c r="P197" s="7">
        <v>145245.03</v>
      </c>
      <c r="Q197" s="2"/>
      <c r="R197" s="6">
        <f t="shared" si="49"/>
        <v>1.6090503515072203E-2</v>
      </c>
      <c r="S197" s="2"/>
      <c r="T197" s="7">
        <v>181385</v>
      </c>
      <c r="U197" s="2"/>
      <c r="V197" s="6">
        <f t="shared" si="50"/>
        <v>1.562289470127283E-2</v>
      </c>
      <c r="W197" s="2"/>
      <c r="X197" s="7">
        <f t="shared" si="51"/>
        <v>-36139.97</v>
      </c>
      <c r="Y197" s="2"/>
      <c r="Z197" s="6">
        <f t="shared" si="52"/>
        <v>-0.1992445351048874</v>
      </c>
    </row>
    <row r="198" spans="1:26" s="27" customFormat="1" outlineLevel="1" collapsed="1" x14ac:dyDescent="0.25">
      <c r="A198" s="25"/>
      <c r="B198" s="12" t="str">
        <f>CONCATENATE("     ","Depreciation                                      ")</f>
        <v xml:space="preserve">     Depreciation                                      </v>
      </c>
      <c r="C198" s="12"/>
      <c r="D198" s="1">
        <f>SUM(OSRRefD22_5x_0)</f>
        <v>30349.48</v>
      </c>
      <c r="E198" s="1"/>
      <c r="F198" s="5">
        <f t="shared" si="45"/>
        <v>0.11512139560019355</v>
      </c>
      <c r="G198" s="1"/>
      <c r="H198" s="1">
        <f>SUM(OSRRefH22_5x_0)</f>
        <v>31271</v>
      </c>
      <c r="I198" s="1"/>
      <c r="J198" s="5">
        <f t="shared" si="46"/>
        <v>2.852798701837066E-2</v>
      </c>
      <c r="K198" s="1"/>
      <c r="L198" s="1">
        <f t="shared" si="47"/>
        <v>-921.52000000000044</v>
      </c>
      <c r="M198" s="1"/>
      <c r="N198" s="5">
        <f t="shared" si="48"/>
        <v>-2.9468836941575274E-2</v>
      </c>
      <c r="O198" s="12"/>
      <c r="P198" s="1">
        <f>SUM(OSRRefP22_5x_0)</f>
        <v>329032.42000000004</v>
      </c>
      <c r="Q198" s="1"/>
      <c r="R198" s="5">
        <f t="shared" si="49"/>
        <v>3.6450798423758209E-2</v>
      </c>
      <c r="S198" s="1"/>
      <c r="T198" s="1">
        <f>SUM(OSRRefT22_5x_0)</f>
        <v>338398</v>
      </c>
      <c r="U198" s="1"/>
      <c r="V198" s="5">
        <f t="shared" si="50"/>
        <v>2.9146601544346683E-2</v>
      </c>
      <c r="W198" s="1"/>
      <c r="X198" s="1">
        <f t="shared" si="51"/>
        <v>-9365.5799999999581</v>
      </c>
      <c r="Y198" s="1"/>
      <c r="Z198" s="5">
        <f t="shared" si="52"/>
        <v>-2.7676227400871039E-2</v>
      </c>
    </row>
    <row r="199" spans="1:26" s="24" customFormat="1" hidden="1" outlineLevel="2" x14ac:dyDescent="0.25">
      <c r="A199" s="26"/>
      <c r="B199" s="11" t="str">
        <f>CONCATENATE("          ", "6321", " - ", "BUILDING DEPRECIATION")</f>
        <v xml:space="preserve">          6321 - BUILDING DEPRECIATION</v>
      </c>
      <c r="C199" s="11"/>
      <c r="D199" s="7">
        <v>16396.52</v>
      </c>
      <c r="E199" s="2"/>
      <c r="F199" s="6">
        <f t="shared" si="45"/>
        <v>6.2195143553908858E-2</v>
      </c>
      <c r="G199" s="2"/>
      <c r="H199" s="7">
        <v>16397</v>
      </c>
      <c r="I199" s="2"/>
      <c r="J199" s="6">
        <f t="shared" si="46"/>
        <v>1.4958696656334102E-2</v>
      </c>
      <c r="K199" s="2"/>
      <c r="L199" s="7">
        <f t="shared" si="47"/>
        <v>-0.47999999999956344</v>
      </c>
      <c r="M199" s="2"/>
      <c r="N199" s="6">
        <f t="shared" si="48"/>
        <v>-2.927364761844017E-5</v>
      </c>
      <c r="O199" s="11"/>
      <c r="P199" s="7">
        <v>180361.72</v>
      </c>
      <c r="Q199" s="2"/>
      <c r="R199" s="6">
        <f t="shared" si="49"/>
        <v>1.9980793075291239E-2</v>
      </c>
      <c r="S199" s="2"/>
      <c r="T199" s="7">
        <v>180535</v>
      </c>
      <c r="U199" s="2"/>
      <c r="V199" s="6">
        <f t="shared" si="50"/>
        <v>1.5549683242243241E-2</v>
      </c>
      <c r="W199" s="2"/>
      <c r="X199" s="7">
        <f t="shared" si="51"/>
        <v>-173.27999999999884</v>
      </c>
      <c r="Y199" s="2"/>
      <c r="Z199" s="6">
        <f t="shared" si="52"/>
        <v>-9.5981388650399554E-4</v>
      </c>
    </row>
    <row r="200" spans="1:26" s="24" customFormat="1" hidden="1" outlineLevel="2" x14ac:dyDescent="0.25">
      <c r="A200" s="26"/>
      <c r="B200" s="11" t="str">
        <f>CONCATENATE("          ", "6322", " - ", "EQUIPMENT DEPRECIATION EXPENSE")</f>
        <v xml:space="preserve">          6322 - EQUIPMENT DEPRECIATION EXPENSE</v>
      </c>
      <c r="C200" s="11"/>
      <c r="D200" s="7">
        <v>13952.96</v>
      </c>
      <c r="E200" s="2"/>
      <c r="F200" s="6">
        <f t="shared" si="45"/>
        <v>5.2926252046284698E-2</v>
      </c>
      <c r="G200" s="2"/>
      <c r="H200" s="7">
        <v>13049</v>
      </c>
      <c r="I200" s="2"/>
      <c r="J200" s="6">
        <f t="shared" si="46"/>
        <v>1.1904374743459395E-2</v>
      </c>
      <c r="K200" s="2"/>
      <c r="L200" s="7">
        <f t="shared" si="47"/>
        <v>903.95999999999913</v>
      </c>
      <c r="M200" s="2"/>
      <c r="N200" s="6">
        <f t="shared" si="48"/>
        <v>6.9274273890719523E-2</v>
      </c>
      <c r="O200" s="11"/>
      <c r="P200" s="7">
        <v>148670.70000000001</v>
      </c>
      <c r="Q200" s="2"/>
      <c r="R200" s="6">
        <f t="shared" si="49"/>
        <v>1.6470005348466966E-2</v>
      </c>
      <c r="S200" s="2"/>
      <c r="T200" s="7">
        <v>143539</v>
      </c>
      <c r="U200" s="2"/>
      <c r="V200" s="6">
        <f t="shared" si="50"/>
        <v>1.2363176020762472E-2</v>
      </c>
      <c r="W200" s="2"/>
      <c r="X200" s="7">
        <f t="shared" si="51"/>
        <v>5131.7000000000116</v>
      </c>
      <c r="Y200" s="2"/>
      <c r="Z200" s="6">
        <f t="shared" si="52"/>
        <v>3.5751259239649238E-2</v>
      </c>
    </row>
    <row r="201" spans="1:26" s="24" customFormat="1" hidden="1" outlineLevel="2" x14ac:dyDescent="0.25">
      <c r="A201" s="26"/>
      <c r="B201" s="11" t="str">
        <f>CONCATENATE("          ", "6324", " - ", "FURNITURE + FIXT DEPRECIATION")</f>
        <v xml:space="preserve">          6324 - FURNITURE + FIXT DEPRECIATION</v>
      </c>
      <c r="C201" s="11"/>
      <c r="D201" s="7"/>
      <c r="E201" s="2"/>
      <c r="F201" s="6">
        <f t="shared" si="45"/>
        <v>0</v>
      </c>
      <c r="G201" s="2"/>
      <c r="H201" s="7">
        <v>1492</v>
      </c>
      <c r="I201" s="2"/>
      <c r="J201" s="6">
        <f t="shared" si="46"/>
        <v>1.3611255358450009E-3</v>
      </c>
      <c r="K201" s="2"/>
      <c r="L201" s="7">
        <f t="shared" si="47"/>
        <v>-1492</v>
      </c>
      <c r="M201" s="2"/>
      <c r="N201" s="6">
        <f t="shared" si="48"/>
        <v>-1</v>
      </c>
      <c r="O201" s="11"/>
      <c r="P201" s="7"/>
      <c r="Q201" s="2"/>
      <c r="R201" s="6">
        <f t="shared" si="49"/>
        <v>0</v>
      </c>
      <c r="S201" s="2"/>
      <c r="T201" s="7">
        <v>11660</v>
      </c>
      <c r="U201" s="2"/>
      <c r="V201" s="6">
        <f t="shared" si="50"/>
        <v>1.0042889556294136E-3</v>
      </c>
      <c r="W201" s="2"/>
      <c r="X201" s="7">
        <f t="shared" si="51"/>
        <v>-11660</v>
      </c>
      <c r="Y201" s="2"/>
      <c r="Z201" s="6">
        <f t="shared" si="52"/>
        <v>-1</v>
      </c>
    </row>
    <row r="202" spans="1:26" s="24" customFormat="1" hidden="1" outlineLevel="2" x14ac:dyDescent="0.25">
      <c r="A202" s="26"/>
      <c r="B202" s="11" t="str">
        <f>CONCATENATE("          ", "6326", " - ", "VEHICLES DEPRECIATION EXPENSE")</f>
        <v xml:space="preserve">          6326 - VEHICLES DEPRECIATION EXPENSE</v>
      </c>
      <c r="C202" s="11"/>
      <c r="D202" s="7"/>
      <c r="E202" s="2"/>
      <c r="F202" s="6">
        <f t="shared" si="45"/>
        <v>0</v>
      </c>
      <c r="G202" s="2"/>
      <c r="H202" s="7">
        <v>333</v>
      </c>
      <c r="I202" s="2"/>
      <c r="J202" s="6">
        <f t="shared" si="46"/>
        <v>3.0379008273216174E-4</v>
      </c>
      <c r="K202" s="2"/>
      <c r="L202" s="7">
        <f t="shared" si="47"/>
        <v>-333</v>
      </c>
      <c r="M202" s="2"/>
      <c r="N202" s="6">
        <f t="shared" si="48"/>
        <v>-1</v>
      </c>
      <c r="O202" s="11"/>
      <c r="P202" s="7"/>
      <c r="Q202" s="2"/>
      <c r="R202" s="6">
        <f t="shared" si="49"/>
        <v>0</v>
      </c>
      <c r="S202" s="2"/>
      <c r="T202" s="7">
        <v>2664</v>
      </c>
      <c r="U202" s="2"/>
      <c r="V202" s="6">
        <f t="shared" si="50"/>
        <v>2.2945332571155729E-4</v>
      </c>
      <c r="W202" s="2"/>
      <c r="X202" s="7">
        <f t="shared" si="51"/>
        <v>-2664</v>
      </c>
      <c r="Y202" s="2"/>
      <c r="Z202" s="6">
        <f t="shared" si="52"/>
        <v>-1</v>
      </c>
    </row>
    <row r="203" spans="1:26" s="27" customFormat="1" outlineLevel="1" collapsed="1" x14ac:dyDescent="0.25">
      <c r="A203" s="25"/>
      <c r="B203" s="12" t="str">
        <f>CONCATENATE("     ","Discounts and Markdowns                           ")</f>
        <v xml:space="preserve">     Discounts and Markdowns                           </v>
      </c>
      <c r="C203" s="12"/>
      <c r="D203" s="1">
        <f>SUM(OSRRefD22_6x_0)</f>
        <v>43517.71</v>
      </c>
      <c r="E203" s="1"/>
      <c r="F203" s="5">
        <f t="shared" ref="F203:F205" si="53">IF(D$12=0,0,D203/D$12)</f>
        <v>0.16507101632464541</v>
      </c>
      <c r="G203" s="1"/>
      <c r="H203" s="1">
        <f>SUM(OSRRefH22_6x_0)</f>
        <v>20325</v>
      </c>
      <c r="I203" s="1"/>
      <c r="J203" s="5">
        <f t="shared" ref="J203:J205" si="54">IF(H$12=0,0,H203/H$12)</f>
        <v>1.8542142437030593E-2</v>
      </c>
      <c r="K203" s="1"/>
      <c r="L203" s="1">
        <f t="shared" ref="L203:L205" si="55">+D203-H203</f>
        <v>23192.71</v>
      </c>
      <c r="M203" s="1"/>
      <c r="N203" s="5">
        <f t="shared" ref="N203:N205" si="56">IF(H203=0,0,L203/H203)</f>
        <v>1.1410927429274291</v>
      </c>
      <c r="O203" s="12"/>
      <c r="P203" s="1">
        <f>SUM(OSRRefP22_6x_0)</f>
        <v>347412.28</v>
      </c>
      <c r="Q203" s="1"/>
      <c r="R203" s="5">
        <f t="shared" ref="R203:R205" si="57">IF(P$12=0,0,P203/P$12)</f>
        <v>3.8486952101006472E-2</v>
      </c>
      <c r="S203" s="1"/>
      <c r="T203" s="1">
        <f>SUM(OSRRefT22_6x_0)</f>
        <v>328275</v>
      </c>
      <c r="U203" s="1"/>
      <c r="V203" s="5">
        <f t="shared" ref="V203:V205" si="58">IF(T$12=0,0,T203/T$12)</f>
        <v>2.827469613286842E-2</v>
      </c>
      <c r="W203" s="1"/>
      <c r="X203" s="1">
        <f t="shared" ref="X203:X205" si="59">+P203-T203</f>
        <v>19137.280000000028</v>
      </c>
      <c r="Y203" s="1"/>
      <c r="Z203" s="5">
        <f t="shared" ref="Z203:Z205" si="60">IF(T203=0,0,X203/T203)</f>
        <v>5.8296489223973888E-2</v>
      </c>
    </row>
    <row r="204" spans="1:26" s="24" customFormat="1" hidden="1" outlineLevel="2" x14ac:dyDescent="0.25">
      <c r="A204" s="26"/>
      <c r="B204" s="11" t="str">
        <f>CONCATENATE("          ", "6382", " - ", "DISCOUNTS/MARK DOWNS")</f>
        <v xml:space="preserve">          6382 - DISCOUNTS/MARK DOWNS</v>
      </c>
      <c r="C204" s="11"/>
      <c r="D204" s="7">
        <v>43517.71</v>
      </c>
      <c r="E204" s="2"/>
      <c r="F204" s="6">
        <f t="shared" si="53"/>
        <v>0.16507101632464541</v>
      </c>
      <c r="G204" s="2"/>
      <c r="H204" s="7">
        <v>20325</v>
      </c>
      <c r="I204" s="2"/>
      <c r="J204" s="6">
        <f t="shared" si="54"/>
        <v>1.8542142437030593E-2</v>
      </c>
      <c r="K204" s="2"/>
      <c r="L204" s="7">
        <f t="shared" si="55"/>
        <v>23192.71</v>
      </c>
      <c r="M204" s="2"/>
      <c r="N204" s="6">
        <f t="shared" si="56"/>
        <v>1.1410927429274291</v>
      </c>
      <c r="O204" s="11"/>
      <c r="P204" s="7">
        <v>350643.9</v>
      </c>
      <c r="Q204" s="2"/>
      <c r="R204" s="6">
        <f t="shared" si="57"/>
        <v>3.8844956729250056E-2</v>
      </c>
      <c r="S204" s="2"/>
      <c r="T204" s="7">
        <v>328275</v>
      </c>
      <c r="U204" s="2"/>
      <c r="V204" s="6">
        <f t="shared" si="58"/>
        <v>2.827469613286842E-2</v>
      </c>
      <c r="W204" s="2"/>
      <c r="X204" s="7">
        <f t="shared" si="59"/>
        <v>22368.900000000023</v>
      </c>
      <c r="Y204" s="2"/>
      <c r="Z204" s="6">
        <f t="shared" si="60"/>
        <v>6.8140735663696661E-2</v>
      </c>
    </row>
    <row r="205" spans="1:26" s="24" customFormat="1" hidden="1" outlineLevel="2" x14ac:dyDescent="0.25">
      <c r="A205" s="26"/>
      <c r="B205" s="11" t="str">
        <f>CONCATENATE("          ", "9175", " - ", "EARNED DISCOUNTS")</f>
        <v xml:space="preserve">          9175 - EARNED DISCOUNTS</v>
      </c>
      <c r="C205" s="11"/>
      <c r="D205" s="7"/>
      <c r="E205" s="2"/>
      <c r="F205" s="6">
        <f t="shared" si="53"/>
        <v>0</v>
      </c>
      <c r="G205" s="2"/>
      <c r="H205" s="7"/>
      <c r="I205" s="2"/>
      <c r="J205" s="6">
        <f t="shared" si="54"/>
        <v>0</v>
      </c>
      <c r="K205" s="2"/>
      <c r="L205" s="7">
        <f t="shared" si="55"/>
        <v>0</v>
      </c>
      <c r="M205" s="2"/>
      <c r="N205" s="6">
        <f t="shared" si="56"/>
        <v>0</v>
      </c>
      <c r="O205" s="11"/>
      <c r="P205" s="7">
        <v>-3231.62</v>
      </c>
      <c r="Q205" s="2"/>
      <c r="R205" s="6">
        <f t="shared" si="57"/>
        <v>-3.5800462824358003E-4</v>
      </c>
      <c r="S205" s="2"/>
      <c r="T205" s="7"/>
      <c r="U205" s="2"/>
      <c r="V205" s="6">
        <f t="shared" si="58"/>
        <v>0</v>
      </c>
      <c r="W205" s="2"/>
      <c r="X205" s="7">
        <f t="shared" si="59"/>
        <v>-3231.62</v>
      </c>
      <c r="Y205" s="2"/>
      <c r="Z205" s="6">
        <f t="shared" si="60"/>
        <v>0</v>
      </c>
    </row>
    <row r="206" spans="1:26" s="27" customFormat="1" outlineLevel="1" collapsed="1" x14ac:dyDescent="0.25">
      <c r="A206" s="25"/>
      <c r="B206" s="12" t="str">
        <f>CONCATENATE("     ","Donations                                         ")</f>
        <v xml:space="preserve">     Donations                                         </v>
      </c>
      <c r="C206" s="12"/>
      <c r="D206" s="1">
        <f>SUM(OSRRefD22_7x_0)</f>
        <v>-1385.81</v>
      </c>
      <c r="E206" s="1"/>
      <c r="F206" s="5">
        <f t="shared" ref="F206:F208" si="61">IF(D$12=0,0,D206/D$12)</f>
        <v>-5.2566429881732478E-3</v>
      </c>
      <c r="G206" s="1"/>
      <c r="H206" s="1">
        <f>SUM(OSRRefH22_7x_0)</f>
        <v>1050</v>
      </c>
      <c r="I206" s="1"/>
      <c r="J206" s="5">
        <f t="shared" ref="J206:J208" si="62">IF(H$12=0,0,H206/H$12)</f>
        <v>9.5789665726357307E-4</v>
      </c>
      <c r="K206" s="1"/>
      <c r="L206" s="1">
        <f t="shared" ref="L206:L208" si="63">+D206-H206</f>
        <v>-2435.81</v>
      </c>
      <c r="M206" s="1"/>
      <c r="N206" s="5">
        <f t="shared" ref="N206:N208" si="64">IF(H206=0,0,L206/H206)</f>
        <v>-2.3198190476190477</v>
      </c>
      <c r="O206" s="12"/>
      <c r="P206" s="1">
        <f>SUM(OSRRefP22_7x_0)</f>
        <v>10985.64</v>
      </c>
      <c r="Q206" s="1"/>
      <c r="R206" s="5">
        <f t="shared" ref="R206:R208" si="65">IF(P$12=0,0,P206/P$12)</f>
        <v>1.2170087956559874E-3</v>
      </c>
      <c r="S206" s="1"/>
      <c r="T206" s="1">
        <f>SUM(OSRRefT22_7x_0)</f>
        <v>11375</v>
      </c>
      <c r="U206" s="1"/>
      <c r="V206" s="5">
        <f t="shared" ref="V206:V208" si="66">IF(T$12=0,0,T206/T$12)</f>
        <v>9.7974158407243398E-4</v>
      </c>
      <c r="W206" s="1"/>
      <c r="X206" s="1">
        <f t="shared" ref="X206:X208" si="67">+P206-T206</f>
        <v>-389.36000000000058</v>
      </c>
      <c r="Y206" s="1"/>
      <c r="Z206" s="5">
        <f t="shared" ref="Z206:Z208" si="68">IF(T206=0,0,X206/T206)</f>
        <v>-3.4229450549450598E-2</v>
      </c>
    </row>
    <row r="207" spans="1:26" s="24" customFormat="1" hidden="1" outlineLevel="2" x14ac:dyDescent="0.25">
      <c r="A207" s="26"/>
      <c r="B207" s="11" t="str">
        <f>CONCATENATE("          ", "6395", " - ", "DONATION-OFF CAMPUS")</f>
        <v xml:space="preserve">          6395 - DONATION-OFF CAMPUS</v>
      </c>
      <c r="C207" s="11"/>
      <c r="D207" s="7"/>
      <c r="E207" s="2"/>
      <c r="F207" s="6">
        <f t="shared" si="61"/>
        <v>0</v>
      </c>
      <c r="G207" s="2"/>
      <c r="H207" s="7">
        <v>1050</v>
      </c>
      <c r="I207" s="2"/>
      <c r="J207" s="6">
        <f t="shared" si="62"/>
        <v>9.5789665726357307E-4</v>
      </c>
      <c r="K207" s="2"/>
      <c r="L207" s="7">
        <f t="shared" si="63"/>
        <v>-1050</v>
      </c>
      <c r="M207" s="2"/>
      <c r="N207" s="6">
        <f t="shared" si="64"/>
        <v>-1</v>
      </c>
      <c r="O207" s="11"/>
      <c r="P207" s="7"/>
      <c r="Q207" s="2"/>
      <c r="R207" s="6">
        <f t="shared" si="65"/>
        <v>0</v>
      </c>
      <c r="S207" s="2"/>
      <c r="T207" s="7">
        <v>11375</v>
      </c>
      <c r="U207" s="2"/>
      <c r="V207" s="6">
        <f t="shared" si="66"/>
        <v>9.7974158407243398E-4</v>
      </c>
      <c r="W207" s="2"/>
      <c r="X207" s="7">
        <f t="shared" si="67"/>
        <v>-11375</v>
      </c>
      <c r="Y207" s="2"/>
      <c r="Z207" s="6">
        <f t="shared" si="68"/>
        <v>-1</v>
      </c>
    </row>
    <row r="208" spans="1:26" s="24" customFormat="1" hidden="1" outlineLevel="2" x14ac:dyDescent="0.25">
      <c r="A208" s="26"/>
      <c r="B208" s="11" t="str">
        <f>CONCATENATE("          ", "6399", " - ", "DONATION-ON CAMPUS")</f>
        <v xml:space="preserve">          6399 - DONATION-ON CAMPUS</v>
      </c>
      <c r="C208" s="11"/>
      <c r="D208" s="7">
        <v>-1385.81</v>
      </c>
      <c r="E208" s="2"/>
      <c r="F208" s="6">
        <f t="shared" si="61"/>
        <v>-5.2566429881732478E-3</v>
      </c>
      <c r="G208" s="2"/>
      <c r="H208" s="7"/>
      <c r="I208" s="2"/>
      <c r="J208" s="6">
        <f t="shared" si="62"/>
        <v>0</v>
      </c>
      <c r="K208" s="2"/>
      <c r="L208" s="7">
        <f t="shared" si="63"/>
        <v>-1385.81</v>
      </c>
      <c r="M208" s="2"/>
      <c r="N208" s="6">
        <f t="shared" si="64"/>
        <v>0</v>
      </c>
      <c r="O208" s="11"/>
      <c r="P208" s="7">
        <v>10985.64</v>
      </c>
      <c r="Q208" s="2"/>
      <c r="R208" s="6">
        <f t="shared" si="65"/>
        <v>1.2170087956559874E-3</v>
      </c>
      <c r="S208" s="2"/>
      <c r="T208" s="7"/>
      <c r="U208" s="2"/>
      <c r="V208" s="6">
        <f t="shared" si="66"/>
        <v>0</v>
      </c>
      <c r="W208" s="2"/>
      <c r="X208" s="7">
        <f t="shared" si="67"/>
        <v>10985.64</v>
      </c>
      <c r="Y208" s="2"/>
      <c r="Z208" s="6">
        <f t="shared" si="68"/>
        <v>0</v>
      </c>
    </row>
    <row r="209" spans="1:26" s="27" customFormat="1" outlineLevel="1" collapsed="1" x14ac:dyDescent="0.25">
      <c r="A209" s="25"/>
      <c r="B209" s="12" t="str">
        <f>CONCATENATE("     ","Employees' Appreciation                           ")</f>
        <v xml:space="preserve">     Employees' Appreciation                           </v>
      </c>
      <c r="C209" s="12"/>
      <c r="D209" s="1">
        <f>SUM(OSRRefD22_8x_0)</f>
        <v>0</v>
      </c>
      <c r="E209" s="1"/>
      <c r="F209" s="5">
        <f t="shared" ref="F209:F215" si="69">IF(D$12=0,0,D209/D$12)</f>
        <v>0</v>
      </c>
      <c r="G209" s="1"/>
      <c r="H209" s="1">
        <f>SUM(OSRRefH22_8x_0)</f>
        <v>750</v>
      </c>
      <c r="I209" s="1"/>
      <c r="J209" s="5">
        <f t="shared" ref="J209:J215" si="70">IF(H$12=0,0,H209/H$12)</f>
        <v>6.842118980454093E-4</v>
      </c>
      <c r="K209" s="1"/>
      <c r="L209" s="1">
        <f t="shared" ref="L209:L215" si="71">+D209-H209</f>
        <v>-750</v>
      </c>
      <c r="M209" s="1"/>
      <c r="N209" s="5">
        <f t="shared" ref="N209:N215" si="72">IF(H209=0,0,L209/H209)</f>
        <v>-1</v>
      </c>
      <c r="O209" s="12"/>
      <c r="P209" s="1">
        <f>SUM(OSRRefP22_8x_0)</f>
        <v>1554.27</v>
      </c>
      <c r="Q209" s="1"/>
      <c r="R209" s="5">
        <f t="shared" ref="R209:R215" si="73">IF(P$12=0,0,P209/P$12)</f>
        <v>1.7218480314521792E-4</v>
      </c>
      <c r="S209" s="1"/>
      <c r="T209" s="1">
        <f>SUM(OSRRefT22_8x_0)</f>
        <v>7925</v>
      </c>
      <c r="U209" s="1"/>
      <c r="V209" s="5">
        <f t="shared" ref="V209:V215" si="74">IF(T$12=0,0,T209/T$12)</f>
        <v>6.825891915405749E-4</v>
      </c>
      <c r="W209" s="1"/>
      <c r="X209" s="1">
        <f t="shared" ref="X209:X215" si="75">+P209-T209</f>
        <v>-6370.73</v>
      </c>
      <c r="Y209" s="1"/>
      <c r="Z209" s="5">
        <f t="shared" ref="Z209:Z215" si="76">IF(T209=0,0,X209/T209)</f>
        <v>-0.80387760252365925</v>
      </c>
    </row>
    <row r="210" spans="1:26" s="24" customFormat="1" hidden="1" outlineLevel="2" x14ac:dyDescent="0.25">
      <c r="A210" s="26"/>
      <c r="B210" s="11" t="str">
        <f>CONCATENATE("          ", "6277", " - ", "EMPLOYEE APPRECIATION")</f>
        <v xml:space="preserve">          6277 - EMPLOYEE APPRECIATION</v>
      </c>
      <c r="C210" s="11"/>
      <c r="D210" s="7"/>
      <c r="E210" s="2"/>
      <c r="F210" s="6">
        <f t="shared" si="69"/>
        <v>0</v>
      </c>
      <c r="G210" s="2"/>
      <c r="H210" s="7">
        <v>750</v>
      </c>
      <c r="I210" s="2"/>
      <c r="J210" s="6">
        <f t="shared" si="70"/>
        <v>6.842118980454093E-4</v>
      </c>
      <c r="K210" s="2"/>
      <c r="L210" s="7">
        <f t="shared" si="71"/>
        <v>-750</v>
      </c>
      <c r="M210" s="2"/>
      <c r="N210" s="6">
        <f t="shared" si="72"/>
        <v>-1</v>
      </c>
      <c r="O210" s="11"/>
      <c r="P210" s="7">
        <v>1554.27</v>
      </c>
      <c r="Q210" s="2"/>
      <c r="R210" s="6">
        <f t="shared" si="73"/>
        <v>1.7218480314521792E-4</v>
      </c>
      <c r="S210" s="2"/>
      <c r="T210" s="7">
        <v>7925</v>
      </c>
      <c r="U210" s="2"/>
      <c r="V210" s="6">
        <f t="shared" si="74"/>
        <v>6.825891915405749E-4</v>
      </c>
      <c r="W210" s="2"/>
      <c r="X210" s="7">
        <f t="shared" si="75"/>
        <v>-6370.73</v>
      </c>
      <c r="Y210" s="2"/>
      <c r="Z210" s="6">
        <f t="shared" si="76"/>
        <v>-0.80387760252365925</v>
      </c>
    </row>
    <row r="211" spans="1:26" s="27" customFormat="1" outlineLevel="1" collapsed="1" x14ac:dyDescent="0.25">
      <c r="A211" s="25"/>
      <c r="B211" s="12" t="str">
        <f>CONCATENATE("     ","Equipment Rental                                  ")</f>
        <v xml:space="preserve">     Equipment Rental                                  </v>
      </c>
      <c r="C211" s="12"/>
      <c r="D211" s="1">
        <f>SUM(OSRRefD22_9x_0)</f>
        <v>1687.5</v>
      </c>
      <c r="E211" s="1"/>
      <c r="F211" s="5">
        <f t="shared" si="69"/>
        <v>6.4010109917971127E-3</v>
      </c>
      <c r="G211" s="1"/>
      <c r="H211" s="1">
        <f>SUM(OSRRefH22_9x_0)</f>
        <v>3225</v>
      </c>
      <c r="I211" s="1"/>
      <c r="J211" s="5">
        <f t="shared" si="70"/>
        <v>2.94211116159526E-3</v>
      </c>
      <c r="K211" s="1"/>
      <c r="L211" s="1">
        <f t="shared" si="71"/>
        <v>-1537.5</v>
      </c>
      <c r="M211" s="1"/>
      <c r="N211" s="5">
        <f t="shared" si="72"/>
        <v>-0.47674418604651164</v>
      </c>
      <c r="O211" s="12"/>
      <c r="P211" s="1">
        <f>SUM(OSRRefP22_9x_0)</f>
        <v>18451.63</v>
      </c>
      <c r="Q211" s="1"/>
      <c r="R211" s="5">
        <f t="shared" si="73"/>
        <v>2.0441044858733664E-3</v>
      </c>
      <c r="S211" s="1"/>
      <c r="T211" s="1">
        <f>SUM(OSRRefT22_9x_0)</f>
        <v>35475</v>
      </c>
      <c r="U211" s="1"/>
      <c r="V211" s="5">
        <f t="shared" si="74"/>
        <v>3.0555017753819426E-3</v>
      </c>
      <c r="W211" s="1"/>
      <c r="X211" s="1">
        <f t="shared" si="75"/>
        <v>-17023.37</v>
      </c>
      <c r="Y211" s="1"/>
      <c r="Z211" s="5">
        <f t="shared" si="76"/>
        <v>-0.47986948555320647</v>
      </c>
    </row>
    <row r="212" spans="1:26" s="24" customFormat="1" hidden="1" outlineLevel="2" x14ac:dyDescent="0.25">
      <c r="A212" s="26"/>
      <c r="B212" s="11" t="str">
        <f>CONCATENATE("          ", "6351", " - ", "EQUIPMENT RENTAL")</f>
        <v xml:space="preserve">          6351 - EQUIPMENT RENTAL</v>
      </c>
      <c r="C212" s="11"/>
      <c r="D212" s="7">
        <v>1687.5</v>
      </c>
      <c r="E212" s="2"/>
      <c r="F212" s="6">
        <f t="shared" si="69"/>
        <v>6.4010109917971127E-3</v>
      </c>
      <c r="G212" s="2"/>
      <c r="H212" s="7">
        <v>3225</v>
      </c>
      <c r="I212" s="2"/>
      <c r="J212" s="6">
        <f t="shared" si="70"/>
        <v>2.94211116159526E-3</v>
      </c>
      <c r="K212" s="2"/>
      <c r="L212" s="7">
        <f t="shared" si="71"/>
        <v>-1537.5</v>
      </c>
      <c r="M212" s="2"/>
      <c r="N212" s="6">
        <f t="shared" si="72"/>
        <v>-0.47674418604651164</v>
      </c>
      <c r="O212" s="11"/>
      <c r="P212" s="7">
        <v>18451.63</v>
      </c>
      <c r="Q212" s="2"/>
      <c r="R212" s="6">
        <f t="shared" si="73"/>
        <v>2.0441044858733664E-3</v>
      </c>
      <c r="S212" s="2"/>
      <c r="T212" s="7">
        <v>35475</v>
      </c>
      <c r="U212" s="2"/>
      <c r="V212" s="6">
        <f t="shared" si="74"/>
        <v>3.0555017753819426E-3</v>
      </c>
      <c r="W212" s="2"/>
      <c r="X212" s="7">
        <f t="shared" si="75"/>
        <v>-17023.37</v>
      </c>
      <c r="Y212" s="2"/>
      <c r="Z212" s="6">
        <f t="shared" si="76"/>
        <v>-0.47986948555320647</v>
      </c>
    </row>
    <row r="213" spans="1:26" s="27" customFormat="1" outlineLevel="1" collapsed="1" x14ac:dyDescent="0.25">
      <c r="A213" s="25"/>
      <c r="B213" s="12" t="str">
        <f>CONCATENATE("     ","Freight out/Postage                               ")</f>
        <v xml:space="preserve">     Freight out/Postage                               </v>
      </c>
      <c r="C213" s="12"/>
      <c r="D213" s="1">
        <f>SUM(OSRRefD22_10x_0)</f>
        <v>6098.17</v>
      </c>
      <c r="E213" s="1"/>
      <c r="F213" s="5">
        <f t="shared" si="69"/>
        <v>2.3131527822131792E-2</v>
      </c>
      <c r="G213" s="1"/>
      <c r="H213" s="1">
        <f>SUM(OSRRefH22_10x_0)</f>
        <v>290</v>
      </c>
      <c r="I213" s="1"/>
      <c r="J213" s="5">
        <f t="shared" si="70"/>
        <v>2.6456193391089162E-4</v>
      </c>
      <c r="K213" s="1"/>
      <c r="L213" s="1">
        <f t="shared" si="71"/>
        <v>5808.17</v>
      </c>
      <c r="M213" s="1"/>
      <c r="N213" s="5">
        <f t="shared" si="72"/>
        <v>20.028172413793104</v>
      </c>
      <c r="O213" s="12"/>
      <c r="P213" s="1">
        <f>SUM(OSRRefP22_10x_0)</f>
        <v>15992.370000000003</v>
      </c>
      <c r="Q213" s="1"/>
      <c r="R213" s="5">
        <f t="shared" si="73"/>
        <v>1.7716632761846328E-3</v>
      </c>
      <c r="S213" s="1"/>
      <c r="T213" s="1">
        <f>SUM(OSRRefT22_10x_0)</f>
        <v>-54510</v>
      </c>
      <c r="U213" s="1"/>
      <c r="V213" s="5">
        <f t="shared" si="74"/>
        <v>-4.6950078020033736E-3</v>
      </c>
      <c r="W213" s="1"/>
      <c r="X213" s="1">
        <f t="shared" si="75"/>
        <v>70502.37</v>
      </c>
      <c r="Y213" s="1"/>
      <c r="Z213" s="5">
        <f t="shared" si="76"/>
        <v>-1.2933841496973031</v>
      </c>
    </row>
    <row r="214" spans="1:26" s="24" customFormat="1" hidden="1" outlineLevel="2" x14ac:dyDescent="0.25">
      <c r="A214" s="26"/>
      <c r="B214" s="11" t="str">
        <f>CONCATENATE("          ", "6305", " - ", "FREIGHT OUT")</f>
        <v xml:space="preserve">          6305 - FREIGHT OUT</v>
      </c>
      <c r="C214" s="11"/>
      <c r="D214" s="7">
        <v>7586</v>
      </c>
      <c r="E214" s="2"/>
      <c r="F214" s="6">
        <f t="shared" si="69"/>
        <v>2.8775152227420976E-2</v>
      </c>
      <c r="G214" s="2"/>
      <c r="H214" s="7">
        <v>250</v>
      </c>
      <c r="I214" s="2"/>
      <c r="J214" s="6">
        <f t="shared" si="70"/>
        <v>2.2807063268180311E-4</v>
      </c>
      <c r="K214" s="2"/>
      <c r="L214" s="7">
        <f t="shared" si="71"/>
        <v>7336</v>
      </c>
      <c r="M214" s="2"/>
      <c r="N214" s="6">
        <f t="shared" si="72"/>
        <v>29.344000000000001</v>
      </c>
      <c r="O214" s="11"/>
      <c r="P214" s="7">
        <v>69911.19</v>
      </c>
      <c r="Q214" s="2"/>
      <c r="R214" s="6">
        <f t="shared" si="73"/>
        <v>7.7448863375075934E-3</v>
      </c>
      <c r="S214" s="2"/>
      <c r="T214" s="7">
        <v>-54950</v>
      </c>
      <c r="U214" s="2"/>
      <c r="V214" s="6">
        <f t="shared" si="74"/>
        <v>-4.7329054984422197E-3</v>
      </c>
      <c r="W214" s="2"/>
      <c r="X214" s="7">
        <f t="shared" si="75"/>
        <v>124861.19</v>
      </c>
      <c r="Y214" s="2"/>
      <c r="Z214" s="6">
        <f t="shared" si="76"/>
        <v>-2.2722691537761603</v>
      </c>
    </row>
    <row r="215" spans="1:26" s="24" customFormat="1" hidden="1" outlineLevel="2" x14ac:dyDescent="0.25">
      <c r="A215" s="26"/>
      <c r="B215" s="11" t="str">
        <f>CONCATENATE("          ", "6307", " - ", "POSTAGE")</f>
        <v xml:space="preserve">          6307 - POSTAGE</v>
      </c>
      <c r="C215" s="11"/>
      <c r="D215" s="7">
        <v>-1487.83</v>
      </c>
      <c r="E215" s="2"/>
      <c r="F215" s="6">
        <f t="shared" si="69"/>
        <v>-5.643624405289184E-3</v>
      </c>
      <c r="G215" s="2"/>
      <c r="H215" s="7">
        <v>40</v>
      </c>
      <c r="I215" s="2"/>
      <c r="J215" s="6">
        <f t="shared" si="70"/>
        <v>3.6491301229088501E-5</v>
      </c>
      <c r="K215" s="2"/>
      <c r="L215" s="7">
        <f t="shared" si="71"/>
        <v>-1527.83</v>
      </c>
      <c r="M215" s="2"/>
      <c r="N215" s="6">
        <f t="shared" si="72"/>
        <v>-38.195749999999997</v>
      </c>
      <c r="O215" s="11"/>
      <c r="P215" s="7">
        <v>-53918.82</v>
      </c>
      <c r="Q215" s="2"/>
      <c r="R215" s="6">
        <f t="shared" si="73"/>
        <v>-5.9732230613229612E-3</v>
      </c>
      <c r="S215" s="2"/>
      <c r="T215" s="7">
        <v>440</v>
      </c>
      <c r="U215" s="2"/>
      <c r="V215" s="6">
        <f t="shared" si="74"/>
        <v>3.7897696438845802E-5</v>
      </c>
      <c r="W215" s="2"/>
      <c r="X215" s="7">
        <f t="shared" si="75"/>
        <v>-54358.82</v>
      </c>
      <c r="Y215" s="2"/>
      <c r="Z215" s="6">
        <f t="shared" si="76"/>
        <v>-123.54277272727272</v>
      </c>
    </row>
    <row r="216" spans="1:26" s="27" customFormat="1" outlineLevel="1" collapsed="1" x14ac:dyDescent="0.25">
      <c r="A216" s="25"/>
      <c r="B216" s="12" t="str">
        <f>CONCATENATE("     ","General                                           ")</f>
        <v xml:space="preserve">     General                                           </v>
      </c>
      <c r="C216" s="12"/>
      <c r="D216" s="1">
        <f>SUM(OSRRefD22_11x_0)</f>
        <v>120.99</v>
      </c>
      <c r="E216" s="1"/>
      <c r="F216" s="5">
        <f t="shared" ref="F216:F230" si="77">IF(D$12=0,0,D216/D$12)</f>
        <v>4.5893826364298227E-4</v>
      </c>
      <c r="G216" s="1"/>
      <c r="H216" s="1">
        <f>SUM(OSRRefH22_11x_0)</f>
        <v>480</v>
      </c>
      <c r="I216" s="1"/>
      <c r="J216" s="5">
        <f t="shared" ref="J216:J230" si="78">IF(H$12=0,0,H216/H$12)</f>
        <v>4.3789561474906198E-4</v>
      </c>
      <c r="K216" s="1"/>
      <c r="L216" s="1">
        <f t="shared" ref="L216:L230" si="79">+D216-H216</f>
        <v>-359.01</v>
      </c>
      <c r="M216" s="1"/>
      <c r="N216" s="5">
        <f t="shared" ref="N216:N230" si="80">IF(H216=0,0,L216/H216)</f>
        <v>-0.74793750000000003</v>
      </c>
      <c r="O216" s="12"/>
      <c r="P216" s="1">
        <f>SUM(OSRRefP22_11x_0)</f>
        <v>-1570.63</v>
      </c>
      <c r="Q216" s="1"/>
      <c r="R216" s="5">
        <f t="shared" ref="R216:R230" si="81">IF(P$12=0,0,P216/P$12)</f>
        <v>-1.7399719312859003E-4</v>
      </c>
      <c r="S216" s="1"/>
      <c r="T216" s="1">
        <f>SUM(OSRRefT22_11x_0)</f>
        <v>33165</v>
      </c>
      <c r="U216" s="1"/>
      <c r="V216" s="5">
        <f t="shared" ref="V216:V230" si="82">IF(T$12=0,0,T216/T$12)</f>
        <v>2.8565388690780023E-3</v>
      </c>
      <c r="W216" s="1"/>
      <c r="X216" s="1">
        <f t="shared" ref="X216:X230" si="83">+P216-T216</f>
        <v>-34735.629999999997</v>
      </c>
      <c r="Y216" s="1"/>
      <c r="Z216" s="5">
        <f t="shared" ref="Z216:Z230" si="84">IF(T216=0,0,X216/T216)</f>
        <v>-1.0473580581938791</v>
      </c>
    </row>
    <row r="217" spans="1:26" s="24" customFormat="1" hidden="1" outlineLevel="2" x14ac:dyDescent="0.25">
      <c r="A217" s="26"/>
      <c r="B217" s="11" t="str">
        <f>CONCATENATE("          ", "6279", " - ", "GENERAL EXPENSE")</f>
        <v xml:space="preserve">          6279 - GENERAL EXPENSE</v>
      </c>
      <c r="C217" s="11"/>
      <c r="D217" s="7">
        <v>120.99</v>
      </c>
      <c r="E217" s="2"/>
      <c r="F217" s="6">
        <f t="shared" si="77"/>
        <v>4.5893826364298227E-4</v>
      </c>
      <c r="G217" s="2"/>
      <c r="H217" s="7">
        <v>480</v>
      </c>
      <c r="I217" s="2"/>
      <c r="J217" s="6">
        <f t="shared" si="78"/>
        <v>4.3789561474906198E-4</v>
      </c>
      <c r="K217" s="2"/>
      <c r="L217" s="7">
        <f t="shared" si="79"/>
        <v>-359.01</v>
      </c>
      <c r="M217" s="2"/>
      <c r="N217" s="6">
        <f t="shared" si="80"/>
        <v>-0.74793750000000003</v>
      </c>
      <c r="O217" s="11"/>
      <c r="P217" s="7">
        <v>-1570.63</v>
      </c>
      <c r="Q217" s="2"/>
      <c r="R217" s="6">
        <f t="shared" si="81"/>
        <v>-1.7399719312859003E-4</v>
      </c>
      <c r="S217" s="2"/>
      <c r="T217" s="7">
        <v>33165</v>
      </c>
      <c r="U217" s="2"/>
      <c r="V217" s="6">
        <f t="shared" si="82"/>
        <v>2.8565388690780023E-3</v>
      </c>
      <c r="W217" s="2"/>
      <c r="X217" s="7">
        <f t="shared" si="83"/>
        <v>-34735.629999999997</v>
      </c>
      <c r="Y217" s="2"/>
      <c r="Z217" s="6">
        <f t="shared" si="84"/>
        <v>-1.0473580581938791</v>
      </c>
    </row>
    <row r="218" spans="1:26" s="27" customFormat="1" outlineLevel="1" collapsed="1" x14ac:dyDescent="0.25">
      <c r="A218" s="25"/>
      <c r="B218" s="12" t="str">
        <f>CONCATENATE("     ","Insurance                                         ")</f>
        <v xml:space="preserve">     Insurance                                         </v>
      </c>
      <c r="C218" s="12"/>
      <c r="D218" s="1">
        <f>SUM(OSRRefD22_12x_0)</f>
        <v>4044.74</v>
      </c>
      <c r="E218" s="1"/>
      <c r="F218" s="5">
        <f t="shared" si="77"/>
        <v>1.5342474191977156E-2</v>
      </c>
      <c r="G218" s="1"/>
      <c r="H218" s="1">
        <f>SUM(OSRRefH22_12x_0)</f>
        <v>3815</v>
      </c>
      <c r="I218" s="1"/>
      <c r="J218" s="5">
        <f t="shared" si="78"/>
        <v>3.4803578547243155E-3</v>
      </c>
      <c r="K218" s="1"/>
      <c r="L218" s="1">
        <f t="shared" si="79"/>
        <v>229.73999999999978</v>
      </c>
      <c r="M218" s="1"/>
      <c r="N218" s="5">
        <f t="shared" si="80"/>
        <v>6.0220183486238477E-2</v>
      </c>
      <c r="O218" s="12"/>
      <c r="P218" s="1">
        <f>SUM(OSRRefP22_12x_0)</f>
        <v>44492.140000000007</v>
      </c>
      <c r="Q218" s="1"/>
      <c r="R218" s="5">
        <f t="shared" si="81"/>
        <v>4.9289186353783298E-3</v>
      </c>
      <c r="S218" s="1"/>
      <c r="T218" s="1">
        <f>SUM(OSRRefT22_12x_0)</f>
        <v>41965</v>
      </c>
      <c r="U218" s="1"/>
      <c r="V218" s="5">
        <f t="shared" si="82"/>
        <v>3.6144927978549179E-3</v>
      </c>
      <c r="W218" s="1"/>
      <c r="X218" s="1">
        <f t="shared" si="83"/>
        <v>2527.1400000000067</v>
      </c>
      <c r="Y218" s="1"/>
      <c r="Z218" s="5">
        <f t="shared" si="84"/>
        <v>6.0220183486238692E-2</v>
      </c>
    </row>
    <row r="219" spans="1:26" s="24" customFormat="1" hidden="1" outlineLevel="2" x14ac:dyDescent="0.25">
      <c r="A219" s="26"/>
      <c r="B219" s="11" t="str">
        <f>CONCATENATE("          ", "6314", " - ", "LIABILITY INSURANCE")</f>
        <v xml:space="preserve">          6314 - LIABILITY INSURANCE</v>
      </c>
      <c r="C219" s="11"/>
      <c r="D219" s="7">
        <v>4044.74</v>
      </c>
      <c r="E219" s="2"/>
      <c r="F219" s="6">
        <f t="shared" si="77"/>
        <v>1.5342474191977156E-2</v>
      </c>
      <c r="G219" s="2"/>
      <c r="H219" s="7">
        <v>3815</v>
      </c>
      <c r="I219" s="2"/>
      <c r="J219" s="6">
        <f t="shared" si="78"/>
        <v>3.4803578547243155E-3</v>
      </c>
      <c r="K219" s="2"/>
      <c r="L219" s="7">
        <f t="shared" si="79"/>
        <v>229.73999999999978</v>
      </c>
      <c r="M219" s="2"/>
      <c r="N219" s="6">
        <f t="shared" si="80"/>
        <v>6.0220183486238477E-2</v>
      </c>
      <c r="O219" s="11"/>
      <c r="P219" s="7">
        <v>44492.140000000007</v>
      </c>
      <c r="Q219" s="2"/>
      <c r="R219" s="6">
        <f t="shared" si="81"/>
        <v>4.9289186353783298E-3</v>
      </c>
      <c r="S219" s="2"/>
      <c r="T219" s="7">
        <v>41965</v>
      </c>
      <c r="U219" s="2"/>
      <c r="V219" s="6">
        <f t="shared" si="82"/>
        <v>3.6144927978549179E-3</v>
      </c>
      <c r="W219" s="2"/>
      <c r="X219" s="7">
        <f t="shared" si="83"/>
        <v>2527.1400000000067</v>
      </c>
      <c r="Y219" s="2"/>
      <c r="Z219" s="6">
        <f t="shared" si="84"/>
        <v>6.0220183486238692E-2</v>
      </c>
    </row>
    <row r="220" spans="1:26" s="27" customFormat="1" outlineLevel="1" collapsed="1" x14ac:dyDescent="0.25">
      <c r="A220" s="25"/>
      <c r="B220" s="12" t="str">
        <f>CONCATENATE("     ","Inventory Adjustment                              ")</f>
        <v xml:space="preserve">     Inventory Adjustment                              </v>
      </c>
      <c r="C220" s="12"/>
      <c r="D220" s="1">
        <f>SUM(OSRRefD22_13x_0)</f>
        <v>4550</v>
      </c>
      <c r="E220" s="1"/>
      <c r="F220" s="5">
        <f t="shared" si="77"/>
        <v>1.7259022229734435E-2</v>
      </c>
      <c r="G220" s="1"/>
      <c r="H220" s="1">
        <f>SUM(OSRRefH22_13x_0)</f>
        <v>4550</v>
      </c>
      <c r="I220" s="1"/>
      <c r="J220" s="5">
        <f t="shared" si="78"/>
        <v>4.1508855148088171E-3</v>
      </c>
      <c r="K220" s="1"/>
      <c r="L220" s="1">
        <f t="shared" si="79"/>
        <v>0</v>
      </c>
      <c r="M220" s="1"/>
      <c r="N220" s="5">
        <f t="shared" si="80"/>
        <v>0</v>
      </c>
      <c r="O220" s="12"/>
      <c r="P220" s="1">
        <f>SUM(OSRRefP22_13x_0)</f>
        <v>53350</v>
      </c>
      <c r="Q220" s="1"/>
      <c r="R220" s="5">
        <f t="shared" si="81"/>
        <v>5.910208167047795E-3</v>
      </c>
      <c r="S220" s="1"/>
      <c r="T220" s="1">
        <f>SUM(OSRRefT22_13x_0)</f>
        <v>53350</v>
      </c>
      <c r="U220" s="1"/>
      <c r="V220" s="5">
        <f t="shared" si="82"/>
        <v>4.5950956932100532E-3</v>
      </c>
      <c r="W220" s="1"/>
      <c r="X220" s="1">
        <f t="shared" si="83"/>
        <v>0</v>
      </c>
      <c r="Y220" s="1"/>
      <c r="Z220" s="5">
        <f t="shared" si="84"/>
        <v>0</v>
      </c>
    </row>
    <row r="221" spans="1:26" s="24" customFormat="1" hidden="1" outlineLevel="2" x14ac:dyDescent="0.25">
      <c r="A221" s="26"/>
      <c r="B221" s="11" t="str">
        <f>CONCATENATE("          ", "6408", " - ", "INVENTORY ADJUSTMENT")</f>
        <v xml:space="preserve">          6408 - INVENTORY ADJUSTMENT</v>
      </c>
      <c r="C221" s="11"/>
      <c r="D221" s="7">
        <v>4550</v>
      </c>
      <c r="E221" s="2"/>
      <c r="F221" s="6">
        <f t="shared" si="77"/>
        <v>1.7259022229734435E-2</v>
      </c>
      <c r="G221" s="2"/>
      <c r="H221" s="7">
        <v>4550</v>
      </c>
      <c r="I221" s="2"/>
      <c r="J221" s="6">
        <f t="shared" si="78"/>
        <v>4.1508855148088171E-3</v>
      </c>
      <c r="K221" s="2"/>
      <c r="L221" s="7">
        <f t="shared" si="79"/>
        <v>0</v>
      </c>
      <c r="M221" s="2"/>
      <c r="N221" s="6">
        <f t="shared" si="80"/>
        <v>0</v>
      </c>
      <c r="O221" s="11"/>
      <c r="P221" s="7">
        <v>53350</v>
      </c>
      <c r="Q221" s="2"/>
      <c r="R221" s="6">
        <f t="shared" si="81"/>
        <v>5.910208167047795E-3</v>
      </c>
      <c r="S221" s="2"/>
      <c r="T221" s="7">
        <v>53350</v>
      </c>
      <c r="U221" s="2"/>
      <c r="V221" s="6">
        <f t="shared" si="82"/>
        <v>4.5950956932100532E-3</v>
      </c>
      <c r="W221" s="2"/>
      <c r="X221" s="7">
        <f t="shared" si="83"/>
        <v>0</v>
      </c>
      <c r="Y221" s="2"/>
      <c r="Z221" s="6">
        <f t="shared" si="84"/>
        <v>0</v>
      </c>
    </row>
    <row r="222" spans="1:26" s="27" customFormat="1" outlineLevel="1" collapsed="1" x14ac:dyDescent="0.25">
      <c r="A222" s="25"/>
      <c r="B222" s="12" t="str">
        <f>CONCATENATE("     ","Professional Services                             ")</f>
        <v xml:space="preserve">     Professional Services                             </v>
      </c>
      <c r="C222" s="12"/>
      <c r="D222" s="1">
        <f>SUM(OSRRefD22_14x_0)</f>
        <v>0</v>
      </c>
      <c r="E222" s="1"/>
      <c r="F222" s="5">
        <f t="shared" si="77"/>
        <v>0</v>
      </c>
      <c r="G222" s="1"/>
      <c r="H222" s="1">
        <f>SUM(OSRRefH22_14x_0)</f>
        <v>1015</v>
      </c>
      <c r="I222" s="1"/>
      <c r="J222" s="5">
        <f t="shared" si="78"/>
        <v>9.2596676868812061E-4</v>
      </c>
      <c r="K222" s="1"/>
      <c r="L222" s="1">
        <f t="shared" si="79"/>
        <v>-1015</v>
      </c>
      <c r="M222" s="1"/>
      <c r="N222" s="5">
        <f t="shared" si="80"/>
        <v>-1</v>
      </c>
      <c r="O222" s="12"/>
      <c r="P222" s="1">
        <f>SUM(OSRRefP22_14x_0)</f>
        <v>9129.56</v>
      </c>
      <c r="Q222" s="1"/>
      <c r="R222" s="5">
        <f t="shared" si="81"/>
        <v>1.0113889423346365E-3</v>
      </c>
      <c r="S222" s="1"/>
      <c r="T222" s="1">
        <f>SUM(OSRRefT22_14x_0)</f>
        <v>14315</v>
      </c>
      <c r="U222" s="1"/>
      <c r="V222" s="5">
        <f t="shared" si="82"/>
        <v>1.23296710118654E-3</v>
      </c>
      <c r="W222" s="1"/>
      <c r="X222" s="1">
        <f t="shared" si="83"/>
        <v>-5185.4400000000005</v>
      </c>
      <c r="Y222" s="1"/>
      <c r="Z222" s="5">
        <f t="shared" si="84"/>
        <v>-0.36223821166608455</v>
      </c>
    </row>
    <row r="223" spans="1:26" s="24" customFormat="1" hidden="1" outlineLevel="2" x14ac:dyDescent="0.25">
      <c r="A223" s="26"/>
      <c r="B223" s="11" t="str">
        <f>CONCATENATE("          ", "6336", " - ", "PROFESSIONAL SERVICES")</f>
        <v xml:space="preserve">          6336 - PROFESSIONAL SERVICES</v>
      </c>
      <c r="C223" s="11"/>
      <c r="D223" s="7"/>
      <c r="E223" s="2"/>
      <c r="F223" s="6">
        <f t="shared" si="77"/>
        <v>0</v>
      </c>
      <c r="G223" s="2"/>
      <c r="H223" s="7">
        <v>1015</v>
      </c>
      <c r="I223" s="2"/>
      <c r="J223" s="6">
        <f t="shared" si="78"/>
        <v>9.2596676868812061E-4</v>
      </c>
      <c r="K223" s="2"/>
      <c r="L223" s="7">
        <f t="shared" si="79"/>
        <v>-1015</v>
      </c>
      <c r="M223" s="2"/>
      <c r="N223" s="6">
        <f t="shared" si="80"/>
        <v>-1</v>
      </c>
      <c r="O223" s="11"/>
      <c r="P223" s="7">
        <v>9129.56</v>
      </c>
      <c r="Q223" s="2"/>
      <c r="R223" s="6">
        <f t="shared" si="81"/>
        <v>1.0113889423346365E-3</v>
      </c>
      <c r="S223" s="2"/>
      <c r="T223" s="7">
        <v>14315</v>
      </c>
      <c r="U223" s="2"/>
      <c r="V223" s="6">
        <f t="shared" si="82"/>
        <v>1.23296710118654E-3</v>
      </c>
      <c r="W223" s="2"/>
      <c r="X223" s="7">
        <f t="shared" si="83"/>
        <v>-5185.4400000000005</v>
      </c>
      <c r="Y223" s="2"/>
      <c r="Z223" s="6">
        <f t="shared" si="84"/>
        <v>-0.36223821166608455</v>
      </c>
    </row>
    <row r="224" spans="1:26" s="27" customFormat="1" outlineLevel="1" collapsed="1" x14ac:dyDescent="0.25">
      <c r="A224" s="25"/>
      <c r="B224" s="12" t="str">
        <f>CONCATENATE("     ","Rent                                              ")</f>
        <v xml:space="preserve">     Rent                                              </v>
      </c>
      <c r="C224" s="12"/>
      <c r="D224" s="1">
        <f>SUM(OSRRefD22_15x_0)</f>
        <v>6100</v>
      </c>
      <c r="E224" s="1"/>
      <c r="F224" s="5">
        <f t="shared" si="77"/>
        <v>2.3138469362940672E-2</v>
      </c>
      <c r="G224" s="1"/>
      <c r="H224" s="1">
        <f>SUM(OSRRefH22_15x_0)</f>
        <v>6400</v>
      </c>
      <c r="I224" s="1"/>
      <c r="J224" s="5">
        <f t="shared" si="78"/>
        <v>5.8386081966541594E-3</v>
      </c>
      <c r="K224" s="1"/>
      <c r="L224" s="1">
        <f t="shared" si="79"/>
        <v>-300</v>
      </c>
      <c r="M224" s="1"/>
      <c r="N224" s="5">
        <f t="shared" si="80"/>
        <v>-4.6875E-2</v>
      </c>
      <c r="O224" s="12"/>
      <c r="P224" s="1">
        <f>SUM(OSRRefP22_15x_0)</f>
        <v>68700</v>
      </c>
      <c r="Q224" s="1"/>
      <c r="R224" s="5">
        <f t="shared" si="81"/>
        <v>7.6107085487569538E-3</v>
      </c>
      <c r="S224" s="1"/>
      <c r="T224" s="1">
        <f>SUM(OSRRefT22_15x_0)</f>
        <v>70400</v>
      </c>
      <c r="U224" s="1"/>
      <c r="V224" s="5">
        <f t="shared" si="82"/>
        <v>6.0636314302153277E-3</v>
      </c>
      <c r="W224" s="1"/>
      <c r="X224" s="1">
        <f t="shared" si="83"/>
        <v>-1700</v>
      </c>
      <c r="Y224" s="1"/>
      <c r="Z224" s="5">
        <f t="shared" si="84"/>
        <v>-2.4147727272727272E-2</v>
      </c>
    </row>
    <row r="225" spans="1:26" s="24" customFormat="1" hidden="1" outlineLevel="2" x14ac:dyDescent="0.25">
      <c r="A225" s="26"/>
      <c r="B225" s="11" t="str">
        <f>CONCATENATE("          ", "6273", " - ", "RENT")</f>
        <v xml:space="preserve">          6273 - RENT</v>
      </c>
      <c r="C225" s="11"/>
      <c r="D225" s="7">
        <v>6100</v>
      </c>
      <c r="E225" s="2"/>
      <c r="F225" s="6">
        <f t="shared" si="77"/>
        <v>2.3138469362940672E-2</v>
      </c>
      <c r="G225" s="2"/>
      <c r="H225" s="7">
        <v>6400</v>
      </c>
      <c r="I225" s="2"/>
      <c r="J225" s="6">
        <f t="shared" si="78"/>
        <v>5.8386081966541594E-3</v>
      </c>
      <c r="K225" s="2"/>
      <c r="L225" s="7">
        <f t="shared" si="79"/>
        <v>-300</v>
      </c>
      <c r="M225" s="2"/>
      <c r="N225" s="6">
        <f t="shared" si="80"/>
        <v>-4.6875E-2</v>
      </c>
      <c r="O225" s="11"/>
      <c r="P225" s="7">
        <v>68700</v>
      </c>
      <c r="Q225" s="2"/>
      <c r="R225" s="6">
        <f t="shared" si="81"/>
        <v>7.6107085487569538E-3</v>
      </c>
      <c r="S225" s="2"/>
      <c r="T225" s="7">
        <v>70400</v>
      </c>
      <c r="U225" s="2"/>
      <c r="V225" s="6">
        <f t="shared" si="82"/>
        <v>6.0636314302153277E-3</v>
      </c>
      <c r="W225" s="2"/>
      <c r="X225" s="7">
        <f t="shared" si="83"/>
        <v>-1700</v>
      </c>
      <c r="Y225" s="2"/>
      <c r="Z225" s="6">
        <f t="shared" si="84"/>
        <v>-2.4147727272727272E-2</v>
      </c>
    </row>
    <row r="226" spans="1:26" s="27" customFormat="1" outlineLevel="1" collapsed="1" x14ac:dyDescent="0.25">
      <c r="A226" s="25"/>
      <c r="B226" s="12" t="str">
        <f>CONCATENATE("     ","Repair and Maintenance                            ")</f>
        <v xml:space="preserve">     Repair and Maintenance                            </v>
      </c>
      <c r="C226" s="12"/>
      <c r="D226" s="1">
        <f>SUM(OSRRefD22_16x_0)</f>
        <v>5285.57</v>
      </c>
      <c r="E226" s="1"/>
      <c r="F226" s="5">
        <f t="shared" si="77"/>
        <v>2.0049180247652183E-2</v>
      </c>
      <c r="G226" s="1"/>
      <c r="H226" s="1">
        <f>SUM(OSRRefH22_16x_0)</f>
        <v>26540</v>
      </c>
      <c r="I226" s="1"/>
      <c r="J226" s="5">
        <f t="shared" si="78"/>
        <v>2.4211978365500219E-2</v>
      </c>
      <c r="K226" s="1"/>
      <c r="L226" s="1">
        <f t="shared" si="79"/>
        <v>-21254.43</v>
      </c>
      <c r="M226" s="1"/>
      <c r="N226" s="5">
        <f t="shared" si="80"/>
        <v>-0.80084513941220803</v>
      </c>
      <c r="O226" s="12"/>
      <c r="P226" s="1">
        <f>SUM(OSRRefP22_16x_0)</f>
        <v>133639.59</v>
      </c>
      <c r="Q226" s="1"/>
      <c r="R226" s="5">
        <f t="shared" si="81"/>
        <v>1.4804832169801664E-2</v>
      </c>
      <c r="S226" s="1"/>
      <c r="T226" s="1">
        <f>SUM(OSRRefT22_16x_0)</f>
        <v>216575</v>
      </c>
      <c r="U226" s="1"/>
      <c r="V226" s="5">
        <f t="shared" si="82"/>
        <v>1.8653849105097792E-2</v>
      </c>
      <c r="W226" s="1"/>
      <c r="X226" s="1">
        <f t="shared" si="83"/>
        <v>-82935.41</v>
      </c>
      <c r="Y226" s="1"/>
      <c r="Z226" s="5">
        <f t="shared" si="84"/>
        <v>-0.38294082881218977</v>
      </c>
    </row>
    <row r="227" spans="1:26" s="24" customFormat="1" hidden="1" outlineLevel="2" x14ac:dyDescent="0.25">
      <c r="A227" s="26"/>
      <c r="B227" s="11" t="str">
        <f>CONCATENATE("          ", "6371", " - ", "COMPUTER SOFTWARE MAINTENANCE")</f>
        <v xml:space="preserve">          6371 - COMPUTER SOFTWARE MAINTENANCE</v>
      </c>
      <c r="C227" s="11"/>
      <c r="D227" s="7"/>
      <c r="E227" s="2"/>
      <c r="F227" s="6">
        <f t="shared" si="77"/>
        <v>0</v>
      </c>
      <c r="G227" s="2"/>
      <c r="H227" s="7">
        <v>12000</v>
      </c>
      <c r="I227" s="2"/>
      <c r="J227" s="6">
        <f t="shared" si="78"/>
        <v>1.0947390368726549E-2</v>
      </c>
      <c r="K227" s="2"/>
      <c r="L227" s="7">
        <f t="shared" si="79"/>
        <v>-12000</v>
      </c>
      <c r="M227" s="2"/>
      <c r="N227" s="6">
        <f t="shared" si="80"/>
        <v>-1</v>
      </c>
      <c r="O227" s="11"/>
      <c r="P227" s="7">
        <v>16417.5</v>
      </c>
      <c r="Q227" s="2"/>
      <c r="R227" s="6">
        <f t="shared" si="81"/>
        <v>1.8187599359420275E-3</v>
      </c>
      <c r="S227" s="2"/>
      <c r="T227" s="7">
        <v>60535.000000000007</v>
      </c>
      <c r="U227" s="2"/>
      <c r="V227" s="6">
        <f t="shared" si="82"/>
        <v>5.2139478498307518E-3</v>
      </c>
      <c r="W227" s="2"/>
      <c r="X227" s="7">
        <f t="shared" si="83"/>
        <v>-44117.500000000007</v>
      </c>
      <c r="Y227" s="2"/>
      <c r="Z227" s="6">
        <f t="shared" si="84"/>
        <v>-0.72879326009746426</v>
      </c>
    </row>
    <row r="228" spans="1:26" s="24" customFormat="1" hidden="1" outlineLevel="2" x14ac:dyDescent="0.25">
      <c r="A228" s="26"/>
      <c r="B228" s="11" t="str">
        <f>CONCATENATE("          ", "6372", " - ", "COMPUTER HARDWARE MAINTENANCE")</f>
        <v xml:space="preserve">          6372 - COMPUTER HARDWARE MAINTENANCE</v>
      </c>
      <c r="C228" s="11"/>
      <c r="D228" s="7"/>
      <c r="E228" s="2"/>
      <c r="F228" s="6">
        <f t="shared" si="77"/>
        <v>0</v>
      </c>
      <c r="G228" s="2"/>
      <c r="H228" s="7"/>
      <c r="I228" s="2"/>
      <c r="J228" s="6">
        <f t="shared" si="78"/>
        <v>0</v>
      </c>
      <c r="K228" s="2"/>
      <c r="L228" s="7">
        <f t="shared" si="79"/>
        <v>0</v>
      </c>
      <c r="M228" s="2"/>
      <c r="N228" s="6">
        <f t="shared" si="80"/>
        <v>0</v>
      </c>
      <c r="O228" s="11"/>
      <c r="P228" s="7">
        <v>52.32</v>
      </c>
      <c r="Q228" s="2"/>
      <c r="R228" s="6">
        <f t="shared" si="81"/>
        <v>5.7961029297083527E-6</v>
      </c>
      <c r="S228" s="2"/>
      <c r="T228" s="7">
        <v>2000</v>
      </c>
      <c r="U228" s="2"/>
      <c r="V228" s="6">
        <f t="shared" si="82"/>
        <v>1.7226225654020817E-4</v>
      </c>
      <c r="W228" s="2"/>
      <c r="X228" s="7">
        <f t="shared" si="83"/>
        <v>-1947.68</v>
      </c>
      <c r="Y228" s="2"/>
      <c r="Z228" s="6">
        <f t="shared" si="84"/>
        <v>-0.97384000000000004</v>
      </c>
    </row>
    <row r="229" spans="1:26" s="24" customFormat="1" hidden="1" outlineLevel="2" x14ac:dyDescent="0.25">
      <c r="A229" s="26"/>
      <c r="B229" s="11" t="str">
        <f>CONCATENATE("          ", "6373", " - ", "MAINTENANCE CONTRACTS")</f>
        <v xml:space="preserve">          6373 - MAINTENANCE CONTRACTS</v>
      </c>
      <c r="C229" s="11"/>
      <c r="D229" s="7">
        <v>3743.93</v>
      </c>
      <c r="E229" s="2"/>
      <c r="F229" s="6">
        <f t="shared" si="77"/>
        <v>1.4201444197048274E-2</v>
      </c>
      <c r="G229" s="2"/>
      <c r="H229" s="7">
        <v>7040</v>
      </c>
      <c r="I229" s="2"/>
      <c r="J229" s="6">
        <f t="shared" si="78"/>
        <v>6.422469016319576E-3</v>
      </c>
      <c r="K229" s="2"/>
      <c r="L229" s="7">
        <f t="shared" si="79"/>
        <v>-3296.07</v>
      </c>
      <c r="M229" s="2"/>
      <c r="N229" s="6">
        <f t="shared" si="80"/>
        <v>-0.46819176136363638</v>
      </c>
      <c r="O229" s="11"/>
      <c r="P229" s="7">
        <v>78674.05</v>
      </c>
      <c r="Q229" s="2"/>
      <c r="R229" s="6">
        <f t="shared" si="81"/>
        <v>8.7156515997137123E-3</v>
      </c>
      <c r="S229" s="2"/>
      <c r="T229" s="7">
        <v>77515</v>
      </c>
      <c r="U229" s="2"/>
      <c r="V229" s="6">
        <f t="shared" si="82"/>
        <v>6.6764544078571188E-3</v>
      </c>
      <c r="W229" s="2"/>
      <c r="X229" s="7">
        <f t="shared" si="83"/>
        <v>1159.0500000000029</v>
      </c>
      <c r="Y229" s="2"/>
      <c r="Z229" s="6">
        <f t="shared" si="84"/>
        <v>1.4952589821324943E-2</v>
      </c>
    </row>
    <row r="230" spans="1:26" s="24" customFormat="1" hidden="1" outlineLevel="2" x14ac:dyDescent="0.25">
      <c r="A230" s="26"/>
      <c r="B230" s="11" t="str">
        <f>CONCATENATE("          ", "6375", " - ", "OUTSIDE REPAIRS &amp; MAINTENANCE")</f>
        <v xml:space="preserve">          6375 - OUTSIDE REPAIRS &amp; MAINTENANCE</v>
      </c>
      <c r="C230" s="11"/>
      <c r="D230" s="7">
        <v>1541.64</v>
      </c>
      <c r="E230" s="2"/>
      <c r="F230" s="6">
        <f t="shared" si="77"/>
        <v>5.8477360506039118E-3</v>
      </c>
      <c r="G230" s="2"/>
      <c r="H230" s="7">
        <v>7500</v>
      </c>
      <c r="I230" s="2"/>
      <c r="J230" s="6">
        <f t="shared" si="78"/>
        <v>6.8421189804540932E-3</v>
      </c>
      <c r="K230" s="2"/>
      <c r="L230" s="7">
        <f t="shared" si="79"/>
        <v>-5958.36</v>
      </c>
      <c r="M230" s="2"/>
      <c r="N230" s="6">
        <f t="shared" si="80"/>
        <v>-0.79444799999999993</v>
      </c>
      <c r="O230" s="11"/>
      <c r="P230" s="7">
        <v>38495.72</v>
      </c>
      <c r="Q230" s="2"/>
      <c r="R230" s="6">
        <f t="shared" si="81"/>
        <v>4.2646245312162158E-3</v>
      </c>
      <c r="S230" s="2"/>
      <c r="T230" s="7">
        <v>76525</v>
      </c>
      <c r="U230" s="2"/>
      <c r="V230" s="6">
        <f t="shared" si="82"/>
        <v>6.5911845908697151E-3</v>
      </c>
      <c r="W230" s="2"/>
      <c r="X230" s="7">
        <f t="shared" si="83"/>
        <v>-38029.279999999999</v>
      </c>
      <c r="Y230" s="2"/>
      <c r="Z230" s="6">
        <f t="shared" si="84"/>
        <v>-0.49695236850702385</v>
      </c>
    </row>
    <row r="231" spans="1:26" s="27" customFormat="1" outlineLevel="1" collapsed="1" x14ac:dyDescent="0.25">
      <c r="A231" s="25"/>
      <c r="B231" s="12" t="str">
        <f>CONCATENATE("     ","Royalty &amp; Commissions                             ")</f>
        <v xml:space="preserve">     Royalty &amp; Commissions                             </v>
      </c>
      <c r="C231" s="12"/>
      <c r="D231" s="1">
        <f>SUM(OSRRefD22_17x_0)</f>
        <v>0</v>
      </c>
      <c r="E231" s="1"/>
      <c r="F231" s="5">
        <f t="shared" ref="F231:F235" si="85">IF(D$12=0,0,D231/D$12)</f>
        <v>0</v>
      </c>
      <c r="G231" s="1"/>
      <c r="H231" s="1">
        <f>SUM(OSRRefH22_17x_0)</f>
        <v>16485</v>
      </c>
      <c r="I231" s="1"/>
      <c r="J231" s="5">
        <f t="shared" ref="J231:J235" si="86">IF(H$12=0,0,H231/H$12)</f>
        <v>1.5038977519038097E-2</v>
      </c>
      <c r="K231" s="1"/>
      <c r="L231" s="1">
        <f t="shared" ref="L231:L235" si="87">+D231-H231</f>
        <v>-16485</v>
      </c>
      <c r="M231" s="1"/>
      <c r="N231" s="5">
        <f t="shared" ref="N231:N235" si="88">IF(H231=0,0,L231/H231)</f>
        <v>-1</v>
      </c>
      <c r="O231" s="12"/>
      <c r="P231" s="1">
        <f>SUM(OSRRefP22_17x_0)</f>
        <v>123449.40000000001</v>
      </c>
      <c r="Q231" s="1"/>
      <c r="R231" s="5">
        <f t="shared" ref="R231:R235" si="89">IF(P$12=0,0,P231/P$12)</f>
        <v>1.3675944744089036E-2</v>
      </c>
      <c r="S231" s="1"/>
      <c r="T231" s="1">
        <f>SUM(OSRRefT22_17x_0)</f>
        <v>181335</v>
      </c>
      <c r="U231" s="1"/>
      <c r="V231" s="5">
        <f t="shared" ref="V231:V235" si="90">IF(T$12=0,0,T231/T$12)</f>
        <v>1.5618588144859325E-2</v>
      </c>
      <c r="W231" s="1"/>
      <c r="X231" s="1">
        <f t="shared" ref="X231:X235" si="91">+P231-T231</f>
        <v>-57885.599999999991</v>
      </c>
      <c r="Y231" s="1"/>
      <c r="Z231" s="5">
        <f t="shared" ref="Z231:Z235" si="92">IF(T231=0,0,X231/T231)</f>
        <v>-0.31921912482422032</v>
      </c>
    </row>
    <row r="232" spans="1:26" s="24" customFormat="1" hidden="1" outlineLevel="2" x14ac:dyDescent="0.25">
      <c r="A232" s="26"/>
      <c r="B232" s="11" t="str">
        <f>CONCATENATE("          ", "6252", " - ", "ROYALTY DUE CSTV")</f>
        <v xml:space="preserve">          6252 - ROYALTY DUE CSTV</v>
      </c>
      <c r="C232" s="11"/>
      <c r="D232" s="7"/>
      <c r="E232" s="2"/>
      <c r="F232" s="6">
        <f t="shared" si="85"/>
        <v>0</v>
      </c>
      <c r="G232" s="2"/>
      <c r="H232" s="7">
        <v>1085</v>
      </c>
      <c r="I232" s="2"/>
      <c r="J232" s="6">
        <f t="shared" si="86"/>
        <v>9.8982654583902553E-4</v>
      </c>
      <c r="K232" s="2"/>
      <c r="L232" s="7">
        <f t="shared" si="87"/>
        <v>-1085</v>
      </c>
      <c r="M232" s="2"/>
      <c r="N232" s="6">
        <f t="shared" si="88"/>
        <v>-1</v>
      </c>
      <c r="O232" s="11"/>
      <c r="P232" s="7"/>
      <c r="Q232" s="2"/>
      <c r="R232" s="6">
        <f t="shared" si="89"/>
        <v>0</v>
      </c>
      <c r="S232" s="2"/>
      <c r="T232" s="7">
        <v>11935</v>
      </c>
      <c r="U232" s="2"/>
      <c r="V232" s="6">
        <f t="shared" si="90"/>
        <v>1.0279750159036924E-3</v>
      </c>
      <c r="W232" s="2"/>
      <c r="X232" s="7">
        <f t="shared" si="91"/>
        <v>-11935</v>
      </c>
      <c r="Y232" s="2"/>
      <c r="Z232" s="6">
        <f t="shared" si="92"/>
        <v>-1</v>
      </c>
    </row>
    <row r="233" spans="1:26" s="24" customFormat="1" hidden="1" outlineLevel="2" x14ac:dyDescent="0.25">
      <c r="A233" s="26"/>
      <c r="B233" s="11" t="str">
        <f>CONCATENATE("          ", "6253", " - ", "ROYALTY DUE ATHLETICS-LRG")</f>
        <v xml:space="preserve">          6253 - ROYALTY DUE ATHLETICS-LRG</v>
      </c>
      <c r="C233" s="11"/>
      <c r="D233" s="7"/>
      <c r="E233" s="2"/>
      <c r="F233" s="6">
        <f t="shared" si="85"/>
        <v>0</v>
      </c>
      <c r="G233" s="2"/>
      <c r="H233" s="7">
        <v>3700</v>
      </c>
      <c r="I233" s="2"/>
      <c r="J233" s="6">
        <f t="shared" si="86"/>
        <v>3.375445363690686E-3</v>
      </c>
      <c r="K233" s="2"/>
      <c r="L233" s="7">
        <f t="shared" si="87"/>
        <v>-3700</v>
      </c>
      <c r="M233" s="2"/>
      <c r="N233" s="6">
        <f t="shared" si="88"/>
        <v>-1</v>
      </c>
      <c r="O233" s="11"/>
      <c r="P233" s="7">
        <v>32870.44</v>
      </c>
      <c r="Q233" s="2"/>
      <c r="R233" s="6">
        <f t="shared" si="89"/>
        <v>3.6414459783028026E-3</v>
      </c>
      <c r="S233" s="2"/>
      <c r="T233" s="7">
        <v>40700</v>
      </c>
      <c r="U233" s="2"/>
      <c r="V233" s="6">
        <f t="shared" si="90"/>
        <v>3.5055369205932363E-3</v>
      </c>
      <c r="W233" s="2"/>
      <c r="X233" s="7">
        <f t="shared" si="91"/>
        <v>-7829.5599999999977</v>
      </c>
      <c r="Y233" s="2"/>
      <c r="Z233" s="6">
        <f t="shared" si="92"/>
        <v>-0.19237248157248152</v>
      </c>
    </row>
    <row r="234" spans="1:26" s="24" customFormat="1" hidden="1" outlineLevel="2" x14ac:dyDescent="0.25">
      <c r="A234" s="26"/>
      <c r="B234" s="11" t="str">
        <f>CONCATENATE("          ", "6254", " - ", "ROYALTY &amp; COMMISSIONS")</f>
        <v xml:space="preserve">          6254 - ROYALTY &amp; COMMISSIONS</v>
      </c>
      <c r="C234" s="11"/>
      <c r="D234" s="7"/>
      <c r="E234" s="2"/>
      <c r="F234" s="6">
        <f t="shared" si="85"/>
        <v>0</v>
      </c>
      <c r="G234" s="2"/>
      <c r="H234" s="7">
        <v>11700</v>
      </c>
      <c r="I234" s="2"/>
      <c r="J234" s="6">
        <f t="shared" si="86"/>
        <v>1.0673705609508385E-2</v>
      </c>
      <c r="K234" s="2"/>
      <c r="L234" s="7">
        <f t="shared" si="87"/>
        <v>-11700</v>
      </c>
      <c r="M234" s="2"/>
      <c r="N234" s="6">
        <f t="shared" si="88"/>
        <v>-1</v>
      </c>
      <c r="O234" s="11"/>
      <c r="P234" s="7">
        <v>7971.22</v>
      </c>
      <c r="Q234" s="2"/>
      <c r="R234" s="6">
        <f t="shared" si="89"/>
        <v>8.8306597085913261E-4</v>
      </c>
      <c r="S234" s="2"/>
      <c r="T234" s="7">
        <v>128700</v>
      </c>
      <c r="U234" s="2"/>
      <c r="V234" s="6">
        <f t="shared" si="90"/>
        <v>1.1085076208362396E-2</v>
      </c>
      <c r="W234" s="2"/>
      <c r="X234" s="7">
        <f t="shared" si="91"/>
        <v>-120728.78</v>
      </c>
      <c r="Y234" s="2"/>
      <c r="Z234" s="6">
        <f t="shared" si="92"/>
        <v>-0.93806355866355862</v>
      </c>
    </row>
    <row r="235" spans="1:26" s="24" customFormat="1" hidden="1" outlineLevel="2" x14ac:dyDescent="0.25">
      <c r="A235" s="26"/>
      <c r="B235" s="11" t="str">
        <f>CONCATENATE("          ", "6259", " - ", "ROYALTY &amp; COMMISSIONS")</f>
        <v xml:space="preserve">          6259 - ROYALTY &amp; COMMISSIONS</v>
      </c>
      <c r="C235" s="11"/>
      <c r="D235" s="7"/>
      <c r="E235" s="2"/>
      <c r="F235" s="6">
        <f t="shared" si="85"/>
        <v>0</v>
      </c>
      <c r="G235" s="2"/>
      <c r="H235" s="7"/>
      <c r="I235" s="2"/>
      <c r="J235" s="6">
        <f t="shared" si="86"/>
        <v>0</v>
      </c>
      <c r="K235" s="2"/>
      <c r="L235" s="7">
        <f t="shared" si="87"/>
        <v>0</v>
      </c>
      <c r="M235" s="2"/>
      <c r="N235" s="6">
        <f t="shared" si="88"/>
        <v>0</v>
      </c>
      <c r="O235" s="11"/>
      <c r="P235" s="7">
        <v>82607.740000000005</v>
      </c>
      <c r="Q235" s="2"/>
      <c r="R235" s="6">
        <f t="shared" si="89"/>
        <v>9.1514327949271008E-3</v>
      </c>
      <c r="S235" s="2"/>
      <c r="T235" s="7"/>
      <c r="U235" s="2"/>
      <c r="V235" s="6">
        <f t="shared" si="90"/>
        <v>0</v>
      </c>
      <c r="W235" s="2"/>
      <c r="X235" s="7">
        <f t="shared" si="91"/>
        <v>82607.740000000005</v>
      </c>
      <c r="Y235" s="2"/>
      <c r="Z235" s="6">
        <f t="shared" si="92"/>
        <v>0</v>
      </c>
    </row>
    <row r="236" spans="1:26" s="27" customFormat="1" outlineLevel="1" collapsed="1" x14ac:dyDescent="0.25">
      <c r="A236" s="25"/>
      <c r="B236" s="12" t="str">
        <f>CONCATENATE("     ","Services                                          ")</f>
        <v xml:space="preserve">     Services                                          </v>
      </c>
      <c r="C236" s="12"/>
      <c r="D236" s="1">
        <f>SUM(OSRRefD22_18x_0)</f>
        <v>4376.38</v>
      </c>
      <c r="E236" s="1"/>
      <c r="F236" s="5">
        <f t="shared" ref="F236:F240" si="93">IF(D$12=0,0,D236/D$12)</f>
        <v>1.6600448286981363E-2</v>
      </c>
      <c r="G236" s="1"/>
      <c r="H236" s="1">
        <f>SUM(OSRRefH22_18x_0)</f>
        <v>4442.5</v>
      </c>
      <c r="I236" s="1"/>
      <c r="J236" s="5">
        <f t="shared" ref="J236:J240" si="94">IF(H$12=0,0,H236/H$12)</f>
        <v>4.0528151427556411E-3</v>
      </c>
      <c r="K236" s="1"/>
      <c r="L236" s="1">
        <f t="shared" ref="L236:L240" si="95">+D236-H236</f>
        <v>-66.119999999999891</v>
      </c>
      <c r="M236" s="1"/>
      <c r="N236" s="5">
        <f t="shared" ref="N236:N240" si="96">IF(H236=0,0,L236/H236)</f>
        <v>-1.4883511536297106E-2</v>
      </c>
      <c r="O236" s="12"/>
      <c r="P236" s="1">
        <f>SUM(OSRRefP22_18x_0)</f>
        <v>50633.25</v>
      </c>
      <c r="Q236" s="1"/>
      <c r="R236" s="5">
        <f t="shared" ref="R236:R240" si="97">IF(P$12=0,0,P236/P$12)</f>
        <v>5.6092417558420383E-3</v>
      </c>
      <c r="S236" s="1"/>
      <c r="T236" s="1">
        <f>SUM(OSRRefT22_18x_0)</f>
        <v>49132.5</v>
      </c>
      <c r="U236" s="1"/>
      <c r="V236" s="5">
        <f t="shared" ref="V236:V240" si="98">IF(T$12=0,0,T236/T$12)</f>
        <v>4.2318376597308893E-3</v>
      </c>
      <c r="W236" s="1"/>
      <c r="X236" s="1">
        <f t="shared" ref="X236:X240" si="99">+P236-T236</f>
        <v>1500.75</v>
      </c>
      <c r="Y236" s="1"/>
      <c r="Z236" s="5">
        <f t="shared" ref="Z236:Z240" si="100">IF(T236=0,0,X236/T236)</f>
        <v>3.0544954968707069E-2</v>
      </c>
    </row>
    <row r="237" spans="1:26" s="24" customFormat="1" hidden="1" outlineLevel="2" x14ac:dyDescent="0.25">
      <c r="A237" s="26"/>
      <c r="B237" s="11" t="str">
        <f>CONCATENATE("          ", "6282", " - ", "JANITORIAL/EXTERMINATOR EXPENS")</f>
        <v xml:space="preserve">          6282 - JANITORIAL/EXTERMINATOR EXPENS</v>
      </c>
      <c r="C237" s="11"/>
      <c r="D237" s="7"/>
      <c r="E237" s="2"/>
      <c r="F237" s="6">
        <f t="shared" si="93"/>
        <v>0</v>
      </c>
      <c r="G237" s="2"/>
      <c r="H237" s="7">
        <v>50</v>
      </c>
      <c r="I237" s="2"/>
      <c r="J237" s="6">
        <f t="shared" si="94"/>
        <v>4.5614126536360621E-5</v>
      </c>
      <c r="K237" s="2"/>
      <c r="L237" s="7">
        <f t="shared" si="95"/>
        <v>-50</v>
      </c>
      <c r="M237" s="2"/>
      <c r="N237" s="6">
        <f t="shared" si="96"/>
        <v>-1</v>
      </c>
      <c r="O237" s="11"/>
      <c r="P237" s="7">
        <v>2686.02</v>
      </c>
      <c r="Q237" s="2"/>
      <c r="R237" s="6">
        <f t="shared" si="97"/>
        <v>2.9756208698882318E-4</v>
      </c>
      <c r="S237" s="2"/>
      <c r="T237" s="7">
        <v>550</v>
      </c>
      <c r="U237" s="2"/>
      <c r="V237" s="6">
        <f t="shared" si="98"/>
        <v>4.7372120548557247E-5</v>
      </c>
      <c r="W237" s="2"/>
      <c r="X237" s="7">
        <f t="shared" si="99"/>
        <v>2136.02</v>
      </c>
      <c r="Y237" s="2"/>
      <c r="Z237" s="6">
        <f t="shared" si="100"/>
        <v>3.8836727272727272</v>
      </c>
    </row>
    <row r="238" spans="1:26" s="24" customFormat="1" hidden="1" outlineLevel="2" x14ac:dyDescent="0.25">
      <c r="A238" s="26"/>
      <c r="B238" s="11" t="str">
        <f>CONCATENATE("          ", "6283", " - ", "PLANT SERVICE")</f>
        <v xml:space="preserve">          6283 - PLANT SERVICE</v>
      </c>
      <c r="C238" s="11"/>
      <c r="D238" s="7"/>
      <c r="E238" s="2"/>
      <c r="F238" s="6">
        <f t="shared" si="93"/>
        <v>0</v>
      </c>
      <c r="G238" s="2"/>
      <c r="H238" s="7">
        <v>60</v>
      </c>
      <c r="I238" s="2"/>
      <c r="J238" s="6">
        <f t="shared" si="94"/>
        <v>5.4736951843632747E-5</v>
      </c>
      <c r="K238" s="2"/>
      <c r="L238" s="7">
        <f t="shared" si="95"/>
        <v>-60</v>
      </c>
      <c r="M238" s="2"/>
      <c r="N238" s="6">
        <f t="shared" si="96"/>
        <v>-1</v>
      </c>
      <c r="O238" s="11"/>
      <c r="P238" s="7">
        <v>541.98</v>
      </c>
      <c r="Q238" s="2"/>
      <c r="R238" s="6">
        <f t="shared" si="97"/>
        <v>6.0041511197311413E-5</v>
      </c>
      <c r="S238" s="2"/>
      <c r="T238" s="7">
        <v>660</v>
      </c>
      <c r="U238" s="2"/>
      <c r="V238" s="6">
        <f t="shared" si="98"/>
        <v>5.6846544658268699E-5</v>
      </c>
      <c r="W238" s="2"/>
      <c r="X238" s="7">
        <f t="shared" si="99"/>
        <v>-118.01999999999998</v>
      </c>
      <c r="Y238" s="2"/>
      <c r="Z238" s="6">
        <f t="shared" si="100"/>
        <v>-0.17881818181818179</v>
      </c>
    </row>
    <row r="239" spans="1:26" s="24" customFormat="1" hidden="1" outlineLevel="2" x14ac:dyDescent="0.25">
      <c r="A239" s="26"/>
      <c r="B239" s="11" t="str">
        <f>CONCATENATE("          ", "6284", " - ", "TRASH REMOVAL EXPENSE")</f>
        <v xml:space="preserve">          6284 - TRASH REMOVAL EXPENSE</v>
      </c>
      <c r="C239" s="11"/>
      <c r="D239" s="7">
        <v>134.82</v>
      </c>
      <c r="E239" s="2"/>
      <c r="F239" s="6">
        <f t="shared" si="93"/>
        <v>5.1139810483797731E-4</v>
      </c>
      <c r="G239" s="2"/>
      <c r="H239" s="7">
        <v>62.5</v>
      </c>
      <c r="I239" s="2"/>
      <c r="J239" s="6">
        <f t="shared" si="94"/>
        <v>5.7017658170450777E-5</v>
      </c>
      <c r="K239" s="2"/>
      <c r="L239" s="7">
        <f t="shared" si="95"/>
        <v>72.319999999999993</v>
      </c>
      <c r="M239" s="2"/>
      <c r="N239" s="6">
        <f t="shared" si="96"/>
        <v>1.1571199999999999</v>
      </c>
      <c r="O239" s="11"/>
      <c r="P239" s="7">
        <v>1483.02</v>
      </c>
      <c r="Q239" s="2"/>
      <c r="R239" s="6">
        <f t="shared" si="97"/>
        <v>1.6429160104770797E-4</v>
      </c>
      <c r="S239" s="2"/>
      <c r="T239" s="7">
        <v>687.5</v>
      </c>
      <c r="U239" s="2"/>
      <c r="V239" s="6">
        <f t="shared" si="98"/>
        <v>5.9215150685696561E-5</v>
      </c>
      <c r="W239" s="2"/>
      <c r="X239" s="7">
        <f t="shared" si="99"/>
        <v>795.52</v>
      </c>
      <c r="Y239" s="2"/>
      <c r="Z239" s="6">
        <f t="shared" si="100"/>
        <v>1.1571199999999999</v>
      </c>
    </row>
    <row r="240" spans="1:26" s="24" customFormat="1" hidden="1" outlineLevel="2" x14ac:dyDescent="0.25">
      <c r="A240" s="26"/>
      <c r="B240" s="11" t="str">
        <f>CONCATENATE("          ", "6285", " - ", "JANITORIAL SERVICES")</f>
        <v xml:space="preserve">          6285 - JANITORIAL SERVICES</v>
      </c>
      <c r="C240" s="11"/>
      <c r="D240" s="7">
        <v>4241.5600000000004</v>
      </c>
      <c r="E240" s="2"/>
      <c r="F240" s="6">
        <f t="shared" si="93"/>
        <v>1.6089050182143384E-2</v>
      </c>
      <c r="G240" s="2"/>
      <c r="H240" s="7">
        <v>4270</v>
      </c>
      <c r="I240" s="2"/>
      <c r="J240" s="6">
        <f t="shared" si="94"/>
        <v>3.895446406205197E-3</v>
      </c>
      <c r="K240" s="2"/>
      <c r="L240" s="7">
        <f t="shared" si="95"/>
        <v>-28.4399999999996</v>
      </c>
      <c r="M240" s="2"/>
      <c r="N240" s="6">
        <f t="shared" si="96"/>
        <v>-6.6604215456673539E-3</v>
      </c>
      <c r="O240" s="11"/>
      <c r="P240" s="7">
        <v>45922.23</v>
      </c>
      <c r="Q240" s="2"/>
      <c r="R240" s="6">
        <f t="shared" si="97"/>
        <v>5.0873465566081966E-3</v>
      </c>
      <c r="S240" s="2"/>
      <c r="T240" s="7">
        <v>47235</v>
      </c>
      <c r="U240" s="2"/>
      <c r="V240" s="6">
        <f t="shared" si="98"/>
        <v>4.0684038438383663E-3</v>
      </c>
      <c r="W240" s="2"/>
      <c r="X240" s="7">
        <f t="shared" si="99"/>
        <v>-1312.7699999999968</v>
      </c>
      <c r="Y240" s="2"/>
      <c r="Z240" s="6">
        <f t="shared" si="100"/>
        <v>-2.7792315020641407E-2</v>
      </c>
    </row>
    <row r="241" spans="1:26" s="27" customFormat="1" outlineLevel="1" collapsed="1" x14ac:dyDescent="0.25">
      <c r="A241" s="25"/>
      <c r="B241" s="12" t="str">
        <f>CONCATENATE("     ","Subscriptions &amp; Dues                              ")</f>
        <v xml:space="preserve">     Subscriptions &amp; Dues                              </v>
      </c>
      <c r="C241" s="12"/>
      <c r="D241" s="1">
        <f>SUM(OSRRefD22_19x_0)</f>
        <v>260</v>
      </c>
      <c r="E241" s="1"/>
      <c r="F241" s="5">
        <f t="shared" ref="F241:F243" si="101">IF(D$12=0,0,D241/D$12)</f>
        <v>9.8622984169911073E-4</v>
      </c>
      <c r="G241" s="1"/>
      <c r="H241" s="1">
        <f>SUM(OSRRefH22_19x_0)</f>
        <v>615</v>
      </c>
      <c r="I241" s="1"/>
      <c r="J241" s="5">
        <f t="shared" ref="J241:J243" si="102">IF(H$12=0,0,H241/H$12)</f>
        <v>5.610537563972357E-4</v>
      </c>
      <c r="K241" s="1"/>
      <c r="L241" s="1">
        <f t="shared" ref="L241:L243" si="103">+D241-H241</f>
        <v>-355</v>
      </c>
      <c r="M241" s="1"/>
      <c r="N241" s="5">
        <f t="shared" ref="N241:N243" si="104">IF(H241=0,0,L241/H241)</f>
        <v>-0.57723577235772361</v>
      </c>
      <c r="O241" s="12"/>
      <c r="P241" s="1">
        <f>SUM(OSRRefP22_19x_0)</f>
        <v>7358.85</v>
      </c>
      <c r="Q241" s="1"/>
      <c r="R241" s="5">
        <f t="shared" ref="R241:R243" si="105">IF(P$12=0,0,P241/P$12)</f>
        <v>8.152265298984005E-4</v>
      </c>
      <c r="S241" s="1"/>
      <c r="T241" s="1">
        <f>SUM(OSRRefT22_19x_0)</f>
        <v>20855</v>
      </c>
      <c r="U241" s="1"/>
      <c r="V241" s="5">
        <f t="shared" ref="V241:V243" si="106">IF(T$12=0,0,T241/T$12)</f>
        <v>1.7962646800730208E-3</v>
      </c>
      <c r="W241" s="1"/>
      <c r="X241" s="1">
        <f t="shared" ref="X241:X243" si="107">+P241-T241</f>
        <v>-13496.15</v>
      </c>
      <c r="Y241" s="1"/>
      <c r="Z241" s="5">
        <f t="shared" ref="Z241:Z243" si="108">IF(T241=0,0,X241/T241)</f>
        <v>-0.64714217214097336</v>
      </c>
    </row>
    <row r="242" spans="1:26" s="24" customFormat="1" hidden="1" outlineLevel="2" x14ac:dyDescent="0.25">
      <c r="A242" s="26"/>
      <c r="B242" s="11" t="str">
        <f>CONCATENATE("          ", "6258", " - ", "MEMBERSHIP DUES")</f>
        <v xml:space="preserve">          6258 - MEMBERSHIP DUES</v>
      </c>
      <c r="C242" s="11"/>
      <c r="D242" s="7">
        <v>260</v>
      </c>
      <c r="E242" s="2"/>
      <c r="F242" s="6">
        <f t="shared" si="101"/>
        <v>9.8622984169911073E-4</v>
      </c>
      <c r="G242" s="2"/>
      <c r="H242" s="7">
        <v>400</v>
      </c>
      <c r="I242" s="2"/>
      <c r="J242" s="6">
        <f t="shared" si="102"/>
        <v>3.6491301229088497E-4</v>
      </c>
      <c r="K242" s="2"/>
      <c r="L242" s="7">
        <f t="shared" si="103"/>
        <v>-140</v>
      </c>
      <c r="M242" s="2"/>
      <c r="N242" s="6">
        <f t="shared" si="104"/>
        <v>-0.35</v>
      </c>
      <c r="O242" s="11"/>
      <c r="P242" s="7">
        <v>4566.41</v>
      </c>
      <c r="Q242" s="2"/>
      <c r="R242" s="6">
        <f t="shared" si="105"/>
        <v>5.0587504547495261E-4</v>
      </c>
      <c r="S242" s="2"/>
      <c r="T242" s="7">
        <v>15440</v>
      </c>
      <c r="U242" s="2"/>
      <c r="V242" s="6">
        <f t="shared" si="106"/>
        <v>1.3298646204904071E-3</v>
      </c>
      <c r="W242" s="2"/>
      <c r="X242" s="7">
        <f t="shared" si="107"/>
        <v>-10873.59</v>
      </c>
      <c r="Y242" s="2"/>
      <c r="Z242" s="6">
        <f t="shared" si="108"/>
        <v>-0.70424805699481863</v>
      </c>
    </row>
    <row r="243" spans="1:26" s="24" customFormat="1" hidden="1" outlineLevel="2" x14ac:dyDescent="0.25">
      <c r="A243" s="26"/>
      <c r="B243" s="11" t="str">
        <f>CONCATENATE("          ", "6275", " - ", "SUBSCRIPTIONS")</f>
        <v xml:space="preserve">          6275 - SUBSCRIPTIONS</v>
      </c>
      <c r="C243" s="11"/>
      <c r="D243" s="7"/>
      <c r="E243" s="2"/>
      <c r="F243" s="6">
        <f t="shared" si="101"/>
        <v>0</v>
      </c>
      <c r="G243" s="2"/>
      <c r="H243" s="7">
        <v>215</v>
      </c>
      <c r="I243" s="2"/>
      <c r="J243" s="6">
        <f t="shared" si="102"/>
        <v>1.9614074410635068E-4</v>
      </c>
      <c r="K243" s="2"/>
      <c r="L243" s="7">
        <f t="shared" si="103"/>
        <v>-215</v>
      </c>
      <c r="M243" s="2"/>
      <c r="N243" s="6">
        <f t="shared" si="104"/>
        <v>-1</v>
      </c>
      <c r="O243" s="11"/>
      <c r="P243" s="7">
        <v>2792.44</v>
      </c>
      <c r="Q243" s="2"/>
      <c r="R243" s="6">
        <f t="shared" si="105"/>
        <v>3.0935148442344789E-4</v>
      </c>
      <c r="S243" s="2"/>
      <c r="T243" s="7">
        <v>5415</v>
      </c>
      <c r="U243" s="2"/>
      <c r="V243" s="6">
        <f t="shared" si="106"/>
        <v>4.6640005958261364E-4</v>
      </c>
      <c r="W243" s="2"/>
      <c r="X243" s="7">
        <f t="shared" si="107"/>
        <v>-2622.56</v>
      </c>
      <c r="Y243" s="2"/>
      <c r="Z243" s="6">
        <f t="shared" si="108"/>
        <v>-0.48431394275161588</v>
      </c>
    </row>
    <row r="244" spans="1:26" s="27" customFormat="1" outlineLevel="1" collapsed="1" x14ac:dyDescent="0.25">
      <c r="A244" s="25"/>
      <c r="B244" s="12" t="str">
        <f>CONCATENATE("     ","Supplies                                          ")</f>
        <v xml:space="preserve">     Supplies                                          </v>
      </c>
      <c r="C244" s="12"/>
      <c r="D244" s="1">
        <f>SUM(OSRRefD22_20x_0)</f>
        <v>4697.6100000000006</v>
      </c>
      <c r="E244" s="1"/>
      <c r="F244" s="5">
        <f t="shared" ref="F244:F252" si="109">IF(D$12=0,0,D244/D$12)</f>
        <v>1.7818935256400614E-2</v>
      </c>
      <c r="G244" s="1"/>
      <c r="H244" s="1">
        <f>SUM(OSRRefH22_20x_0)</f>
        <v>14820</v>
      </c>
      <c r="I244" s="1"/>
      <c r="J244" s="5">
        <f t="shared" ref="J244:J252" si="110">IF(H$12=0,0,H244/H$12)</f>
        <v>1.3520027105377289E-2</v>
      </c>
      <c r="K244" s="1"/>
      <c r="L244" s="1">
        <f t="shared" ref="L244:L252" si="111">+D244-H244</f>
        <v>-10122.39</v>
      </c>
      <c r="M244" s="1"/>
      <c r="N244" s="5">
        <f t="shared" ref="N244:N252" si="112">IF(H244=0,0,L244/H244)</f>
        <v>-0.68302226720647774</v>
      </c>
      <c r="O244" s="12"/>
      <c r="P244" s="1">
        <f>SUM(OSRRefP22_20x_0)</f>
        <v>93102.56</v>
      </c>
      <c r="Q244" s="1"/>
      <c r="R244" s="5">
        <f t="shared" ref="R244:R252" si="113">IF(P$12=0,0,P244/P$12)</f>
        <v>1.0314067675446247E-2</v>
      </c>
      <c r="S244" s="1"/>
      <c r="T244" s="1">
        <f>SUM(OSRRefT22_20x_0)</f>
        <v>188340</v>
      </c>
      <c r="U244" s="1"/>
      <c r="V244" s="5">
        <f t="shared" ref="V244:V252" si="114">IF(T$12=0,0,T244/T$12)</f>
        <v>1.6221936698391403E-2</v>
      </c>
      <c r="W244" s="1"/>
      <c r="X244" s="1">
        <f t="shared" ref="X244:X252" si="115">+P244-T244</f>
        <v>-95237.440000000002</v>
      </c>
      <c r="Y244" s="1"/>
      <c r="Z244" s="5">
        <f t="shared" ref="Z244:Z252" si="116">IF(T244=0,0,X244/T244)</f>
        <v>-0.50566762238504837</v>
      </c>
    </row>
    <row r="245" spans="1:26" s="24" customFormat="1" hidden="1" outlineLevel="2" x14ac:dyDescent="0.25">
      <c r="A245" s="26"/>
      <c r="B245" s="11" t="str">
        <f>CONCATENATE("          ", "6234", " - ", "EXPENDABLE SUPPLIES &amp; EQUIPMEN")</f>
        <v xml:space="preserve">          6234 - EXPENDABLE SUPPLIES &amp; EQUIPMEN</v>
      </c>
      <c r="C245" s="11"/>
      <c r="D245" s="7">
        <v>700.76</v>
      </c>
      <c r="E245" s="2"/>
      <c r="F245" s="6">
        <f t="shared" si="109"/>
        <v>2.6581170148810337E-3</v>
      </c>
      <c r="G245" s="2"/>
      <c r="H245" s="7">
        <v>400</v>
      </c>
      <c r="I245" s="2"/>
      <c r="J245" s="6">
        <f t="shared" si="110"/>
        <v>3.6491301229088497E-4</v>
      </c>
      <c r="K245" s="2"/>
      <c r="L245" s="7">
        <f t="shared" si="111"/>
        <v>300.76</v>
      </c>
      <c r="M245" s="2"/>
      <c r="N245" s="6">
        <f t="shared" si="112"/>
        <v>0.75190000000000001</v>
      </c>
      <c r="O245" s="11"/>
      <c r="P245" s="7">
        <v>4142.5600000000004</v>
      </c>
      <c r="Q245" s="2"/>
      <c r="R245" s="6">
        <f t="shared" si="113"/>
        <v>4.5892018640085312E-4</v>
      </c>
      <c r="S245" s="2"/>
      <c r="T245" s="7">
        <v>7250</v>
      </c>
      <c r="U245" s="2"/>
      <c r="V245" s="6">
        <f t="shared" si="114"/>
        <v>6.2445067995825466E-4</v>
      </c>
      <c r="W245" s="2"/>
      <c r="X245" s="7">
        <f t="shared" si="115"/>
        <v>-3107.4399999999996</v>
      </c>
      <c r="Y245" s="2"/>
      <c r="Z245" s="6">
        <f t="shared" si="116"/>
        <v>-0.42861241379310339</v>
      </c>
    </row>
    <row r="246" spans="1:26" s="24" customFormat="1" hidden="1" outlineLevel="2" x14ac:dyDescent="0.25">
      <c r="A246" s="26"/>
      <c r="B246" s="11" t="str">
        <f>CONCATENATE("          ", "6235", " - ", "COVID-19 EXPENSES")</f>
        <v xml:space="preserve">          6235 - COVID-19 EXPENSES</v>
      </c>
      <c r="C246" s="11"/>
      <c r="D246" s="7">
        <v>1550</v>
      </c>
      <c r="E246" s="2"/>
      <c r="F246" s="6">
        <f t="shared" si="109"/>
        <v>5.8794471332062363E-3</v>
      </c>
      <c r="G246" s="2"/>
      <c r="H246" s="7"/>
      <c r="I246" s="2"/>
      <c r="J246" s="6">
        <f t="shared" si="110"/>
        <v>0</v>
      </c>
      <c r="K246" s="2"/>
      <c r="L246" s="7">
        <f t="shared" si="111"/>
        <v>1550</v>
      </c>
      <c r="M246" s="2"/>
      <c r="N246" s="6">
        <f t="shared" si="112"/>
        <v>0</v>
      </c>
      <c r="O246" s="11"/>
      <c r="P246" s="7">
        <v>1550</v>
      </c>
      <c r="Q246" s="2"/>
      <c r="R246" s="6">
        <f t="shared" si="113"/>
        <v>1.7171176492828644E-4</v>
      </c>
      <c r="S246" s="2"/>
      <c r="T246" s="7"/>
      <c r="U246" s="2"/>
      <c r="V246" s="6">
        <f t="shared" si="114"/>
        <v>0</v>
      </c>
      <c r="W246" s="2"/>
      <c r="X246" s="7">
        <f t="shared" si="115"/>
        <v>1550</v>
      </c>
      <c r="Y246" s="2"/>
      <c r="Z246" s="6">
        <f t="shared" si="116"/>
        <v>0</v>
      </c>
    </row>
    <row r="247" spans="1:26" s="24" customFormat="1" hidden="1" outlineLevel="2" x14ac:dyDescent="0.25">
      <c r="A247" s="26"/>
      <c r="B247" s="11" t="str">
        <f>CONCATENATE("          ", "6237", " - ", "JANITORIAL SUPPLIES")</f>
        <v xml:space="preserve">          6237 - JANITORIAL SUPPLIES</v>
      </c>
      <c r="C247" s="11"/>
      <c r="D247" s="7"/>
      <c r="E247" s="2"/>
      <c r="F247" s="6">
        <f t="shared" si="109"/>
        <v>0</v>
      </c>
      <c r="G247" s="2"/>
      <c r="H247" s="7">
        <v>45</v>
      </c>
      <c r="I247" s="2"/>
      <c r="J247" s="6">
        <f t="shared" si="110"/>
        <v>4.1052713882724561E-5</v>
      </c>
      <c r="K247" s="2"/>
      <c r="L247" s="7">
        <f t="shared" si="111"/>
        <v>-45</v>
      </c>
      <c r="M247" s="2"/>
      <c r="N247" s="6">
        <f t="shared" si="112"/>
        <v>-1</v>
      </c>
      <c r="O247" s="11"/>
      <c r="P247" s="7">
        <v>5305.04</v>
      </c>
      <c r="Q247" s="2"/>
      <c r="R247" s="6">
        <f t="shared" si="113"/>
        <v>5.8770179446139147E-4</v>
      </c>
      <c r="S247" s="2"/>
      <c r="T247" s="7">
        <v>490</v>
      </c>
      <c r="U247" s="2"/>
      <c r="V247" s="6">
        <f t="shared" si="114"/>
        <v>4.2204252852351007E-5</v>
      </c>
      <c r="W247" s="2"/>
      <c r="X247" s="7">
        <f t="shared" si="115"/>
        <v>4815.04</v>
      </c>
      <c r="Y247" s="2"/>
      <c r="Z247" s="6">
        <f t="shared" si="116"/>
        <v>9.8266122448979587</v>
      </c>
    </row>
    <row r="248" spans="1:26" s="24" customFormat="1" hidden="1" outlineLevel="2" x14ac:dyDescent="0.25">
      <c r="A248" s="26"/>
      <c r="B248" s="11" t="str">
        <f>CONCATENATE("          ", "6241", " - ", "OFFICE EXPENSE")</f>
        <v xml:space="preserve">          6241 - OFFICE EXPENSE</v>
      </c>
      <c r="C248" s="11"/>
      <c r="D248" s="7">
        <v>1299.8699999999999</v>
      </c>
      <c r="E248" s="2"/>
      <c r="F248" s="6">
        <f t="shared" si="109"/>
        <v>4.9306560935747029E-3</v>
      </c>
      <c r="G248" s="2"/>
      <c r="H248" s="7">
        <v>1075</v>
      </c>
      <c r="I248" s="2"/>
      <c r="J248" s="6">
        <f t="shared" si="110"/>
        <v>9.8070372053175349E-4</v>
      </c>
      <c r="K248" s="2"/>
      <c r="L248" s="7">
        <f t="shared" si="111"/>
        <v>224.86999999999989</v>
      </c>
      <c r="M248" s="2"/>
      <c r="N248" s="6">
        <f t="shared" si="112"/>
        <v>0.20918139534883712</v>
      </c>
      <c r="O248" s="11"/>
      <c r="P248" s="7">
        <v>24380.550000000003</v>
      </c>
      <c r="Q248" s="2"/>
      <c r="R248" s="6">
        <f t="shared" si="113"/>
        <v>2.7009208196273125E-3</v>
      </c>
      <c r="S248" s="2"/>
      <c r="T248" s="7">
        <v>16800</v>
      </c>
      <c r="U248" s="2"/>
      <c r="V248" s="6">
        <f t="shared" si="114"/>
        <v>1.4470029549377486E-3</v>
      </c>
      <c r="W248" s="2"/>
      <c r="X248" s="7">
        <f t="shared" si="115"/>
        <v>7580.5500000000029</v>
      </c>
      <c r="Y248" s="2"/>
      <c r="Z248" s="6">
        <f t="shared" si="116"/>
        <v>0.45122321428571444</v>
      </c>
    </row>
    <row r="249" spans="1:26" s="24" customFormat="1" hidden="1" outlineLevel="2" x14ac:dyDescent="0.25">
      <c r="A249" s="26"/>
      <c r="B249" s="11" t="str">
        <f>CONCATENATE("          ", "6243", " - ", "PAPER SUPPLIES")</f>
        <v xml:space="preserve">          6243 - PAPER SUPPLIES</v>
      </c>
      <c r="C249" s="11"/>
      <c r="D249" s="7">
        <v>50.85</v>
      </c>
      <c r="E249" s="2"/>
      <c r="F249" s="6">
        <f t="shared" si="109"/>
        <v>1.9288379788615298E-4</v>
      </c>
      <c r="G249" s="2"/>
      <c r="H249" s="7">
        <v>250</v>
      </c>
      <c r="I249" s="2"/>
      <c r="J249" s="6">
        <f t="shared" si="110"/>
        <v>2.2807063268180311E-4</v>
      </c>
      <c r="K249" s="2"/>
      <c r="L249" s="7">
        <f t="shared" si="111"/>
        <v>-199.15</v>
      </c>
      <c r="M249" s="2"/>
      <c r="N249" s="6">
        <f t="shared" si="112"/>
        <v>-0.79659999999999997</v>
      </c>
      <c r="O249" s="11"/>
      <c r="P249" s="7">
        <v>17939.21</v>
      </c>
      <c r="Q249" s="2"/>
      <c r="R249" s="6">
        <f t="shared" si="113"/>
        <v>1.9873376842059129E-3</v>
      </c>
      <c r="S249" s="2"/>
      <c r="T249" s="7">
        <v>3750</v>
      </c>
      <c r="U249" s="2"/>
      <c r="V249" s="6">
        <f t="shared" si="114"/>
        <v>3.2299173101289031E-4</v>
      </c>
      <c r="W249" s="2"/>
      <c r="X249" s="7">
        <f t="shared" si="115"/>
        <v>14189.21</v>
      </c>
      <c r="Y249" s="2"/>
      <c r="Z249" s="6">
        <f t="shared" si="116"/>
        <v>3.783789333333333</v>
      </c>
    </row>
    <row r="250" spans="1:26" s="24" customFormat="1" hidden="1" outlineLevel="2" x14ac:dyDescent="0.25">
      <c r="A250" s="26"/>
      <c r="B250" s="11" t="str">
        <f>CONCATENATE("          ", "6245", " - ", "PRINTING")</f>
        <v xml:space="preserve">          6245 - PRINTING</v>
      </c>
      <c r="C250" s="11"/>
      <c r="D250" s="7">
        <v>66.150000000000006</v>
      </c>
      <c r="E250" s="2"/>
      <c r="F250" s="6">
        <f t="shared" si="109"/>
        <v>2.5091963087844682E-4</v>
      </c>
      <c r="G250" s="2"/>
      <c r="H250" s="7">
        <v>500</v>
      </c>
      <c r="I250" s="2"/>
      <c r="J250" s="6">
        <f t="shared" si="110"/>
        <v>4.5614126536360622E-4</v>
      </c>
      <c r="K250" s="2"/>
      <c r="L250" s="7">
        <f t="shared" si="111"/>
        <v>-433.85</v>
      </c>
      <c r="M250" s="2"/>
      <c r="N250" s="6">
        <f t="shared" si="112"/>
        <v>-0.86770000000000003</v>
      </c>
      <c r="O250" s="11"/>
      <c r="P250" s="7">
        <v>10627.6</v>
      </c>
      <c r="Q250" s="2"/>
      <c r="R250" s="6">
        <f t="shared" si="113"/>
        <v>1.1773444857753916E-3</v>
      </c>
      <c r="S250" s="2"/>
      <c r="T250" s="7">
        <v>2700</v>
      </c>
      <c r="U250" s="2"/>
      <c r="V250" s="6">
        <f t="shared" si="114"/>
        <v>2.3255404632928104E-4</v>
      </c>
      <c r="W250" s="2"/>
      <c r="X250" s="7">
        <f t="shared" si="115"/>
        <v>7927.6</v>
      </c>
      <c r="Y250" s="2"/>
      <c r="Z250" s="6">
        <f t="shared" si="116"/>
        <v>2.9361481481481482</v>
      </c>
    </row>
    <row r="251" spans="1:26" s="24" customFormat="1" hidden="1" outlineLevel="2" x14ac:dyDescent="0.25">
      <c r="A251" s="26"/>
      <c r="B251" s="11" t="str">
        <f>CONCATENATE("          ", "6247", " - ", "STORE SUPPLIES")</f>
        <v xml:space="preserve">          6247 - STORE SUPPLIES</v>
      </c>
      <c r="C251" s="11"/>
      <c r="D251" s="7">
        <v>1029.98</v>
      </c>
      <c r="E251" s="2"/>
      <c r="F251" s="6">
        <f t="shared" si="109"/>
        <v>3.9069115859740383E-3</v>
      </c>
      <c r="G251" s="2"/>
      <c r="H251" s="7">
        <v>11550</v>
      </c>
      <c r="I251" s="2"/>
      <c r="J251" s="6">
        <f t="shared" si="110"/>
        <v>1.0536863229899303E-2</v>
      </c>
      <c r="K251" s="2"/>
      <c r="L251" s="7">
        <f t="shared" si="111"/>
        <v>-10520.02</v>
      </c>
      <c r="M251" s="2"/>
      <c r="N251" s="6">
        <f t="shared" si="112"/>
        <v>-0.91082424242424243</v>
      </c>
      <c r="O251" s="11"/>
      <c r="P251" s="7">
        <v>29113.69</v>
      </c>
      <c r="Q251" s="2"/>
      <c r="R251" s="6">
        <f t="shared" si="113"/>
        <v>3.2252665119193572E-3</v>
      </c>
      <c r="S251" s="2"/>
      <c r="T251" s="7">
        <v>145850</v>
      </c>
      <c r="U251" s="2"/>
      <c r="V251" s="6">
        <f t="shared" si="114"/>
        <v>1.2562225058194681E-2</v>
      </c>
      <c r="W251" s="2"/>
      <c r="X251" s="7">
        <f t="shared" si="115"/>
        <v>-116736.31</v>
      </c>
      <c r="Y251" s="2"/>
      <c r="Z251" s="6">
        <f t="shared" si="116"/>
        <v>-0.80038608159067537</v>
      </c>
    </row>
    <row r="252" spans="1:26" s="24" customFormat="1" hidden="1" outlineLevel="2" x14ac:dyDescent="0.25">
      <c r="A252" s="26"/>
      <c r="B252" s="11" t="str">
        <f>CONCATENATE("          ", "6248", " - ", "UNIFORMS")</f>
        <v xml:space="preserve">          6248 - UNIFORMS</v>
      </c>
      <c r="C252" s="11"/>
      <c r="D252" s="7"/>
      <c r="E252" s="2"/>
      <c r="F252" s="6">
        <f t="shared" si="109"/>
        <v>0</v>
      </c>
      <c r="G252" s="2"/>
      <c r="H252" s="7">
        <v>1000</v>
      </c>
      <c r="I252" s="2"/>
      <c r="J252" s="6">
        <f t="shared" si="110"/>
        <v>9.1228253072721244E-4</v>
      </c>
      <c r="K252" s="2"/>
      <c r="L252" s="7">
        <f t="shared" si="111"/>
        <v>-1000</v>
      </c>
      <c r="M252" s="2"/>
      <c r="N252" s="6">
        <f t="shared" si="112"/>
        <v>-1</v>
      </c>
      <c r="O252" s="11"/>
      <c r="P252" s="7">
        <v>43.91</v>
      </c>
      <c r="Q252" s="2"/>
      <c r="R252" s="6">
        <f t="shared" si="113"/>
        <v>4.8644281277426171E-6</v>
      </c>
      <c r="S252" s="2"/>
      <c r="T252" s="7">
        <v>11500</v>
      </c>
      <c r="U252" s="2"/>
      <c r="V252" s="6">
        <f t="shared" si="114"/>
        <v>9.9050797510619702E-4</v>
      </c>
      <c r="W252" s="2"/>
      <c r="X252" s="7">
        <f t="shared" si="115"/>
        <v>-11456.09</v>
      </c>
      <c r="Y252" s="2"/>
      <c r="Z252" s="6">
        <f t="shared" si="116"/>
        <v>-0.99618173913043484</v>
      </c>
    </row>
    <row r="253" spans="1:26" s="27" customFormat="1" outlineLevel="1" collapsed="1" x14ac:dyDescent="0.25">
      <c r="A253" s="25"/>
      <c r="B253" s="12" t="str">
        <f>CONCATENATE("     ","Telephone/Data Lines                              ")</f>
        <v xml:space="preserve">     Telephone/Data Lines                              </v>
      </c>
      <c r="C253" s="12"/>
      <c r="D253" s="1">
        <f>SUM(OSRRefD22_21x_0)</f>
        <v>2738.58</v>
      </c>
      <c r="E253" s="1"/>
      <c r="F253" s="5">
        <f t="shared" ref="F253:F255" si="117">IF(D$12=0,0,D253/D$12)</f>
        <v>1.0387958922616732E-2</v>
      </c>
      <c r="G253" s="1"/>
      <c r="H253" s="1">
        <f>SUM(OSRRefH22_21x_0)</f>
        <v>2540</v>
      </c>
      <c r="I253" s="1"/>
      <c r="J253" s="5">
        <f t="shared" ref="J253:J255" si="118">IF(H$12=0,0,H253/H$12)</f>
        <v>2.3171976280471195E-3</v>
      </c>
      <c r="K253" s="1"/>
      <c r="L253" s="1">
        <f t="shared" ref="L253:L255" si="119">+D253-H253</f>
        <v>198.57999999999993</v>
      </c>
      <c r="M253" s="1"/>
      <c r="N253" s="5">
        <f t="shared" ref="N253:N255" si="120">IF(H253=0,0,L253/H253)</f>
        <v>7.8181102362204699E-2</v>
      </c>
      <c r="O253" s="12"/>
      <c r="P253" s="1">
        <f>SUM(OSRRefP22_21x_0)</f>
        <v>27856.47</v>
      </c>
      <c r="Q253" s="1"/>
      <c r="R253" s="5">
        <f t="shared" ref="R253:R255" si="121">IF(P$12=0,0,P253/P$12)</f>
        <v>3.0859894376592668E-3</v>
      </c>
      <c r="S253" s="1"/>
      <c r="T253" s="1">
        <f>SUM(OSRRefT22_21x_0)</f>
        <v>31765</v>
      </c>
      <c r="U253" s="1"/>
      <c r="V253" s="5">
        <f t="shared" ref="V253:V255" si="122">IF(T$12=0,0,T253/T$12)</f>
        <v>2.7359552894998564E-3</v>
      </c>
      <c r="W253" s="1"/>
      <c r="X253" s="1">
        <f t="shared" ref="X253:X255" si="123">+P253-T253</f>
        <v>-3908.5299999999988</v>
      </c>
      <c r="Y253" s="1"/>
      <c r="Z253" s="5">
        <f t="shared" ref="Z253:Z255" si="124">IF(T253=0,0,X253/T253)</f>
        <v>-0.12304517550763415</v>
      </c>
    </row>
    <row r="254" spans="1:26" s="24" customFormat="1" hidden="1" outlineLevel="2" x14ac:dyDescent="0.25">
      <c r="A254" s="26"/>
      <c r="B254" s="11" t="str">
        <f>CONCATENATE("          ", "6303", " - ", "DATA PHONE LINES")</f>
        <v xml:space="preserve">          6303 - DATA PHONE LINES</v>
      </c>
      <c r="C254" s="11"/>
      <c r="D254" s="7">
        <v>590</v>
      </c>
      <c r="E254" s="2"/>
      <c r="F254" s="6">
        <f t="shared" si="117"/>
        <v>2.2379831023172127E-3</v>
      </c>
      <c r="G254" s="2"/>
      <c r="H254" s="7">
        <v>950</v>
      </c>
      <c r="I254" s="2"/>
      <c r="J254" s="6">
        <f t="shared" si="118"/>
        <v>8.6666840419085181E-4</v>
      </c>
      <c r="K254" s="2"/>
      <c r="L254" s="7">
        <f t="shared" si="119"/>
        <v>-360</v>
      </c>
      <c r="M254" s="2"/>
      <c r="N254" s="6">
        <f t="shared" si="120"/>
        <v>-0.37894736842105264</v>
      </c>
      <c r="O254" s="11"/>
      <c r="P254" s="7">
        <v>2950</v>
      </c>
      <c r="Q254" s="2"/>
      <c r="R254" s="6">
        <f t="shared" si="121"/>
        <v>3.2680626228286775E-4</v>
      </c>
      <c r="S254" s="2"/>
      <c r="T254" s="7">
        <v>11775</v>
      </c>
      <c r="U254" s="2"/>
      <c r="V254" s="6">
        <f t="shared" si="122"/>
        <v>1.0141940353804756E-3</v>
      </c>
      <c r="W254" s="2"/>
      <c r="X254" s="7">
        <f t="shared" si="123"/>
        <v>-8825</v>
      </c>
      <c r="Y254" s="2"/>
      <c r="Z254" s="6">
        <f t="shared" si="124"/>
        <v>-0.74946921443736725</v>
      </c>
    </row>
    <row r="255" spans="1:26" s="24" customFormat="1" hidden="1" outlineLevel="2" x14ac:dyDescent="0.25">
      <c r="A255" s="26"/>
      <c r="B255" s="11" t="str">
        <f>CONCATENATE("          ", "6309", " - ", "TELEPHONE")</f>
        <v xml:space="preserve">          6309 - TELEPHONE</v>
      </c>
      <c r="C255" s="11"/>
      <c r="D255" s="7">
        <v>2148.58</v>
      </c>
      <c r="E255" s="2"/>
      <c r="F255" s="6">
        <f t="shared" si="117"/>
        <v>8.1499758202995196E-3</v>
      </c>
      <c r="G255" s="2"/>
      <c r="H255" s="7">
        <v>1590</v>
      </c>
      <c r="I255" s="2"/>
      <c r="J255" s="6">
        <f t="shared" si="118"/>
        <v>1.4505292238562678E-3</v>
      </c>
      <c r="K255" s="2"/>
      <c r="L255" s="7">
        <f t="shared" si="119"/>
        <v>558.57999999999993</v>
      </c>
      <c r="M255" s="2"/>
      <c r="N255" s="6">
        <f t="shared" si="120"/>
        <v>0.35130817610062887</v>
      </c>
      <c r="O255" s="11"/>
      <c r="P255" s="7">
        <v>24906.47</v>
      </c>
      <c r="Q255" s="2"/>
      <c r="R255" s="6">
        <f t="shared" si="121"/>
        <v>2.7591831753763993E-3</v>
      </c>
      <c r="S255" s="2"/>
      <c r="T255" s="7">
        <v>19990</v>
      </c>
      <c r="U255" s="2"/>
      <c r="V255" s="6">
        <f t="shared" si="122"/>
        <v>1.7217612541193807E-3</v>
      </c>
      <c r="W255" s="2"/>
      <c r="X255" s="7">
        <f t="shared" si="123"/>
        <v>4916.4700000000012</v>
      </c>
      <c r="Y255" s="2"/>
      <c r="Z255" s="6">
        <f t="shared" si="124"/>
        <v>0.24594647323661836</v>
      </c>
    </row>
    <row r="256" spans="1:26" s="27" customFormat="1" outlineLevel="1" collapsed="1" x14ac:dyDescent="0.25">
      <c r="A256" s="25"/>
      <c r="B256" s="12" t="str">
        <f>CONCATENATE("     ","Training                                          ")</f>
        <v xml:space="preserve">     Training                                          </v>
      </c>
      <c r="C256" s="12"/>
      <c r="D256" s="1">
        <f>SUM(OSRRefD22_22x_0)</f>
        <v>2140.13</v>
      </c>
      <c r="E256" s="1"/>
      <c r="F256" s="5">
        <f t="shared" ref="F256:F261" si="125">IF(D$12=0,0,D256/D$12)</f>
        <v>8.1179233504442994E-3</v>
      </c>
      <c r="G256" s="1"/>
      <c r="H256" s="1">
        <f>SUM(OSRRefH22_22x_0)</f>
        <v>1300</v>
      </c>
      <c r="I256" s="1"/>
      <c r="J256" s="5">
        <f t="shared" ref="J256:J261" si="126">IF(H$12=0,0,H256/H$12)</f>
        <v>1.1859672899453761E-3</v>
      </c>
      <c r="K256" s="1"/>
      <c r="L256" s="1">
        <f t="shared" ref="L256:L261" si="127">+D256-H256</f>
        <v>840.13000000000011</v>
      </c>
      <c r="M256" s="1"/>
      <c r="N256" s="5">
        <f t="shared" ref="N256:N261" si="128">IF(H256=0,0,L256/H256)</f>
        <v>0.64625384615384629</v>
      </c>
      <c r="O256" s="12"/>
      <c r="P256" s="1">
        <f>SUM(OSRRefP22_22x_0)</f>
        <v>23857.01</v>
      </c>
      <c r="Q256" s="1"/>
      <c r="R256" s="5">
        <f t="shared" ref="R256:R261" si="129">IF(P$12=0,0,P256/P$12)</f>
        <v>2.6429221245237284E-3</v>
      </c>
      <c r="S256" s="1"/>
      <c r="T256" s="1">
        <f>SUM(OSRRefT22_22x_0)</f>
        <v>28200</v>
      </c>
      <c r="U256" s="1"/>
      <c r="V256" s="5">
        <f t="shared" ref="V256:V261" si="130">IF(T$12=0,0,T256/T$12)</f>
        <v>2.4288978172169354E-3</v>
      </c>
      <c r="W256" s="1"/>
      <c r="X256" s="1">
        <f t="shared" ref="X256:X261" si="131">+P256-T256</f>
        <v>-4342.9900000000016</v>
      </c>
      <c r="Y256" s="1"/>
      <c r="Z256" s="5">
        <f t="shared" ref="Z256:Z261" si="132">IF(T256=0,0,X256/T256)</f>
        <v>-0.15400673758865255</v>
      </c>
    </row>
    <row r="257" spans="1:26" s="24" customFormat="1" hidden="1" outlineLevel="2" x14ac:dyDescent="0.25">
      <c r="A257" s="26"/>
      <c r="B257" s="11" t="str">
        <f>CONCATENATE("          ", "6376", " - ", "TRAINING")</f>
        <v xml:space="preserve">          6376 - TRAINING</v>
      </c>
      <c r="C257" s="11"/>
      <c r="D257" s="7">
        <v>2140.13</v>
      </c>
      <c r="E257" s="2"/>
      <c r="F257" s="6">
        <f t="shared" si="125"/>
        <v>8.1179233504442994E-3</v>
      </c>
      <c r="G257" s="2"/>
      <c r="H257" s="7">
        <v>1300</v>
      </c>
      <c r="I257" s="2"/>
      <c r="J257" s="6">
        <f t="shared" si="126"/>
        <v>1.1859672899453761E-3</v>
      </c>
      <c r="K257" s="2"/>
      <c r="L257" s="7">
        <f t="shared" si="127"/>
        <v>840.13000000000011</v>
      </c>
      <c r="M257" s="2"/>
      <c r="N257" s="6">
        <f t="shared" si="128"/>
        <v>0.64625384615384629</v>
      </c>
      <c r="O257" s="11"/>
      <c r="P257" s="7">
        <v>23857.01</v>
      </c>
      <c r="Q257" s="2"/>
      <c r="R257" s="6">
        <f t="shared" si="129"/>
        <v>2.6429221245237284E-3</v>
      </c>
      <c r="S257" s="2"/>
      <c r="T257" s="7">
        <v>28200</v>
      </c>
      <c r="U257" s="2"/>
      <c r="V257" s="6">
        <f t="shared" si="130"/>
        <v>2.4288978172169354E-3</v>
      </c>
      <c r="W257" s="2"/>
      <c r="X257" s="7">
        <f t="shared" si="131"/>
        <v>-4342.9900000000016</v>
      </c>
      <c r="Y257" s="2"/>
      <c r="Z257" s="6">
        <f t="shared" si="132"/>
        <v>-0.15400673758865255</v>
      </c>
    </row>
    <row r="258" spans="1:26" s="27" customFormat="1" outlineLevel="1" collapsed="1" x14ac:dyDescent="0.25">
      <c r="A258" s="25"/>
      <c r="B258" s="12" t="str">
        <f>CONCATENATE("     ","Travel                                            ")</f>
        <v xml:space="preserve">     Travel                                            </v>
      </c>
      <c r="C258" s="12"/>
      <c r="D258" s="1">
        <f>SUM(OSRRefD22_23x_0)</f>
        <v>0</v>
      </c>
      <c r="E258" s="1"/>
      <c r="F258" s="5">
        <f t="shared" si="125"/>
        <v>0</v>
      </c>
      <c r="G258" s="1"/>
      <c r="H258" s="1">
        <f>SUM(OSRRefH22_23x_0)</f>
        <v>100</v>
      </c>
      <c r="I258" s="1"/>
      <c r="J258" s="5">
        <f t="shared" si="126"/>
        <v>9.1228253072721241E-5</v>
      </c>
      <c r="K258" s="1"/>
      <c r="L258" s="1">
        <f t="shared" si="127"/>
        <v>-100</v>
      </c>
      <c r="M258" s="1"/>
      <c r="N258" s="5">
        <f t="shared" si="128"/>
        <v>-1</v>
      </c>
      <c r="O258" s="12"/>
      <c r="P258" s="1">
        <f>SUM(OSRRefP22_23x_0)</f>
        <v>1317.79</v>
      </c>
      <c r="Q258" s="1"/>
      <c r="R258" s="5">
        <f t="shared" si="129"/>
        <v>1.4598712690635262E-4</v>
      </c>
      <c r="S258" s="1"/>
      <c r="T258" s="1">
        <f>SUM(OSRRefT22_23x_0)</f>
        <v>1635</v>
      </c>
      <c r="U258" s="1"/>
      <c r="V258" s="5">
        <f t="shared" si="130"/>
        <v>1.408243947216202E-4</v>
      </c>
      <c r="W258" s="1"/>
      <c r="X258" s="1">
        <f t="shared" si="131"/>
        <v>-317.21000000000004</v>
      </c>
      <c r="Y258" s="1"/>
      <c r="Z258" s="5">
        <f t="shared" si="132"/>
        <v>-0.19401223241590215</v>
      </c>
    </row>
    <row r="259" spans="1:26" s="24" customFormat="1" hidden="1" outlineLevel="2" x14ac:dyDescent="0.25">
      <c r="A259" s="26"/>
      <c r="B259" s="11" t="str">
        <f>CONCATENATE("          ", "6292", " - ", "TRAVEL/CONFERENCE")</f>
        <v xml:space="preserve">          6292 - TRAVEL/CONFERENCE</v>
      </c>
      <c r="C259" s="11"/>
      <c r="D259" s="7"/>
      <c r="E259" s="2"/>
      <c r="F259" s="6">
        <f t="shared" si="125"/>
        <v>0</v>
      </c>
      <c r="G259" s="2"/>
      <c r="H259" s="7"/>
      <c r="I259" s="2"/>
      <c r="J259" s="6">
        <f t="shared" si="126"/>
        <v>0</v>
      </c>
      <c r="K259" s="2"/>
      <c r="L259" s="7">
        <f t="shared" si="127"/>
        <v>0</v>
      </c>
      <c r="M259" s="2"/>
      <c r="N259" s="6">
        <f t="shared" si="128"/>
        <v>0</v>
      </c>
      <c r="O259" s="11"/>
      <c r="P259" s="7">
        <v>504.66</v>
      </c>
      <c r="Q259" s="2"/>
      <c r="R259" s="6">
        <f t="shared" si="129"/>
        <v>5.5907135024973575E-5</v>
      </c>
      <c r="S259" s="2"/>
      <c r="T259" s="7"/>
      <c r="U259" s="2"/>
      <c r="V259" s="6">
        <f t="shared" si="130"/>
        <v>0</v>
      </c>
      <c r="W259" s="2"/>
      <c r="X259" s="7">
        <f t="shared" si="131"/>
        <v>504.66</v>
      </c>
      <c r="Y259" s="2"/>
      <c r="Z259" s="6">
        <f t="shared" si="132"/>
        <v>0</v>
      </c>
    </row>
    <row r="260" spans="1:26" s="24" customFormat="1" hidden="1" outlineLevel="2" x14ac:dyDescent="0.25">
      <c r="A260" s="26"/>
      <c r="B260" s="11" t="str">
        <f>CONCATENATE("          ", "6294", " - ", "TRAVEL OPERATIONAL")</f>
        <v xml:space="preserve">          6294 - TRAVEL OPERATIONAL</v>
      </c>
      <c r="C260" s="11"/>
      <c r="D260" s="7"/>
      <c r="E260" s="2"/>
      <c r="F260" s="6">
        <f t="shared" si="125"/>
        <v>0</v>
      </c>
      <c r="G260" s="2"/>
      <c r="H260" s="7">
        <v>100</v>
      </c>
      <c r="I260" s="2"/>
      <c r="J260" s="6">
        <f t="shared" si="126"/>
        <v>9.1228253072721241E-5</v>
      </c>
      <c r="K260" s="2"/>
      <c r="L260" s="7">
        <f t="shared" si="127"/>
        <v>-100</v>
      </c>
      <c r="M260" s="2"/>
      <c r="N260" s="6">
        <f t="shared" si="128"/>
        <v>-1</v>
      </c>
      <c r="O260" s="11"/>
      <c r="P260" s="7">
        <v>361.61</v>
      </c>
      <c r="Q260" s="2"/>
      <c r="R260" s="6">
        <f t="shared" si="129"/>
        <v>4.0059800848850103E-5</v>
      </c>
      <c r="S260" s="2"/>
      <c r="T260" s="7">
        <v>1085</v>
      </c>
      <c r="U260" s="2"/>
      <c r="V260" s="6">
        <f t="shared" si="130"/>
        <v>9.3452274173062941E-5</v>
      </c>
      <c r="W260" s="2"/>
      <c r="X260" s="7">
        <f t="shared" si="131"/>
        <v>-723.39</v>
      </c>
      <c r="Y260" s="2"/>
      <c r="Z260" s="6">
        <f t="shared" si="132"/>
        <v>-0.66671889400921658</v>
      </c>
    </row>
    <row r="261" spans="1:26" s="24" customFormat="1" hidden="1" outlineLevel="2" x14ac:dyDescent="0.25">
      <c r="A261" s="26"/>
      <c r="B261" s="11" t="str">
        <f>CONCATENATE("          ", "6298", " - ", "VEHICLE MILEAGE")</f>
        <v xml:space="preserve">          6298 - VEHICLE MILEAGE</v>
      </c>
      <c r="C261" s="11"/>
      <c r="D261" s="7"/>
      <c r="E261" s="2"/>
      <c r="F261" s="6">
        <f t="shared" si="125"/>
        <v>0</v>
      </c>
      <c r="G261" s="2"/>
      <c r="H261" s="7"/>
      <c r="I261" s="2"/>
      <c r="J261" s="6">
        <f t="shared" si="126"/>
        <v>0</v>
      </c>
      <c r="K261" s="2"/>
      <c r="L261" s="7">
        <f t="shared" si="127"/>
        <v>0</v>
      </c>
      <c r="M261" s="2"/>
      <c r="N261" s="6">
        <f t="shared" si="128"/>
        <v>0</v>
      </c>
      <c r="O261" s="11"/>
      <c r="P261" s="7">
        <v>451.52</v>
      </c>
      <c r="Q261" s="2"/>
      <c r="R261" s="6">
        <f t="shared" si="129"/>
        <v>5.002019103252896E-5</v>
      </c>
      <c r="S261" s="2"/>
      <c r="T261" s="7">
        <v>550</v>
      </c>
      <c r="U261" s="2"/>
      <c r="V261" s="6">
        <f t="shared" si="130"/>
        <v>4.7372120548557247E-5</v>
      </c>
      <c r="W261" s="2"/>
      <c r="X261" s="7">
        <f t="shared" si="131"/>
        <v>-98.480000000000018</v>
      </c>
      <c r="Y261" s="2"/>
      <c r="Z261" s="6">
        <f t="shared" si="132"/>
        <v>-0.17905454545454549</v>
      </c>
    </row>
    <row r="262" spans="1:26" s="27" customFormat="1" outlineLevel="1" collapsed="1" x14ac:dyDescent="0.25">
      <c r="A262" s="25"/>
      <c r="B262" s="12" t="str">
        <f>CONCATENATE("     ","Utilities                                         ")</f>
        <v xml:space="preserve">     Utilities                                         </v>
      </c>
      <c r="C262" s="12"/>
      <c r="D262" s="1">
        <f>SUM(OSRRefD22_24x_0)</f>
        <v>6159.43</v>
      </c>
      <c r="E262" s="1"/>
      <c r="F262" s="5">
        <f t="shared" ref="F262:F263" si="133">IF(D$12=0,0,D262/D$12)</f>
        <v>2.3363898745602896E-2</v>
      </c>
      <c r="G262" s="1"/>
      <c r="H262" s="1">
        <f>SUM(OSRRefH22_24x_0)</f>
        <v>5100</v>
      </c>
      <c r="I262" s="1"/>
      <c r="J262" s="5">
        <f t="shared" ref="J262:J263" si="134">IF(H$12=0,0,H262/H$12)</f>
        <v>4.6526409067087831E-3</v>
      </c>
      <c r="K262" s="1"/>
      <c r="L262" s="1">
        <f t="shared" ref="L262:L263" si="135">+D262-H262</f>
        <v>1059.4300000000003</v>
      </c>
      <c r="M262" s="1"/>
      <c r="N262" s="5">
        <f t="shared" ref="N262:N263" si="136">IF(H262=0,0,L262/H262)</f>
        <v>0.20773137254901966</v>
      </c>
      <c r="O262" s="12"/>
      <c r="P262" s="1">
        <f>SUM(OSRRefP22_24x_0)</f>
        <v>65364.780000000006</v>
      </c>
      <c r="Q262" s="1"/>
      <c r="R262" s="5">
        <f t="shared" ref="R262:R263" si="137">IF(P$12=0,0,P262/P$12)</f>
        <v>7.241226927709136E-3</v>
      </c>
      <c r="S262" s="1"/>
      <c r="T262" s="1">
        <f>SUM(OSRRefT22_24x_0)</f>
        <v>59050</v>
      </c>
      <c r="U262" s="1"/>
      <c r="V262" s="5">
        <f t="shared" ref="V262:V263" si="138">IF(T$12=0,0,T262/T$12)</f>
        <v>5.0860431243496462E-3</v>
      </c>
      <c r="W262" s="1"/>
      <c r="X262" s="1">
        <f t="shared" ref="X262:X263" si="139">+P262-T262</f>
        <v>6314.7800000000061</v>
      </c>
      <c r="Y262" s="1"/>
      <c r="Z262" s="5">
        <f t="shared" ref="Z262:Z263" si="140">IF(T262=0,0,X262/T262)</f>
        <v>0.10693954276037267</v>
      </c>
    </row>
    <row r="263" spans="1:26" s="24" customFormat="1" hidden="1" outlineLevel="2" x14ac:dyDescent="0.25">
      <c r="A263" s="26"/>
      <c r="B263" s="11" t="str">
        <f>CONCATENATE("          ", "6274", " - ", "UTILITIES")</f>
        <v xml:space="preserve">          6274 - UTILITIES</v>
      </c>
      <c r="C263" s="11"/>
      <c r="D263" s="7">
        <v>6159.43</v>
      </c>
      <c r="E263" s="2"/>
      <c r="F263" s="6">
        <f t="shared" si="133"/>
        <v>2.3363898745602896E-2</v>
      </c>
      <c r="G263" s="2"/>
      <c r="H263" s="7">
        <v>5100</v>
      </c>
      <c r="I263" s="2"/>
      <c r="J263" s="6">
        <f t="shared" si="134"/>
        <v>4.6526409067087831E-3</v>
      </c>
      <c r="K263" s="2"/>
      <c r="L263" s="7">
        <f t="shared" si="135"/>
        <v>1059.4300000000003</v>
      </c>
      <c r="M263" s="2"/>
      <c r="N263" s="6">
        <f t="shared" si="136"/>
        <v>0.20773137254901966</v>
      </c>
      <c r="O263" s="11"/>
      <c r="P263" s="7">
        <v>65364.780000000006</v>
      </c>
      <c r="Q263" s="2"/>
      <c r="R263" s="6">
        <f t="shared" si="137"/>
        <v>7.241226927709136E-3</v>
      </c>
      <c r="S263" s="2"/>
      <c r="T263" s="7">
        <v>59050</v>
      </c>
      <c r="U263" s="2"/>
      <c r="V263" s="6">
        <f t="shared" si="138"/>
        <v>5.0860431243496462E-3</v>
      </c>
      <c r="W263" s="2"/>
      <c r="X263" s="7">
        <f t="shared" si="139"/>
        <v>6314.7800000000061</v>
      </c>
      <c r="Y263" s="2"/>
      <c r="Z263" s="6">
        <f t="shared" si="140"/>
        <v>0.10693954276037267</v>
      </c>
    </row>
    <row r="264" spans="1:26" s="62" customFormat="1" x14ac:dyDescent="0.25">
      <c r="A264" s="36"/>
      <c r="B264" s="36"/>
      <c r="C264" s="36"/>
      <c r="D264" s="1"/>
      <c r="E264" s="1"/>
      <c r="F264" s="5"/>
      <c r="G264" s="1"/>
      <c r="H264" s="1"/>
      <c r="I264" s="1"/>
      <c r="J264" s="5"/>
      <c r="K264" s="1"/>
      <c r="L264" s="1"/>
      <c r="M264" s="1"/>
      <c r="N264" s="5"/>
      <c r="O264" s="36"/>
      <c r="P264" s="1"/>
      <c r="Q264" s="1"/>
      <c r="R264" s="5"/>
      <c r="S264" s="1"/>
      <c r="T264" s="1"/>
      <c r="U264" s="1"/>
      <c r="V264" s="5"/>
      <c r="W264" s="1"/>
      <c r="X264" s="1"/>
      <c r="Y264" s="1"/>
      <c r="Z264" s="5"/>
    </row>
    <row r="265" spans="1:26" s="23" customFormat="1" collapsed="1" x14ac:dyDescent="0.25">
      <c r="A265" s="10"/>
      <c r="B265" s="28" t="s">
        <v>0</v>
      </c>
      <c r="C265" s="10"/>
      <c r="D265" s="4">
        <f>SUM(OSRRefD25x_0)</f>
        <v>108077.11</v>
      </c>
      <c r="E265" s="4"/>
      <c r="F265" s="13">
        <f t="shared" ref="F265:F274" si="141">IF(D$12=0,0,D265/D$12)</f>
        <v>0.40995719648691298</v>
      </c>
      <c r="G265" s="4"/>
      <c r="H265" s="4">
        <f>SUM(OSRRefH25x_0)</f>
        <v>62175</v>
      </c>
      <c r="I265" s="4"/>
      <c r="J265" s="13">
        <f t="shared" ref="J265:J274" si="142">IF(H$12=0,0,H265/H$12)</f>
        <v>5.6721166347964432E-2</v>
      </c>
      <c r="K265" s="4"/>
      <c r="L265" s="4">
        <f t="shared" ref="L265:L274" si="143">+D265-H265</f>
        <v>45902.11</v>
      </c>
      <c r="M265" s="4"/>
      <c r="N265" s="13">
        <f t="shared" ref="N265:N274" si="144">IF(H265=0,0,L265/H265)</f>
        <v>0.73827277844792927</v>
      </c>
      <c r="O265" s="10"/>
      <c r="P265" s="4">
        <f>SUM(OSRRefP25x_0)</f>
        <v>1169105.1499999999</v>
      </c>
      <c r="Q265" s="4"/>
      <c r="R265" s="13">
        <f t="shared" ref="R265:R274" si="145">IF(P$12=0,0,P265/P$12)</f>
        <v>0.12951555399564454</v>
      </c>
      <c r="S265" s="4"/>
      <c r="T265" s="4">
        <f>SUM(OSRRefT25x_0)</f>
        <v>823375</v>
      </c>
      <c r="U265" s="4"/>
      <c r="V265" s="13">
        <f t="shared" ref="V265:V274" si="146">IF(T$12=0,0,T265/T$12)</f>
        <v>7.0918217739396952E-2</v>
      </c>
      <c r="W265" s="4"/>
      <c r="X265" s="4">
        <f t="shared" ref="X265:X274" si="147">+P265-T265</f>
        <v>345730.14999999991</v>
      </c>
      <c r="Y265" s="4"/>
      <c r="Z265" s="13">
        <f t="shared" ref="Z265:Z274" si="148">IF(T265=0,0,X265/T265)</f>
        <v>0.41989391225140416</v>
      </c>
    </row>
    <row r="266" spans="1:26" s="24" customFormat="1" hidden="1" outlineLevel="1" x14ac:dyDescent="0.25">
      <c r="A266" s="44"/>
      <c r="B266" s="11" t="str">
        <f>CONCATENATE("          ", "4098", " - ", "TAXABLE SALES-GRAD RENTALS")</f>
        <v xml:space="preserve">          4098 - TAXABLE SALES-GRAD RENTALS</v>
      </c>
      <c r="C266" s="11"/>
      <c r="D266" s="2">
        <f>-152</f>
        <v>-152</v>
      </c>
      <c r="E266" s="2"/>
      <c r="F266" s="19">
        <f t="shared" si="141"/>
        <v>-5.7656513822409549E-4</v>
      </c>
      <c r="G266" s="2"/>
      <c r="H266" s="2"/>
      <c r="I266" s="2"/>
      <c r="J266" s="19">
        <f t="shared" si="142"/>
        <v>0</v>
      </c>
      <c r="K266" s="2"/>
      <c r="L266" s="2">
        <f t="shared" si="143"/>
        <v>-152</v>
      </c>
      <c r="M266" s="2"/>
      <c r="N266" s="19">
        <f t="shared" si="144"/>
        <v>0</v>
      </c>
      <c r="O266" s="11"/>
      <c r="P266" s="2">
        <f>--1946.85</f>
        <v>1946.85</v>
      </c>
      <c r="Q266" s="2"/>
      <c r="R266" s="19">
        <f t="shared" si="145"/>
        <v>2.15675515839119E-4</v>
      </c>
      <c r="S266" s="2"/>
      <c r="T266" s="2"/>
      <c r="U266" s="2"/>
      <c r="V266" s="19">
        <f t="shared" si="146"/>
        <v>0</v>
      </c>
      <c r="W266" s="2"/>
      <c r="X266" s="2">
        <f t="shared" si="147"/>
        <v>1946.85</v>
      </c>
      <c r="Y266" s="2"/>
      <c r="Z266" s="19">
        <f t="shared" si="148"/>
        <v>0</v>
      </c>
    </row>
    <row r="267" spans="1:26" s="24" customFormat="1" hidden="1" outlineLevel="1" x14ac:dyDescent="0.25">
      <c r="A267" s="44"/>
      <c r="B267" s="11" t="str">
        <f>CONCATENATE("          ", "4197", " - ", "NON-TAXABLE SALES-RETURNED CHE")</f>
        <v xml:space="preserve">          4197 - NON-TAXABLE SALES-RETURNED CHE</v>
      </c>
      <c r="C267" s="11"/>
      <c r="D267" s="2">
        <f>0</f>
        <v>0</v>
      </c>
      <c r="E267" s="2"/>
      <c r="F267" s="19">
        <f t="shared" si="141"/>
        <v>0</v>
      </c>
      <c r="G267" s="2"/>
      <c r="H267" s="2"/>
      <c r="I267" s="2"/>
      <c r="J267" s="19">
        <f t="shared" si="142"/>
        <v>0</v>
      </c>
      <c r="K267" s="2"/>
      <c r="L267" s="2">
        <f t="shared" si="143"/>
        <v>0</v>
      </c>
      <c r="M267" s="2"/>
      <c r="N267" s="19">
        <f t="shared" si="144"/>
        <v>0</v>
      </c>
      <c r="O267" s="11"/>
      <c r="P267" s="2">
        <f>--30</f>
        <v>30</v>
      </c>
      <c r="Q267" s="2"/>
      <c r="R267" s="19">
        <f t="shared" si="145"/>
        <v>3.3234535147410278E-6</v>
      </c>
      <c r="S267" s="2"/>
      <c r="T267" s="2"/>
      <c r="U267" s="2"/>
      <c r="V267" s="19">
        <f t="shared" si="146"/>
        <v>0</v>
      </c>
      <c r="W267" s="2"/>
      <c r="X267" s="2">
        <f t="shared" si="147"/>
        <v>30</v>
      </c>
      <c r="Y267" s="2"/>
      <c r="Z267" s="19">
        <f t="shared" si="148"/>
        <v>0</v>
      </c>
    </row>
    <row r="268" spans="1:26" s="24" customFormat="1" hidden="1" outlineLevel="1" x14ac:dyDescent="0.25">
      <c r="A268" s="44"/>
      <c r="B268" s="11" t="str">
        <f>CONCATENATE("          ", "4198", " - ", "NON-TAXABLE SALES-GRAD RENTALS")</f>
        <v xml:space="preserve">          4198 - NON-TAXABLE SALES-GRAD RENTALS</v>
      </c>
      <c r="C268" s="11"/>
      <c r="D268" s="2">
        <f>-3469.7</f>
        <v>-3469.7</v>
      </c>
      <c r="E268" s="2"/>
      <c r="F268" s="19">
        <f t="shared" si="141"/>
        <v>-1.3161237237474631E-2</v>
      </c>
      <c r="G268" s="2"/>
      <c r="H268" s="2"/>
      <c r="I268" s="2"/>
      <c r="J268" s="19">
        <f t="shared" si="142"/>
        <v>0</v>
      </c>
      <c r="K268" s="2"/>
      <c r="L268" s="2">
        <f t="shared" si="143"/>
        <v>-3469.7</v>
      </c>
      <c r="M268" s="2"/>
      <c r="N268" s="19">
        <f t="shared" si="144"/>
        <v>0</v>
      </c>
      <c r="O268" s="11"/>
      <c r="P268" s="2">
        <f>--163.76</f>
        <v>163.76</v>
      </c>
      <c r="Q268" s="2"/>
      <c r="R268" s="19">
        <f t="shared" si="145"/>
        <v>1.8141624919133024E-5</v>
      </c>
      <c r="S268" s="2"/>
      <c r="T268" s="2"/>
      <c r="U268" s="2"/>
      <c r="V268" s="19">
        <f t="shared" si="146"/>
        <v>0</v>
      </c>
      <c r="W268" s="2"/>
      <c r="X268" s="2">
        <f t="shared" si="147"/>
        <v>163.76</v>
      </c>
      <c r="Y268" s="2"/>
      <c r="Z268" s="19">
        <f t="shared" si="148"/>
        <v>0</v>
      </c>
    </row>
    <row r="269" spans="1:26" s="24" customFormat="1" hidden="1" outlineLevel="1" x14ac:dyDescent="0.25">
      <c r="A269" s="44"/>
      <c r="B269" s="11" t="str">
        <f>CONCATENATE("          ", "9150", " - ", "MISC. INCOME")</f>
        <v xml:space="preserve">          9150 - MISC. INCOME</v>
      </c>
      <c r="C269" s="11"/>
      <c r="D269" s="2">
        <f>--48272.63</f>
        <v>48272.63</v>
      </c>
      <c r="E269" s="2"/>
      <c r="F269" s="19">
        <f t="shared" si="141"/>
        <v>0.1831073393973067</v>
      </c>
      <c r="G269" s="2"/>
      <c r="H269" s="2">
        <v>29225</v>
      </c>
      <c r="I269" s="2"/>
      <c r="J269" s="19">
        <f t="shared" si="142"/>
        <v>2.6661456960502785E-2</v>
      </c>
      <c r="K269" s="2"/>
      <c r="L269" s="2">
        <f t="shared" si="143"/>
        <v>19047.629999999997</v>
      </c>
      <c r="M269" s="2"/>
      <c r="N269" s="19">
        <f t="shared" si="144"/>
        <v>0.65175808383233524</v>
      </c>
      <c r="O269" s="11"/>
      <c r="P269" s="2">
        <f>--476038.11</f>
        <v>476038.11</v>
      </c>
      <c r="Q269" s="2"/>
      <c r="R269" s="19">
        <f t="shared" si="145"/>
        <v>5.2736350994339203E-2</v>
      </c>
      <c r="S269" s="2"/>
      <c r="T269" s="2">
        <v>333725</v>
      </c>
      <c r="U269" s="2"/>
      <c r="V269" s="19">
        <f t="shared" si="146"/>
        <v>2.8744110781940488E-2</v>
      </c>
      <c r="W269" s="2"/>
      <c r="X269" s="2">
        <f t="shared" si="147"/>
        <v>142313.10999999999</v>
      </c>
      <c r="Y269" s="2"/>
      <c r="Z269" s="19">
        <f t="shared" si="148"/>
        <v>0.42643826503857962</v>
      </c>
    </row>
    <row r="270" spans="1:26" s="24" customFormat="1" hidden="1" outlineLevel="1" x14ac:dyDescent="0.25">
      <c r="A270" s="44"/>
      <c r="B270" s="11" t="str">
        <f>CONCATENATE("          ", "9151", " - ", "MISC. INCOME")</f>
        <v xml:space="preserve">          9151 - MISC. INCOME</v>
      </c>
      <c r="C270" s="11"/>
      <c r="D270" s="2">
        <f>0</f>
        <v>0</v>
      </c>
      <c r="E270" s="2"/>
      <c r="F270" s="19">
        <f t="shared" si="141"/>
        <v>0</v>
      </c>
      <c r="G270" s="2"/>
      <c r="H270" s="2">
        <v>12850</v>
      </c>
      <c r="I270" s="2"/>
      <c r="J270" s="19">
        <f t="shared" si="142"/>
        <v>1.172283051984468E-2</v>
      </c>
      <c r="K270" s="2"/>
      <c r="L270" s="2">
        <f t="shared" si="143"/>
        <v>-12850</v>
      </c>
      <c r="M270" s="2"/>
      <c r="N270" s="19">
        <f t="shared" si="144"/>
        <v>-1</v>
      </c>
      <c r="O270" s="11"/>
      <c r="P270" s="2">
        <f>--169392.7</f>
        <v>169392.7</v>
      </c>
      <c r="Q270" s="2"/>
      <c r="R270" s="19">
        <f t="shared" si="145"/>
        <v>1.8765625472882418E-2</v>
      </c>
      <c r="S270" s="2"/>
      <c r="T270" s="2">
        <v>129100</v>
      </c>
      <c r="U270" s="2"/>
      <c r="V270" s="19">
        <f t="shared" si="146"/>
        <v>1.1119528659670438E-2</v>
      </c>
      <c r="W270" s="2"/>
      <c r="X270" s="2">
        <f t="shared" si="147"/>
        <v>40292.700000000012</v>
      </c>
      <c r="Y270" s="2"/>
      <c r="Z270" s="19">
        <f t="shared" si="148"/>
        <v>0.3121045701006972</v>
      </c>
    </row>
    <row r="271" spans="1:26" s="24" customFormat="1" hidden="1" outlineLevel="1" x14ac:dyDescent="0.25">
      <c r="A271" s="44"/>
      <c r="B271" s="11" t="str">
        <f>CONCATENATE("          ", "9152", " - ", "MISC. INCOME")</f>
        <v xml:space="preserve">          9152 - MISC. INCOME</v>
      </c>
      <c r="C271" s="11"/>
      <c r="D271" s="2">
        <f>--5092.84</f>
        <v>5092.84</v>
      </c>
      <c r="E271" s="2"/>
      <c r="F271" s="19">
        <f t="shared" si="141"/>
        <v>1.9318118411534226E-2</v>
      </c>
      <c r="G271" s="2"/>
      <c r="H271" s="2"/>
      <c r="I271" s="2"/>
      <c r="J271" s="19">
        <f t="shared" si="142"/>
        <v>0</v>
      </c>
      <c r="K271" s="2"/>
      <c r="L271" s="2">
        <f t="shared" si="143"/>
        <v>5092.84</v>
      </c>
      <c r="M271" s="2"/>
      <c r="N271" s="19">
        <f t="shared" si="144"/>
        <v>0</v>
      </c>
      <c r="O271" s="11"/>
      <c r="P271" s="2">
        <f>--9874.89</f>
        <v>9874.89</v>
      </c>
      <c r="Q271" s="2"/>
      <c r="R271" s="19">
        <f t="shared" si="145"/>
        <v>1.0939579292727009E-3</v>
      </c>
      <c r="S271" s="2"/>
      <c r="T271" s="2"/>
      <c r="U271" s="2"/>
      <c r="V271" s="19">
        <f t="shared" si="146"/>
        <v>0</v>
      </c>
      <c r="W271" s="2"/>
      <c r="X271" s="2">
        <f t="shared" si="147"/>
        <v>9874.89</v>
      </c>
      <c r="Y271" s="2"/>
      <c r="Z271" s="19">
        <f t="shared" si="148"/>
        <v>0</v>
      </c>
    </row>
    <row r="272" spans="1:26" s="24" customFormat="1" hidden="1" outlineLevel="1" x14ac:dyDescent="0.25">
      <c r="A272" s="44"/>
      <c r="B272" s="11" t="str">
        <f>CONCATENATE("          ", "9153", " - ", "MISC. INCOME")</f>
        <v xml:space="preserve">          9153 - MISC. INCOME</v>
      </c>
      <c r="C272" s="11"/>
      <c r="D272" s="2">
        <f t="shared" ref="D272:D273" si="149">0</f>
        <v>0</v>
      </c>
      <c r="E272" s="2"/>
      <c r="F272" s="19">
        <f t="shared" si="141"/>
        <v>0</v>
      </c>
      <c r="G272" s="2"/>
      <c r="H272" s="2"/>
      <c r="I272" s="2"/>
      <c r="J272" s="19">
        <f t="shared" si="142"/>
        <v>0</v>
      </c>
      <c r="K272" s="2"/>
      <c r="L272" s="2">
        <f t="shared" si="143"/>
        <v>0</v>
      </c>
      <c r="M272" s="2"/>
      <c r="N272" s="19">
        <f t="shared" si="144"/>
        <v>0</v>
      </c>
      <c r="O272" s="11"/>
      <c r="P272" s="2">
        <f>--450</f>
        <v>450</v>
      </c>
      <c r="Q272" s="2"/>
      <c r="R272" s="19">
        <f t="shared" si="145"/>
        <v>4.9851802721115416E-5</v>
      </c>
      <c r="S272" s="2"/>
      <c r="T272" s="2"/>
      <c r="U272" s="2"/>
      <c r="V272" s="19">
        <f t="shared" si="146"/>
        <v>0</v>
      </c>
      <c r="W272" s="2"/>
      <c r="X272" s="2">
        <f t="shared" si="147"/>
        <v>450</v>
      </c>
      <c r="Y272" s="2"/>
      <c r="Z272" s="19">
        <f t="shared" si="148"/>
        <v>0</v>
      </c>
    </row>
    <row r="273" spans="1:26" s="24" customFormat="1" hidden="1" outlineLevel="1" x14ac:dyDescent="0.25">
      <c r="A273" s="44"/>
      <c r="B273" s="11" t="str">
        <f>CONCATENATE("          ", "9160", " - ", "MISC. INCOME")</f>
        <v xml:space="preserve">          9160 - MISC. INCOME</v>
      </c>
      <c r="C273" s="11"/>
      <c r="D273" s="2">
        <f t="shared" si="149"/>
        <v>0</v>
      </c>
      <c r="E273" s="2"/>
      <c r="F273" s="19">
        <f t="shared" si="141"/>
        <v>0</v>
      </c>
      <c r="G273" s="2"/>
      <c r="H273" s="2">
        <v>20100</v>
      </c>
      <c r="I273" s="2"/>
      <c r="J273" s="19">
        <f t="shared" si="142"/>
        <v>1.8336878867616969E-2</v>
      </c>
      <c r="K273" s="2"/>
      <c r="L273" s="2">
        <f t="shared" si="143"/>
        <v>-20100</v>
      </c>
      <c r="M273" s="2"/>
      <c r="N273" s="19">
        <f t="shared" si="144"/>
        <v>-1</v>
      </c>
      <c r="O273" s="11"/>
      <c r="P273" s="2">
        <f>--22475</f>
        <v>22475</v>
      </c>
      <c r="Q273" s="2"/>
      <c r="R273" s="19">
        <f t="shared" si="145"/>
        <v>2.4898205914601532E-3</v>
      </c>
      <c r="S273" s="2"/>
      <c r="T273" s="2">
        <v>360550</v>
      </c>
      <c r="U273" s="2"/>
      <c r="V273" s="19">
        <f t="shared" si="146"/>
        <v>3.1054578297786028E-2</v>
      </c>
      <c r="W273" s="2"/>
      <c r="X273" s="2">
        <f t="shared" si="147"/>
        <v>-338075</v>
      </c>
      <c r="Y273" s="2"/>
      <c r="Z273" s="19">
        <f t="shared" si="148"/>
        <v>-0.9376646789626959</v>
      </c>
    </row>
    <row r="274" spans="1:26" s="24" customFormat="1" hidden="1" outlineLevel="1" x14ac:dyDescent="0.25">
      <c r="A274" s="44"/>
      <c r="B274" s="11" t="str">
        <f>CONCATENATE("          ", "9163", " - ", "MISC. INCOME")</f>
        <v xml:space="preserve">          9163 - MISC. INCOME</v>
      </c>
      <c r="C274" s="11"/>
      <c r="D274" s="2">
        <f>--58333.34</f>
        <v>58333.34</v>
      </c>
      <c r="E274" s="2"/>
      <c r="F274" s="19">
        <f t="shared" si="141"/>
        <v>0.22126954105377075</v>
      </c>
      <c r="G274" s="2"/>
      <c r="H274" s="2"/>
      <c r="I274" s="2"/>
      <c r="J274" s="19">
        <f t="shared" si="142"/>
        <v>0</v>
      </c>
      <c r="K274" s="2"/>
      <c r="L274" s="2">
        <f t="shared" si="143"/>
        <v>58333.34</v>
      </c>
      <c r="M274" s="2"/>
      <c r="N274" s="19">
        <f t="shared" si="144"/>
        <v>0</v>
      </c>
      <c r="O274" s="11"/>
      <c r="P274" s="2">
        <f>--488733.84</f>
        <v>488733.84</v>
      </c>
      <c r="Q274" s="2"/>
      <c r="R274" s="19">
        <f t="shared" si="145"/>
        <v>5.4142806610695975E-2</v>
      </c>
      <c r="S274" s="2"/>
      <c r="T274" s="2"/>
      <c r="U274" s="2"/>
      <c r="V274" s="19">
        <f t="shared" si="146"/>
        <v>0</v>
      </c>
      <c r="W274" s="2"/>
      <c r="X274" s="2">
        <f t="shared" si="147"/>
        <v>488733.84</v>
      </c>
      <c r="Y274" s="2"/>
      <c r="Z274" s="19">
        <f t="shared" si="148"/>
        <v>0</v>
      </c>
    </row>
    <row r="275" spans="1:26" x14ac:dyDescent="0.25">
      <c r="A275" s="9"/>
      <c r="B275" s="10"/>
      <c r="C275" s="10"/>
      <c r="D275" s="3"/>
      <c r="E275" s="3"/>
      <c r="F275" s="8"/>
      <c r="G275" s="3"/>
      <c r="H275" s="3"/>
      <c r="I275" s="3"/>
      <c r="J275" s="8"/>
      <c r="K275" s="3"/>
      <c r="L275" s="3"/>
      <c r="M275" s="3"/>
      <c r="N275" s="8"/>
      <c r="O275" s="10"/>
      <c r="P275" s="3"/>
      <c r="Q275" s="3"/>
      <c r="R275" s="8"/>
      <c r="S275" s="3"/>
      <c r="T275" s="3"/>
      <c r="U275" s="3"/>
      <c r="V275" s="8"/>
      <c r="W275" s="3"/>
      <c r="X275" s="3"/>
      <c r="Y275" s="3"/>
      <c r="Z275" s="8"/>
    </row>
    <row r="276" spans="1:26" s="23" customFormat="1" x14ac:dyDescent="0.25">
      <c r="A276" s="10"/>
      <c r="B276" s="29" t="s">
        <v>3</v>
      </c>
      <c r="C276" s="29"/>
      <c r="D276" s="20">
        <f>+D166-D168+D265</f>
        <v>-29340.370000000155</v>
      </c>
      <c r="E276" s="14"/>
      <c r="F276" s="22">
        <f>IF(D$12=0,0,D276/D$12)</f>
        <v>-0.11129364792497495</v>
      </c>
      <c r="G276" s="14"/>
      <c r="H276" s="20">
        <f>+H166-H168+H265</f>
        <v>283591.24781105999</v>
      </c>
      <c r="I276" s="14"/>
      <c r="J276" s="22">
        <f>IF(H$12=0,0,H276/H$12)</f>
        <v>0.25871534124516188</v>
      </c>
      <c r="K276" s="16"/>
      <c r="L276" s="20">
        <f>+D276-H276</f>
        <v>-312931.61781106016</v>
      </c>
      <c r="M276" s="16"/>
      <c r="N276" s="22">
        <f>IF(H276=0,0,L276/H276)</f>
        <v>-1.1034600687661134</v>
      </c>
      <c r="O276" s="28"/>
      <c r="P276" s="20">
        <f>+P166-P168+P265</f>
        <v>1053778.1800000048</v>
      </c>
      <c r="Q276" s="14"/>
      <c r="R276" s="22">
        <f>IF(P$12=0,0,P276/P$12)</f>
        <v>0.11673942653594732</v>
      </c>
      <c r="S276" s="14"/>
      <c r="T276" s="20">
        <f>+T166-T168+T265</f>
        <v>1549259.8119272711</v>
      </c>
      <c r="U276" s="14"/>
      <c r="V276" s="22">
        <f>IF(T$12=0,0,T276/T$12)</f>
        <v>0.13343949558482512</v>
      </c>
      <c r="W276" s="16"/>
      <c r="X276" s="20">
        <f>+P276-T276</f>
        <v>-495481.63192726625</v>
      </c>
      <c r="Y276" s="16"/>
      <c r="Z276" s="22">
        <f>IF(T276=0,0,X276/T276)</f>
        <v>-0.31981829523538063</v>
      </c>
    </row>
    <row r="277" spans="1:26" x14ac:dyDescent="0.25">
      <c r="A277" s="9"/>
      <c r="B277" s="10"/>
      <c r="C277" s="9"/>
      <c r="D277" s="3"/>
      <c r="E277" s="3"/>
      <c r="F277" s="8"/>
      <c r="G277" s="3"/>
      <c r="H277" s="3"/>
      <c r="I277" s="3"/>
      <c r="J277" s="8"/>
      <c r="K277" s="3"/>
      <c r="L277" s="3"/>
      <c r="M277" s="3"/>
      <c r="N277" s="8"/>
      <c r="P277" s="3"/>
      <c r="Q277" s="3"/>
      <c r="R277" s="8"/>
      <c r="S277" s="3"/>
      <c r="T277" s="3"/>
      <c r="U277" s="3"/>
      <c r="V277" s="8"/>
      <c r="W277" s="3"/>
      <c r="X277" s="3"/>
      <c r="Y277" s="3"/>
      <c r="Z277" s="8"/>
    </row>
    <row r="278" spans="1:26" s="23" customFormat="1" x14ac:dyDescent="0.25">
      <c r="A278" s="52"/>
      <c r="B278" s="10" t="s">
        <v>14</v>
      </c>
      <c r="C278" s="10"/>
      <c r="D278" s="4">
        <v>73918.67</v>
      </c>
      <c r="E278" s="4"/>
      <c r="F278" s="13">
        <f>IF(D$12=0,0,D278/D$12)</f>
        <v>0.2803876854334954</v>
      </c>
      <c r="G278" s="4"/>
      <c r="H278" s="4">
        <v>116279</v>
      </c>
      <c r="I278" s="4"/>
      <c r="J278" s="13">
        <f>IF(H$12=0,0,H278/H$12)</f>
        <v>0.10607930039042954</v>
      </c>
      <c r="K278" s="4"/>
      <c r="L278" s="4">
        <f>+D278-H278</f>
        <v>-42360.33</v>
      </c>
      <c r="M278" s="4"/>
      <c r="N278" s="13">
        <f>IF(H278=0,0,L278/H278)</f>
        <v>-0.36429905657943396</v>
      </c>
      <c r="O278" s="10"/>
      <c r="P278" s="4">
        <v>1068908.75</v>
      </c>
      <c r="Q278" s="4"/>
      <c r="R278" s="13">
        <f>IF(P$12=0,0,P278/P$12)</f>
        <v>0.11841561807083129</v>
      </c>
      <c r="S278" s="4"/>
      <c r="T278" s="4">
        <v>1344758</v>
      </c>
      <c r="U278" s="4"/>
      <c r="V278" s="13">
        <f>IF(T$12=0,0,T278/T$12)</f>
        <v>0.11582552379024863</v>
      </c>
      <c r="W278" s="4"/>
      <c r="X278" s="4">
        <f>+P278-T278</f>
        <v>-275849.25</v>
      </c>
      <c r="Y278" s="4"/>
      <c r="Z278" s="13">
        <f>IF(T278=0,0,X278/T278)</f>
        <v>-0.20512928720260448</v>
      </c>
    </row>
    <row r="279" spans="1:26" x14ac:dyDescent="0.25">
      <c r="A279" s="9"/>
      <c r="B279" s="10"/>
      <c r="C279" s="10"/>
      <c r="D279" s="3"/>
      <c r="E279" s="3"/>
      <c r="F279" s="8"/>
      <c r="G279" s="3"/>
      <c r="H279" s="3"/>
      <c r="I279" s="3"/>
      <c r="J279" s="8"/>
      <c r="K279" s="3"/>
      <c r="L279" s="3"/>
      <c r="M279" s="3"/>
      <c r="N279" s="8"/>
      <c r="O279" s="10"/>
      <c r="P279" s="3"/>
      <c r="Q279" s="3"/>
      <c r="R279" s="8"/>
      <c r="S279" s="3"/>
      <c r="T279" s="3"/>
      <c r="U279" s="3"/>
      <c r="V279" s="8"/>
      <c r="W279" s="3"/>
      <c r="X279" s="3"/>
      <c r="Y279" s="3"/>
      <c r="Z279" s="8"/>
    </row>
    <row r="280" spans="1:26" s="23" customFormat="1" ht="15.75" thickBot="1" x14ac:dyDescent="0.3">
      <c r="A280" s="10"/>
      <c r="B280" s="29" t="s">
        <v>4</v>
      </c>
      <c r="C280" s="29"/>
      <c r="D280" s="35">
        <f>+D276-D278</f>
        <v>-103259.04000000015</v>
      </c>
      <c r="E280" s="14"/>
      <c r="F280" s="32">
        <f>IF(D$12=0,0,D280/D$12)</f>
        <v>-0.39168133335847033</v>
      </c>
      <c r="G280" s="14"/>
      <c r="H280" s="35">
        <f>+H276-H278</f>
        <v>167312.24781105999</v>
      </c>
      <c r="I280" s="14"/>
      <c r="J280" s="32">
        <f>IF(H$12=0,0,H280/H$12)</f>
        <v>0.15263604085473231</v>
      </c>
      <c r="K280" s="16"/>
      <c r="L280" s="35">
        <f>D280-H280</f>
        <v>-270571.28781106015</v>
      </c>
      <c r="M280" s="16"/>
      <c r="N280" s="32">
        <f>IF(H280=0,0,L280/H280)</f>
        <v>-1.6171636646505823</v>
      </c>
      <c r="O280" s="28"/>
      <c r="P280" s="35">
        <f>+P276-P278</f>
        <v>-15130.569999995176</v>
      </c>
      <c r="Q280" s="14"/>
      <c r="R280" s="32">
        <f>IF(P$12=0,0,P280/P$12)</f>
        <v>-1.6761915348839707E-3</v>
      </c>
      <c r="S280" s="14"/>
      <c r="T280" s="35">
        <f>+T276-T278</f>
        <v>204501.81192727108</v>
      </c>
      <c r="U280" s="14"/>
      <c r="V280" s="32">
        <f>IF(T$12=0,0,T280/T$12)</f>
        <v>1.7613971794576487E-2</v>
      </c>
      <c r="W280" s="16"/>
      <c r="X280" s="35">
        <f>P280-T280</f>
        <v>-219632.38192726625</v>
      </c>
      <c r="Y280" s="16"/>
      <c r="Z280" s="32">
        <f>IF(T280=0,0,X280/T280)</f>
        <v>-1.0739874618097576</v>
      </c>
    </row>
    <row r="281" spans="1:26" ht="15.75" thickTop="1" x14ac:dyDescent="0.25">
      <c r="A281" s="9"/>
      <c r="B281" s="9"/>
      <c r="C281" s="9"/>
      <c r="D281" s="3"/>
      <c r="E281" s="3"/>
      <c r="F281" s="8"/>
      <c r="G281" s="3"/>
      <c r="H281" s="3"/>
      <c r="I281" s="3"/>
      <c r="J281" s="8"/>
      <c r="K281" s="3"/>
      <c r="L281" s="3"/>
      <c r="M281" s="3"/>
      <c r="N281" s="8"/>
      <c r="P281" s="3"/>
      <c r="Q281" s="3"/>
      <c r="R281" s="8"/>
      <c r="S281" s="3"/>
      <c r="T281" s="3"/>
      <c r="U281" s="3"/>
      <c r="V281" s="8"/>
      <c r="W281" s="3"/>
      <c r="X281" s="3"/>
      <c r="Y281" s="3"/>
      <c r="Z281" s="8"/>
    </row>
    <row r="282" spans="1:26" x14ac:dyDescent="0.25">
      <c r="A282" s="9"/>
      <c r="B282" s="9"/>
      <c r="C282" s="9"/>
      <c r="D282" s="3"/>
      <c r="E282" s="3"/>
      <c r="F282" s="8"/>
      <c r="G282" s="3"/>
      <c r="H282" s="3"/>
      <c r="I282" s="3"/>
      <c r="J282" s="8"/>
      <c r="K282" s="3"/>
      <c r="L282" s="3"/>
      <c r="M282" s="3"/>
      <c r="N282" s="8"/>
      <c r="P282" s="3"/>
      <c r="Q282" s="3"/>
      <c r="R282" s="8"/>
      <c r="S282" s="3"/>
      <c r="T282" s="3"/>
      <c r="U282" s="3"/>
      <c r="V282" s="8"/>
      <c r="W282" s="3"/>
      <c r="X282" s="3"/>
      <c r="Y282" s="3"/>
      <c r="Z282" s="8"/>
    </row>
    <row r="283" spans="1:26" s="23" customFormat="1" ht="15.75" thickBot="1" x14ac:dyDescent="0.3">
      <c r="A283" s="10"/>
      <c r="B283" s="29" t="s">
        <v>5</v>
      </c>
      <c r="C283" s="29"/>
      <c r="D283" s="34">
        <f>SUM(D280:D282)</f>
        <v>-103259.04000000015</v>
      </c>
      <c r="E283" s="14"/>
      <c r="F283" s="31">
        <f>IF(D$12=0,0,D283/D$12)</f>
        <v>-0.39168133335847033</v>
      </c>
      <c r="G283" s="14"/>
      <c r="H283" s="34">
        <f>SUM(H280:H282)</f>
        <v>167312.24781105999</v>
      </c>
      <c r="I283" s="14"/>
      <c r="J283" s="31">
        <f>IF(H$12=0,0,H283/H$12)</f>
        <v>0.15263604085473231</v>
      </c>
      <c r="K283" s="16"/>
      <c r="L283" s="34">
        <f>+D283-H283</f>
        <v>-270571.28781106015</v>
      </c>
      <c r="M283" s="16"/>
      <c r="N283" s="31">
        <f>IF(H283=0,0,L283/H283)</f>
        <v>-1.6171636646505823</v>
      </c>
      <c r="O283" s="28"/>
      <c r="P283" s="34">
        <f>SUM(P280:P282)</f>
        <v>-15130.569999995176</v>
      </c>
      <c r="Q283" s="14"/>
      <c r="R283" s="31">
        <f>IF(P$12=0,0,P283/P$12)</f>
        <v>-1.6761915348839707E-3</v>
      </c>
      <c r="S283" s="14"/>
      <c r="T283" s="34">
        <f>SUM(T280:T282)</f>
        <v>204501.81192727108</v>
      </c>
      <c r="U283" s="14"/>
      <c r="V283" s="31">
        <f>IF(T$12=0,0,T283/T$12)</f>
        <v>1.7613971794576487E-2</v>
      </c>
      <c r="W283" s="16"/>
      <c r="X283" s="34">
        <f>+P283-T283</f>
        <v>-219632.38192726625</v>
      </c>
      <c r="Y283" s="16"/>
      <c r="Z283" s="31">
        <f>IF(T283=0,0,X283/T283)</f>
        <v>-1.0739874618097576</v>
      </c>
    </row>
    <row r="284" spans="1:26" ht="15.75" thickTop="1" x14ac:dyDescent="0.25">
      <c r="A284" s="9"/>
      <c r="C284" s="9"/>
      <c r="D284" s="18"/>
      <c r="E284" s="18"/>
      <c r="G284" s="18"/>
      <c r="H284" s="18"/>
      <c r="I284" s="18"/>
      <c r="J284" s="42"/>
      <c r="K284" s="18"/>
      <c r="L284" s="18"/>
      <c r="M284" s="18"/>
      <c r="P284" s="18"/>
      <c r="Q284" s="18"/>
      <c r="R284" s="42"/>
      <c r="S284" s="18"/>
      <c r="T284" s="18"/>
      <c r="U284" s="18"/>
      <c r="V284" s="42"/>
      <c r="W284" s="18"/>
      <c r="X284" s="18"/>
    </row>
    <row r="285" spans="1:26" x14ac:dyDescent="0.25">
      <c r="A285" s="9"/>
      <c r="B285" s="59">
        <v>43992.371001851854</v>
      </c>
      <c r="D285" s="18"/>
      <c r="E285" s="18"/>
      <c r="G285" s="18"/>
      <c r="H285" s="18"/>
      <c r="I285" s="18"/>
      <c r="J285" s="42"/>
      <c r="K285" s="18"/>
      <c r="L285" s="18"/>
      <c r="M285" s="18"/>
      <c r="P285" s="18"/>
      <c r="Q285" s="18"/>
      <c r="R285" s="42"/>
      <c r="S285" s="18"/>
      <c r="T285" s="18"/>
      <c r="U285" s="18"/>
      <c r="V285" s="42"/>
      <c r="W285" s="18"/>
      <c r="X285" s="18"/>
    </row>
    <row r="286" spans="1:26" x14ac:dyDescent="0.25">
      <c r="A286" s="9"/>
      <c r="B286" s="56" t="s">
        <v>314</v>
      </c>
      <c r="D286" s="18"/>
      <c r="E286" s="18"/>
      <c r="G286" s="18"/>
      <c r="H286" s="18"/>
      <c r="I286" s="18"/>
      <c r="J286" s="42"/>
      <c r="K286" s="18"/>
      <c r="L286" s="18"/>
      <c r="M286" s="18"/>
      <c r="P286" s="18"/>
      <c r="Q286" s="18"/>
      <c r="R286" s="42"/>
      <c r="S286" s="18"/>
      <c r="T286" s="18"/>
      <c r="U286" s="18"/>
      <c r="V286" s="42"/>
      <c r="W286" s="18"/>
      <c r="X286" s="18"/>
    </row>
    <row r="287" spans="1:26" x14ac:dyDescent="0.25">
      <c r="A287" s="9"/>
      <c r="B287" s="54"/>
      <c r="D287" s="18"/>
      <c r="E287" s="18"/>
      <c r="G287" s="18"/>
      <c r="H287" s="18"/>
      <c r="I287" s="18"/>
      <c r="J287" s="42"/>
      <c r="K287" s="18"/>
      <c r="L287" s="18"/>
      <c r="M287" s="18"/>
      <c r="P287" s="18"/>
      <c r="Q287" s="18"/>
      <c r="R287" s="42"/>
      <c r="S287" s="18"/>
      <c r="T287" s="18"/>
      <c r="U287" s="18"/>
      <c r="V287" s="42"/>
      <c r="W287" s="18"/>
      <c r="X287" s="18"/>
    </row>
    <row r="288" spans="1:26" x14ac:dyDescent="0.25">
      <c r="D288" s="18"/>
      <c r="E288" s="18"/>
      <c r="G288" s="18"/>
      <c r="H288" s="18"/>
      <c r="I288" s="18"/>
      <c r="J288" s="42"/>
      <c r="K288" s="18"/>
      <c r="L288" s="18"/>
      <c r="M288" s="18"/>
      <c r="P288" s="18"/>
      <c r="Q288" s="18"/>
      <c r="R288" s="42"/>
      <c r="S288" s="18"/>
      <c r="T288" s="18"/>
      <c r="U288" s="18"/>
      <c r="V288" s="42"/>
      <c r="W288" s="18"/>
      <c r="X288" s="18"/>
    </row>
  </sheetData>
  <pageMargins left="0.25" right="0.25" top="0.75" bottom="0.75" header="0.3" footer="0.3"/>
  <pageSetup scale="55" fitToWidth="2" orientation="landscape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63" t="s">
        <v>13</v>
      </c>
    </row>
    <row r="3" spans="1:26" x14ac:dyDescent="0.25">
      <c r="D3" s="63" t="s">
        <v>296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61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63" t="e">
        <f ca="1">CONCATENATE("Period ",RIGHT(_xll.OneStop.ReportPlayer.OSRFunctions.OSRGet("Period","PeriodId"),2),", ",_xll.OneStop.ReportPlayer.OSRFunctions.OSRGet("Period","Year"))</f>
        <v>#NAME?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61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5" t="e">
        <f ca="1">_xll.OneStop.ReportPlayer.OSRFunctions.OSRGet("Period","PeriodEnd")</f>
        <v>#NAME?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61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51"/>
      <c r="C6" s="51"/>
      <c r="D6" s="23" t="s">
        <v>297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57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5" t="s">
        <v>294</v>
      </c>
      <c r="E9" s="15"/>
      <c r="F9" s="38"/>
      <c r="G9" s="15"/>
      <c r="H9" s="15"/>
      <c r="I9" s="15"/>
      <c r="J9" s="46"/>
      <c r="K9" s="15"/>
      <c r="L9" s="15"/>
      <c r="M9" s="15"/>
      <c r="N9" s="38"/>
      <c r="P9" s="15" t="s">
        <v>295</v>
      </c>
      <c r="Q9" s="15"/>
      <c r="R9" s="38"/>
      <c r="S9" s="15"/>
      <c r="T9" s="15"/>
      <c r="U9" s="15"/>
      <c r="V9" s="46"/>
      <c r="W9" s="15"/>
      <c r="X9" s="15"/>
      <c r="Y9" s="15"/>
      <c r="Z9" s="38"/>
    </row>
    <row r="10" spans="1:26" x14ac:dyDescent="0.25">
      <c r="A10" s="10"/>
      <c r="B10" s="55"/>
      <c r="C10" s="10"/>
      <c r="D10" s="43" t="s">
        <v>10</v>
      </c>
      <c r="E10" s="33"/>
      <c r="F10" s="40" t="s">
        <v>15</v>
      </c>
      <c r="G10" s="33"/>
      <c r="H10" s="47" t="s">
        <v>11</v>
      </c>
      <c r="I10" s="33"/>
      <c r="J10" s="45" t="s">
        <v>16</v>
      </c>
      <c r="K10" s="10"/>
      <c r="L10" s="43" t="s">
        <v>12</v>
      </c>
      <c r="M10" s="10"/>
      <c r="N10" s="40" t="s">
        <v>17</v>
      </c>
      <c r="O10" s="10"/>
      <c r="P10" s="53" t="s">
        <v>10</v>
      </c>
      <c r="Q10" s="33"/>
      <c r="R10" s="40" t="s">
        <v>15</v>
      </c>
      <c r="S10" s="33"/>
      <c r="T10" s="47" t="s">
        <v>11</v>
      </c>
      <c r="U10" s="33"/>
      <c r="V10" s="45" t="s">
        <v>16</v>
      </c>
      <c r="W10" s="10"/>
      <c r="X10" s="43" t="s">
        <v>12</v>
      </c>
      <c r="Y10" s="10"/>
      <c r="Z10" s="40" t="s">
        <v>17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 t="e">
        <f ca="1">SUM(_xll.OneStop.ReportPlayer.OSRFunctions.OSRRef(D13))</f>
        <v>#NAME?</v>
      </c>
      <c r="E12" s="4"/>
      <c r="F12" s="13"/>
      <c r="G12" s="4"/>
      <c r="H12" s="4" t="e">
        <f ca="1">SUM(_xll.OneStop.ReportPlayer.OSRFunctions.OSRRef(H13))</f>
        <v>#NAME?</v>
      </c>
      <c r="I12" s="4"/>
      <c r="J12" s="13"/>
      <c r="K12" s="4"/>
      <c r="L12" s="4" t="e">
        <f t="shared" ref="L12:L13" ca="1" si="0">+D12-H12</f>
        <v>#NAME?</v>
      </c>
      <c r="M12" s="4"/>
      <c r="N12" s="13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3"/>
      <c r="S12" s="4"/>
      <c r="T12" s="4" t="e">
        <f ca="1">SUM(_xll.OneStop.ReportPlayer.OSRFunctions.OSRRef(T13))</f>
        <v>#NAME?</v>
      </c>
      <c r="U12" s="4"/>
      <c r="V12" s="13"/>
      <c r="W12" s="4"/>
      <c r="X12" s="4" t="e">
        <f t="shared" ref="X12:X13" ca="1" si="2">+P12-T12</f>
        <v>#NAME?</v>
      </c>
      <c r="Y12" s="4"/>
      <c r="Z12" s="13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8</v>
      </c>
      <c r="C15" s="10"/>
      <c r="D15" s="4" t="e">
        <f ca="1">SUM(_xll.OneStop.ReportPlayer.OSRFunctions.OSRRef(D16))</f>
        <v>#NAME?</v>
      </c>
      <c r="E15" s="4"/>
      <c r="F15" s="13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3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3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3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3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3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6</v>
      </c>
      <c r="C18" s="29"/>
      <c r="D18" s="20" t="e">
        <f ca="1">D12-D15</f>
        <v>#NAME?</v>
      </c>
      <c r="E18" s="14"/>
      <c r="F18" s="22" t="e">
        <f ca="1">IF(D$12=0,0,D18/D$12)</f>
        <v>#NAME?</v>
      </c>
      <c r="G18" s="14"/>
      <c r="H18" s="20" t="e">
        <f ca="1">H12-H15</f>
        <v>#NAME?</v>
      </c>
      <c r="I18" s="14"/>
      <c r="J18" s="22" t="e">
        <f ca="1">IF(H$12=0,0,H18/H$12)</f>
        <v>#NAME?</v>
      </c>
      <c r="K18" s="16"/>
      <c r="L18" s="20" t="e">
        <f ca="1">+D18-H18</f>
        <v>#NAME?</v>
      </c>
      <c r="M18" s="16"/>
      <c r="N18" s="22" t="e">
        <f ca="1">IF(H18=0,0,L18/H18)</f>
        <v>#NAME?</v>
      </c>
      <c r="O18" s="28"/>
      <c r="P18" s="20" t="e">
        <f ca="1">P12-P15</f>
        <v>#NAME?</v>
      </c>
      <c r="Q18" s="14"/>
      <c r="R18" s="22" t="e">
        <f ca="1">IF(P$12=0,0,P18/P$12)</f>
        <v>#NAME?</v>
      </c>
      <c r="S18" s="14"/>
      <c r="T18" s="20" t="e">
        <f ca="1">T12-T15</f>
        <v>#NAME?</v>
      </c>
      <c r="U18" s="14"/>
      <c r="V18" s="22" t="e">
        <f ca="1">IF(T$12=0,0,T18/T$12)</f>
        <v>#NAME?</v>
      </c>
      <c r="W18" s="16"/>
      <c r="X18" s="20" t="e">
        <f ca="1">+P18-T18</f>
        <v>#NAME?</v>
      </c>
      <c r="Y18" s="16"/>
      <c r="Z18" s="22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9</v>
      </c>
      <c r="C20" s="10"/>
      <c r="D20" s="21" t="e">
        <f ca="1">SUM(_xll.OneStop.ReportPlayer.OSRFunctions.OSRRef(D22))</f>
        <v>#NAME?</v>
      </c>
      <c r="E20" s="21"/>
      <c r="F20" s="30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0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0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0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0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0" t="e">
        <f t="shared" ref="Z20:Z22" ca="1" si="19">IF(T20=0,0,X20/T20)</f>
        <v>#NAME?</v>
      </c>
    </row>
    <row r="21" spans="1:26" s="27" customFormat="1" outlineLevel="1" collapsed="1" x14ac:dyDescent="0.25">
      <c r="A21" s="25"/>
      <c r="B21" s="12" t="e">
        <f ca="1">CONCATENATE("     ",_xll.OneStop.ReportPlayer.OSRFunctions.OSRGet("d_Account","AccountCategory"))</f>
        <v>#NAME?</v>
      </c>
      <c r="C21" s="12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2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6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62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8" t="s">
        <v>0</v>
      </c>
      <c r="C24" s="10"/>
      <c r="D24" s="4" t="e">
        <f ca="1">SUM(_xll.OneStop.ReportPlayer.OSRFunctions.OSRRef(D25))</f>
        <v>#NAME?</v>
      </c>
      <c r="E24" s="4"/>
      <c r="F24" s="13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3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3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3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3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3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3</v>
      </c>
      <c r="C27" s="29"/>
      <c r="D27" s="20" t="e">
        <f ca="1">+D18-D20+D24</f>
        <v>#NAME?</v>
      </c>
      <c r="E27" s="14"/>
      <c r="F27" s="22" t="e">
        <f ca="1">IF(D$12=0,0,D27/D$12)</f>
        <v>#NAME?</v>
      </c>
      <c r="G27" s="14"/>
      <c r="H27" s="20" t="e">
        <f ca="1">+H18-H20+H24</f>
        <v>#NAME?</v>
      </c>
      <c r="I27" s="14"/>
      <c r="J27" s="22" t="e">
        <f ca="1">IF(H$12=0,0,H27/H$12)</f>
        <v>#NAME?</v>
      </c>
      <c r="K27" s="16"/>
      <c r="L27" s="20" t="e">
        <f ca="1">+D27-H27</f>
        <v>#NAME?</v>
      </c>
      <c r="M27" s="16"/>
      <c r="N27" s="22" t="e">
        <f ca="1">IF(H27=0,0,L27/H27)</f>
        <v>#NAME?</v>
      </c>
      <c r="O27" s="28"/>
      <c r="P27" s="20" t="e">
        <f ca="1">+P18-P20+P24</f>
        <v>#NAME?</v>
      </c>
      <c r="Q27" s="14"/>
      <c r="R27" s="22" t="e">
        <f ca="1">IF(P$12=0,0,P27/P$12)</f>
        <v>#NAME?</v>
      </c>
      <c r="S27" s="14"/>
      <c r="T27" s="20" t="e">
        <f ca="1">+T18-T20+T24</f>
        <v>#NAME?</v>
      </c>
      <c r="U27" s="14"/>
      <c r="V27" s="22" t="e">
        <f ca="1">IF(T$12=0,0,T27/T$12)</f>
        <v>#NAME?</v>
      </c>
      <c r="W27" s="16"/>
      <c r="X27" s="20" t="e">
        <f ca="1">+P27-T27</f>
        <v>#NAME?</v>
      </c>
      <c r="Y27" s="16"/>
      <c r="Z27" s="22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3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3" t="e">
        <f ca="1">IF(H$12=0,0,H29/H$12)</f>
        <v>#NAME?</v>
      </c>
      <c r="K29" s="4"/>
      <c r="L29" s="4" t="e">
        <f ca="1">+D29-H29</f>
        <v>#NAME?</v>
      </c>
      <c r="M29" s="4"/>
      <c r="N29" s="13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3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3" t="e">
        <f ca="1">IF(T$12=0,0,T29/T$12)</f>
        <v>#NAME?</v>
      </c>
      <c r="W29" s="4"/>
      <c r="X29" s="4" t="e">
        <f ca="1">+P29-T29</f>
        <v>#NAME?</v>
      </c>
      <c r="Y29" s="4"/>
      <c r="Z29" s="13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4</v>
      </c>
      <c r="C31" s="29"/>
      <c r="D31" s="35" t="e">
        <f ca="1">+D27-D29</f>
        <v>#NAME?</v>
      </c>
      <c r="E31" s="14"/>
      <c r="F31" s="32" t="e">
        <f ca="1">IF(D$12=0,0,D31/D$12)</f>
        <v>#NAME?</v>
      </c>
      <c r="G31" s="14"/>
      <c r="H31" s="35" t="e">
        <f ca="1">+H27-H29</f>
        <v>#NAME?</v>
      </c>
      <c r="I31" s="14"/>
      <c r="J31" s="32" t="e">
        <f ca="1">IF(H$12=0,0,H31/H$12)</f>
        <v>#NAME?</v>
      </c>
      <c r="K31" s="16"/>
      <c r="L31" s="35" t="e">
        <f ca="1">D31-H31</f>
        <v>#NAME?</v>
      </c>
      <c r="M31" s="16"/>
      <c r="N31" s="32" t="e">
        <f ca="1">IF(H31=0,0,L31/H31)</f>
        <v>#NAME?</v>
      </c>
      <c r="O31" s="28"/>
      <c r="P31" s="35" t="e">
        <f ca="1">+P27-P29</f>
        <v>#NAME?</v>
      </c>
      <c r="Q31" s="14"/>
      <c r="R31" s="32" t="e">
        <f ca="1">IF(P$12=0,0,P31/P$12)</f>
        <v>#NAME?</v>
      </c>
      <c r="S31" s="14"/>
      <c r="T31" s="35" t="e">
        <f ca="1">+T27-T29</f>
        <v>#NAME?</v>
      </c>
      <c r="U31" s="14"/>
      <c r="V31" s="32" t="e">
        <f ca="1">IF(T$12=0,0,T31/T$12)</f>
        <v>#NAME?</v>
      </c>
      <c r="W31" s="16"/>
      <c r="X31" s="35" t="e">
        <f ca="1">P31-T31</f>
        <v>#NAME?</v>
      </c>
      <c r="Y31" s="16"/>
      <c r="Z31" s="32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3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3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3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3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3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3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3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3" t="e">
        <f t="shared" ca="1" si="29"/>
        <v>#NAME?</v>
      </c>
      <c r="K34" s="4"/>
      <c r="L34" s="4" t="e">
        <f t="shared" ca="1" si="30"/>
        <v>#NAME?</v>
      </c>
      <c r="M34" s="4"/>
      <c r="N34" s="13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3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3" t="e">
        <f t="shared" ca="1" si="33"/>
        <v>#NAME?</v>
      </c>
      <c r="W34" s="4"/>
      <c r="X34" s="4" t="e">
        <f t="shared" ca="1" si="34"/>
        <v>#NAME?</v>
      </c>
      <c r="Y34" s="4"/>
      <c r="Z34" s="13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5</v>
      </c>
      <c r="C36" s="29"/>
      <c r="D36" s="34" t="e">
        <f ca="1">SUM(D31:D35)</f>
        <v>#NAME?</v>
      </c>
      <c r="E36" s="14"/>
      <c r="F36" s="31" t="e">
        <f ca="1">IF(D$12=0,0,D36/D$12)</f>
        <v>#NAME?</v>
      </c>
      <c r="G36" s="14"/>
      <c r="H36" s="34" t="e">
        <f ca="1">SUM(H31:H35)</f>
        <v>#NAME?</v>
      </c>
      <c r="I36" s="14"/>
      <c r="J36" s="31" t="e">
        <f ca="1">IF(H$12=0,0,H36/H$12)</f>
        <v>#NAME?</v>
      </c>
      <c r="K36" s="16"/>
      <c r="L36" s="34" t="e">
        <f ca="1">+D36-H36</f>
        <v>#NAME?</v>
      </c>
      <c r="M36" s="16"/>
      <c r="N36" s="31" t="e">
        <f ca="1">IF(H36=0,0,L36/H36)</f>
        <v>#NAME?</v>
      </c>
      <c r="O36" s="28"/>
      <c r="P36" s="34" t="e">
        <f ca="1">SUM(P31:P35)</f>
        <v>#NAME?</v>
      </c>
      <c r="Q36" s="14"/>
      <c r="R36" s="31" t="e">
        <f ca="1">IF(P$12=0,0,P36/P$12)</f>
        <v>#NAME?</v>
      </c>
      <c r="S36" s="14"/>
      <c r="T36" s="34" t="e">
        <f ca="1">SUM(T31:T35)</f>
        <v>#NAME?</v>
      </c>
      <c r="U36" s="14"/>
      <c r="V36" s="31" t="e">
        <f ca="1">IF(T$12=0,0,T36/T$12)</f>
        <v>#NAME?</v>
      </c>
      <c r="W36" s="16"/>
      <c r="X36" s="34" t="e">
        <f ca="1">+P36-T36</f>
        <v>#NAME?</v>
      </c>
      <c r="Y36" s="16"/>
      <c r="Z36" s="31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59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56" t="e">
        <f ca="1">_xll.OneStop.ReportPlayer.OSRFunctions.OSRGet("User","UserId")</f>
        <v>#NAME?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54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outlinePr summaryBelow="0" summaryRight="0"/>
  </sheetPr>
  <dimension ref="A2:Z317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63" t="s">
        <v>13</v>
      </c>
    </row>
    <row r="3" spans="1:26" x14ac:dyDescent="0.25">
      <c r="D3" s="63" t="s">
        <v>296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61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63" t="str">
        <f>CONCATENATE("Period ",RIGHT(202011,2),", ",2020)</f>
        <v>Period 11, 2020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61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4">
        <v>43981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61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51"/>
      <c r="C6" s="51"/>
      <c r="D6" s="23" t="s">
        <v>312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57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5" t="s">
        <v>294</v>
      </c>
      <c r="E9" s="15"/>
      <c r="F9" s="38"/>
      <c r="G9" s="15"/>
      <c r="H9" s="15"/>
      <c r="I9" s="15"/>
      <c r="J9" s="46"/>
      <c r="K9" s="15"/>
      <c r="L9" s="15"/>
      <c r="M9" s="15"/>
      <c r="N9" s="38"/>
      <c r="P9" s="15" t="s">
        <v>295</v>
      </c>
      <c r="Q9" s="15"/>
      <c r="R9" s="38"/>
      <c r="S9" s="15"/>
      <c r="T9" s="15"/>
      <c r="U9" s="15"/>
      <c r="V9" s="46"/>
      <c r="W9" s="15"/>
      <c r="X9" s="15"/>
      <c r="Y9" s="15"/>
      <c r="Z9" s="38"/>
    </row>
    <row r="10" spans="1:26" x14ac:dyDescent="0.25">
      <c r="A10" s="10"/>
      <c r="B10" s="55"/>
      <c r="C10" s="10"/>
      <c r="D10" s="43" t="s">
        <v>10</v>
      </c>
      <c r="E10" s="33"/>
      <c r="F10" s="40" t="s">
        <v>15</v>
      </c>
      <c r="G10" s="33"/>
      <c r="H10" s="47" t="s">
        <v>11</v>
      </c>
      <c r="I10" s="33"/>
      <c r="J10" s="45" t="s">
        <v>16</v>
      </c>
      <c r="K10" s="10"/>
      <c r="L10" s="43" t="s">
        <v>12</v>
      </c>
      <c r="M10" s="10"/>
      <c r="N10" s="40" t="s">
        <v>17</v>
      </c>
      <c r="O10" s="10"/>
      <c r="P10" s="53" t="s">
        <v>10</v>
      </c>
      <c r="Q10" s="33"/>
      <c r="R10" s="40" t="s">
        <v>15</v>
      </c>
      <c r="S10" s="33"/>
      <c r="T10" s="47" t="s">
        <v>11</v>
      </c>
      <c r="U10" s="33"/>
      <c r="V10" s="45" t="s">
        <v>16</v>
      </c>
      <c r="W10" s="10"/>
      <c r="X10" s="43" t="s">
        <v>12</v>
      </c>
      <c r="Y10" s="10"/>
      <c r="Z10" s="40" t="s">
        <v>17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359185.91999999987</v>
      </c>
      <c r="E12" s="4"/>
      <c r="F12" s="13"/>
      <c r="G12" s="4"/>
      <c r="H12" s="4">
        <f>SUM(OSRRefH13x_0)</f>
        <v>1250727.64855</v>
      </c>
      <c r="I12" s="4"/>
      <c r="J12" s="13"/>
      <c r="K12" s="4"/>
      <c r="L12" s="4">
        <f t="shared" ref="L12:L129" si="0">+D12-H12</f>
        <v>-891541.72855000012</v>
      </c>
      <c r="M12" s="4"/>
      <c r="N12" s="13">
        <f t="shared" ref="N12:N129" si="1">IF(H12=0,0,L12/H12)</f>
        <v>-0.71281843779785858</v>
      </c>
      <c r="O12" s="10"/>
      <c r="P12" s="4">
        <f>SUM(OSRRefP13x_0)</f>
        <v>11464234.230000006</v>
      </c>
      <c r="Q12" s="4"/>
      <c r="R12" s="13"/>
      <c r="S12" s="4"/>
      <c r="T12" s="4">
        <f>SUM(OSRRefT13x_0)</f>
        <v>14062969.3487</v>
      </c>
      <c r="U12" s="4"/>
      <c r="V12" s="13"/>
      <c r="W12" s="4"/>
      <c r="X12" s="4">
        <f t="shared" ref="X12:X129" si="2">+P12-T12</f>
        <v>-2598735.1186999939</v>
      </c>
      <c r="Y12" s="4"/>
      <c r="Z12" s="13">
        <f t="shared" ref="Z12:Z129" si="3">IF(T12=0,0,X12/T12)</f>
        <v>-0.18479277414767489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>0</f>
        <v>0</v>
      </c>
      <c r="E13" s="2"/>
      <c r="F13" s="19"/>
      <c r="G13" s="2"/>
      <c r="H13" s="2">
        <v>916449.64855000004</v>
      </c>
      <c r="I13" s="2"/>
      <c r="J13" s="19"/>
      <c r="K13" s="2"/>
      <c r="L13" s="2">
        <f t="shared" si="0"/>
        <v>-916449.64855000004</v>
      </c>
      <c r="M13" s="2"/>
      <c r="N13" s="19">
        <f t="shared" si="1"/>
        <v>-1</v>
      </c>
      <c r="O13" s="11"/>
      <c r="P13" s="2">
        <f>0</f>
        <v>0</v>
      </c>
      <c r="Q13" s="2"/>
      <c r="R13" s="19"/>
      <c r="S13" s="2"/>
      <c r="T13" s="2">
        <v>7570332.3487</v>
      </c>
      <c r="U13" s="2"/>
      <c r="V13" s="19"/>
      <c r="W13" s="2"/>
      <c r="X13" s="2">
        <f t="shared" si="2"/>
        <v>-7570332.3487</v>
      </c>
      <c r="Y13" s="2"/>
      <c r="Z13" s="19">
        <f t="shared" si="3"/>
        <v>-1</v>
      </c>
    </row>
    <row r="14" spans="1:26" s="24" customFormat="1" hidden="1" outlineLevel="1" x14ac:dyDescent="0.25">
      <c r="A14" s="44"/>
      <c r="B14" s="11" t="str">
        <f>CONCATENATE("          ", "4001", " - ", "TAXABLE SALES-NEW TEXT")</f>
        <v xml:space="preserve">          4001 - TAXABLE SALES-NEW TEXT</v>
      </c>
      <c r="C14" s="11"/>
      <c r="D14" s="2">
        <f>--37281.91</f>
        <v>37281.910000000003</v>
      </c>
      <c r="E14" s="2"/>
      <c r="F14" s="19"/>
      <c r="G14" s="2"/>
      <c r="H14" s="2"/>
      <c r="I14" s="2"/>
      <c r="J14" s="19"/>
      <c r="K14" s="2"/>
      <c r="L14" s="2">
        <f t="shared" si="0"/>
        <v>37281.910000000003</v>
      </c>
      <c r="M14" s="2"/>
      <c r="N14" s="19">
        <f t="shared" si="1"/>
        <v>0</v>
      </c>
      <c r="O14" s="11"/>
      <c r="P14" s="2">
        <f>--2435259.64</f>
        <v>2435259.64</v>
      </c>
      <c r="Q14" s="2"/>
      <c r="R14" s="19"/>
      <c r="S14" s="2"/>
      <c r="T14" s="2"/>
      <c r="U14" s="2"/>
      <c r="V14" s="19"/>
      <c r="W14" s="2"/>
      <c r="X14" s="2">
        <f t="shared" si="2"/>
        <v>2435259.64</v>
      </c>
      <c r="Y14" s="2"/>
      <c r="Z14" s="19">
        <f t="shared" si="3"/>
        <v>0</v>
      </c>
    </row>
    <row r="15" spans="1:26" s="24" customFormat="1" hidden="1" outlineLevel="1" x14ac:dyDescent="0.25">
      <c r="A15" s="44"/>
      <c r="B15" s="11" t="str">
        <f>CONCATENATE("          ", "4002", " - ", "TAXABLE SALES-USED TEXT")</f>
        <v xml:space="preserve">          4002 - TAXABLE SALES-USED TEXT</v>
      </c>
      <c r="C15" s="11"/>
      <c r="D15" s="2">
        <f>--11509.55</f>
        <v>11509.55</v>
      </c>
      <c r="E15" s="2"/>
      <c r="F15" s="19"/>
      <c r="G15" s="2"/>
      <c r="H15" s="2"/>
      <c r="I15" s="2"/>
      <c r="J15" s="19"/>
      <c r="K15" s="2"/>
      <c r="L15" s="2">
        <f t="shared" si="0"/>
        <v>11509.55</v>
      </c>
      <c r="M15" s="2"/>
      <c r="N15" s="19">
        <f t="shared" si="1"/>
        <v>0</v>
      </c>
      <c r="O15" s="11"/>
      <c r="P15" s="2">
        <f>--1256426.74</f>
        <v>1256426.74</v>
      </c>
      <c r="Q15" s="2"/>
      <c r="R15" s="19"/>
      <c r="S15" s="2"/>
      <c r="T15" s="2"/>
      <c r="U15" s="2"/>
      <c r="V15" s="19"/>
      <c r="W15" s="2"/>
      <c r="X15" s="2">
        <f t="shared" si="2"/>
        <v>1256426.74</v>
      </c>
      <c r="Y15" s="2"/>
      <c r="Z15" s="19">
        <f t="shared" si="3"/>
        <v>0</v>
      </c>
    </row>
    <row r="16" spans="1:26" s="24" customFormat="1" hidden="1" outlineLevel="1" x14ac:dyDescent="0.25">
      <c r="A16" s="44"/>
      <c r="B16" s="11" t="str">
        <f>CONCATENATE("          ", "4003", " - ", "TAXABLE SALES-RENTAL TEXT")</f>
        <v xml:space="preserve">          4003 - TAXABLE SALES-RENTAL TEXT</v>
      </c>
      <c r="C16" s="11"/>
      <c r="D16" s="2">
        <f>--69.99</f>
        <v>69.989999999999995</v>
      </c>
      <c r="E16" s="2"/>
      <c r="F16" s="19"/>
      <c r="G16" s="2"/>
      <c r="H16" s="2"/>
      <c r="I16" s="2"/>
      <c r="J16" s="19"/>
      <c r="K16" s="2"/>
      <c r="L16" s="2">
        <f t="shared" si="0"/>
        <v>69.989999999999995</v>
      </c>
      <c r="M16" s="2"/>
      <c r="N16" s="19">
        <f t="shared" si="1"/>
        <v>0</v>
      </c>
      <c r="O16" s="11"/>
      <c r="P16" s="2">
        <f>--33764.88</f>
        <v>33764.879999999997</v>
      </c>
      <c r="Q16" s="2"/>
      <c r="R16" s="19"/>
      <c r="S16" s="2"/>
      <c r="T16" s="2"/>
      <c r="U16" s="2"/>
      <c r="V16" s="19"/>
      <c r="W16" s="2"/>
      <c r="X16" s="2">
        <f t="shared" si="2"/>
        <v>33764.879999999997</v>
      </c>
      <c r="Y16" s="2"/>
      <c r="Z16" s="19">
        <f t="shared" si="3"/>
        <v>0</v>
      </c>
    </row>
    <row r="17" spans="1:26" s="24" customFormat="1" hidden="1" outlineLevel="1" x14ac:dyDescent="0.25">
      <c r="A17" s="44"/>
      <c r="B17" s="11" t="str">
        <f>CONCATENATE("          ", "4004", " - ", "TAXABLE SALES-DIGITAL TEXT")</f>
        <v xml:space="preserve">          4004 - TAXABLE SALES-DIGITAL TEXT</v>
      </c>
      <c r="C17" s="11"/>
      <c r="D17" s="2">
        <f t="shared" ref="D17:D19" si="4">0</f>
        <v>0</v>
      </c>
      <c r="E17" s="2"/>
      <c r="F17" s="19"/>
      <c r="G17" s="2"/>
      <c r="H17" s="2"/>
      <c r="I17" s="2"/>
      <c r="J17" s="19"/>
      <c r="K17" s="2"/>
      <c r="L17" s="2">
        <f t="shared" si="0"/>
        <v>0</v>
      </c>
      <c r="M17" s="2"/>
      <c r="N17" s="19">
        <f t="shared" si="1"/>
        <v>0</v>
      </c>
      <c r="O17" s="11"/>
      <c r="P17" s="2">
        <f>--42195.3</f>
        <v>42195.3</v>
      </c>
      <c r="Q17" s="2"/>
      <c r="R17" s="19"/>
      <c r="S17" s="2"/>
      <c r="T17" s="2"/>
      <c r="U17" s="2"/>
      <c r="V17" s="19"/>
      <c r="W17" s="2"/>
      <c r="X17" s="2">
        <f t="shared" si="2"/>
        <v>42195.3</v>
      </c>
      <c r="Y17" s="2"/>
      <c r="Z17" s="19">
        <f t="shared" si="3"/>
        <v>0</v>
      </c>
    </row>
    <row r="18" spans="1:26" s="24" customFormat="1" hidden="1" outlineLevel="1" x14ac:dyDescent="0.25">
      <c r="A18" s="44"/>
      <c r="B18" s="11" t="str">
        <f>CONCATENATE("          ", "4011", " - ", "TAXABLE SALES-NO VALUE TEXT")</f>
        <v xml:space="preserve">          4011 - TAXABLE SALES-NO VALUE TEXT</v>
      </c>
      <c r="C18" s="11"/>
      <c r="D18" s="2">
        <f t="shared" si="4"/>
        <v>0</v>
      </c>
      <c r="E18" s="2"/>
      <c r="F18" s="19"/>
      <c r="G18" s="2"/>
      <c r="H18" s="2"/>
      <c r="I18" s="2"/>
      <c r="J18" s="19"/>
      <c r="K18" s="2"/>
      <c r="L18" s="2">
        <f t="shared" si="0"/>
        <v>0</v>
      </c>
      <c r="M18" s="2"/>
      <c r="N18" s="19">
        <f t="shared" si="1"/>
        <v>0</v>
      </c>
      <c r="O18" s="11"/>
      <c r="P18" s="2">
        <f>--1052.48</f>
        <v>1052.48</v>
      </c>
      <c r="Q18" s="2"/>
      <c r="R18" s="19"/>
      <c r="S18" s="2"/>
      <c r="T18" s="2"/>
      <c r="U18" s="2"/>
      <c r="V18" s="19"/>
      <c r="W18" s="2"/>
      <c r="X18" s="2">
        <f t="shared" si="2"/>
        <v>1052.48</v>
      </c>
      <c r="Y18" s="2"/>
      <c r="Z18" s="19">
        <f t="shared" si="3"/>
        <v>0</v>
      </c>
    </row>
    <row r="19" spans="1:26" s="24" customFormat="1" hidden="1" outlineLevel="1" x14ac:dyDescent="0.25">
      <c r="A19" s="44"/>
      <c r="B19" s="11" t="str">
        <f>CONCATENATE("          ", "4013", " - ", "TAXABLE SALES-TRADE BOOKS")</f>
        <v xml:space="preserve">          4013 - TAXABLE SALES-TRADE BOOKS</v>
      </c>
      <c r="C19" s="11"/>
      <c r="D19" s="2">
        <f t="shared" si="4"/>
        <v>0</v>
      </c>
      <c r="E19" s="2"/>
      <c r="F19" s="19"/>
      <c r="G19" s="2"/>
      <c r="H19" s="2"/>
      <c r="I19" s="2"/>
      <c r="J19" s="19"/>
      <c r="K19" s="2"/>
      <c r="L19" s="2">
        <f t="shared" si="0"/>
        <v>0</v>
      </c>
      <c r="M19" s="2"/>
      <c r="N19" s="19">
        <f t="shared" si="1"/>
        <v>0</v>
      </c>
      <c r="O19" s="11"/>
      <c r="P19" s="2">
        <f>--2713.36</f>
        <v>2713.36</v>
      </c>
      <c r="Q19" s="2"/>
      <c r="R19" s="19"/>
      <c r="S19" s="2"/>
      <c r="T19" s="2"/>
      <c r="U19" s="2"/>
      <c r="V19" s="19"/>
      <c r="W19" s="2"/>
      <c r="X19" s="2">
        <f t="shared" si="2"/>
        <v>2713.36</v>
      </c>
      <c r="Y19" s="2"/>
      <c r="Z19" s="19">
        <f t="shared" si="3"/>
        <v>0</v>
      </c>
    </row>
    <row r="20" spans="1:26" s="24" customFormat="1" hidden="1" outlineLevel="1" x14ac:dyDescent="0.25">
      <c r="A20" s="44"/>
      <c r="B20" s="11" t="str">
        <f>CONCATENATE("          ", "4014", " - ", "TAXABLE SALES-REMAINDERS")</f>
        <v xml:space="preserve">          4014 - TAXABLE SALES-REMAINDERS</v>
      </c>
      <c r="C20" s="11"/>
      <c r="D20" s="2">
        <f>--0.8</f>
        <v>0.8</v>
      </c>
      <c r="E20" s="2"/>
      <c r="F20" s="19"/>
      <c r="G20" s="2"/>
      <c r="H20" s="2"/>
      <c r="I20" s="2"/>
      <c r="J20" s="19"/>
      <c r="K20" s="2"/>
      <c r="L20" s="2">
        <f t="shared" si="0"/>
        <v>0.8</v>
      </c>
      <c r="M20" s="2"/>
      <c r="N20" s="19">
        <f t="shared" si="1"/>
        <v>0</v>
      </c>
      <c r="O20" s="11"/>
      <c r="P20" s="2">
        <f>--1219.98</f>
        <v>1219.98</v>
      </c>
      <c r="Q20" s="2"/>
      <c r="R20" s="19"/>
      <c r="S20" s="2"/>
      <c r="T20" s="2"/>
      <c r="U20" s="2"/>
      <c r="V20" s="19"/>
      <c r="W20" s="2"/>
      <c r="X20" s="2">
        <f t="shared" si="2"/>
        <v>1219.98</v>
      </c>
      <c r="Y20" s="2"/>
      <c r="Z20" s="19">
        <f t="shared" si="3"/>
        <v>0</v>
      </c>
    </row>
    <row r="21" spans="1:26" s="24" customFormat="1" hidden="1" outlineLevel="1" x14ac:dyDescent="0.25">
      <c r="A21" s="44"/>
      <c r="B21" s="11" t="str">
        <f>CONCATENATE("          ", "4017", " - ", "TAXABLE SALES-DORM/HOUSEWARES")</f>
        <v xml:space="preserve">          4017 - TAXABLE SALES-DORM/HOUSEWARES</v>
      </c>
      <c r="C21" s="11"/>
      <c r="D21" s="2">
        <f>0</f>
        <v>0</v>
      </c>
      <c r="E21" s="2"/>
      <c r="F21" s="19"/>
      <c r="G21" s="2"/>
      <c r="H21" s="2"/>
      <c r="I21" s="2"/>
      <c r="J21" s="19"/>
      <c r="K21" s="2"/>
      <c r="L21" s="2">
        <f t="shared" si="0"/>
        <v>0</v>
      </c>
      <c r="M21" s="2"/>
      <c r="N21" s="19">
        <f t="shared" si="1"/>
        <v>0</v>
      </c>
      <c r="O21" s="11"/>
      <c r="P21" s="2">
        <f>--347.52</f>
        <v>347.52</v>
      </c>
      <c r="Q21" s="2"/>
      <c r="R21" s="19"/>
      <c r="S21" s="2"/>
      <c r="T21" s="2"/>
      <c r="U21" s="2"/>
      <c r="V21" s="19"/>
      <c r="W21" s="2"/>
      <c r="X21" s="2">
        <f t="shared" si="2"/>
        <v>347.52</v>
      </c>
      <c r="Y21" s="2"/>
      <c r="Z21" s="19">
        <f t="shared" si="3"/>
        <v>0</v>
      </c>
    </row>
    <row r="22" spans="1:26" s="24" customFormat="1" hidden="1" outlineLevel="1" x14ac:dyDescent="0.25">
      <c r="A22" s="44"/>
      <c r="B22" s="11" t="str">
        <f>CONCATENATE("          ", "4018", " - ", "TAXABLE SALES-STUDY GUIDES")</f>
        <v xml:space="preserve">          4018 - TAXABLE SALES-STUDY GUIDES</v>
      </c>
      <c r="C22" s="11"/>
      <c r="D22" s="2">
        <f>--24.99</f>
        <v>24.99</v>
      </c>
      <c r="E22" s="2"/>
      <c r="F22" s="19"/>
      <c r="G22" s="2"/>
      <c r="H22" s="2"/>
      <c r="I22" s="2"/>
      <c r="J22" s="19"/>
      <c r="K22" s="2"/>
      <c r="L22" s="2">
        <f t="shared" si="0"/>
        <v>24.99</v>
      </c>
      <c r="M22" s="2"/>
      <c r="N22" s="19">
        <f t="shared" si="1"/>
        <v>0</v>
      </c>
      <c r="O22" s="11"/>
      <c r="P22" s="2">
        <f>--4179.3</f>
        <v>4179.3</v>
      </c>
      <c r="Q22" s="2"/>
      <c r="R22" s="19"/>
      <c r="S22" s="2"/>
      <c r="T22" s="2"/>
      <c r="U22" s="2"/>
      <c r="V22" s="19"/>
      <c r="W22" s="2"/>
      <c r="X22" s="2">
        <f t="shared" si="2"/>
        <v>4179.3</v>
      </c>
      <c r="Y22" s="2"/>
      <c r="Z22" s="19">
        <f t="shared" si="3"/>
        <v>0</v>
      </c>
    </row>
    <row r="23" spans="1:26" s="24" customFormat="1" hidden="1" outlineLevel="1" x14ac:dyDescent="0.25">
      <c r="A23" s="44"/>
      <c r="B23" s="11" t="str">
        <f>CONCATENATE("          ", "4019", " - ", "TAXABLE SALES-BOOK RELATED")</f>
        <v xml:space="preserve">          4019 - TAXABLE SALES-BOOK RELATED</v>
      </c>
      <c r="C23" s="11"/>
      <c r="D23" s="2">
        <f>0</f>
        <v>0</v>
      </c>
      <c r="E23" s="2"/>
      <c r="F23" s="19"/>
      <c r="G23" s="2"/>
      <c r="H23" s="2"/>
      <c r="I23" s="2"/>
      <c r="J23" s="19"/>
      <c r="K23" s="2"/>
      <c r="L23" s="2">
        <f t="shared" si="0"/>
        <v>0</v>
      </c>
      <c r="M23" s="2"/>
      <c r="N23" s="19">
        <f t="shared" si="1"/>
        <v>0</v>
      </c>
      <c r="O23" s="11"/>
      <c r="P23" s="2">
        <f>--42.85</f>
        <v>42.85</v>
      </c>
      <c r="Q23" s="2"/>
      <c r="R23" s="19"/>
      <c r="S23" s="2"/>
      <c r="T23" s="2"/>
      <c r="U23" s="2"/>
      <c r="V23" s="19"/>
      <c r="W23" s="2"/>
      <c r="X23" s="2">
        <f t="shared" si="2"/>
        <v>42.85</v>
      </c>
      <c r="Y23" s="2"/>
      <c r="Z23" s="19">
        <f t="shared" si="3"/>
        <v>0</v>
      </c>
    </row>
    <row r="24" spans="1:26" s="24" customFormat="1" hidden="1" outlineLevel="1" x14ac:dyDescent="0.25">
      <c r="A24" s="44"/>
      <c r="B24" s="11" t="str">
        <f>CONCATENATE("          ", "4025", " - ", "TAXABLE SALES-TEST FORMS")</f>
        <v xml:space="preserve">          4025 - TAXABLE SALES-TEST FORMS</v>
      </c>
      <c r="C24" s="11"/>
      <c r="D24" s="2">
        <f>--17.25</f>
        <v>17.25</v>
      </c>
      <c r="E24" s="2"/>
      <c r="F24" s="19"/>
      <c r="G24" s="2"/>
      <c r="H24" s="2"/>
      <c r="I24" s="2"/>
      <c r="J24" s="19"/>
      <c r="K24" s="2"/>
      <c r="L24" s="2">
        <f t="shared" si="0"/>
        <v>17.25</v>
      </c>
      <c r="M24" s="2"/>
      <c r="N24" s="19">
        <f t="shared" si="1"/>
        <v>0</v>
      </c>
      <c r="O24" s="11"/>
      <c r="P24" s="2">
        <f>--54720.11</f>
        <v>54720.11</v>
      </c>
      <c r="Q24" s="2"/>
      <c r="R24" s="19"/>
      <c r="S24" s="2"/>
      <c r="T24" s="2"/>
      <c r="U24" s="2"/>
      <c r="V24" s="19"/>
      <c r="W24" s="2"/>
      <c r="X24" s="2">
        <f t="shared" si="2"/>
        <v>54720.11</v>
      </c>
      <c r="Y24" s="2"/>
      <c r="Z24" s="19">
        <f t="shared" si="3"/>
        <v>0</v>
      </c>
    </row>
    <row r="25" spans="1:26" s="24" customFormat="1" hidden="1" outlineLevel="1" x14ac:dyDescent="0.25">
      <c r="A25" s="44"/>
      <c r="B25" s="11" t="str">
        <f>CONCATENATE("          ", "4026", " - ", "TAXABLE SALES-WRITING INSTRUME")</f>
        <v xml:space="preserve">          4026 - TAXABLE SALES-WRITING INSTRUME</v>
      </c>
      <c r="C25" s="11"/>
      <c r="D25" s="2">
        <f>--859.78</f>
        <v>859.78</v>
      </c>
      <c r="E25" s="2"/>
      <c r="F25" s="19"/>
      <c r="G25" s="2"/>
      <c r="H25" s="2"/>
      <c r="I25" s="2"/>
      <c r="J25" s="19"/>
      <c r="K25" s="2"/>
      <c r="L25" s="2">
        <f t="shared" si="0"/>
        <v>859.78</v>
      </c>
      <c r="M25" s="2"/>
      <c r="N25" s="19">
        <f t="shared" si="1"/>
        <v>0</v>
      </c>
      <c r="O25" s="11"/>
      <c r="P25" s="2">
        <f>--80809.49</f>
        <v>80809.490000000005</v>
      </c>
      <c r="Q25" s="2"/>
      <c r="R25" s="19"/>
      <c r="S25" s="2"/>
      <c r="T25" s="2"/>
      <c r="U25" s="2"/>
      <c r="V25" s="19"/>
      <c r="W25" s="2"/>
      <c r="X25" s="2">
        <f t="shared" si="2"/>
        <v>80809.490000000005</v>
      </c>
      <c r="Y25" s="2"/>
      <c r="Z25" s="19">
        <f t="shared" si="3"/>
        <v>0</v>
      </c>
    </row>
    <row r="26" spans="1:26" s="24" customFormat="1" hidden="1" outlineLevel="1" x14ac:dyDescent="0.25">
      <c r="A26" s="44"/>
      <c r="B26" s="11" t="str">
        <f>CONCATENATE("          ", "4027", " - ", "TAXABLE SALES-SCHOOL SUPPLIES")</f>
        <v xml:space="preserve">          4027 - TAXABLE SALES-SCHOOL SUPPLIES</v>
      </c>
      <c r="C26" s="11"/>
      <c r="D26" s="2">
        <f>--5530.51</f>
        <v>5530.51</v>
      </c>
      <c r="E26" s="2"/>
      <c r="F26" s="19"/>
      <c r="G26" s="2"/>
      <c r="H26" s="2"/>
      <c r="I26" s="2"/>
      <c r="J26" s="19"/>
      <c r="K26" s="2"/>
      <c r="L26" s="2">
        <f t="shared" si="0"/>
        <v>5530.51</v>
      </c>
      <c r="M26" s="2"/>
      <c r="N26" s="19">
        <f t="shared" si="1"/>
        <v>0</v>
      </c>
      <c r="O26" s="11"/>
      <c r="P26" s="2">
        <f>--276777.07</f>
        <v>276777.07</v>
      </c>
      <c r="Q26" s="2"/>
      <c r="R26" s="19"/>
      <c r="S26" s="2"/>
      <c r="T26" s="2"/>
      <c r="U26" s="2"/>
      <c r="V26" s="19"/>
      <c r="W26" s="2"/>
      <c r="X26" s="2">
        <f t="shared" si="2"/>
        <v>276777.07</v>
      </c>
      <c r="Y26" s="2"/>
      <c r="Z26" s="19">
        <f t="shared" si="3"/>
        <v>0</v>
      </c>
    </row>
    <row r="27" spans="1:26" s="24" customFormat="1" hidden="1" outlineLevel="1" x14ac:dyDescent="0.25">
      <c r="A27" s="44"/>
      <c r="B27" s="11" t="str">
        <f>CONCATENATE("          ", "4028", " - ", "TAXABLE SALES-ART/TECH")</f>
        <v xml:space="preserve">          4028 - TAXABLE SALES-ART/TECH</v>
      </c>
      <c r="C27" s="11"/>
      <c r="D27" s="2">
        <f>--425.18</f>
        <v>425.18</v>
      </c>
      <c r="E27" s="2"/>
      <c r="F27" s="19"/>
      <c r="G27" s="2"/>
      <c r="H27" s="2"/>
      <c r="I27" s="2"/>
      <c r="J27" s="19"/>
      <c r="K27" s="2"/>
      <c r="L27" s="2">
        <f t="shared" si="0"/>
        <v>425.18</v>
      </c>
      <c r="M27" s="2"/>
      <c r="N27" s="19">
        <f t="shared" si="1"/>
        <v>0</v>
      </c>
      <c r="O27" s="11"/>
      <c r="P27" s="2">
        <f>--293191.05</f>
        <v>293191.05</v>
      </c>
      <c r="Q27" s="2"/>
      <c r="R27" s="19"/>
      <c r="S27" s="2"/>
      <c r="T27" s="2"/>
      <c r="U27" s="2"/>
      <c r="V27" s="19"/>
      <c r="W27" s="2"/>
      <c r="X27" s="2">
        <f t="shared" si="2"/>
        <v>293191.05</v>
      </c>
      <c r="Y27" s="2"/>
      <c r="Z27" s="19">
        <f t="shared" si="3"/>
        <v>0</v>
      </c>
    </row>
    <row r="28" spans="1:26" s="24" customFormat="1" hidden="1" outlineLevel="1" x14ac:dyDescent="0.25">
      <c r="A28" s="44"/>
      <c r="B28" s="11" t="str">
        <f>CONCATENATE("          ", "4031", " - ", "TAXABLE SALES-FOOD")</f>
        <v xml:space="preserve">          4031 - TAXABLE SALES-FOOD</v>
      </c>
      <c r="C28" s="11"/>
      <c r="D28" s="2">
        <f t="shared" ref="D28:D33" si="5">0</f>
        <v>0</v>
      </c>
      <c r="E28" s="2"/>
      <c r="F28" s="19"/>
      <c r="G28" s="2"/>
      <c r="H28" s="2"/>
      <c r="I28" s="2"/>
      <c r="J28" s="19"/>
      <c r="K28" s="2"/>
      <c r="L28" s="2">
        <f t="shared" si="0"/>
        <v>0</v>
      </c>
      <c r="M28" s="2"/>
      <c r="N28" s="19">
        <f t="shared" si="1"/>
        <v>0</v>
      </c>
      <c r="O28" s="11"/>
      <c r="P28" s="2">
        <f>--486.34</f>
        <v>486.34</v>
      </c>
      <c r="Q28" s="2"/>
      <c r="R28" s="19"/>
      <c r="S28" s="2"/>
      <c r="T28" s="2"/>
      <c r="U28" s="2"/>
      <c r="V28" s="19"/>
      <c r="W28" s="2"/>
      <c r="X28" s="2">
        <f t="shared" si="2"/>
        <v>486.34</v>
      </c>
      <c r="Y28" s="2"/>
      <c r="Z28" s="19">
        <f t="shared" si="3"/>
        <v>0</v>
      </c>
    </row>
    <row r="29" spans="1:26" s="24" customFormat="1" hidden="1" outlineLevel="1" x14ac:dyDescent="0.25">
      <c r="A29" s="44"/>
      <c r="B29" s="11" t="str">
        <f>CONCATENATE("          ", "4032", " - ", "TAXABLE SALES-JUICE")</f>
        <v xml:space="preserve">          4032 - TAXABLE SALES-JUICE</v>
      </c>
      <c r="C29" s="11"/>
      <c r="D29" s="2">
        <f t="shared" si="5"/>
        <v>0</v>
      </c>
      <c r="E29" s="2"/>
      <c r="F29" s="19"/>
      <c r="G29" s="2"/>
      <c r="H29" s="2"/>
      <c r="I29" s="2"/>
      <c r="J29" s="19"/>
      <c r="K29" s="2"/>
      <c r="L29" s="2">
        <f t="shared" si="0"/>
        <v>0</v>
      </c>
      <c r="M29" s="2"/>
      <c r="N29" s="19">
        <f t="shared" si="1"/>
        <v>0</v>
      </c>
      <c r="O29" s="11"/>
      <c r="P29" s="2">
        <f>--1905.06</f>
        <v>1905.06</v>
      </c>
      <c r="Q29" s="2"/>
      <c r="R29" s="19"/>
      <c r="S29" s="2"/>
      <c r="T29" s="2"/>
      <c r="U29" s="2"/>
      <c r="V29" s="19"/>
      <c r="W29" s="2"/>
      <c r="X29" s="2">
        <f t="shared" si="2"/>
        <v>1905.06</v>
      </c>
      <c r="Y29" s="2"/>
      <c r="Z29" s="19">
        <f t="shared" si="3"/>
        <v>0</v>
      </c>
    </row>
    <row r="30" spans="1:26" s="24" customFormat="1" hidden="1" outlineLevel="1" x14ac:dyDescent="0.25">
      <c r="A30" s="44"/>
      <c r="B30" s="11" t="str">
        <f>CONCATENATE("          ", "4033", " - ", "TAXABLE SALES-CANDY")</f>
        <v xml:space="preserve">          4033 - TAXABLE SALES-CANDY</v>
      </c>
      <c r="C30" s="11"/>
      <c r="D30" s="2">
        <f t="shared" si="5"/>
        <v>0</v>
      </c>
      <c r="E30" s="2"/>
      <c r="F30" s="19"/>
      <c r="G30" s="2"/>
      <c r="H30" s="2"/>
      <c r="I30" s="2"/>
      <c r="J30" s="19"/>
      <c r="K30" s="2"/>
      <c r="L30" s="2">
        <f t="shared" si="0"/>
        <v>0</v>
      </c>
      <c r="M30" s="2"/>
      <c r="N30" s="19">
        <f t="shared" si="1"/>
        <v>0</v>
      </c>
      <c r="O30" s="11"/>
      <c r="P30" s="2">
        <f>--205.53</f>
        <v>205.53</v>
      </c>
      <c r="Q30" s="2"/>
      <c r="R30" s="19"/>
      <c r="S30" s="2"/>
      <c r="T30" s="2"/>
      <c r="U30" s="2"/>
      <c r="V30" s="19"/>
      <c r="W30" s="2"/>
      <c r="X30" s="2">
        <f t="shared" si="2"/>
        <v>205.53</v>
      </c>
      <c r="Y30" s="2"/>
      <c r="Z30" s="19">
        <f t="shared" si="3"/>
        <v>0</v>
      </c>
    </row>
    <row r="31" spans="1:26" s="24" customFormat="1" hidden="1" outlineLevel="1" x14ac:dyDescent="0.25">
      <c r="A31" s="44"/>
      <c r="B31" s="11" t="str">
        <f>CONCATENATE("          ", "4034", " - ", "TAXABLE SALES-SODA")</f>
        <v xml:space="preserve">          4034 - TAXABLE SALES-SODA</v>
      </c>
      <c r="C31" s="11"/>
      <c r="D31" s="2">
        <f t="shared" si="5"/>
        <v>0</v>
      </c>
      <c r="E31" s="2"/>
      <c r="F31" s="19"/>
      <c r="G31" s="2"/>
      <c r="H31" s="2"/>
      <c r="I31" s="2"/>
      <c r="J31" s="19"/>
      <c r="K31" s="2"/>
      <c r="L31" s="2">
        <f t="shared" si="0"/>
        <v>0</v>
      </c>
      <c r="M31" s="2"/>
      <c r="N31" s="19">
        <f t="shared" si="1"/>
        <v>0</v>
      </c>
      <c r="O31" s="11"/>
      <c r="P31" s="2">
        <f>--7803.51</f>
        <v>7803.51</v>
      </c>
      <c r="Q31" s="2"/>
      <c r="R31" s="19"/>
      <c r="S31" s="2"/>
      <c r="T31" s="2"/>
      <c r="U31" s="2"/>
      <c r="V31" s="19"/>
      <c r="W31" s="2"/>
      <c r="X31" s="2">
        <f t="shared" si="2"/>
        <v>7803.51</v>
      </c>
      <c r="Y31" s="2"/>
      <c r="Z31" s="19">
        <f t="shared" si="3"/>
        <v>0</v>
      </c>
    </row>
    <row r="32" spans="1:26" s="24" customFormat="1" hidden="1" outlineLevel="1" x14ac:dyDescent="0.25">
      <c r="A32" s="44"/>
      <c r="B32" s="11" t="str">
        <f>CONCATENATE("          ", "4035", " - ", "TAXABLE SALES-HEALTH &amp; BEAUTY")</f>
        <v xml:space="preserve">          4035 - TAXABLE SALES-HEALTH &amp; BEAUTY</v>
      </c>
      <c r="C32" s="11"/>
      <c r="D32" s="2">
        <f t="shared" si="5"/>
        <v>0</v>
      </c>
      <c r="E32" s="2"/>
      <c r="F32" s="19"/>
      <c r="G32" s="2"/>
      <c r="H32" s="2"/>
      <c r="I32" s="2"/>
      <c r="J32" s="19"/>
      <c r="K32" s="2"/>
      <c r="L32" s="2">
        <f t="shared" si="0"/>
        <v>0</v>
      </c>
      <c r="M32" s="2"/>
      <c r="N32" s="19">
        <f t="shared" si="1"/>
        <v>0</v>
      </c>
      <c r="O32" s="11"/>
      <c r="P32" s="2">
        <f>--1981.84</f>
        <v>1981.84</v>
      </c>
      <c r="Q32" s="2"/>
      <c r="R32" s="19"/>
      <c r="S32" s="2"/>
      <c r="T32" s="2"/>
      <c r="U32" s="2"/>
      <c r="V32" s="19"/>
      <c r="W32" s="2"/>
      <c r="X32" s="2">
        <f t="shared" si="2"/>
        <v>1981.84</v>
      </c>
      <c r="Y32" s="2"/>
      <c r="Z32" s="19">
        <f t="shared" si="3"/>
        <v>0</v>
      </c>
    </row>
    <row r="33" spans="1:26" s="24" customFormat="1" hidden="1" outlineLevel="1" x14ac:dyDescent="0.25">
      <c r="A33" s="44"/>
      <c r="B33" s="11" t="str">
        <f>CONCATENATE("          ", "4037", " - ", "TAXABLE SALES-WATER")</f>
        <v xml:space="preserve">          4037 - TAXABLE SALES-WATER</v>
      </c>
      <c r="C33" s="11"/>
      <c r="D33" s="2">
        <f t="shared" si="5"/>
        <v>0</v>
      </c>
      <c r="E33" s="2"/>
      <c r="F33" s="19"/>
      <c r="G33" s="2"/>
      <c r="H33" s="2"/>
      <c r="I33" s="2"/>
      <c r="J33" s="19"/>
      <c r="K33" s="2"/>
      <c r="L33" s="2">
        <f t="shared" si="0"/>
        <v>0</v>
      </c>
      <c r="M33" s="2"/>
      <c r="N33" s="19">
        <f t="shared" si="1"/>
        <v>0</v>
      </c>
      <c r="O33" s="11"/>
      <c r="P33" s="2">
        <f>--513.51</f>
        <v>513.51</v>
      </c>
      <c r="Q33" s="2"/>
      <c r="R33" s="19"/>
      <c r="S33" s="2"/>
      <c r="T33" s="2"/>
      <c r="U33" s="2"/>
      <c r="V33" s="19"/>
      <c r="W33" s="2"/>
      <c r="X33" s="2">
        <f t="shared" si="2"/>
        <v>513.51</v>
      </c>
      <c r="Y33" s="2"/>
      <c r="Z33" s="19">
        <f t="shared" si="3"/>
        <v>0</v>
      </c>
    </row>
    <row r="34" spans="1:26" s="24" customFormat="1" hidden="1" outlineLevel="1" x14ac:dyDescent="0.25">
      <c r="A34" s="44"/>
      <c r="B34" s="11" t="str">
        <f>CONCATENATE("          ", "4040", " - ", "TAXABLE SALES-LOGO CLOTHING")</f>
        <v xml:space="preserve">          4040 - TAXABLE SALES-LOGO CLOTHING</v>
      </c>
      <c r="C34" s="11"/>
      <c r="D34" s="2">
        <f>--50806.72</f>
        <v>50806.720000000001</v>
      </c>
      <c r="E34" s="2"/>
      <c r="F34" s="19"/>
      <c r="G34" s="2"/>
      <c r="H34" s="2"/>
      <c r="I34" s="2"/>
      <c r="J34" s="19"/>
      <c r="K34" s="2"/>
      <c r="L34" s="2">
        <f t="shared" si="0"/>
        <v>50806.720000000001</v>
      </c>
      <c r="M34" s="2"/>
      <c r="N34" s="19">
        <f t="shared" si="1"/>
        <v>0</v>
      </c>
      <c r="O34" s="11"/>
      <c r="P34" s="2">
        <f>--1894910.12</f>
        <v>1894910.12</v>
      </c>
      <c r="Q34" s="2"/>
      <c r="R34" s="19"/>
      <c r="S34" s="2"/>
      <c r="T34" s="2"/>
      <c r="U34" s="2"/>
      <c r="V34" s="19"/>
      <c r="W34" s="2"/>
      <c r="X34" s="2">
        <f t="shared" si="2"/>
        <v>1894910.12</v>
      </c>
      <c r="Y34" s="2"/>
      <c r="Z34" s="19">
        <f t="shared" si="3"/>
        <v>0</v>
      </c>
    </row>
    <row r="35" spans="1:26" s="24" customFormat="1" hidden="1" outlineLevel="1" x14ac:dyDescent="0.25">
      <c r="A35" s="44"/>
      <c r="B35" s="11" t="str">
        <f>CONCATENATE("          ", "4041", " - ", "TAXABLE SALES-LOGO GIFTS")</f>
        <v xml:space="preserve">          4041 - TAXABLE SALES-LOGO GIFTS</v>
      </c>
      <c r="C35" s="11"/>
      <c r="D35" s="2">
        <f>--45499.27</f>
        <v>45499.27</v>
      </c>
      <c r="E35" s="2"/>
      <c r="F35" s="19"/>
      <c r="G35" s="2"/>
      <c r="H35" s="2"/>
      <c r="I35" s="2"/>
      <c r="J35" s="19"/>
      <c r="K35" s="2"/>
      <c r="L35" s="2">
        <f t="shared" si="0"/>
        <v>45499.27</v>
      </c>
      <c r="M35" s="2"/>
      <c r="N35" s="19">
        <f t="shared" si="1"/>
        <v>0</v>
      </c>
      <c r="O35" s="11"/>
      <c r="P35" s="2">
        <f>--526632.56</f>
        <v>526632.56000000006</v>
      </c>
      <c r="Q35" s="2"/>
      <c r="R35" s="19"/>
      <c r="S35" s="2"/>
      <c r="T35" s="2"/>
      <c r="U35" s="2"/>
      <c r="V35" s="19"/>
      <c r="W35" s="2"/>
      <c r="X35" s="2">
        <f t="shared" si="2"/>
        <v>526632.56000000006</v>
      </c>
      <c r="Y35" s="2"/>
      <c r="Z35" s="19">
        <f t="shared" si="3"/>
        <v>0</v>
      </c>
    </row>
    <row r="36" spans="1:26" s="24" customFormat="1" hidden="1" outlineLevel="1" x14ac:dyDescent="0.25">
      <c r="A36" s="44"/>
      <c r="B36" s="11" t="str">
        <f>CONCATENATE("          ", "4042", " - ", "TAXABLE SALES-EVERYDAY GIFTS")</f>
        <v xml:space="preserve">          4042 - TAXABLE SALES-EVERYDAY GIFTS</v>
      </c>
      <c r="C36" s="11"/>
      <c r="D36" s="2">
        <f>--3419.02</f>
        <v>3419.02</v>
      </c>
      <c r="E36" s="2"/>
      <c r="F36" s="19"/>
      <c r="G36" s="2"/>
      <c r="H36" s="2"/>
      <c r="I36" s="2"/>
      <c r="J36" s="19"/>
      <c r="K36" s="2"/>
      <c r="L36" s="2">
        <f t="shared" si="0"/>
        <v>3419.02</v>
      </c>
      <c r="M36" s="2"/>
      <c r="N36" s="19">
        <f t="shared" si="1"/>
        <v>0</v>
      </c>
      <c r="O36" s="11"/>
      <c r="P36" s="2">
        <f>--282721.2</f>
        <v>282721.2</v>
      </c>
      <c r="Q36" s="2"/>
      <c r="R36" s="19"/>
      <c r="S36" s="2"/>
      <c r="T36" s="2"/>
      <c r="U36" s="2"/>
      <c r="V36" s="19"/>
      <c r="W36" s="2"/>
      <c r="X36" s="2">
        <f t="shared" si="2"/>
        <v>282721.2</v>
      </c>
      <c r="Y36" s="2"/>
      <c r="Z36" s="19">
        <f t="shared" si="3"/>
        <v>0</v>
      </c>
    </row>
    <row r="37" spans="1:26" s="24" customFormat="1" hidden="1" outlineLevel="1" x14ac:dyDescent="0.25">
      <c r="A37" s="44"/>
      <c r="B37" s="11" t="str">
        <f>CONCATENATE("          ", "4043", " - ", "TAXABLE SALES-CARDS")</f>
        <v xml:space="preserve">          4043 - TAXABLE SALES-CARDS</v>
      </c>
      <c r="C37" s="11"/>
      <c r="D37" s="2">
        <f>--49.95</f>
        <v>49.95</v>
      </c>
      <c r="E37" s="2"/>
      <c r="F37" s="19"/>
      <c r="G37" s="2"/>
      <c r="H37" s="2"/>
      <c r="I37" s="2"/>
      <c r="J37" s="19"/>
      <c r="K37" s="2"/>
      <c r="L37" s="2">
        <f t="shared" si="0"/>
        <v>49.95</v>
      </c>
      <c r="M37" s="2"/>
      <c r="N37" s="19">
        <f t="shared" si="1"/>
        <v>0</v>
      </c>
      <c r="O37" s="11"/>
      <c r="P37" s="2">
        <f>--77269.18</f>
        <v>77269.179999999993</v>
      </c>
      <c r="Q37" s="2"/>
      <c r="R37" s="19"/>
      <c r="S37" s="2"/>
      <c r="T37" s="2"/>
      <c r="U37" s="2"/>
      <c r="V37" s="19"/>
      <c r="W37" s="2"/>
      <c r="X37" s="2">
        <f t="shared" si="2"/>
        <v>77269.179999999993</v>
      </c>
      <c r="Y37" s="2"/>
      <c r="Z37" s="19">
        <f t="shared" si="3"/>
        <v>0</v>
      </c>
    </row>
    <row r="38" spans="1:26" s="24" customFormat="1" hidden="1" outlineLevel="1" x14ac:dyDescent="0.25">
      <c r="A38" s="44"/>
      <c r="B38" s="11" t="str">
        <f>CONCATENATE("          ", "4044", " - ", "TAXABLE SALES-ACCESSORIES")</f>
        <v xml:space="preserve">          4044 - TAXABLE SALES-ACCESSORIES</v>
      </c>
      <c r="C38" s="11"/>
      <c r="D38" s="2">
        <f>--3915.24</f>
        <v>3915.24</v>
      </c>
      <c r="E38" s="2"/>
      <c r="F38" s="19"/>
      <c r="G38" s="2"/>
      <c r="H38" s="2"/>
      <c r="I38" s="2"/>
      <c r="J38" s="19"/>
      <c r="K38" s="2"/>
      <c r="L38" s="2">
        <f t="shared" si="0"/>
        <v>3915.24</v>
      </c>
      <c r="M38" s="2"/>
      <c r="N38" s="19">
        <f t="shared" si="1"/>
        <v>0</v>
      </c>
      <c r="O38" s="11"/>
      <c r="P38" s="2">
        <f>--71255.76</f>
        <v>71255.759999999995</v>
      </c>
      <c r="Q38" s="2"/>
      <c r="R38" s="19"/>
      <c r="S38" s="2"/>
      <c r="T38" s="2"/>
      <c r="U38" s="2"/>
      <c r="V38" s="19"/>
      <c r="W38" s="2"/>
      <c r="X38" s="2">
        <f t="shared" si="2"/>
        <v>71255.759999999995</v>
      </c>
      <c r="Y38" s="2"/>
      <c r="Z38" s="19">
        <f t="shared" si="3"/>
        <v>0</v>
      </c>
    </row>
    <row r="39" spans="1:26" s="24" customFormat="1" hidden="1" outlineLevel="1" x14ac:dyDescent="0.25">
      <c r="A39" s="44"/>
      <c r="B39" s="11" t="str">
        <f>CONCATENATE("          ", "4045", " - ", "TAXABLE SALES-SPECIAL ORDERS")</f>
        <v xml:space="preserve">          4045 - TAXABLE SALES-SPECIAL ORDERS</v>
      </c>
      <c r="C39" s="11"/>
      <c r="D39" s="2">
        <f>--13525.59</f>
        <v>13525.59</v>
      </c>
      <c r="E39" s="2"/>
      <c r="F39" s="19"/>
      <c r="G39" s="2"/>
      <c r="H39" s="2"/>
      <c r="I39" s="2"/>
      <c r="J39" s="19"/>
      <c r="K39" s="2"/>
      <c r="L39" s="2">
        <f t="shared" si="0"/>
        <v>13525.59</v>
      </c>
      <c r="M39" s="2"/>
      <c r="N39" s="19">
        <f t="shared" si="1"/>
        <v>0</v>
      </c>
      <c r="O39" s="11"/>
      <c r="P39" s="2">
        <f>--96839.56</f>
        <v>96839.56</v>
      </c>
      <c r="Q39" s="2"/>
      <c r="R39" s="19"/>
      <c r="S39" s="2"/>
      <c r="T39" s="2"/>
      <c r="U39" s="2"/>
      <c r="V39" s="19"/>
      <c r="W39" s="2"/>
      <c r="X39" s="2">
        <f t="shared" si="2"/>
        <v>96839.56</v>
      </c>
      <c r="Y39" s="2"/>
      <c r="Z39" s="19">
        <f t="shared" si="3"/>
        <v>0</v>
      </c>
    </row>
    <row r="40" spans="1:26" s="24" customFormat="1" hidden="1" outlineLevel="1" x14ac:dyDescent="0.25">
      <c r="A40" s="44"/>
      <c r="B40" s="11" t="str">
        <f>CONCATENATE("          ", "4047", " - ", "TAXABLE SALES-MISC")</f>
        <v xml:space="preserve">          4047 - TAXABLE SALES-MISC</v>
      </c>
      <c r="C40" s="11"/>
      <c r="D40" s="2">
        <f>0</f>
        <v>0</v>
      </c>
      <c r="E40" s="2"/>
      <c r="F40" s="19"/>
      <c r="G40" s="2"/>
      <c r="H40" s="2"/>
      <c r="I40" s="2"/>
      <c r="J40" s="19"/>
      <c r="K40" s="2"/>
      <c r="L40" s="2">
        <f t="shared" si="0"/>
        <v>0</v>
      </c>
      <c r="M40" s="2"/>
      <c r="N40" s="19">
        <f t="shared" si="1"/>
        <v>0</v>
      </c>
      <c r="O40" s="11"/>
      <c r="P40" s="2">
        <f>--2676.14</f>
        <v>2676.14</v>
      </c>
      <c r="Q40" s="2"/>
      <c r="R40" s="19"/>
      <c r="S40" s="2"/>
      <c r="T40" s="2"/>
      <c r="U40" s="2"/>
      <c r="V40" s="19"/>
      <c r="W40" s="2"/>
      <c r="X40" s="2">
        <f t="shared" si="2"/>
        <v>2676.14</v>
      </c>
      <c r="Y40" s="2"/>
      <c r="Z40" s="19">
        <f t="shared" si="3"/>
        <v>0</v>
      </c>
    </row>
    <row r="41" spans="1:26" s="24" customFormat="1" hidden="1" outlineLevel="1" x14ac:dyDescent="0.25">
      <c r="A41" s="44"/>
      <c r="B41" s="11" t="str">
        <f>CONCATENATE("          ", "4081", " - ", "TAXABLE SALES-ELECTRONICS")</f>
        <v xml:space="preserve">          4081 - TAXABLE SALES-ELECTRONICS</v>
      </c>
      <c r="C41" s="11"/>
      <c r="D41" s="2">
        <f>--1256.94</f>
        <v>1256.94</v>
      </c>
      <c r="E41" s="2"/>
      <c r="F41" s="19"/>
      <c r="G41" s="2"/>
      <c r="H41" s="2"/>
      <c r="I41" s="2"/>
      <c r="J41" s="19"/>
      <c r="K41" s="2"/>
      <c r="L41" s="2">
        <f t="shared" si="0"/>
        <v>1256.94</v>
      </c>
      <c r="M41" s="2"/>
      <c r="N41" s="19">
        <f t="shared" si="1"/>
        <v>0</v>
      </c>
      <c r="O41" s="11"/>
      <c r="P41" s="2">
        <f>--316334.96</f>
        <v>316334.96000000002</v>
      </c>
      <c r="Q41" s="2"/>
      <c r="R41" s="19"/>
      <c r="S41" s="2"/>
      <c r="T41" s="2"/>
      <c r="U41" s="2"/>
      <c r="V41" s="19"/>
      <c r="W41" s="2"/>
      <c r="X41" s="2">
        <f t="shared" si="2"/>
        <v>316334.96000000002</v>
      </c>
      <c r="Y41" s="2"/>
      <c r="Z41" s="19">
        <f t="shared" si="3"/>
        <v>0</v>
      </c>
    </row>
    <row r="42" spans="1:26" s="24" customFormat="1" hidden="1" outlineLevel="1" x14ac:dyDescent="0.25">
      <c r="A42" s="44"/>
      <c r="B42" s="11" t="str">
        <f>CONCATENATE("          ", "4082", " - ", "TAXABLE SALES-COMPUTER HARDWAR")</f>
        <v xml:space="preserve">          4082 - TAXABLE SALES-COMPUTER HARDWAR</v>
      </c>
      <c r="C42" s="11"/>
      <c r="D42" s="2">
        <f>--55929.1</f>
        <v>55929.1</v>
      </c>
      <c r="E42" s="2"/>
      <c r="F42" s="19"/>
      <c r="G42" s="2"/>
      <c r="H42" s="2"/>
      <c r="I42" s="2"/>
      <c r="J42" s="19"/>
      <c r="K42" s="2"/>
      <c r="L42" s="2">
        <f t="shared" si="0"/>
        <v>55929.1</v>
      </c>
      <c r="M42" s="2"/>
      <c r="N42" s="19">
        <f t="shared" si="1"/>
        <v>0</v>
      </c>
      <c r="O42" s="11"/>
      <c r="P42" s="2">
        <f>--1982602.72</f>
        <v>1982602.72</v>
      </c>
      <c r="Q42" s="2"/>
      <c r="R42" s="19"/>
      <c r="S42" s="2"/>
      <c r="T42" s="2"/>
      <c r="U42" s="2"/>
      <c r="V42" s="19"/>
      <c r="W42" s="2"/>
      <c r="X42" s="2">
        <f t="shared" si="2"/>
        <v>1982602.72</v>
      </c>
      <c r="Y42" s="2"/>
      <c r="Z42" s="19">
        <f t="shared" si="3"/>
        <v>0</v>
      </c>
    </row>
    <row r="43" spans="1:26" s="24" customFormat="1" hidden="1" outlineLevel="1" x14ac:dyDescent="0.25">
      <c r="A43" s="44"/>
      <c r="B43" s="11" t="str">
        <f>CONCATENATE("          ", "4083", " - ", "TAXABLE SALES-COMPUTER EQUIPME")</f>
        <v xml:space="preserve">          4083 - TAXABLE SALES-COMPUTER EQUIPME</v>
      </c>
      <c r="C43" s="11"/>
      <c r="D43" s="2">
        <f>--2640</f>
        <v>2640</v>
      </c>
      <c r="E43" s="2"/>
      <c r="F43" s="19"/>
      <c r="G43" s="2"/>
      <c r="H43" s="2"/>
      <c r="I43" s="2"/>
      <c r="J43" s="19"/>
      <c r="K43" s="2"/>
      <c r="L43" s="2">
        <f t="shared" si="0"/>
        <v>2640</v>
      </c>
      <c r="M43" s="2"/>
      <c r="N43" s="19">
        <f t="shared" si="1"/>
        <v>0</v>
      </c>
      <c r="O43" s="11"/>
      <c r="P43" s="2">
        <f>--106418.4</f>
        <v>106418.4</v>
      </c>
      <c r="Q43" s="2"/>
      <c r="R43" s="19"/>
      <c r="S43" s="2"/>
      <c r="T43" s="2"/>
      <c r="U43" s="2"/>
      <c r="V43" s="19"/>
      <c r="W43" s="2"/>
      <c r="X43" s="2">
        <f t="shared" si="2"/>
        <v>106418.4</v>
      </c>
      <c r="Y43" s="2"/>
      <c r="Z43" s="19">
        <f t="shared" si="3"/>
        <v>0</v>
      </c>
    </row>
    <row r="44" spans="1:26" s="24" customFormat="1" hidden="1" outlineLevel="1" x14ac:dyDescent="0.25">
      <c r="A44" s="44"/>
      <c r="B44" s="11" t="str">
        <f>CONCATENATE("          ", "4084", " - ", "TAXABLE SALES-SOFTWARE LICENSE")</f>
        <v xml:space="preserve">          4084 - TAXABLE SALES-SOFTWARE LICENSE</v>
      </c>
      <c r="C44" s="11"/>
      <c r="D44" s="2">
        <f>0</f>
        <v>0</v>
      </c>
      <c r="E44" s="2"/>
      <c r="F44" s="19"/>
      <c r="G44" s="2"/>
      <c r="H44" s="2"/>
      <c r="I44" s="2"/>
      <c r="J44" s="19"/>
      <c r="K44" s="2"/>
      <c r="L44" s="2">
        <f t="shared" si="0"/>
        <v>0</v>
      </c>
      <c r="M44" s="2"/>
      <c r="N44" s="19">
        <f t="shared" si="1"/>
        <v>0</v>
      </c>
      <c r="O44" s="11"/>
      <c r="P44" s="2">
        <f>--129</f>
        <v>129</v>
      </c>
      <c r="Q44" s="2"/>
      <c r="R44" s="19"/>
      <c r="S44" s="2"/>
      <c r="T44" s="2"/>
      <c r="U44" s="2"/>
      <c r="V44" s="19"/>
      <c r="W44" s="2"/>
      <c r="X44" s="2">
        <f t="shared" si="2"/>
        <v>129</v>
      </c>
      <c r="Y44" s="2"/>
      <c r="Z44" s="19">
        <f t="shared" si="3"/>
        <v>0</v>
      </c>
    </row>
    <row r="45" spans="1:26" s="24" customFormat="1" hidden="1" outlineLevel="1" x14ac:dyDescent="0.25">
      <c r="A45" s="44"/>
      <c r="B45" s="11" t="str">
        <f>CONCATENATE("          ", "4085", " - ", "TAXABLE SALES-SOFTWARE")</f>
        <v xml:space="preserve">          4085 - TAXABLE SALES-SOFTWARE</v>
      </c>
      <c r="C45" s="11"/>
      <c r="D45" s="2">
        <f>--20</f>
        <v>20</v>
      </c>
      <c r="E45" s="2"/>
      <c r="F45" s="19"/>
      <c r="G45" s="2"/>
      <c r="H45" s="2"/>
      <c r="I45" s="2"/>
      <c r="J45" s="19"/>
      <c r="K45" s="2"/>
      <c r="L45" s="2">
        <f t="shared" si="0"/>
        <v>20</v>
      </c>
      <c r="M45" s="2"/>
      <c r="N45" s="19">
        <f t="shared" si="1"/>
        <v>0</v>
      </c>
      <c r="O45" s="11"/>
      <c r="P45" s="2">
        <f>--4587.93</f>
        <v>4587.93</v>
      </c>
      <c r="Q45" s="2"/>
      <c r="R45" s="19"/>
      <c r="S45" s="2"/>
      <c r="T45" s="2"/>
      <c r="U45" s="2"/>
      <c r="V45" s="19"/>
      <c r="W45" s="2"/>
      <c r="X45" s="2">
        <f t="shared" si="2"/>
        <v>4587.93</v>
      </c>
      <c r="Y45" s="2"/>
      <c r="Z45" s="19">
        <f t="shared" si="3"/>
        <v>0</v>
      </c>
    </row>
    <row r="46" spans="1:26" s="24" customFormat="1" hidden="1" outlineLevel="1" x14ac:dyDescent="0.25">
      <c r="A46" s="44"/>
      <c r="B46" s="11" t="str">
        <f>CONCATENATE("          ", "4086", " - ", "TAXABLE SALES-COMPUTER SUPPLIE")</f>
        <v xml:space="preserve">          4086 - TAXABLE SALES-COMPUTER SUPPLIE</v>
      </c>
      <c r="C46" s="11"/>
      <c r="D46" s="2">
        <f>--357.44</f>
        <v>357.44</v>
      </c>
      <c r="E46" s="2"/>
      <c r="F46" s="19"/>
      <c r="G46" s="2"/>
      <c r="H46" s="2"/>
      <c r="I46" s="2"/>
      <c r="J46" s="19"/>
      <c r="K46" s="2"/>
      <c r="L46" s="2">
        <f t="shared" si="0"/>
        <v>357.44</v>
      </c>
      <c r="M46" s="2"/>
      <c r="N46" s="19">
        <f t="shared" si="1"/>
        <v>0</v>
      </c>
      <c r="O46" s="11"/>
      <c r="P46" s="2">
        <f>--49529.46</f>
        <v>49529.46</v>
      </c>
      <c r="Q46" s="2"/>
      <c r="R46" s="19"/>
      <c r="S46" s="2"/>
      <c r="T46" s="2"/>
      <c r="U46" s="2"/>
      <c r="V46" s="19"/>
      <c r="W46" s="2"/>
      <c r="X46" s="2">
        <f t="shared" si="2"/>
        <v>49529.46</v>
      </c>
      <c r="Y46" s="2"/>
      <c r="Z46" s="19">
        <f t="shared" si="3"/>
        <v>0</v>
      </c>
    </row>
    <row r="47" spans="1:26" s="24" customFormat="1" hidden="1" outlineLevel="1" x14ac:dyDescent="0.25">
      <c r="A47" s="44"/>
      <c r="B47" s="11" t="str">
        <f>CONCATENATE("          ", "4088", " - ", "TAXABLE SALES-MUSIC")</f>
        <v xml:space="preserve">          4088 - TAXABLE SALES-MUSIC</v>
      </c>
      <c r="C47" s="11"/>
      <c r="D47" s="2">
        <f>--1120.94</f>
        <v>1120.94</v>
      </c>
      <c r="E47" s="2"/>
      <c r="F47" s="19"/>
      <c r="G47" s="2"/>
      <c r="H47" s="2"/>
      <c r="I47" s="2"/>
      <c r="J47" s="19"/>
      <c r="K47" s="2"/>
      <c r="L47" s="2">
        <f t="shared" si="0"/>
        <v>1120.94</v>
      </c>
      <c r="M47" s="2"/>
      <c r="N47" s="19">
        <f t="shared" si="1"/>
        <v>0</v>
      </c>
      <c r="O47" s="11"/>
      <c r="P47" s="2">
        <f>--2795.75</f>
        <v>2795.75</v>
      </c>
      <c r="Q47" s="2"/>
      <c r="R47" s="19"/>
      <c r="S47" s="2"/>
      <c r="T47" s="2"/>
      <c r="U47" s="2"/>
      <c r="V47" s="19"/>
      <c r="W47" s="2"/>
      <c r="X47" s="2">
        <f t="shared" si="2"/>
        <v>2795.75</v>
      </c>
      <c r="Y47" s="2"/>
      <c r="Z47" s="19">
        <f t="shared" si="3"/>
        <v>0</v>
      </c>
    </row>
    <row r="48" spans="1:26" s="24" customFormat="1" hidden="1" outlineLevel="1" x14ac:dyDescent="0.25">
      <c r="A48" s="44"/>
      <c r="B48" s="11" t="str">
        <f>CONCATENATE("          ", "4092", " - ", "TAXABLE SALES-GRAD MERCH")</f>
        <v xml:space="preserve">          4092 - TAXABLE SALES-GRAD MERCH</v>
      </c>
      <c r="C48" s="11"/>
      <c r="D48" s="2">
        <f>--13527.29</f>
        <v>13527.29</v>
      </c>
      <c r="E48" s="2"/>
      <c r="F48" s="19"/>
      <c r="G48" s="2"/>
      <c r="H48" s="2"/>
      <c r="I48" s="2"/>
      <c r="J48" s="19"/>
      <c r="K48" s="2"/>
      <c r="L48" s="2">
        <f t="shared" si="0"/>
        <v>13527.29</v>
      </c>
      <c r="M48" s="2"/>
      <c r="N48" s="19">
        <f t="shared" si="1"/>
        <v>0</v>
      </c>
      <c r="O48" s="11"/>
      <c r="P48" s="2">
        <f>--35353.71</f>
        <v>35353.71</v>
      </c>
      <c r="Q48" s="2"/>
      <c r="R48" s="19"/>
      <c r="S48" s="2"/>
      <c r="T48" s="2"/>
      <c r="U48" s="2"/>
      <c r="V48" s="19"/>
      <c r="W48" s="2"/>
      <c r="X48" s="2">
        <f t="shared" si="2"/>
        <v>35353.71</v>
      </c>
      <c r="Y48" s="2"/>
      <c r="Z48" s="19">
        <f t="shared" si="3"/>
        <v>0</v>
      </c>
    </row>
    <row r="49" spans="1:26" s="24" customFormat="1" hidden="1" outlineLevel="1" x14ac:dyDescent="0.25">
      <c r="A49" s="44"/>
      <c r="B49" s="11" t="str">
        <f>CONCATENATE("          ", "4095", " - ", "TAXABLE SALES-CUSTOMER SERVICE")</f>
        <v xml:space="preserve">          4095 - TAXABLE SALES-CUSTOMER SERVICE</v>
      </c>
      <c r="C49" s="11"/>
      <c r="D49" s="2">
        <f>0</f>
        <v>0</v>
      </c>
      <c r="E49" s="2"/>
      <c r="F49" s="19"/>
      <c r="G49" s="2"/>
      <c r="H49" s="2"/>
      <c r="I49" s="2"/>
      <c r="J49" s="19"/>
      <c r="K49" s="2"/>
      <c r="L49" s="2">
        <f t="shared" si="0"/>
        <v>0</v>
      </c>
      <c r="M49" s="2"/>
      <c r="N49" s="19">
        <f t="shared" si="1"/>
        <v>0</v>
      </c>
      <c r="O49" s="11"/>
      <c r="P49" s="2">
        <f>--309.26</f>
        <v>309.26</v>
      </c>
      <c r="Q49" s="2"/>
      <c r="R49" s="19"/>
      <c r="S49" s="2"/>
      <c r="T49" s="2"/>
      <c r="U49" s="2"/>
      <c r="V49" s="19"/>
      <c r="W49" s="2"/>
      <c r="X49" s="2">
        <f t="shared" si="2"/>
        <v>309.26</v>
      </c>
      <c r="Y49" s="2"/>
      <c r="Z49" s="19">
        <f t="shared" si="3"/>
        <v>0</v>
      </c>
    </row>
    <row r="50" spans="1:26" s="24" customFormat="1" hidden="1" outlineLevel="1" x14ac:dyDescent="0.25">
      <c r="A50" s="44"/>
      <c r="B50" s="11" t="str">
        <f>CONCATENATE("          ", "4100", " - ", "NON-TAXABLE SALES")</f>
        <v xml:space="preserve">          4100 - NON-TAXABLE SALES</v>
      </c>
      <c r="C50" s="11"/>
      <c r="D50" s="2">
        <f>--5210.55</f>
        <v>5210.55</v>
      </c>
      <c r="E50" s="2"/>
      <c r="F50" s="19"/>
      <c r="G50" s="2"/>
      <c r="H50" s="2">
        <v>334278</v>
      </c>
      <c r="I50" s="2"/>
      <c r="J50" s="19"/>
      <c r="K50" s="2"/>
      <c r="L50" s="2">
        <f t="shared" si="0"/>
        <v>-329067.45</v>
      </c>
      <c r="M50" s="2"/>
      <c r="N50" s="19">
        <f t="shared" si="1"/>
        <v>-0.98441252490442088</v>
      </c>
      <c r="O50" s="11"/>
      <c r="P50" s="2">
        <f>--607447.02</f>
        <v>607447.02</v>
      </c>
      <c r="Q50" s="2"/>
      <c r="R50" s="19"/>
      <c r="S50" s="2"/>
      <c r="T50" s="2">
        <v>6492637</v>
      </c>
      <c r="U50" s="2"/>
      <c r="V50" s="19"/>
      <c r="W50" s="2"/>
      <c r="X50" s="2">
        <f t="shared" si="2"/>
        <v>-5885189.9800000004</v>
      </c>
      <c r="Y50" s="2"/>
      <c r="Z50" s="19">
        <f t="shared" si="3"/>
        <v>-0.90644063113339013</v>
      </c>
    </row>
    <row r="51" spans="1:26" s="24" customFormat="1" hidden="1" outlineLevel="1" x14ac:dyDescent="0.25">
      <c r="A51" s="44"/>
      <c r="B51" s="11" t="str">
        <f>CONCATENATE("          ", "4101", " - ", "NON-TAXABLE SALES-NEW TEXT")</f>
        <v xml:space="preserve">          4101 - NON-TAXABLE SALES-NEW TEXT</v>
      </c>
      <c r="C51" s="11"/>
      <c r="D51" s="2">
        <f>--7118.9</f>
        <v>7118.9</v>
      </c>
      <c r="E51" s="2"/>
      <c r="F51" s="19"/>
      <c r="G51" s="2"/>
      <c r="H51" s="2"/>
      <c r="I51" s="2"/>
      <c r="J51" s="19"/>
      <c r="K51" s="2"/>
      <c r="L51" s="2">
        <f t="shared" si="0"/>
        <v>7118.9</v>
      </c>
      <c r="M51" s="2"/>
      <c r="N51" s="19">
        <f t="shared" si="1"/>
        <v>0</v>
      </c>
      <c r="O51" s="11"/>
      <c r="P51" s="2">
        <f>--151282.34</f>
        <v>151282.34</v>
      </c>
      <c r="Q51" s="2"/>
      <c r="R51" s="19"/>
      <c r="S51" s="2"/>
      <c r="T51" s="2"/>
      <c r="U51" s="2"/>
      <c r="V51" s="19"/>
      <c r="W51" s="2"/>
      <c r="X51" s="2">
        <f t="shared" si="2"/>
        <v>151282.34</v>
      </c>
      <c r="Y51" s="2"/>
      <c r="Z51" s="19">
        <f t="shared" si="3"/>
        <v>0</v>
      </c>
    </row>
    <row r="52" spans="1:26" s="24" customFormat="1" hidden="1" outlineLevel="1" x14ac:dyDescent="0.25">
      <c r="A52" s="44"/>
      <c r="B52" s="11" t="str">
        <f>CONCATENATE("          ", "4102", " - ", "NON-TAXABLE SALES-USED TEXT")</f>
        <v xml:space="preserve">          4102 - NON-TAXABLE SALES-USED TEXT</v>
      </c>
      <c r="C52" s="11"/>
      <c r="D52" s="2">
        <f>--565.56</f>
        <v>565.55999999999995</v>
      </c>
      <c r="E52" s="2"/>
      <c r="F52" s="19"/>
      <c r="G52" s="2"/>
      <c r="H52" s="2"/>
      <c r="I52" s="2"/>
      <c r="J52" s="19"/>
      <c r="K52" s="2"/>
      <c r="L52" s="2">
        <f t="shared" si="0"/>
        <v>565.55999999999995</v>
      </c>
      <c r="M52" s="2"/>
      <c r="N52" s="19">
        <f t="shared" si="1"/>
        <v>0</v>
      </c>
      <c r="O52" s="11"/>
      <c r="P52" s="2">
        <f>--70225.46</f>
        <v>70225.460000000006</v>
      </c>
      <c r="Q52" s="2"/>
      <c r="R52" s="19"/>
      <c r="S52" s="2"/>
      <c r="T52" s="2"/>
      <c r="U52" s="2"/>
      <c r="V52" s="19"/>
      <c r="W52" s="2"/>
      <c r="X52" s="2">
        <f t="shared" si="2"/>
        <v>70225.460000000006</v>
      </c>
      <c r="Y52" s="2"/>
      <c r="Z52" s="19">
        <f t="shared" si="3"/>
        <v>0</v>
      </c>
    </row>
    <row r="53" spans="1:26" s="24" customFormat="1" hidden="1" outlineLevel="1" x14ac:dyDescent="0.25">
      <c r="A53" s="44"/>
      <c r="B53" s="11" t="str">
        <f>CONCATENATE("          ", "4103", " - ", "NON-TAXABLE SALES-RENTAL TEXT")</f>
        <v xml:space="preserve">          4103 - NON-TAXABLE SALES-RENTAL TEXT</v>
      </c>
      <c r="C53" s="11"/>
      <c r="D53" s="2">
        <f>0</f>
        <v>0</v>
      </c>
      <c r="E53" s="2"/>
      <c r="F53" s="19"/>
      <c r="G53" s="2"/>
      <c r="H53" s="2"/>
      <c r="I53" s="2"/>
      <c r="J53" s="19"/>
      <c r="K53" s="2"/>
      <c r="L53" s="2">
        <f t="shared" si="0"/>
        <v>0</v>
      </c>
      <c r="M53" s="2"/>
      <c r="N53" s="19">
        <f t="shared" si="1"/>
        <v>0</v>
      </c>
      <c r="O53" s="11"/>
      <c r="P53" s="2">
        <f>--664.97</f>
        <v>664.97</v>
      </c>
      <c r="Q53" s="2"/>
      <c r="R53" s="19"/>
      <c r="S53" s="2"/>
      <c r="T53" s="2"/>
      <c r="U53" s="2"/>
      <c r="V53" s="19"/>
      <c r="W53" s="2"/>
      <c r="X53" s="2">
        <f t="shared" si="2"/>
        <v>664.97</v>
      </c>
      <c r="Y53" s="2"/>
      <c r="Z53" s="19">
        <f t="shared" si="3"/>
        <v>0</v>
      </c>
    </row>
    <row r="54" spans="1:26" s="24" customFormat="1" hidden="1" outlineLevel="1" x14ac:dyDescent="0.25">
      <c r="A54" s="44"/>
      <c r="B54" s="11" t="str">
        <f>CONCATENATE("          ", "4104", " - ", "NON-TAXABLE SALES-DIGITAL TEXT")</f>
        <v xml:space="preserve">          4104 - NON-TAXABLE SALES-DIGITAL TEXT</v>
      </c>
      <c r="C54" s="11"/>
      <c r="D54" s="2">
        <f>--4949.29</f>
        <v>4949.29</v>
      </c>
      <c r="E54" s="2"/>
      <c r="F54" s="19"/>
      <c r="G54" s="2"/>
      <c r="H54" s="2"/>
      <c r="I54" s="2"/>
      <c r="J54" s="19"/>
      <c r="K54" s="2"/>
      <c r="L54" s="2">
        <f t="shared" si="0"/>
        <v>4949.29</v>
      </c>
      <c r="M54" s="2"/>
      <c r="N54" s="19">
        <f t="shared" si="1"/>
        <v>0</v>
      </c>
      <c r="O54" s="11"/>
      <c r="P54" s="2">
        <f>--531803.38</f>
        <v>531803.38</v>
      </c>
      <c r="Q54" s="2"/>
      <c r="R54" s="19"/>
      <c r="S54" s="2"/>
      <c r="T54" s="2"/>
      <c r="U54" s="2"/>
      <c r="V54" s="19"/>
      <c r="W54" s="2"/>
      <c r="X54" s="2">
        <f t="shared" si="2"/>
        <v>531803.38</v>
      </c>
      <c r="Y54" s="2"/>
      <c r="Z54" s="19">
        <f t="shared" si="3"/>
        <v>0</v>
      </c>
    </row>
    <row r="55" spans="1:26" s="24" customFormat="1" hidden="1" outlineLevel="1" x14ac:dyDescent="0.25">
      <c r="A55" s="44"/>
      <c r="B55" s="11" t="str">
        <f>CONCATENATE("          ", "4111", " - ", "NON-TAXABLE SALES-NO VALUE TEX")</f>
        <v xml:space="preserve">          4111 - NON-TAXABLE SALES-NO VALUE TEX</v>
      </c>
      <c r="C55" s="11"/>
      <c r="D55" s="2">
        <f>--340.46</f>
        <v>340.46</v>
      </c>
      <c r="E55" s="2"/>
      <c r="F55" s="19"/>
      <c r="G55" s="2"/>
      <c r="H55" s="2"/>
      <c r="I55" s="2"/>
      <c r="J55" s="19"/>
      <c r="K55" s="2"/>
      <c r="L55" s="2">
        <f t="shared" si="0"/>
        <v>340.46</v>
      </c>
      <c r="M55" s="2"/>
      <c r="N55" s="19">
        <f t="shared" si="1"/>
        <v>0</v>
      </c>
      <c r="O55" s="11"/>
      <c r="P55" s="2">
        <f>--15663.46</f>
        <v>15663.46</v>
      </c>
      <c r="Q55" s="2"/>
      <c r="R55" s="19"/>
      <c r="S55" s="2"/>
      <c r="T55" s="2"/>
      <c r="U55" s="2"/>
      <c r="V55" s="19"/>
      <c r="W55" s="2"/>
      <c r="X55" s="2">
        <f t="shared" si="2"/>
        <v>15663.46</v>
      </c>
      <c r="Y55" s="2"/>
      <c r="Z55" s="19">
        <f t="shared" si="3"/>
        <v>0</v>
      </c>
    </row>
    <row r="56" spans="1:26" s="24" customFormat="1" hidden="1" outlineLevel="1" x14ac:dyDescent="0.25">
      <c r="A56" s="44"/>
      <c r="B56" s="11" t="str">
        <f>CONCATENATE("          ", "4113", " - ", "NON-TAXABLE SALES-TRADE BOOKS")</f>
        <v xml:space="preserve">          4113 - NON-TAXABLE SALES-TRADE BOOKS</v>
      </c>
      <c r="C56" s="11"/>
      <c r="D56" s="2">
        <f>--24.24</f>
        <v>24.24</v>
      </c>
      <c r="E56" s="2"/>
      <c r="F56" s="19"/>
      <c r="G56" s="2"/>
      <c r="H56" s="2"/>
      <c r="I56" s="2"/>
      <c r="J56" s="19"/>
      <c r="K56" s="2"/>
      <c r="L56" s="2">
        <f t="shared" si="0"/>
        <v>24.24</v>
      </c>
      <c r="M56" s="2"/>
      <c r="N56" s="19">
        <f t="shared" si="1"/>
        <v>0</v>
      </c>
      <c r="O56" s="11"/>
      <c r="P56" s="2">
        <f>--8266.16</f>
        <v>8266.16</v>
      </c>
      <c r="Q56" s="2"/>
      <c r="R56" s="19"/>
      <c r="S56" s="2"/>
      <c r="T56" s="2"/>
      <c r="U56" s="2"/>
      <c r="V56" s="19"/>
      <c r="W56" s="2"/>
      <c r="X56" s="2">
        <f t="shared" si="2"/>
        <v>8266.16</v>
      </c>
      <c r="Y56" s="2"/>
      <c r="Z56" s="19">
        <f t="shared" si="3"/>
        <v>0</v>
      </c>
    </row>
    <row r="57" spans="1:26" s="24" customFormat="1" hidden="1" outlineLevel="1" x14ac:dyDescent="0.25">
      <c r="A57" s="44"/>
      <c r="B57" s="11" t="str">
        <f>CONCATENATE("          ", "4114", " - ", "NON-TAXABLE SALES-REMAINDERS")</f>
        <v xml:space="preserve">          4114 - NON-TAXABLE SALES-REMAINDERS</v>
      </c>
      <c r="C57" s="11"/>
      <c r="D57" s="2">
        <f>--3.19</f>
        <v>3.19</v>
      </c>
      <c r="E57" s="2"/>
      <c r="F57" s="19"/>
      <c r="G57" s="2"/>
      <c r="H57" s="2"/>
      <c r="I57" s="2"/>
      <c r="J57" s="19"/>
      <c r="K57" s="2"/>
      <c r="L57" s="2">
        <f t="shared" si="0"/>
        <v>3.19</v>
      </c>
      <c r="M57" s="2"/>
      <c r="N57" s="19">
        <f t="shared" si="1"/>
        <v>0</v>
      </c>
      <c r="O57" s="11"/>
      <c r="P57" s="2">
        <f>--3.19</f>
        <v>3.19</v>
      </c>
      <c r="Q57" s="2"/>
      <c r="R57" s="19"/>
      <c r="S57" s="2"/>
      <c r="T57" s="2"/>
      <c r="U57" s="2"/>
      <c r="V57" s="19"/>
      <c r="W57" s="2"/>
      <c r="X57" s="2">
        <f t="shared" si="2"/>
        <v>3.19</v>
      </c>
      <c r="Y57" s="2"/>
      <c r="Z57" s="19">
        <f t="shared" si="3"/>
        <v>0</v>
      </c>
    </row>
    <row r="58" spans="1:26" s="24" customFormat="1" hidden="1" outlineLevel="1" x14ac:dyDescent="0.25">
      <c r="A58" s="44"/>
      <c r="B58" s="11" t="str">
        <f>CONCATENATE("          ", "4118", " - ", "NON-TAXABLE SALES-STUDY GUIDES")</f>
        <v xml:space="preserve">          4118 - NON-TAXABLE SALES-STUDY GUIDES</v>
      </c>
      <c r="C58" s="11"/>
      <c r="D58" s="2">
        <f>--40</f>
        <v>40</v>
      </c>
      <c r="E58" s="2"/>
      <c r="F58" s="19"/>
      <c r="G58" s="2"/>
      <c r="H58" s="2"/>
      <c r="I58" s="2"/>
      <c r="J58" s="19"/>
      <c r="K58" s="2"/>
      <c r="L58" s="2">
        <f t="shared" si="0"/>
        <v>40</v>
      </c>
      <c r="M58" s="2"/>
      <c r="N58" s="19">
        <f t="shared" si="1"/>
        <v>0</v>
      </c>
      <c r="O58" s="11"/>
      <c r="P58" s="2">
        <f>--115.94</f>
        <v>115.94</v>
      </c>
      <c r="Q58" s="2"/>
      <c r="R58" s="19"/>
      <c r="S58" s="2"/>
      <c r="T58" s="2"/>
      <c r="U58" s="2"/>
      <c r="V58" s="19"/>
      <c r="W58" s="2"/>
      <c r="X58" s="2">
        <f t="shared" si="2"/>
        <v>115.94</v>
      </c>
      <c r="Y58" s="2"/>
      <c r="Z58" s="19">
        <f t="shared" si="3"/>
        <v>0</v>
      </c>
    </row>
    <row r="59" spans="1:26" s="24" customFormat="1" hidden="1" outlineLevel="1" x14ac:dyDescent="0.25">
      <c r="A59" s="44"/>
      <c r="B59" s="11" t="str">
        <f>CONCATENATE("          ", "4125", " - ", "NON-TAXABLE SALES-TEST FORMS")</f>
        <v xml:space="preserve">          4125 - NON-TAXABLE SALES-TEST FORMS</v>
      </c>
      <c r="C59" s="11"/>
      <c r="D59" s="2">
        <f>0</f>
        <v>0</v>
      </c>
      <c r="E59" s="2"/>
      <c r="F59" s="19"/>
      <c r="G59" s="2"/>
      <c r="H59" s="2"/>
      <c r="I59" s="2"/>
      <c r="J59" s="19"/>
      <c r="K59" s="2"/>
      <c r="L59" s="2">
        <f t="shared" si="0"/>
        <v>0</v>
      </c>
      <c r="M59" s="2"/>
      <c r="N59" s="19">
        <f t="shared" si="1"/>
        <v>0</v>
      </c>
      <c r="O59" s="11"/>
      <c r="P59" s="2">
        <f>--267.61</f>
        <v>267.61</v>
      </c>
      <c r="Q59" s="2"/>
      <c r="R59" s="19"/>
      <c r="S59" s="2"/>
      <c r="T59" s="2"/>
      <c r="U59" s="2"/>
      <c r="V59" s="19"/>
      <c r="W59" s="2"/>
      <c r="X59" s="2">
        <f t="shared" si="2"/>
        <v>267.61</v>
      </c>
      <c r="Y59" s="2"/>
      <c r="Z59" s="19">
        <f t="shared" si="3"/>
        <v>0</v>
      </c>
    </row>
    <row r="60" spans="1:26" s="24" customFormat="1" hidden="1" outlineLevel="1" x14ac:dyDescent="0.25">
      <c r="A60" s="44"/>
      <c r="B60" s="11" t="str">
        <f>CONCATENATE("          ", "4126", " - ", "NON-TAXABLE SALES-WRITING INST")</f>
        <v xml:space="preserve">          4126 - NON-TAXABLE SALES-WRITING INST</v>
      </c>
      <c r="C60" s="11"/>
      <c r="D60" s="2">
        <f>--110.56</f>
        <v>110.56</v>
      </c>
      <c r="E60" s="2"/>
      <c r="F60" s="19"/>
      <c r="G60" s="2"/>
      <c r="H60" s="2"/>
      <c r="I60" s="2"/>
      <c r="J60" s="19"/>
      <c r="K60" s="2"/>
      <c r="L60" s="2">
        <f t="shared" si="0"/>
        <v>110.56</v>
      </c>
      <c r="M60" s="2"/>
      <c r="N60" s="19">
        <f t="shared" si="1"/>
        <v>0</v>
      </c>
      <c r="O60" s="11"/>
      <c r="P60" s="2">
        <f>--3133.42</f>
        <v>3133.42</v>
      </c>
      <c r="Q60" s="2"/>
      <c r="R60" s="19"/>
      <c r="S60" s="2"/>
      <c r="T60" s="2"/>
      <c r="U60" s="2"/>
      <c r="V60" s="19"/>
      <c r="W60" s="2"/>
      <c r="X60" s="2">
        <f t="shared" si="2"/>
        <v>3133.42</v>
      </c>
      <c r="Y60" s="2"/>
      <c r="Z60" s="19">
        <f t="shared" si="3"/>
        <v>0</v>
      </c>
    </row>
    <row r="61" spans="1:26" s="24" customFormat="1" hidden="1" outlineLevel="1" x14ac:dyDescent="0.25">
      <c r="A61" s="44"/>
      <c r="B61" s="11" t="str">
        <f>CONCATENATE("          ", "4127", " - ", "NON-TAXABLE SALES-SCHOOL SUPPL")</f>
        <v xml:space="preserve">          4127 - NON-TAXABLE SALES-SCHOOL SUPPL</v>
      </c>
      <c r="C61" s="11"/>
      <c r="D61" s="2">
        <f>--226.84</f>
        <v>226.84</v>
      </c>
      <c r="E61" s="2"/>
      <c r="F61" s="19"/>
      <c r="G61" s="2"/>
      <c r="H61" s="2"/>
      <c r="I61" s="2"/>
      <c r="J61" s="19"/>
      <c r="K61" s="2"/>
      <c r="L61" s="2">
        <f t="shared" si="0"/>
        <v>226.84</v>
      </c>
      <c r="M61" s="2"/>
      <c r="N61" s="19">
        <f t="shared" si="1"/>
        <v>0</v>
      </c>
      <c r="O61" s="11"/>
      <c r="P61" s="2">
        <f>--6373.71</f>
        <v>6373.71</v>
      </c>
      <c r="Q61" s="2"/>
      <c r="R61" s="19"/>
      <c r="S61" s="2"/>
      <c r="T61" s="2"/>
      <c r="U61" s="2"/>
      <c r="V61" s="19"/>
      <c r="W61" s="2"/>
      <c r="X61" s="2">
        <f t="shared" si="2"/>
        <v>6373.71</v>
      </c>
      <c r="Y61" s="2"/>
      <c r="Z61" s="19">
        <f t="shared" si="3"/>
        <v>0</v>
      </c>
    </row>
    <row r="62" spans="1:26" s="24" customFormat="1" hidden="1" outlineLevel="1" x14ac:dyDescent="0.25">
      <c r="A62" s="44"/>
      <c r="B62" s="11" t="str">
        <f>CONCATENATE("          ", "4128", " - ", "NON-TAXABLE SALES-ART/TECH")</f>
        <v xml:space="preserve">          4128 - NON-TAXABLE SALES-ART/TECH</v>
      </c>
      <c r="C62" s="11"/>
      <c r="D62" s="2">
        <f>0</f>
        <v>0</v>
      </c>
      <c r="E62" s="2"/>
      <c r="F62" s="19"/>
      <c r="G62" s="2"/>
      <c r="H62" s="2"/>
      <c r="I62" s="2"/>
      <c r="J62" s="19"/>
      <c r="K62" s="2"/>
      <c r="L62" s="2">
        <f t="shared" si="0"/>
        <v>0</v>
      </c>
      <c r="M62" s="2"/>
      <c r="N62" s="19">
        <f t="shared" si="1"/>
        <v>0</v>
      </c>
      <c r="O62" s="11"/>
      <c r="P62" s="2">
        <f>--730.62</f>
        <v>730.62</v>
      </c>
      <c r="Q62" s="2"/>
      <c r="R62" s="19"/>
      <c r="S62" s="2"/>
      <c r="T62" s="2"/>
      <c r="U62" s="2"/>
      <c r="V62" s="19"/>
      <c r="W62" s="2"/>
      <c r="X62" s="2">
        <f t="shared" si="2"/>
        <v>730.62</v>
      </c>
      <c r="Y62" s="2"/>
      <c r="Z62" s="19">
        <f t="shared" si="3"/>
        <v>0</v>
      </c>
    </row>
    <row r="63" spans="1:26" s="24" customFormat="1" hidden="1" outlineLevel="1" x14ac:dyDescent="0.25">
      <c r="A63" s="44"/>
      <c r="B63" s="11" t="str">
        <f>CONCATENATE("          ", "4131", " - ", "NON-TAXABLE SALES-FOOD")</f>
        <v xml:space="preserve">          4131 - NON-TAXABLE SALES-FOOD</v>
      </c>
      <c r="C63" s="11"/>
      <c r="D63" s="2">
        <f>--6.16</f>
        <v>6.16</v>
      </c>
      <c r="E63" s="2"/>
      <c r="F63" s="19"/>
      <c r="G63" s="2"/>
      <c r="H63" s="2"/>
      <c r="I63" s="2"/>
      <c r="J63" s="19"/>
      <c r="K63" s="2"/>
      <c r="L63" s="2">
        <f t="shared" si="0"/>
        <v>6.16</v>
      </c>
      <c r="M63" s="2"/>
      <c r="N63" s="19">
        <f t="shared" si="1"/>
        <v>0</v>
      </c>
      <c r="O63" s="11"/>
      <c r="P63" s="2">
        <f>--57893.7</f>
        <v>57893.7</v>
      </c>
      <c r="Q63" s="2"/>
      <c r="R63" s="19"/>
      <c r="S63" s="2"/>
      <c r="T63" s="2"/>
      <c r="U63" s="2"/>
      <c r="V63" s="19"/>
      <c r="W63" s="2"/>
      <c r="X63" s="2">
        <f t="shared" si="2"/>
        <v>57893.7</v>
      </c>
      <c r="Y63" s="2"/>
      <c r="Z63" s="19">
        <f t="shared" si="3"/>
        <v>0</v>
      </c>
    </row>
    <row r="64" spans="1:26" s="24" customFormat="1" hidden="1" outlineLevel="1" x14ac:dyDescent="0.25">
      <c r="A64" s="44"/>
      <c r="B64" s="11" t="str">
        <f>CONCATENATE("          ", "4132", " - ", "NON-TAXABLE SALES-JUICE")</f>
        <v xml:space="preserve">          4132 - NON-TAXABLE SALES-JUICE</v>
      </c>
      <c r="C64" s="11"/>
      <c r="D64" s="2">
        <f>0</f>
        <v>0</v>
      </c>
      <c r="E64" s="2"/>
      <c r="F64" s="19"/>
      <c r="G64" s="2"/>
      <c r="H64" s="2"/>
      <c r="I64" s="2"/>
      <c r="J64" s="19"/>
      <c r="K64" s="2"/>
      <c r="L64" s="2">
        <f t="shared" si="0"/>
        <v>0</v>
      </c>
      <c r="M64" s="2"/>
      <c r="N64" s="19">
        <f t="shared" si="1"/>
        <v>0</v>
      </c>
      <c r="O64" s="11"/>
      <c r="P64" s="2">
        <f>--16199.63</f>
        <v>16199.63</v>
      </c>
      <c r="Q64" s="2"/>
      <c r="R64" s="19"/>
      <c r="S64" s="2"/>
      <c r="T64" s="2"/>
      <c r="U64" s="2"/>
      <c r="V64" s="19"/>
      <c r="W64" s="2"/>
      <c r="X64" s="2">
        <f t="shared" si="2"/>
        <v>16199.63</v>
      </c>
      <c r="Y64" s="2"/>
      <c r="Z64" s="19">
        <f t="shared" si="3"/>
        <v>0</v>
      </c>
    </row>
    <row r="65" spans="1:26" s="24" customFormat="1" hidden="1" outlineLevel="1" x14ac:dyDescent="0.25">
      <c r="A65" s="44"/>
      <c r="B65" s="11" t="str">
        <f>CONCATENATE("          ", "4133", " - ", "NON-TAXABLE SALES-CANDY")</f>
        <v xml:space="preserve">          4133 - NON-TAXABLE SALES-CANDY</v>
      </c>
      <c r="C65" s="11"/>
      <c r="D65" s="2">
        <f>--48.27</f>
        <v>48.27</v>
      </c>
      <c r="E65" s="2"/>
      <c r="F65" s="19"/>
      <c r="G65" s="2"/>
      <c r="H65" s="2"/>
      <c r="I65" s="2"/>
      <c r="J65" s="19"/>
      <c r="K65" s="2"/>
      <c r="L65" s="2">
        <f t="shared" si="0"/>
        <v>48.27</v>
      </c>
      <c r="M65" s="2"/>
      <c r="N65" s="19">
        <f t="shared" si="1"/>
        <v>0</v>
      </c>
      <c r="O65" s="11"/>
      <c r="P65" s="2">
        <f>--18136.73</f>
        <v>18136.73</v>
      </c>
      <c r="Q65" s="2"/>
      <c r="R65" s="19"/>
      <c r="S65" s="2"/>
      <c r="T65" s="2"/>
      <c r="U65" s="2"/>
      <c r="V65" s="19"/>
      <c r="W65" s="2"/>
      <c r="X65" s="2">
        <f t="shared" si="2"/>
        <v>18136.73</v>
      </c>
      <c r="Y65" s="2"/>
      <c r="Z65" s="19">
        <f t="shared" si="3"/>
        <v>0</v>
      </c>
    </row>
    <row r="66" spans="1:26" s="24" customFormat="1" hidden="1" outlineLevel="1" x14ac:dyDescent="0.25">
      <c r="A66" s="44"/>
      <c r="B66" s="11" t="str">
        <f>CONCATENATE("          ", "4134", " - ", "NON-TAXABLE SALES-SODA")</f>
        <v xml:space="preserve">          4134 - NON-TAXABLE SALES-SODA</v>
      </c>
      <c r="C66" s="11"/>
      <c r="D66" s="2">
        <f t="shared" ref="D66:D68" si="6">0</f>
        <v>0</v>
      </c>
      <c r="E66" s="2"/>
      <c r="F66" s="19"/>
      <c r="G66" s="2"/>
      <c r="H66" s="2"/>
      <c r="I66" s="2"/>
      <c r="J66" s="19"/>
      <c r="K66" s="2"/>
      <c r="L66" s="2">
        <f t="shared" si="0"/>
        <v>0</v>
      </c>
      <c r="M66" s="2"/>
      <c r="N66" s="19">
        <f t="shared" si="1"/>
        <v>0</v>
      </c>
      <c r="O66" s="11"/>
      <c r="P66" s="2">
        <f>--1.89</f>
        <v>1.89</v>
      </c>
      <c r="Q66" s="2"/>
      <c r="R66" s="19"/>
      <c r="S66" s="2"/>
      <c r="T66" s="2"/>
      <c r="U66" s="2"/>
      <c r="V66" s="19"/>
      <c r="W66" s="2"/>
      <c r="X66" s="2">
        <f t="shared" si="2"/>
        <v>1.89</v>
      </c>
      <c r="Y66" s="2"/>
      <c r="Z66" s="19">
        <f t="shared" si="3"/>
        <v>0</v>
      </c>
    </row>
    <row r="67" spans="1:26" s="24" customFormat="1" hidden="1" outlineLevel="1" x14ac:dyDescent="0.25">
      <c r="A67" s="44"/>
      <c r="B67" s="11" t="str">
        <f>CONCATENATE("          ", "4135", " - ", "NON-TAXABLE SALES")</f>
        <v xml:space="preserve">          4135 - NON-TAXABLE SALES</v>
      </c>
      <c r="C67" s="11"/>
      <c r="D67" s="2">
        <f t="shared" si="6"/>
        <v>0</v>
      </c>
      <c r="E67" s="2"/>
      <c r="F67" s="19"/>
      <c r="G67" s="2"/>
      <c r="H67" s="2"/>
      <c r="I67" s="2"/>
      <c r="J67" s="19"/>
      <c r="K67" s="2"/>
      <c r="L67" s="2">
        <f t="shared" si="0"/>
        <v>0</v>
      </c>
      <c r="M67" s="2"/>
      <c r="N67" s="19">
        <f t="shared" si="1"/>
        <v>0</v>
      </c>
      <c r="O67" s="11"/>
      <c r="P67" s="2">
        <f>--161.4</f>
        <v>161.4</v>
      </c>
      <c r="Q67" s="2"/>
      <c r="R67" s="19"/>
      <c r="S67" s="2"/>
      <c r="T67" s="2"/>
      <c r="U67" s="2"/>
      <c r="V67" s="19"/>
      <c r="W67" s="2"/>
      <c r="X67" s="2">
        <f t="shared" si="2"/>
        <v>161.4</v>
      </c>
      <c r="Y67" s="2"/>
      <c r="Z67" s="19">
        <f t="shared" si="3"/>
        <v>0</v>
      </c>
    </row>
    <row r="68" spans="1:26" s="24" customFormat="1" hidden="1" outlineLevel="1" x14ac:dyDescent="0.25">
      <c r="A68" s="44"/>
      <c r="B68" s="11" t="str">
        <f>CONCATENATE("          ", "4137", " - ", "NON-TAXABLE SALES-WATER")</f>
        <v xml:space="preserve">          4137 - NON-TAXABLE SALES-WATER</v>
      </c>
      <c r="C68" s="11"/>
      <c r="D68" s="2">
        <f t="shared" si="6"/>
        <v>0</v>
      </c>
      <c r="E68" s="2"/>
      <c r="F68" s="19"/>
      <c r="G68" s="2"/>
      <c r="H68" s="2"/>
      <c r="I68" s="2"/>
      <c r="J68" s="19"/>
      <c r="K68" s="2"/>
      <c r="L68" s="2">
        <f t="shared" si="0"/>
        <v>0</v>
      </c>
      <c r="M68" s="2"/>
      <c r="N68" s="19">
        <f t="shared" si="1"/>
        <v>0</v>
      </c>
      <c r="O68" s="11"/>
      <c r="P68" s="2">
        <f>--8519.06</f>
        <v>8519.06</v>
      </c>
      <c r="Q68" s="2"/>
      <c r="R68" s="19"/>
      <c r="S68" s="2"/>
      <c r="T68" s="2"/>
      <c r="U68" s="2"/>
      <c r="V68" s="19"/>
      <c r="W68" s="2"/>
      <c r="X68" s="2">
        <f t="shared" si="2"/>
        <v>8519.06</v>
      </c>
      <c r="Y68" s="2"/>
      <c r="Z68" s="19">
        <f t="shared" si="3"/>
        <v>0</v>
      </c>
    </row>
    <row r="69" spans="1:26" s="24" customFormat="1" hidden="1" outlineLevel="1" x14ac:dyDescent="0.25">
      <c r="A69" s="44"/>
      <c r="B69" s="11" t="str">
        <f>CONCATENATE("          ", "4140", " - ", "NON-TAXABLE SALES-LOGO CLOTHIN")</f>
        <v xml:space="preserve">          4140 - NON-TAXABLE SALES-LOGO CLOTHIN</v>
      </c>
      <c r="C69" s="11"/>
      <c r="D69" s="2">
        <f>--56556.05</f>
        <v>56556.05</v>
      </c>
      <c r="E69" s="2"/>
      <c r="F69" s="19"/>
      <c r="G69" s="2"/>
      <c r="H69" s="2"/>
      <c r="I69" s="2"/>
      <c r="J69" s="19"/>
      <c r="K69" s="2"/>
      <c r="L69" s="2">
        <f t="shared" si="0"/>
        <v>56556.05</v>
      </c>
      <c r="M69" s="2"/>
      <c r="N69" s="19">
        <f t="shared" si="1"/>
        <v>0</v>
      </c>
      <c r="O69" s="11"/>
      <c r="P69" s="2">
        <f>--135480.76</f>
        <v>135480.76</v>
      </c>
      <c r="Q69" s="2"/>
      <c r="R69" s="19"/>
      <c r="S69" s="2"/>
      <c r="T69" s="2"/>
      <c r="U69" s="2"/>
      <c r="V69" s="19"/>
      <c r="W69" s="2"/>
      <c r="X69" s="2">
        <f t="shared" si="2"/>
        <v>135480.76</v>
      </c>
      <c r="Y69" s="2"/>
      <c r="Z69" s="19">
        <f t="shared" si="3"/>
        <v>0</v>
      </c>
    </row>
    <row r="70" spans="1:26" s="24" customFormat="1" hidden="1" outlineLevel="1" x14ac:dyDescent="0.25">
      <c r="A70" s="44"/>
      <c r="B70" s="11" t="str">
        <f>CONCATENATE("          ", "4141", " - ", "NON-TAXABLE SALES-LOGO GIFTS")</f>
        <v xml:space="preserve">          4141 - NON-TAXABLE SALES-LOGO GIFTS</v>
      </c>
      <c r="C70" s="11"/>
      <c r="D70" s="2">
        <f>--4184.98</f>
        <v>4184.9799999999996</v>
      </c>
      <c r="E70" s="2"/>
      <c r="F70" s="19"/>
      <c r="G70" s="2"/>
      <c r="H70" s="2"/>
      <c r="I70" s="2"/>
      <c r="J70" s="19"/>
      <c r="K70" s="2"/>
      <c r="L70" s="2">
        <f t="shared" si="0"/>
        <v>4184.9799999999996</v>
      </c>
      <c r="M70" s="2"/>
      <c r="N70" s="19">
        <f t="shared" si="1"/>
        <v>0</v>
      </c>
      <c r="O70" s="11"/>
      <c r="P70" s="2">
        <f>--16960.31</f>
        <v>16960.310000000001</v>
      </c>
      <c r="Q70" s="2"/>
      <c r="R70" s="19"/>
      <c r="S70" s="2"/>
      <c r="T70" s="2"/>
      <c r="U70" s="2"/>
      <c r="V70" s="19"/>
      <c r="W70" s="2"/>
      <c r="X70" s="2">
        <f t="shared" si="2"/>
        <v>16960.310000000001</v>
      </c>
      <c r="Y70" s="2"/>
      <c r="Z70" s="19">
        <f t="shared" si="3"/>
        <v>0</v>
      </c>
    </row>
    <row r="71" spans="1:26" s="24" customFormat="1" hidden="1" outlineLevel="1" x14ac:dyDescent="0.25">
      <c r="A71" s="44"/>
      <c r="B71" s="11" t="str">
        <f>CONCATENATE("          ", "4142", " - ", "NON-TAXABLE SALES-EVERYDAY GIF")</f>
        <v xml:space="preserve">          4142 - NON-TAXABLE SALES-EVERYDAY GIF</v>
      </c>
      <c r="C71" s="11"/>
      <c r="D71" s="2">
        <f>--1204.14</f>
        <v>1204.1400000000001</v>
      </c>
      <c r="E71" s="2"/>
      <c r="F71" s="19"/>
      <c r="G71" s="2"/>
      <c r="H71" s="2"/>
      <c r="I71" s="2"/>
      <c r="J71" s="19"/>
      <c r="K71" s="2"/>
      <c r="L71" s="2">
        <f t="shared" si="0"/>
        <v>1204.1400000000001</v>
      </c>
      <c r="M71" s="2"/>
      <c r="N71" s="19">
        <f t="shared" si="1"/>
        <v>0</v>
      </c>
      <c r="O71" s="11"/>
      <c r="P71" s="2">
        <f>--15332.22</f>
        <v>15332.22</v>
      </c>
      <c r="Q71" s="2"/>
      <c r="R71" s="19"/>
      <c r="S71" s="2"/>
      <c r="T71" s="2"/>
      <c r="U71" s="2"/>
      <c r="V71" s="19"/>
      <c r="W71" s="2"/>
      <c r="X71" s="2">
        <f t="shared" si="2"/>
        <v>15332.22</v>
      </c>
      <c r="Y71" s="2"/>
      <c r="Z71" s="19">
        <f t="shared" si="3"/>
        <v>0</v>
      </c>
    </row>
    <row r="72" spans="1:26" s="24" customFormat="1" hidden="1" outlineLevel="1" x14ac:dyDescent="0.25">
      <c r="A72" s="44"/>
      <c r="B72" s="11" t="str">
        <f>CONCATENATE("          ", "4143", " - ", "NON-TAXABLE SALES-CARDS")</f>
        <v xml:space="preserve">          4143 - NON-TAXABLE SALES-CARDS</v>
      </c>
      <c r="C72" s="11"/>
      <c r="D72" s="2">
        <f>--19.98</f>
        <v>19.98</v>
      </c>
      <c r="E72" s="2"/>
      <c r="F72" s="19"/>
      <c r="G72" s="2"/>
      <c r="H72" s="2"/>
      <c r="I72" s="2"/>
      <c r="J72" s="19"/>
      <c r="K72" s="2"/>
      <c r="L72" s="2">
        <f t="shared" si="0"/>
        <v>19.98</v>
      </c>
      <c r="M72" s="2"/>
      <c r="N72" s="19">
        <f t="shared" si="1"/>
        <v>0</v>
      </c>
      <c r="O72" s="11"/>
      <c r="P72" s="2">
        <f>--19.98</f>
        <v>19.98</v>
      </c>
      <c r="Q72" s="2"/>
      <c r="R72" s="19"/>
      <c r="S72" s="2"/>
      <c r="T72" s="2"/>
      <c r="U72" s="2"/>
      <c r="V72" s="19"/>
      <c r="W72" s="2"/>
      <c r="X72" s="2">
        <f t="shared" si="2"/>
        <v>19.98</v>
      </c>
      <c r="Y72" s="2"/>
      <c r="Z72" s="19">
        <f t="shared" si="3"/>
        <v>0</v>
      </c>
    </row>
    <row r="73" spans="1:26" s="24" customFormat="1" hidden="1" outlineLevel="1" x14ac:dyDescent="0.25">
      <c r="A73" s="44"/>
      <c r="B73" s="11" t="str">
        <f>CONCATENATE("          ", "4144", " - ", "NON-TAXABLE SALES-ACCESSORIES")</f>
        <v xml:space="preserve">          4144 - NON-TAXABLE SALES-ACCESSORIES</v>
      </c>
      <c r="C73" s="11"/>
      <c r="D73" s="2">
        <f>--984.35</f>
        <v>984.35</v>
      </c>
      <c r="E73" s="2"/>
      <c r="F73" s="19"/>
      <c r="G73" s="2"/>
      <c r="H73" s="2"/>
      <c r="I73" s="2"/>
      <c r="J73" s="19"/>
      <c r="K73" s="2"/>
      <c r="L73" s="2">
        <f t="shared" si="0"/>
        <v>984.35</v>
      </c>
      <c r="M73" s="2"/>
      <c r="N73" s="19">
        <f t="shared" si="1"/>
        <v>0</v>
      </c>
      <c r="O73" s="11"/>
      <c r="P73" s="2">
        <f>--3324.02</f>
        <v>3324.02</v>
      </c>
      <c r="Q73" s="2"/>
      <c r="R73" s="19"/>
      <c r="S73" s="2"/>
      <c r="T73" s="2"/>
      <c r="U73" s="2"/>
      <c r="V73" s="19"/>
      <c r="W73" s="2"/>
      <c r="X73" s="2">
        <f t="shared" si="2"/>
        <v>3324.02</v>
      </c>
      <c r="Y73" s="2"/>
      <c r="Z73" s="19">
        <f t="shared" si="3"/>
        <v>0</v>
      </c>
    </row>
    <row r="74" spans="1:26" s="24" customFormat="1" hidden="1" outlineLevel="1" x14ac:dyDescent="0.25">
      <c r="A74" s="44"/>
      <c r="B74" s="11" t="str">
        <f>CONCATENATE("          ", "4145", " - ", "NON-TAXABLE SALES-SPECIAL ORDE")</f>
        <v xml:space="preserve">          4145 - NON-TAXABLE SALES-SPECIAL ORDE</v>
      </c>
      <c r="C74" s="11"/>
      <c r="D74" s="2">
        <f>--7688.68</f>
        <v>7688.68</v>
      </c>
      <c r="E74" s="2"/>
      <c r="F74" s="19"/>
      <c r="G74" s="2"/>
      <c r="H74" s="2"/>
      <c r="I74" s="2"/>
      <c r="J74" s="19"/>
      <c r="K74" s="2"/>
      <c r="L74" s="2">
        <f t="shared" si="0"/>
        <v>7688.68</v>
      </c>
      <c r="M74" s="2"/>
      <c r="N74" s="19">
        <f t="shared" si="1"/>
        <v>0</v>
      </c>
      <c r="O74" s="11"/>
      <c r="P74" s="2">
        <f>--7828.68</f>
        <v>7828.68</v>
      </c>
      <c r="Q74" s="2"/>
      <c r="R74" s="19"/>
      <c r="S74" s="2"/>
      <c r="T74" s="2"/>
      <c r="U74" s="2"/>
      <c r="V74" s="19"/>
      <c r="W74" s="2"/>
      <c r="X74" s="2">
        <f t="shared" si="2"/>
        <v>7828.68</v>
      </c>
      <c r="Y74" s="2"/>
      <c r="Z74" s="19">
        <f t="shared" si="3"/>
        <v>0</v>
      </c>
    </row>
    <row r="75" spans="1:26" s="24" customFormat="1" hidden="1" outlineLevel="1" x14ac:dyDescent="0.25">
      <c r="A75" s="44"/>
      <c r="B75" s="11" t="str">
        <f>CONCATENATE("          ", "4146", " - ", "NON-TAXABLE SALES-COIN OP MACH")</f>
        <v xml:space="preserve">          4146 - NON-TAXABLE SALES-COIN OP MACH</v>
      </c>
      <c r="C75" s="11"/>
      <c r="D75" s="2">
        <f>0</f>
        <v>0</v>
      </c>
      <c r="E75" s="2"/>
      <c r="F75" s="19"/>
      <c r="G75" s="2"/>
      <c r="H75" s="2"/>
      <c r="I75" s="2"/>
      <c r="J75" s="19"/>
      <c r="K75" s="2"/>
      <c r="L75" s="2">
        <f t="shared" si="0"/>
        <v>0</v>
      </c>
      <c r="M75" s="2"/>
      <c r="N75" s="19">
        <f t="shared" si="1"/>
        <v>0</v>
      </c>
      <c r="O75" s="11"/>
      <c r="P75" s="2">
        <f>--205908.65</f>
        <v>205908.65</v>
      </c>
      <c r="Q75" s="2"/>
      <c r="R75" s="19"/>
      <c r="S75" s="2"/>
      <c r="T75" s="2"/>
      <c r="U75" s="2"/>
      <c r="V75" s="19"/>
      <c r="W75" s="2"/>
      <c r="X75" s="2">
        <f t="shared" si="2"/>
        <v>205908.65</v>
      </c>
      <c r="Y75" s="2"/>
      <c r="Z75" s="19">
        <f t="shared" si="3"/>
        <v>0</v>
      </c>
    </row>
    <row r="76" spans="1:26" s="24" customFormat="1" hidden="1" outlineLevel="1" x14ac:dyDescent="0.25">
      <c r="A76" s="44"/>
      <c r="B76" s="11" t="str">
        <f>CONCATENATE("          ", "4147", " - ", "NON-TAXABLE SALES-MISC")</f>
        <v xml:space="preserve">          4147 - NON-TAXABLE SALES-MISC</v>
      </c>
      <c r="C76" s="11"/>
      <c r="D76" s="2">
        <f>--10</f>
        <v>10</v>
      </c>
      <c r="E76" s="2"/>
      <c r="F76" s="19"/>
      <c r="G76" s="2"/>
      <c r="H76" s="2"/>
      <c r="I76" s="2"/>
      <c r="J76" s="19"/>
      <c r="K76" s="2"/>
      <c r="L76" s="2">
        <f t="shared" si="0"/>
        <v>10</v>
      </c>
      <c r="M76" s="2"/>
      <c r="N76" s="19">
        <f t="shared" si="1"/>
        <v>0</v>
      </c>
      <c r="O76" s="11"/>
      <c r="P76" s="2">
        <f>--3446.37</f>
        <v>3446.37</v>
      </c>
      <c r="Q76" s="2"/>
      <c r="R76" s="19"/>
      <c r="S76" s="2"/>
      <c r="T76" s="2"/>
      <c r="U76" s="2"/>
      <c r="V76" s="19"/>
      <c r="W76" s="2"/>
      <c r="X76" s="2">
        <f t="shared" si="2"/>
        <v>3446.37</v>
      </c>
      <c r="Y76" s="2"/>
      <c r="Z76" s="19">
        <f t="shared" si="3"/>
        <v>0</v>
      </c>
    </row>
    <row r="77" spans="1:26" s="24" customFormat="1" hidden="1" outlineLevel="1" x14ac:dyDescent="0.25">
      <c r="A77" s="44"/>
      <c r="B77" s="11" t="str">
        <f>CONCATENATE("          ", "4181", " - ", "NON-TAXABLE SALES-ELECTRONICS")</f>
        <v xml:space="preserve">          4181 - NON-TAXABLE SALES-ELECTRONICS</v>
      </c>
      <c r="C77" s="11"/>
      <c r="D77" s="2">
        <f>--424.46</f>
        <v>424.46</v>
      </c>
      <c r="E77" s="2"/>
      <c r="F77" s="19"/>
      <c r="G77" s="2"/>
      <c r="H77" s="2"/>
      <c r="I77" s="2"/>
      <c r="J77" s="19"/>
      <c r="K77" s="2"/>
      <c r="L77" s="2">
        <f t="shared" si="0"/>
        <v>424.46</v>
      </c>
      <c r="M77" s="2"/>
      <c r="N77" s="19">
        <f t="shared" si="1"/>
        <v>0</v>
      </c>
      <c r="O77" s="11"/>
      <c r="P77" s="2">
        <f>--2657.79</f>
        <v>2657.79</v>
      </c>
      <c r="Q77" s="2"/>
      <c r="R77" s="19"/>
      <c r="S77" s="2"/>
      <c r="T77" s="2"/>
      <c r="U77" s="2"/>
      <c r="V77" s="19"/>
      <c r="W77" s="2"/>
      <c r="X77" s="2">
        <f t="shared" si="2"/>
        <v>2657.79</v>
      </c>
      <c r="Y77" s="2"/>
      <c r="Z77" s="19">
        <f t="shared" si="3"/>
        <v>0</v>
      </c>
    </row>
    <row r="78" spans="1:26" s="24" customFormat="1" hidden="1" outlineLevel="1" x14ac:dyDescent="0.25">
      <c r="A78" s="44"/>
      <c r="B78" s="11" t="str">
        <f>CONCATENATE("          ", "4182", " - ", "NON-TAXABLE SALES-COMPUTER HAR")</f>
        <v xml:space="preserve">          4182 - NON-TAXABLE SALES-COMPUTER HAR</v>
      </c>
      <c r="C78" s="11"/>
      <c r="D78" s="2">
        <f>--28134.6</f>
        <v>28134.6</v>
      </c>
      <c r="E78" s="2"/>
      <c r="F78" s="19"/>
      <c r="G78" s="2"/>
      <c r="H78" s="2"/>
      <c r="I78" s="2"/>
      <c r="J78" s="19"/>
      <c r="K78" s="2"/>
      <c r="L78" s="2">
        <f t="shared" si="0"/>
        <v>28134.6</v>
      </c>
      <c r="M78" s="2"/>
      <c r="N78" s="19">
        <f t="shared" si="1"/>
        <v>0</v>
      </c>
      <c r="O78" s="11"/>
      <c r="P78" s="2">
        <f>--176201.54</f>
        <v>176201.54</v>
      </c>
      <c r="Q78" s="2"/>
      <c r="R78" s="19"/>
      <c r="S78" s="2"/>
      <c r="T78" s="2"/>
      <c r="U78" s="2"/>
      <c r="V78" s="19"/>
      <c r="W78" s="2"/>
      <c r="X78" s="2">
        <f t="shared" si="2"/>
        <v>176201.54</v>
      </c>
      <c r="Y78" s="2"/>
      <c r="Z78" s="19">
        <f t="shared" si="3"/>
        <v>0</v>
      </c>
    </row>
    <row r="79" spans="1:26" s="24" customFormat="1" hidden="1" outlineLevel="1" x14ac:dyDescent="0.25">
      <c r="A79" s="44"/>
      <c r="B79" s="11" t="str">
        <f>CONCATENATE("          ", "4183", " - ", "NON-TAXABLE SALES-COMPUTER EQU")</f>
        <v xml:space="preserve">          4183 - NON-TAXABLE SALES-COMPUTER EQU</v>
      </c>
      <c r="C79" s="11"/>
      <c r="D79" s="2">
        <f>--1895.54</f>
        <v>1895.54</v>
      </c>
      <c r="E79" s="2"/>
      <c r="F79" s="19"/>
      <c r="G79" s="2"/>
      <c r="H79" s="2"/>
      <c r="I79" s="2"/>
      <c r="J79" s="19"/>
      <c r="K79" s="2"/>
      <c r="L79" s="2">
        <f t="shared" si="0"/>
        <v>1895.54</v>
      </c>
      <c r="M79" s="2"/>
      <c r="N79" s="19">
        <f t="shared" si="1"/>
        <v>0</v>
      </c>
      <c r="O79" s="11"/>
      <c r="P79" s="2">
        <f>--11427.56</f>
        <v>11427.56</v>
      </c>
      <c r="Q79" s="2"/>
      <c r="R79" s="19"/>
      <c r="S79" s="2"/>
      <c r="T79" s="2"/>
      <c r="U79" s="2"/>
      <c r="V79" s="19"/>
      <c r="W79" s="2"/>
      <c r="X79" s="2">
        <f t="shared" si="2"/>
        <v>11427.56</v>
      </c>
      <c r="Y79" s="2"/>
      <c r="Z79" s="19">
        <f t="shared" si="3"/>
        <v>0</v>
      </c>
    </row>
    <row r="80" spans="1:26" s="24" customFormat="1" hidden="1" outlineLevel="1" x14ac:dyDescent="0.25">
      <c r="A80" s="44"/>
      <c r="B80" s="11" t="str">
        <f>CONCATENATE("          ", "4184", " - ", "NON-TAXABLE SALES-SOFTWARE LIC")</f>
        <v xml:space="preserve">          4184 - NON-TAXABLE SALES-SOFTWARE LIC</v>
      </c>
      <c r="C80" s="11"/>
      <c r="D80" s="2">
        <f>0</f>
        <v>0</v>
      </c>
      <c r="E80" s="2"/>
      <c r="F80" s="19"/>
      <c r="G80" s="2"/>
      <c r="H80" s="2"/>
      <c r="I80" s="2"/>
      <c r="J80" s="19"/>
      <c r="K80" s="2"/>
      <c r="L80" s="2">
        <f t="shared" si="0"/>
        <v>0</v>
      </c>
      <c r="M80" s="2"/>
      <c r="N80" s="19">
        <f t="shared" si="1"/>
        <v>0</v>
      </c>
      <c r="O80" s="11"/>
      <c r="P80" s="2">
        <f>--2728</f>
        <v>2728</v>
      </c>
      <c r="Q80" s="2"/>
      <c r="R80" s="19"/>
      <c r="S80" s="2"/>
      <c r="T80" s="2"/>
      <c r="U80" s="2"/>
      <c r="V80" s="19"/>
      <c r="W80" s="2"/>
      <c r="X80" s="2">
        <f t="shared" si="2"/>
        <v>2728</v>
      </c>
      <c r="Y80" s="2"/>
      <c r="Z80" s="19">
        <f t="shared" si="3"/>
        <v>0</v>
      </c>
    </row>
    <row r="81" spans="1:26" s="24" customFormat="1" hidden="1" outlineLevel="1" x14ac:dyDescent="0.25">
      <c r="A81" s="44"/>
      <c r="B81" s="11" t="str">
        <f>CONCATENATE("          ", "4185", " - ", "NON-TAXABLE SALES-SOFTWARE")</f>
        <v xml:space="preserve">          4185 - NON-TAXABLE SALES-SOFTWARE</v>
      </c>
      <c r="C81" s="11"/>
      <c r="D81" s="2">
        <f>--4176.74</f>
        <v>4176.74</v>
      </c>
      <c r="E81" s="2"/>
      <c r="F81" s="19"/>
      <c r="G81" s="2"/>
      <c r="H81" s="2"/>
      <c r="I81" s="2"/>
      <c r="J81" s="19"/>
      <c r="K81" s="2"/>
      <c r="L81" s="2">
        <f t="shared" si="0"/>
        <v>4176.74</v>
      </c>
      <c r="M81" s="2"/>
      <c r="N81" s="19">
        <f t="shared" si="1"/>
        <v>0</v>
      </c>
      <c r="O81" s="11"/>
      <c r="P81" s="2">
        <f>--20524.35</f>
        <v>20524.349999999999</v>
      </c>
      <c r="Q81" s="2"/>
      <c r="R81" s="19"/>
      <c r="S81" s="2"/>
      <c r="T81" s="2"/>
      <c r="U81" s="2"/>
      <c r="V81" s="19"/>
      <c r="W81" s="2"/>
      <c r="X81" s="2">
        <f t="shared" si="2"/>
        <v>20524.349999999999</v>
      </c>
      <c r="Y81" s="2"/>
      <c r="Z81" s="19">
        <f t="shared" si="3"/>
        <v>0</v>
      </c>
    </row>
    <row r="82" spans="1:26" s="24" customFormat="1" hidden="1" outlineLevel="1" x14ac:dyDescent="0.25">
      <c r="A82" s="44"/>
      <c r="B82" s="11" t="str">
        <f>CONCATENATE("          ", "4186", " - ", "NON-TAXABLE SALES-COMPUTER SUP")</f>
        <v xml:space="preserve">          4186 - NON-TAXABLE SALES-COMPUTER SUP</v>
      </c>
      <c r="C82" s="11"/>
      <c r="D82" s="2">
        <f>--85.95</f>
        <v>85.95</v>
      </c>
      <c r="E82" s="2"/>
      <c r="F82" s="19"/>
      <c r="G82" s="2"/>
      <c r="H82" s="2"/>
      <c r="I82" s="2"/>
      <c r="J82" s="19"/>
      <c r="K82" s="2"/>
      <c r="L82" s="2">
        <f t="shared" si="0"/>
        <v>85.95</v>
      </c>
      <c r="M82" s="2"/>
      <c r="N82" s="19">
        <f t="shared" si="1"/>
        <v>0</v>
      </c>
      <c r="O82" s="11"/>
      <c r="P82" s="2">
        <f>--2895.11</f>
        <v>2895.11</v>
      </c>
      <c r="Q82" s="2"/>
      <c r="R82" s="19"/>
      <c r="S82" s="2"/>
      <c r="T82" s="2"/>
      <c r="U82" s="2"/>
      <c r="V82" s="19"/>
      <c r="W82" s="2"/>
      <c r="X82" s="2">
        <f t="shared" si="2"/>
        <v>2895.11</v>
      </c>
      <c r="Y82" s="2"/>
      <c r="Z82" s="19">
        <f t="shared" si="3"/>
        <v>0</v>
      </c>
    </row>
    <row r="83" spans="1:26" s="24" customFormat="1" hidden="1" outlineLevel="1" x14ac:dyDescent="0.25">
      <c r="A83" s="44"/>
      <c r="B83" s="11" t="str">
        <f>CONCATENATE("          ", "4188", " - ", "NON-TAXABLE SALES-MUSIC")</f>
        <v xml:space="preserve">          4188 - NON-TAXABLE SALES-MUSIC</v>
      </c>
      <c r="C83" s="11"/>
      <c r="D83" s="2">
        <f>--123.98</f>
        <v>123.98</v>
      </c>
      <c r="E83" s="2"/>
      <c r="F83" s="19"/>
      <c r="G83" s="2"/>
      <c r="H83" s="2"/>
      <c r="I83" s="2"/>
      <c r="J83" s="19"/>
      <c r="K83" s="2"/>
      <c r="L83" s="2">
        <f t="shared" si="0"/>
        <v>123.98</v>
      </c>
      <c r="M83" s="2"/>
      <c r="N83" s="19">
        <f t="shared" si="1"/>
        <v>0</v>
      </c>
      <c r="O83" s="11"/>
      <c r="P83" s="2">
        <f>--343.94</f>
        <v>343.94</v>
      </c>
      <c r="Q83" s="2"/>
      <c r="R83" s="19"/>
      <c r="S83" s="2"/>
      <c r="T83" s="2"/>
      <c r="U83" s="2"/>
      <c r="V83" s="19"/>
      <c r="W83" s="2"/>
      <c r="X83" s="2">
        <f t="shared" si="2"/>
        <v>343.94</v>
      </c>
      <c r="Y83" s="2"/>
      <c r="Z83" s="19">
        <f t="shared" si="3"/>
        <v>0</v>
      </c>
    </row>
    <row r="84" spans="1:26" s="24" customFormat="1" hidden="1" outlineLevel="1" x14ac:dyDescent="0.25">
      <c r="A84" s="44"/>
      <c r="B84" s="11" t="str">
        <f>CONCATENATE("          ", "4192", " - ", "NON-TAXABLE SALES-GRAD MERCH")</f>
        <v xml:space="preserve">          4192 - NON-TAXABLE SALES-GRAD MERCH</v>
      </c>
      <c r="C84" s="11"/>
      <c r="D84" s="2">
        <f>--119.4</f>
        <v>119.4</v>
      </c>
      <c r="E84" s="2"/>
      <c r="F84" s="19"/>
      <c r="G84" s="2"/>
      <c r="H84" s="2"/>
      <c r="I84" s="2"/>
      <c r="J84" s="19"/>
      <c r="K84" s="2"/>
      <c r="L84" s="2">
        <f t="shared" si="0"/>
        <v>119.4</v>
      </c>
      <c r="M84" s="2"/>
      <c r="N84" s="19">
        <f t="shared" si="1"/>
        <v>0</v>
      </c>
      <c r="O84" s="11"/>
      <c r="P84" s="2">
        <f>--119.4</f>
        <v>119.4</v>
      </c>
      <c r="Q84" s="2"/>
      <c r="R84" s="19"/>
      <c r="S84" s="2"/>
      <c r="T84" s="2"/>
      <c r="U84" s="2"/>
      <c r="V84" s="19"/>
      <c r="W84" s="2"/>
      <c r="X84" s="2">
        <f t="shared" si="2"/>
        <v>119.4</v>
      </c>
      <c r="Y84" s="2"/>
      <c r="Z84" s="19">
        <f t="shared" si="3"/>
        <v>0</v>
      </c>
    </row>
    <row r="85" spans="1:26" s="24" customFormat="1" hidden="1" outlineLevel="1" x14ac:dyDescent="0.25">
      <c r="A85" s="44"/>
      <c r="B85" s="11" t="str">
        <f>CONCATENATE("          ", "4201", " - ", "SALES RETURN TAXABLE-NEW TEXT")</f>
        <v xml:space="preserve">          4201 - SALES RETURN TAXABLE-NEW TEXT</v>
      </c>
      <c r="C85" s="11"/>
      <c r="D85" s="2">
        <f>-228.6</f>
        <v>-228.6</v>
      </c>
      <c r="E85" s="2"/>
      <c r="F85" s="19"/>
      <c r="G85" s="2"/>
      <c r="H85" s="2"/>
      <c r="I85" s="2"/>
      <c r="J85" s="19"/>
      <c r="K85" s="2"/>
      <c r="L85" s="2">
        <f t="shared" si="0"/>
        <v>-228.6</v>
      </c>
      <c r="M85" s="2"/>
      <c r="N85" s="19">
        <f t="shared" si="1"/>
        <v>0</v>
      </c>
      <c r="O85" s="11"/>
      <c r="P85" s="2">
        <f>-121451.61</f>
        <v>-121451.61</v>
      </c>
      <c r="Q85" s="2"/>
      <c r="R85" s="19"/>
      <c r="S85" s="2"/>
      <c r="T85" s="2"/>
      <c r="U85" s="2"/>
      <c r="V85" s="19"/>
      <c r="W85" s="2"/>
      <c r="X85" s="2">
        <f t="shared" si="2"/>
        <v>-121451.61</v>
      </c>
      <c r="Y85" s="2"/>
      <c r="Z85" s="19">
        <f t="shared" si="3"/>
        <v>0</v>
      </c>
    </row>
    <row r="86" spans="1:26" s="24" customFormat="1" hidden="1" outlineLevel="1" x14ac:dyDescent="0.25">
      <c r="A86" s="44"/>
      <c r="B86" s="11" t="str">
        <f>CONCATENATE("          ", "4202", " - ", "SALES RETURN TAXABLE-USED TEXT")</f>
        <v xml:space="preserve">          4202 - SALES RETURN TAXABLE-USED TEXT</v>
      </c>
      <c r="C86" s="11"/>
      <c r="D86" s="2">
        <f>-60.4</f>
        <v>-60.4</v>
      </c>
      <c r="E86" s="2"/>
      <c r="F86" s="19"/>
      <c r="G86" s="2"/>
      <c r="H86" s="2"/>
      <c r="I86" s="2"/>
      <c r="J86" s="19"/>
      <c r="K86" s="2"/>
      <c r="L86" s="2">
        <f t="shared" si="0"/>
        <v>-60.4</v>
      </c>
      <c r="M86" s="2"/>
      <c r="N86" s="19">
        <f t="shared" si="1"/>
        <v>0</v>
      </c>
      <c r="O86" s="11"/>
      <c r="P86" s="2">
        <f>-45613.11</f>
        <v>-45613.11</v>
      </c>
      <c r="Q86" s="2"/>
      <c r="R86" s="19"/>
      <c r="S86" s="2"/>
      <c r="T86" s="2"/>
      <c r="U86" s="2"/>
      <c r="V86" s="19"/>
      <c r="W86" s="2"/>
      <c r="X86" s="2">
        <f t="shared" si="2"/>
        <v>-45613.11</v>
      </c>
      <c r="Y86" s="2"/>
      <c r="Z86" s="19">
        <f t="shared" si="3"/>
        <v>0</v>
      </c>
    </row>
    <row r="87" spans="1:26" s="24" customFormat="1" hidden="1" outlineLevel="1" x14ac:dyDescent="0.25">
      <c r="A87" s="44"/>
      <c r="B87" s="11" t="str">
        <f>CONCATENATE("          ", "4203", " - ", "SALES RETURN TAXABLE-RENTAL TE")</f>
        <v xml:space="preserve">          4203 - SALES RETURN TAXABLE-RENTAL TE</v>
      </c>
      <c r="C87" s="11"/>
      <c r="D87" s="2">
        <f t="shared" ref="D87:D92" si="7">0</f>
        <v>0</v>
      </c>
      <c r="E87" s="2"/>
      <c r="F87" s="19"/>
      <c r="G87" s="2"/>
      <c r="H87" s="2"/>
      <c r="I87" s="2"/>
      <c r="J87" s="19"/>
      <c r="K87" s="2"/>
      <c r="L87" s="2">
        <f t="shared" si="0"/>
        <v>0</v>
      </c>
      <c r="M87" s="2"/>
      <c r="N87" s="19">
        <f t="shared" si="1"/>
        <v>0</v>
      </c>
      <c r="O87" s="11"/>
      <c r="P87" s="2">
        <f>-144.99</f>
        <v>-144.99</v>
      </c>
      <c r="Q87" s="2"/>
      <c r="R87" s="19"/>
      <c r="S87" s="2"/>
      <c r="T87" s="2"/>
      <c r="U87" s="2"/>
      <c r="V87" s="19"/>
      <c r="W87" s="2"/>
      <c r="X87" s="2">
        <f t="shared" si="2"/>
        <v>-144.99</v>
      </c>
      <c r="Y87" s="2"/>
      <c r="Z87" s="19">
        <f t="shared" si="3"/>
        <v>0</v>
      </c>
    </row>
    <row r="88" spans="1:26" s="24" customFormat="1" hidden="1" outlineLevel="1" x14ac:dyDescent="0.25">
      <c r="A88" s="44"/>
      <c r="B88" s="11" t="str">
        <f>CONCATENATE("          ", "4204", " - ", "SALES RETURN TAXABLE-DIGITAL T")</f>
        <v xml:space="preserve">          4204 - SALES RETURN TAXABLE-DIGITAL T</v>
      </c>
      <c r="C88" s="11"/>
      <c r="D88" s="2">
        <f t="shared" si="7"/>
        <v>0</v>
      </c>
      <c r="E88" s="2"/>
      <c r="F88" s="19"/>
      <c r="G88" s="2"/>
      <c r="H88" s="2"/>
      <c r="I88" s="2"/>
      <c r="J88" s="19"/>
      <c r="K88" s="2"/>
      <c r="L88" s="2">
        <f t="shared" si="0"/>
        <v>0</v>
      </c>
      <c r="M88" s="2"/>
      <c r="N88" s="19">
        <f t="shared" si="1"/>
        <v>0</v>
      </c>
      <c r="O88" s="11"/>
      <c r="P88" s="2">
        <f>-17255.33</f>
        <v>-17255.330000000002</v>
      </c>
      <c r="Q88" s="2"/>
      <c r="R88" s="19"/>
      <c r="S88" s="2"/>
      <c r="T88" s="2"/>
      <c r="U88" s="2"/>
      <c r="V88" s="19"/>
      <c r="W88" s="2"/>
      <c r="X88" s="2">
        <f t="shared" si="2"/>
        <v>-17255.330000000002</v>
      </c>
      <c r="Y88" s="2"/>
      <c r="Z88" s="19">
        <f t="shared" si="3"/>
        <v>0</v>
      </c>
    </row>
    <row r="89" spans="1:26" s="24" customFormat="1" hidden="1" outlineLevel="1" x14ac:dyDescent="0.25">
      <c r="A89" s="44"/>
      <c r="B89" s="11" t="str">
        <f>CONCATENATE("          ", "4213", " - ", "NON-TAXABLE SALES-TRADE BOOKS")</f>
        <v xml:space="preserve">          4213 - NON-TAXABLE SALES-TRADE BOOKS</v>
      </c>
      <c r="C89" s="11"/>
      <c r="D89" s="2">
        <f t="shared" si="7"/>
        <v>0</v>
      </c>
      <c r="E89" s="2"/>
      <c r="F89" s="19"/>
      <c r="G89" s="2"/>
      <c r="H89" s="2"/>
      <c r="I89" s="2"/>
      <c r="J89" s="19"/>
      <c r="K89" s="2"/>
      <c r="L89" s="2">
        <f t="shared" si="0"/>
        <v>0</v>
      </c>
      <c r="M89" s="2"/>
      <c r="N89" s="19">
        <f t="shared" si="1"/>
        <v>0</v>
      </c>
      <c r="O89" s="11"/>
      <c r="P89" s="2">
        <f>-2768.67</f>
        <v>-2768.67</v>
      </c>
      <c r="Q89" s="2"/>
      <c r="R89" s="19"/>
      <c r="S89" s="2"/>
      <c r="T89" s="2"/>
      <c r="U89" s="2"/>
      <c r="V89" s="19"/>
      <c r="W89" s="2"/>
      <c r="X89" s="2">
        <f t="shared" si="2"/>
        <v>-2768.67</v>
      </c>
      <c r="Y89" s="2"/>
      <c r="Z89" s="19">
        <f t="shared" si="3"/>
        <v>0</v>
      </c>
    </row>
    <row r="90" spans="1:26" s="24" customFormat="1" hidden="1" outlineLevel="1" x14ac:dyDescent="0.25">
      <c r="A90" s="44"/>
      <c r="B90" s="11" t="str">
        <f>CONCATENATE("          ", "4214", " - ", "SALES RETURN TAXABLE-REMAINDER")</f>
        <v xml:space="preserve">          4214 - SALES RETURN TAXABLE-REMAINDER</v>
      </c>
      <c r="C90" s="11"/>
      <c r="D90" s="2">
        <f t="shared" si="7"/>
        <v>0</v>
      </c>
      <c r="E90" s="2"/>
      <c r="F90" s="19"/>
      <c r="G90" s="2"/>
      <c r="H90" s="2"/>
      <c r="I90" s="2"/>
      <c r="J90" s="19"/>
      <c r="K90" s="2"/>
      <c r="L90" s="2">
        <f t="shared" si="0"/>
        <v>0</v>
      </c>
      <c r="M90" s="2"/>
      <c r="N90" s="19">
        <f t="shared" si="1"/>
        <v>0</v>
      </c>
      <c r="O90" s="11"/>
      <c r="P90" s="2">
        <f>-11.94</f>
        <v>-11.94</v>
      </c>
      <c r="Q90" s="2"/>
      <c r="R90" s="19"/>
      <c r="S90" s="2"/>
      <c r="T90" s="2"/>
      <c r="U90" s="2"/>
      <c r="V90" s="19"/>
      <c r="W90" s="2"/>
      <c r="X90" s="2">
        <f t="shared" si="2"/>
        <v>-11.94</v>
      </c>
      <c r="Y90" s="2"/>
      <c r="Z90" s="19">
        <f t="shared" si="3"/>
        <v>0</v>
      </c>
    </row>
    <row r="91" spans="1:26" s="24" customFormat="1" hidden="1" outlineLevel="1" x14ac:dyDescent="0.25">
      <c r="A91" s="44"/>
      <c r="B91" s="11" t="str">
        <f>CONCATENATE("          ", "4217", " - ", "NON-TAXABLE SALES-DORM/HOUSEWA")</f>
        <v xml:space="preserve">          4217 - NON-TAXABLE SALES-DORM/HOUSEWA</v>
      </c>
      <c r="C91" s="11"/>
      <c r="D91" s="2">
        <f t="shared" si="7"/>
        <v>0</v>
      </c>
      <c r="E91" s="2"/>
      <c r="F91" s="19"/>
      <c r="G91" s="2"/>
      <c r="H91" s="2"/>
      <c r="I91" s="2"/>
      <c r="J91" s="19"/>
      <c r="K91" s="2"/>
      <c r="L91" s="2">
        <f t="shared" si="0"/>
        <v>0</v>
      </c>
      <c r="M91" s="2"/>
      <c r="N91" s="19">
        <f t="shared" si="1"/>
        <v>0</v>
      </c>
      <c r="O91" s="11"/>
      <c r="P91" s="2">
        <f>-2.98</f>
        <v>-2.98</v>
      </c>
      <c r="Q91" s="2"/>
      <c r="R91" s="19"/>
      <c r="S91" s="2"/>
      <c r="T91" s="2"/>
      <c r="U91" s="2"/>
      <c r="V91" s="19"/>
      <c r="W91" s="2"/>
      <c r="X91" s="2">
        <f t="shared" si="2"/>
        <v>-2.98</v>
      </c>
      <c r="Y91" s="2"/>
      <c r="Z91" s="19">
        <f t="shared" si="3"/>
        <v>0</v>
      </c>
    </row>
    <row r="92" spans="1:26" s="24" customFormat="1" hidden="1" outlineLevel="1" x14ac:dyDescent="0.25">
      <c r="A92" s="44"/>
      <c r="B92" s="11" t="str">
        <f>CONCATENATE("          ", "4218", " - ", "SALES RETURN TAXABLE-STUDY GUI")</f>
        <v xml:space="preserve">          4218 - SALES RETURN TAXABLE-STUDY GUI</v>
      </c>
      <c r="C92" s="11"/>
      <c r="D92" s="2">
        <f t="shared" si="7"/>
        <v>0</v>
      </c>
      <c r="E92" s="2"/>
      <c r="F92" s="19"/>
      <c r="G92" s="2"/>
      <c r="H92" s="2"/>
      <c r="I92" s="2"/>
      <c r="J92" s="19"/>
      <c r="K92" s="2"/>
      <c r="L92" s="2">
        <f t="shared" si="0"/>
        <v>0</v>
      </c>
      <c r="M92" s="2"/>
      <c r="N92" s="19">
        <f t="shared" si="1"/>
        <v>0</v>
      </c>
      <c r="O92" s="11"/>
      <c r="P92" s="2">
        <f>-39.25</f>
        <v>-39.25</v>
      </c>
      <c r="Q92" s="2"/>
      <c r="R92" s="19"/>
      <c r="S92" s="2"/>
      <c r="T92" s="2"/>
      <c r="U92" s="2"/>
      <c r="V92" s="19"/>
      <c r="W92" s="2"/>
      <c r="X92" s="2">
        <f t="shared" si="2"/>
        <v>-39.25</v>
      </c>
      <c r="Y92" s="2"/>
      <c r="Z92" s="19">
        <f t="shared" si="3"/>
        <v>0</v>
      </c>
    </row>
    <row r="93" spans="1:26" s="24" customFormat="1" hidden="1" outlineLevel="1" x14ac:dyDescent="0.25">
      <c r="A93" s="44"/>
      <c r="B93" s="11" t="str">
        <f>CONCATENATE("          ", "4225", " - ", "SALES RETURN TAXABLE-TEST FORM")</f>
        <v xml:space="preserve">          4225 - SALES RETURN TAXABLE-TEST FORM</v>
      </c>
      <c r="C93" s="11"/>
      <c r="D93" s="2">
        <f>-29.5</f>
        <v>-29.5</v>
      </c>
      <c r="E93" s="2"/>
      <c r="F93" s="19"/>
      <c r="G93" s="2"/>
      <c r="H93" s="2"/>
      <c r="I93" s="2"/>
      <c r="J93" s="19"/>
      <c r="K93" s="2"/>
      <c r="L93" s="2">
        <f t="shared" si="0"/>
        <v>-29.5</v>
      </c>
      <c r="M93" s="2"/>
      <c r="N93" s="19">
        <f t="shared" si="1"/>
        <v>0</v>
      </c>
      <c r="O93" s="11"/>
      <c r="P93" s="2">
        <f>-205.91</f>
        <v>-205.91</v>
      </c>
      <c r="Q93" s="2"/>
      <c r="R93" s="19"/>
      <c r="S93" s="2"/>
      <c r="T93" s="2"/>
      <c r="U93" s="2"/>
      <c r="V93" s="19"/>
      <c r="W93" s="2"/>
      <c r="X93" s="2">
        <f t="shared" si="2"/>
        <v>-205.91</v>
      </c>
      <c r="Y93" s="2"/>
      <c r="Z93" s="19">
        <f t="shared" si="3"/>
        <v>0</v>
      </c>
    </row>
    <row r="94" spans="1:26" s="24" customFormat="1" hidden="1" outlineLevel="1" x14ac:dyDescent="0.25">
      <c r="A94" s="44"/>
      <c r="B94" s="11" t="str">
        <f>CONCATENATE("          ", "4226", " - ", "SALES RETURN TAXABLE-WRITING I")</f>
        <v xml:space="preserve">          4226 - SALES RETURN TAXABLE-WRITING I</v>
      </c>
      <c r="C94" s="11"/>
      <c r="D94" s="2">
        <f>-159.4</f>
        <v>-159.4</v>
      </c>
      <c r="E94" s="2"/>
      <c r="F94" s="19"/>
      <c r="G94" s="2"/>
      <c r="H94" s="2"/>
      <c r="I94" s="2"/>
      <c r="J94" s="19"/>
      <c r="K94" s="2"/>
      <c r="L94" s="2">
        <f t="shared" si="0"/>
        <v>-159.4</v>
      </c>
      <c r="M94" s="2"/>
      <c r="N94" s="19">
        <f t="shared" si="1"/>
        <v>0</v>
      </c>
      <c r="O94" s="11"/>
      <c r="P94" s="2">
        <f>-924.44</f>
        <v>-924.44</v>
      </c>
      <c r="Q94" s="2"/>
      <c r="R94" s="19"/>
      <c r="S94" s="2"/>
      <c r="T94" s="2"/>
      <c r="U94" s="2"/>
      <c r="V94" s="19"/>
      <c r="W94" s="2"/>
      <c r="X94" s="2">
        <f t="shared" si="2"/>
        <v>-924.44</v>
      </c>
      <c r="Y94" s="2"/>
      <c r="Z94" s="19">
        <f t="shared" si="3"/>
        <v>0</v>
      </c>
    </row>
    <row r="95" spans="1:26" s="24" customFormat="1" hidden="1" outlineLevel="1" x14ac:dyDescent="0.25">
      <c r="A95" s="44"/>
      <c r="B95" s="11" t="str">
        <f>CONCATENATE("          ", "4227", " - ", "SALES RETURN TAXABLE-SCHOOL SU")</f>
        <v xml:space="preserve">          4227 - SALES RETURN TAXABLE-SCHOOL SU</v>
      </c>
      <c r="C95" s="11"/>
      <c r="D95" s="2">
        <f>-53.42</f>
        <v>-53.42</v>
      </c>
      <c r="E95" s="2"/>
      <c r="F95" s="19"/>
      <c r="G95" s="2"/>
      <c r="H95" s="2"/>
      <c r="I95" s="2"/>
      <c r="J95" s="19"/>
      <c r="K95" s="2"/>
      <c r="L95" s="2">
        <f t="shared" si="0"/>
        <v>-53.42</v>
      </c>
      <c r="M95" s="2"/>
      <c r="N95" s="19">
        <f t="shared" si="1"/>
        <v>0</v>
      </c>
      <c r="O95" s="11"/>
      <c r="P95" s="2">
        <f>-8647.03</f>
        <v>-8647.0300000000007</v>
      </c>
      <c r="Q95" s="2"/>
      <c r="R95" s="19"/>
      <c r="S95" s="2"/>
      <c r="T95" s="2"/>
      <c r="U95" s="2"/>
      <c r="V95" s="19"/>
      <c r="W95" s="2"/>
      <c r="X95" s="2">
        <f t="shared" si="2"/>
        <v>-8647.0300000000007</v>
      </c>
      <c r="Y95" s="2"/>
      <c r="Z95" s="19">
        <f t="shared" si="3"/>
        <v>0</v>
      </c>
    </row>
    <row r="96" spans="1:26" s="24" customFormat="1" hidden="1" outlineLevel="1" x14ac:dyDescent="0.25">
      <c r="A96" s="44"/>
      <c r="B96" s="11" t="str">
        <f>CONCATENATE("          ", "4228", " - ", "SALES RETURN TAXABLE-ART/TECH")</f>
        <v xml:space="preserve">          4228 - SALES RETURN TAXABLE-ART/TECH</v>
      </c>
      <c r="C96" s="11"/>
      <c r="D96" s="2">
        <f t="shared" ref="D96:D97" si="8">0</f>
        <v>0</v>
      </c>
      <c r="E96" s="2"/>
      <c r="F96" s="19"/>
      <c r="G96" s="2"/>
      <c r="H96" s="2"/>
      <c r="I96" s="2"/>
      <c r="J96" s="19"/>
      <c r="K96" s="2"/>
      <c r="L96" s="2">
        <f t="shared" si="0"/>
        <v>0</v>
      </c>
      <c r="M96" s="2"/>
      <c r="N96" s="19">
        <f t="shared" si="1"/>
        <v>0</v>
      </c>
      <c r="O96" s="11"/>
      <c r="P96" s="2">
        <f>-4739.1</f>
        <v>-4739.1000000000004</v>
      </c>
      <c r="Q96" s="2"/>
      <c r="R96" s="19"/>
      <c r="S96" s="2"/>
      <c r="T96" s="2"/>
      <c r="U96" s="2"/>
      <c r="V96" s="19"/>
      <c r="W96" s="2"/>
      <c r="X96" s="2">
        <f t="shared" si="2"/>
        <v>-4739.1000000000004</v>
      </c>
      <c r="Y96" s="2"/>
      <c r="Z96" s="19">
        <f t="shared" si="3"/>
        <v>0</v>
      </c>
    </row>
    <row r="97" spans="1:26" s="24" customFormat="1" hidden="1" outlineLevel="1" x14ac:dyDescent="0.25">
      <c r="A97" s="44"/>
      <c r="B97" s="11" t="str">
        <f>CONCATENATE("          ", "4233", " - ", "SALES RETURN TAXABLE-CANDY")</f>
        <v xml:space="preserve">          4233 - SALES RETURN TAXABLE-CANDY</v>
      </c>
      <c r="C97" s="11"/>
      <c r="D97" s="2">
        <f t="shared" si="8"/>
        <v>0</v>
      </c>
      <c r="E97" s="2"/>
      <c r="F97" s="19"/>
      <c r="G97" s="2"/>
      <c r="H97" s="2"/>
      <c r="I97" s="2"/>
      <c r="J97" s="19"/>
      <c r="K97" s="2"/>
      <c r="L97" s="2">
        <f t="shared" si="0"/>
        <v>0</v>
      </c>
      <c r="M97" s="2"/>
      <c r="N97" s="19">
        <f t="shared" si="1"/>
        <v>0</v>
      </c>
      <c r="O97" s="11"/>
      <c r="P97" s="2">
        <f>-8.25</f>
        <v>-8.25</v>
      </c>
      <c r="Q97" s="2"/>
      <c r="R97" s="19"/>
      <c r="S97" s="2"/>
      <c r="T97" s="2"/>
      <c r="U97" s="2"/>
      <c r="V97" s="19"/>
      <c r="W97" s="2"/>
      <c r="X97" s="2">
        <f t="shared" si="2"/>
        <v>-8.25</v>
      </c>
      <c r="Y97" s="2"/>
      <c r="Z97" s="19">
        <f t="shared" si="3"/>
        <v>0</v>
      </c>
    </row>
    <row r="98" spans="1:26" s="24" customFormat="1" hidden="1" outlineLevel="1" x14ac:dyDescent="0.25">
      <c r="A98" s="44"/>
      <c r="B98" s="11" t="str">
        <f>CONCATENATE("          ", "4240", " - ", "SALES RETURN TAXABLE-LOGO CLOT")</f>
        <v xml:space="preserve">          4240 - SALES RETURN TAXABLE-LOGO CLOT</v>
      </c>
      <c r="C98" s="11"/>
      <c r="D98" s="2">
        <f>-3229.58</f>
        <v>-3229.58</v>
      </c>
      <c r="E98" s="2"/>
      <c r="F98" s="19"/>
      <c r="G98" s="2"/>
      <c r="H98" s="2"/>
      <c r="I98" s="2"/>
      <c r="J98" s="19"/>
      <c r="K98" s="2"/>
      <c r="L98" s="2">
        <f t="shared" si="0"/>
        <v>-3229.58</v>
      </c>
      <c r="M98" s="2"/>
      <c r="N98" s="19">
        <f t="shared" si="1"/>
        <v>0</v>
      </c>
      <c r="O98" s="11"/>
      <c r="P98" s="2">
        <f>-77684.77</f>
        <v>-77684.77</v>
      </c>
      <c r="Q98" s="2"/>
      <c r="R98" s="19"/>
      <c r="S98" s="2"/>
      <c r="T98" s="2"/>
      <c r="U98" s="2"/>
      <c r="V98" s="19"/>
      <c r="W98" s="2"/>
      <c r="X98" s="2">
        <f t="shared" si="2"/>
        <v>-77684.77</v>
      </c>
      <c r="Y98" s="2"/>
      <c r="Z98" s="19">
        <f t="shared" si="3"/>
        <v>0</v>
      </c>
    </row>
    <row r="99" spans="1:26" s="24" customFormat="1" hidden="1" outlineLevel="1" x14ac:dyDescent="0.25">
      <c r="A99" s="44"/>
      <c r="B99" s="11" t="str">
        <f>CONCATENATE("          ", "4241", " - ", "SALES RETURN TAXABLE-LOGO GIFT")</f>
        <v xml:space="preserve">          4241 - SALES RETURN TAXABLE-LOGO GIFT</v>
      </c>
      <c r="C99" s="11"/>
      <c r="D99" s="2">
        <f>-1133.39</f>
        <v>-1133.3900000000001</v>
      </c>
      <c r="E99" s="2"/>
      <c r="F99" s="19"/>
      <c r="G99" s="2"/>
      <c r="H99" s="2"/>
      <c r="I99" s="2"/>
      <c r="J99" s="19"/>
      <c r="K99" s="2"/>
      <c r="L99" s="2">
        <f t="shared" si="0"/>
        <v>-1133.3900000000001</v>
      </c>
      <c r="M99" s="2"/>
      <c r="N99" s="19">
        <f t="shared" si="1"/>
        <v>0</v>
      </c>
      <c r="O99" s="11"/>
      <c r="P99" s="2">
        <f>-7465.27</f>
        <v>-7465.27</v>
      </c>
      <c r="Q99" s="2"/>
      <c r="R99" s="19"/>
      <c r="S99" s="2"/>
      <c r="T99" s="2"/>
      <c r="U99" s="2"/>
      <c r="V99" s="19"/>
      <c r="W99" s="2"/>
      <c r="X99" s="2">
        <f t="shared" si="2"/>
        <v>-7465.27</v>
      </c>
      <c r="Y99" s="2"/>
      <c r="Z99" s="19">
        <f t="shared" si="3"/>
        <v>0</v>
      </c>
    </row>
    <row r="100" spans="1:26" s="24" customFormat="1" hidden="1" outlineLevel="1" x14ac:dyDescent="0.25">
      <c r="A100" s="44"/>
      <c r="B100" s="11" t="str">
        <f>CONCATENATE("          ", "4242", " - ", "SALES RETURN TAXABLE-EVERYDAY")</f>
        <v xml:space="preserve">          4242 - SALES RETURN TAXABLE-EVERYDAY</v>
      </c>
      <c r="C100" s="11"/>
      <c r="D100" s="2">
        <f t="shared" ref="D100:D101" si="9">0</f>
        <v>0</v>
      </c>
      <c r="E100" s="2"/>
      <c r="F100" s="19"/>
      <c r="G100" s="2"/>
      <c r="H100" s="2"/>
      <c r="I100" s="2"/>
      <c r="J100" s="19"/>
      <c r="K100" s="2"/>
      <c r="L100" s="2">
        <f t="shared" si="0"/>
        <v>0</v>
      </c>
      <c r="M100" s="2"/>
      <c r="N100" s="19">
        <f t="shared" si="1"/>
        <v>0</v>
      </c>
      <c r="O100" s="11"/>
      <c r="P100" s="2">
        <f>-4181.41</f>
        <v>-4181.41</v>
      </c>
      <c r="Q100" s="2"/>
      <c r="R100" s="19"/>
      <c r="S100" s="2"/>
      <c r="T100" s="2"/>
      <c r="U100" s="2"/>
      <c r="V100" s="19"/>
      <c r="W100" s="2"/>
      <c r="X100" s="2">
        <f t="shared" si="2"/>
        <v>-4181.41</v>
      </c>
      <c r="Y100" s="2"/>
      <c r="Z100" s="19">
        <f t="shared" si="3"/>
        <v>0</v>
      </c>
    </row>
    <row r="101" spans="1:26" s="24" customFormat="1" hidden="1" outlineLevel="1" x14ac:dyDescent="0.25">
      <c r="A101" s="44"/>
      <c r="B101" s="11" t="str">
        <f>CONCATENATE("          ", "4243", " - ", "SALES RETURN TAXABLE-CARDS")</f>
        <v xml:space="preserve">          4243 - SALES RETURN TAXABLE-CARDS</v>
      </c>
      <c r="C101" s="11"/>
      <c r="D101" s="2">
        <f t="shared" si="9"/>
        <v>0</v>
      </c>
      <c r="E101" s="2"/>
      <c r="F101" s="19"/>
      <c r="G101" s="2"/>
      <c r="H101" s="2"/>
      <c r="I101" s="2"/>
      <c r="J101" s="19"/>
      <c r="K101" s="2"/>
      <c r="L101" s="2">
        <f t="shared" si="0"/>
        <v>0</v>
      </c>
      <c r="M101" s="2"/>
      <c r="N101" s="19">
        <f t="shared" si="1"/>
        <v>0</v>
      </c>
      <c r="O101" s="11"/>
      <c r="P101" s="2">
        <f>-3006.31</f>
        <v>-3006.31</v>
      </c>
      <c r="Q101" s="2"/>
      <c r="R101" s="19"/>
      <c r="S101" s="2"/>
      <c r="T101" s="2"/>
      <c r="U101" s="2"/>
      <c r="V101" s="19"/>
      <c r="W101" s="2"/>
      <c r="X101" s="2">
        <f t="shared" si="2"/>
        <v>-3006.31</v>
      </c>
      <c r="Y101" s="2"/>
      <c r="Z101" s="19">
        <f t="shared" si="3"/>
        <v>0</v>
      </c>
    </row>
    <row r="102" spans="1:26" s="24" customFormat="1" hidden="1" outlineLevel="1" x14ac:dyDescent="0.25">
      <c r="A102" s="44"/>
      <c r="B102" s="11" t="str">
        <f>CONCATENATE("          ", "4244", " - ", "SALES RETURN TAXABLE-ACCESSORI")</f>
        <v xml:space="preserve">          4244 - SALES RETURN TAXABLE-ACCESSORI</v>
      </c>
      <c r="C102" s="11"/>
      <c r="D102" s="2">
        <f>-255.71</f>
        <v>-255.71</v>
      </c>
      <c r="E102" s="2"/>
      <c r="F102" s="19"/>
      <c r="G102" s="2"/>
      <c r="H102" s="2"/>
      <c r="I102" s="2"/>
      <c r="J102" s="19"/>
      <c r="K102" s="2"/>
      <c r="L102" s="2">
        <f t="shared" si="0"/>
        <v>-255.71</v>
      </c>
      <c r="M102" s="2"/>
      <c r="N102" s="19">
        <f t="shared" si="1"/>
        <v>0</v>
      </c>
      <c r="O102" s="11"/>
      <c r="P102" s="2">
        <f>-2726.41</f>
        <v>-2726.41</v>
      </c>
      <c r="Q102" s="2"/>
      <c r="R102" s="19"/>
      <c r="S102" s="2"/>
      <c r="T102" s="2"/>
      <c r="U102" s="2"/>
      <c r="V102" s="19"/>
      <c r="W102" s="2"/>
      <c r="X102" s="2">
        <f t="shared" si="2"/>
        <v>-2726.41</v>
      </c>
      <c r="Y102" s="2"/>
      <c r="Z102" s="19">
        <f t="shared" si="3"/>
        <v>0</v>
      </c>
    </row>
    <row r="103" spans="1:26" s="24" customFormat="1" hidden="1" outlineLevel="1" x14ac:dyDescent="0.25">
      <c r="A103" s="44"/>
      <c r="B103" s="11" t="str">
        <f>CONCATENATE("          ", "4245", " - ", "SALES RETURN TAXABLE-SPECIAL O")</f>
        <v xml:space="preserve">          4245 - SALES RETURN TAXABLE-SPECIAL O</v>
      </c>
      <c r="C103" s="11"/>
      <c r="D103" s="2">
        <f>-175</f>
        <v>-175</v>
      </c>
      <c r="E103" s="2"/>
      <c r="F103" s="19"/>
      <c r="G103" s="2"/>
      <c r="H103" s="2"/>
      <c r="I103" s="2"/>
      <c r="J103" s="19"/>
      <c r="K103" s="2"/>
      <c r="L103" s="2">
        <f t="shared" si="0"/>
        <v>-175</v>
      </c>
      <c r="M103" s="2"/>
      <c r="N103" s="19">
        <f t="shared" si="1"/>
        <v>0</v>
      </c>
      <c r="O103" s="11"/>
      <c r="P103" s="2">
        <f>-1910.03</f>
        <v>-1910.03</v>
      </c>
      <c r="Q103" s="2"/>
      <c r="R103" s="19"/>
      <c r="S103" s="2"/>
      <c r="T103" s="2"/>
      <c r="U103" s="2"/>
      <c r="V103" s="19"/>
      <c r="W103" s="2"/>
      <c r="X103" s="2">
        <f t="shared" si="2"/>
        <v>-1910.03</v>
      </c>
      <c r="Y103" s="2"/>
      <c r="Z103" s="19">
        <f t="shared" si="3"/>
        <v>0</v>
      </c>
    </row>
    <row r="104" spans="1:26" s="24" customFormat="1" hidden="1" outlineLevel="1" x14ac:dyDescent="0.25">
      <c r="A104" s="44"/>
      <c r="B104" s="11" t="str">
        <f>CONCATENATE("          ", "4281", " - ", "SALES RETURN TAXABLE-ELECTRONI")</f>
        <v xml:space="preserve">          4281 - SALES RETURN TAXABLE-ELECTRONI</v>
      </c>
      <c r="C104" s="11"/>
      <c r="D104" s="2">
        <f>-159</f>
        <v>-159</v>
      </c>
      <c r="E104" s="2"/>
      <c r="F104" s="19"/>
      <c r="G104" s="2"/>
      <c r="H104" s="2"/>
      <c r="I104" s="2"/>
      <c r="J104" s="19"/>
      <c r="K104" s="2"/>
      <c r="L104" s="2">
        <f t="shared" si="0"/>
        <v>-159</v>
      </c>
      <c r="M104" s="2"/>
      <c r="N104" s="19">
        <f t="shared" si="1"/>
        <v>0</v>
      </c>
      <c r="O104" s="11"/>
      <c r="P104" s="2">
        <f>-7995.67</f>
        <v>-7995.67</v>
      </c>
      <c r="Q104" s="2"/>
      <c r="R104" s="19"/>
      <c r="S104" s="2"/>
      <c r="T104" s="2"/>
      <c r="U104" s="2"/>
      <c r="V104" s="19"/>
      <c r="W104" s="2"/>
      <c r="X104" s="2">
        <f t="shared" si="2"/>
        <v>-7995.67</v>
      </c>
      <c r="Y104" s="2"/>
      <c r="Z104" s="19">
        <f t="shared" si="3"/>
        <v>0</v>
      </c>
    </row>
    <row r="105" spans="1:26" s="24" customFormat="1" hidden="1" outlineLevel="1" x14ac:dyDescent="0.25">
      <c r="A105" s="44"/>
      <c r="B105" s="11" t="str">
        <f>CONCATENATE("          ", "4282", " - ", "SALES RETURN TAXABLE-COMPUTER")</f>
        <v xml:space="preserve">          4282 - SALES RETURN TAXABLE-COMPUTER</v>
      </c>
      <c r="C105" s="11"/>
      <c r="D105" s="2">
        <f>-183</f>
        <v>-183</v>
      </c>
      <c r="E105" s="2"/>
      <c r="F105" s="19"/>
      <c r="G105" s="2"/>
      <c r="H105" s="2"/>
      <c r="I105" s="2"/>
      <c r="J105" s="19"/>
      <c r="K105" s="2"/>
      <c r="L105" s="2">
        <f t="shared" si="0"/>
        <v>-183</v>
      </c>
      <c r="M105" s="2"/>
      <c r="N105" s="19">
        <f t="shared" si="1"/>
        <v>0</v>
      </c>
      <c r="O105" s="11"/>
      <c r="P105" s="2">
        <f>-215628.8</f>
        <v>-215628.79999999999</v>
      </c>
      <c r="Q105" s="2"/>
      <c r="R105" s="19"/>
      <c r="S105" s="2"/>
      <c r="T105" s="2"/>
      <c r="U105" s="2"/>
      <c r="V105" s="19"/>
      <c r="W105" s="2"/>
      <c r="X105" s="2">
        <f t="shared" si="2"/>
        <v>-215628.79999999999</v>
      </c>
      <c r="Y105" s="2"/>
      <c r="Z105" s="19">
        <f t="shared" si="3"/>
        <v>0</v>
      </c>
    </row>
    <row r="106" spans="1:26" s="24" customFormat="1" hidden="1" outlineLevel="1" x14ac:dyDescent="0.25">
      <c r="A106" s="44"/>
      <c r="B106" s="11" t="str">
        <f>CONCATENATE("          ", "4283", " - ", "SALES RETURN TAXABLE-COMPUTER")</f>
        <v xml:space="preserve">          4283 - SALES RETURN TAXABLE-COMPUTER</v>
      </c>
      <c r="C106" s="11"/>
      <c r="D106" s="2">
        <f>-119</f>
        <v>-119</v>
      </c>
      <c r="E106" s="2"/>
      <c r="F106" s="19"/>
      <c r="G106" s="2"/>
      <c r="H106" s="2"/>
      <c r="I106" s="2"/>
      <c r="J106" s="19"/>
      <c r="K106" s="2"/>
      <c r="L106" s="2">
        <f t="shared" si="0"/>
        <v>-119</v>
      </c>
      <c r="M106" s="2"/>
      <c r="N106" s="19">
        <f t="shared" si="1"/>
        <v>0</v>
      </c>
      <c r="O106" s="11"/>
      <c r="P106" s="2">
        <f>-6708.02</f>
        <v>-6708.02</v>
      </c>
      <c r="Q106" s="2"/>
      <c r="R106" s="19"/>
      <c r="S106" s="2"/>
      <c r="T106" s="2"/>
      <c r="U106" s="2"/>
      <c r="V106" s="19"/>
      <c r="W106" s="2"/>
      <c r="X106" s="2">
        <f t="shared" si="2"/>
        <v>-6708.02</v>
      </c>
      <c r="Y106" s="2"/>
      <c r="Z106" s="19">
        <f t="shared" si="3"/>
        <v>0</v>
      </c>
    </row>
    <row r="107" spans="1:26" s="24" customFormat="1" hidden="1" outlineLevel="1" x14ac:dyDescent="0.25">
      <c r="A107" s="44"/>
      <c r="B107" s="11" t="str">
        <f>CONCATENATE("          ", "4284", " - ", "SALES RETURN TAXABLE-SOFTWARE")</f>
        <v xml:space="preserve">          4284 - SALES RETURN TAXABLE-SOFTWARE</v>
      </c>
      <c r="C107" s="11"/>
      <c r="D107" s="2">
        <f t="shared" ref="D107:D109" si="10">0</f>
        <v>0</v>
      </c>
      <c r="E107" s="2"/>
      <c r="F107" s="19"/>
      <c r="G107" s="2"/>
      <c r="H107" s="2"/>
      <c r="I107" s="2"/>
      <c r="J107" s="19"/>
      <c r="K107" s="2"/>
      <c r="L107" s="2">
        <f t="shared" si="0"/>
        <v>0</v>
      </c>
      <c r="M107" s="2"/>
      <c r="N107" s="19">
        <f t="shared" si="1"/>
        <v>0</v>
      </c>
      <c r="O107" s="11"/>
      <c r="P107" s="2">
        <f>-129</f>
        <v>-129</v>
      </c>
      <c r="Q107" s="2"/>
      <c r="R107" s="19"/>
      <c r="S107" s="2"/>
      <c r="T107" s="2"/>
      <c r="U107" s="2"/>
      <c r="V107" s="19"/>
      <c r="W107" s="2"/>
      <c r="X107" s="2">
        <f t="shared" si="2"/>
        <v>-129</v>
      </c>
      <c r="Y107" s="2"/>
      <c r="Z107" s="19">
        <f t="shared" si="3"/>
        <v>0</v>
      </c>
    </row>
    <row r="108" spans="1:26" s="24" customFormat="1" hidden="1" outlineLevel="1" x14ac:dyDescent="0.25">
      <c r="A108" s="44"/>
      <c r="B108" s="11" t="str">
        <f>CONCATENATE("          ", "4285", " - ", "SALES RETURN TAXABLE-SOFTWARE")</f>
        <v xml:space="preserve">          4285 - SALES RETURN TAXABLE-SOFTWARE</v>
      </c>
      <c r="C108" s="11"/>
      <c r="D108" s="2">
        <f t="shared" si="10"/>
        <v>0</v>
      </c>
      <c r="E108" s="2"/>
      <c r="F108" s="19"/>
      <c r="G108" s="2"/>
      <c r="H108" s="2"/>
      <c r="I108" s="2"/>
      <c r="J108" s="19"/>
      <c r="K108" s="2"/>
      <c r="L108" s="2">
        <f t="shared" si="0"/>
        <v>0</v>
      </c>
      <c r="M108" s="2"/>
      <c r="N108" s="19">
        <f t="shared" si="1"/>
        <v>0</v>
      </c>
      <c r="O108" s="11"/>
      <c r="P108" s="2">
        <f>-805.97</f>
        <v>-805.97</v>
      </c>
      <c r="Q108" s="2"/>
      <c r="R108" s="19"/>
      <c r="S108" s="2"/>
      <c r="T108" s="2"/>
      <c r="U108" s="2"/>
      <c r="V108" s="19"/>
      <c r="W108" s="2"/>
      <c r="X108" s="2">
        <f t="shared" si="2"/>
        <v>-805.97</v>
      </c>
      <c r="Y108" s="2"/>
      <c r="Z108" s="19">
        <f t="shared" si="3"/>
        <v>0</v>
      </c>
    </row>
    <row r="109" spans="1:26" s="24" customFormat="1" hidden="1" outlineLevel="1" x14ac:dyDescent="0.25">
      <c r="A109" s="44"/>
      <c r="B109" s="11" t="str">
        <f>CONCATENATE("          ", "4286", " - ", "SALES RETURN TAXABLE-COMPUTER")</f>
        <v xml:space="preserve">          4286 - SALES RETURN TAXABLE-COMPUTER</v>
      </c>
      <c r="C109" s="11"/>
      <c r="D109" s="2">
        <f t="shared" si="10"/>
        <v>0</v>
      </c>
      <c r="E109" s="2"/>
      <c r="F109" s="19"/>
      <c r="G109" s="2"/>
      <c r="H109" s="2"/>
      <c r="I109" s="2"/>
      <c r="J109" s="19"/>
      <c r="K109" s="2"/>
      <c r="L109" s="2">
        <f t="shared" si="0"/>
        <v>0</v>
      </c>
      <c r="M109" s="2"/>
      <c r="N109" s="19">
        <f t="shared" si="1"/>
        <v>0</v>
      </c>
      <c r="O109" s="11"/>
      <c r="P109" s="2">
        <f>-3660.86</f>
        <v>-3660.86</v>
      </c>
      <c r="Q109" s="2"/>
      <c r="R109" s="19"/>
      <c r="S109" s="2"/>
      <c r="T109" s="2"/>
      <c r="U109" s="2"/>
      <c r="V109" s="19"/>
      <c r="W109" s="2"/>
      <c r="X109" s="2">
        <f t="shared" si="2"/>
        <v>-3660.86</v>
      </c>
      <c r="Y109" s="2"/>
      <c r="Z109" s="19">
        <f t="shared" si="3"/>
        <v>0</v>
      </c>
    </row>
    <row r="110" spans="1:26" s="24" customFormat="1" hidden="1" outlineLevel="1" x14ac:dyDescent="0.25">
      <c r="A110" s="44"/>
      <c r="B110" s="11" t="str">
        <f>CONCATENATE("          ", "4288", " - ", "TAXABLE SALES RETURN-MUSIC")</f>
        <v xml:space="preserve">          4288 - TAXABLE SALES RETURN-MUSIC</v>
      </c>
      <c r="C110" s="11"/>
      <c r="D110" s="2">
        <f>-149</f>
        <v>-149</v>
      </c>
      <c r="E110" s="2"/>
      <c r="F110" s="19"/>
      <c r="G110" s="2"/>
      <c r="H110" s="2"/>
      <c r="I110" s="2"/>
      <c r="J110" s="19"/>
      <c r="K110" s="2"/>
      <c r="L110" s="2">
        <f t="shared" si="0"/>
        <v>-149</v>
      </c>
      <c r="M110" s="2"/>
      <c r="N110" s="19">
        <f t="shared" si="1"/>
        <v>0</v>
      </c>
      <c r="O110" s="11"/>
      <c r="P110" s="2">
        <f>-152.99</f>
        <v>-152.99</v>
      </c>
      <c r="Q110" s="2"/>
      <c r="R110" s="19"/>
      <c r="S110" s="2"/>
      <c r="T110" s="2"/>
      <c r="U110" s="2"/>
      <c r="V110" s="19"/>
      <c r="W110" s="2"/>
      <c r="X110" s="2">
        <f t="shared" si="2"/>
        <v>-152.99</v>
      </c>
      <c r="Y110" s="2"/>
      <c r="Z110" s="19">
        <f t="shared" si="3"/>
        <v>0</v>
      </c>
    </row>
    <row r="111" spans="1:26" s="24" customFormat="1" hidden="1" outlineLevel="1" x14ac:dyDescent="0.25">
      <c r="A111" s="44"/>
      <c r="B111" s="11" t="str">
        <f>CONCATENATE("          ", "4292", " - ", "SALES RETURN TAXABLE-GRAD MERC")</f>
        <v xml:space="preserve">          4292 - SALES RETURN TAXABLE-GRAD MERC</v>
      </c>
      <c r="C111" s="11"/>
      <c r="D111" s="2">
        <f>-64.89</f>
        <v>-64.89</v>
      </c>
      <c r="E111" s="2"/>
      <c r="F111" s="19"/>
      <c r="G111" s="2"/>
      <c r="H111" s="2"/>
      <c r="I111" s="2"/>
      <c r="J111" s="19"/>
      <c r="K111" s="2"/>
      <c r="L111" s="2">
        <f t="shared" si="0"/>
        <v>-64.89</v>
      </c>
      <c r="M111" s="2"/>
      <c r="N111" s="19">
        <f t="shared" si="1"/>
        <v>0</v>
      </c>
      <c r="O111" s="11"/>
      <c r="P111" s="2">
        <f>-578.84</f>
        <v>-578.84</v>
      </c>
      <c r="Q111" s="2"/>
      <c r="R111" s="19"/>
      <c r="S111" s="2"/>
      <c r="T111" s="2"/>
      <c r="U111" s="2"/>
      <c r="V111" s="19"/>
      <c r="W111" s="2"/>
      <c r="X111" s="2">
        <f t="shared" si="2"/>
        <v>-578.84</v>
      </c>
      <c r="Y111" s="2"/>
      <c r="Z111" s="19">
        <f t="shared" si="3"/>
        <v>0</v>
      </c>
    </row>
    <row r="112" spans="1:26" s="24" customFormat="1" hidden="1" outlineLevel="1" x14ac:dyDescent="0.25">
      <c r="A112" s="44"/>
      <c r="B112" s="11" t="str">
        <f>CONCATENATE("          ", "4295", " - ", "SALES RETURN TAXABLE-CUSTOMER")</f>
        <v xml:space="preserve">          4295 - SALES RETURN TAXABLE-CUSTOMER</v>
      </c>
      <c r="C112" s="11"/>
      <c r="D112" s="2">
        <f>0</f>
        <v>0</v>
      </c>
      <c r="E112" s="2"/>
      <c r="F112" s="19"/>
      <c r="G112" s="2"/>
      <c r="H112" s="2"/>
      <c r="I112" s="2"/>
      <c r="J112" s="19"/>
      <c r="K112" s="2"/>
      <c r="L112" s="2">
        <f t="shared" si="0"/>
        <v>0</v>
      </c>
      <c r="M112" s="2"/>
      <c r="N112" s="19">
        <f t="shared" si="1"/>
        <v>0</v>
      </c>
      <c r="O112" s="11"/>
      <c r="P112" s="2">
        <f>--0.99</f>
        <v>0.99</v>
      </c>
      <c r="Q112" s="2"/>
      <c r="R112" s="19"/>
      <c r="S112" s="2"/>
      <c r="T112" s="2"/>
      <c r="U112" s="2"/>
      <c r="V112" s="19"/>
      <c r="W112" s="2"/>
      <c r="X112" s="2">
        <f t="shared" si="2"/>
        <v>0.99</v>
      </c>
      <c r="Y112" s="2"/>
      <c r="Z112" s="19">
        <f t="shared" si="3"/>
        <v>0</v>
      </c>
    </row>
    <row r="113" spans="1:26" s="24" customFormat="1" hidden="1" outlineLevel="1" x14ac:dyDescent="0.25">
      <c r="A113" s="44"/>
      <c r="B113" s="11" t="str">
        <f>CONCATENATE("          ", "4301", " - ", "SALES RETURN NON TAXABLE-NEW T")</f>
        <v xml:space="preserve">          4301 - SALES RETURN NON TAXABLE-NEW T</v>
      </c>
      <c r="C113" s="11"/>
      <c r="D113" s="2">
        <f>-5710.44</f>
        <v>-5710.44</v>
      </c>
      <c r="E113" s="2"/>
      <c r="F113" s="19"/>
      <c r="G113" s="2"/>
      <c r="H113" s="2"/>
      <c r="I113" s="2"/>
      <c r="J113" s="19"/>
      <c r="K113" s="2"/>
      <c r="L113" s="2">
        <f t="shared" si="0"/>
        <v>-5710.44</v>
      </c>
      <c r="M113" s="2"/>
      <c r="N113" s="19">
        <f t="shared" si="1"/>
        <v>0</v>
      </c>
      <c r="O113" s="11"/>
      <c r="P113" s="2">
        <f>-21289.87</f>
        <v>-21289.87</v>
      </c>
      <c r="Q113" s="2"/>
      <c r="R113" s="19"/>
      <c r="S113" s="2"/>
      <c r="T113" s="2"/>
      <c r="U113" s="2"/>
      <c r="V113" s="19"/>
      <c r="W113" s="2"/>
      <c r="X113" s="2">
        <f t="shared" si="2"/>
        <v>-21289.87</v>
      </c>
      <c r="Y113" s="2"/>
      <c r="Z113" s="19">
        <f t="shared" si="3"/>
        <v>0</v>
      </c>
    </row>
    <row r="114" spans="1:26" s="24" customFormat="1" hidden="1" outlineLevel="1" x14ac:dyDescent="0.25">
      <c r="A114" s="44"/>
      <c r="B114" s="11" t="str">
        <f>CONCATENATE("          ", "4302", " - ", "SALES RETURN NON TAXABLE-TEXT")</f>
        <v xml:space="preserve">          4302 - SALES RETURN NON TAXABLE-TEXT</v>
      </c>
      <c r="C114" s="11"/>
      <c r="D114" s="2">
        <f>-67.5</f>
        <v>-67.5</v>
      </c>
      <c r="E114" s="2"/>
      <c r="F114" s="19"/>
      <c r="G114" s="2"/>
      <c r="H114" s="2"/>
      <c r="I114" s="2"/>
      <c r="J114" s="19"/>
      <c r="K114" s="2"/>
      <c r="L114" s="2">
        <f t="shared" si="0"/>
        <v>-67.5</v>
      </c>
      <c r="M114" s="2"/>
      <c r="N114" s="19">
        <f t="shared" si="1"/>
        <v>0</v>
      </c>
      <c r="O114" s="11"/>
      <c r="P114" s="2">
        <f>-1379.87</f>
        <v>-1379.87</v>
      </c>
      <c r="Q114" s="2"/>
      <c r="R114" s="19"/>
      <c r="S114" s="2"/>
      <c r="T114" s="2"/>
      <c r="U114" s="2"/>
      <c r="V114" s="19"/>
      <c r="W114" s="2"/>
      <c r="X114" s="2">
        <f t="shared" si="2"/>
        <v>-1379.87</v>
      </c>
      <c r="Y114" s="2"/>
      <c r="Z114" s="19">
        <f t="shared" si="3"/>
        <v>0</v>
      </c>
    </row>
    <row r="115" spans="1:26" s="24" customFormat="1" hidden="1" outlineLevel="1" x14ac:dyDescent="0.25">
      <c r="A115" s="44"/>
      <c r="B115" s="11" t="str">
        <f>CONCATENATE("          ", "4303", " - ", "SALES RETURN NON-TAXABLE-RENTA")</f>
        <v xml:space="preserve">          4303 - SALES RETURN NON-TAXABLE-RENTA</v>
      </c>
      <c r="C115" s="11"/>
      <c r="D115" s="2">
        <f>0</f>
        <v>0</v>
      </c>
      <c r="E115" s="2"/>
      <c r="F115" s="19"/>
      <c r="G115" s="2"/>
      <c r="H115" s="2"/>
      <c r="I115" s="2"/>
      <c r="J115" s="19"/>
      <c r="K115" s="2"/>
      <c r="L115" s="2">
        <f t="shared" si="0"/>
        <v>0</v>
      </c>
      <c r="M115" s="2"/>
      <c r="N115" s="19">
        <f t="shared" si="1"/>
        <v>0</v>
      </c>
      <c r="O115" s="11"/>
      <c r="P115" s="2">
        <f>-184.99</f>
        <v>-184.99</v>
      </c>
      <c r="Q115" s="2"/>
      <c r="R115" s="19"/>
      <c r="S115" s="2"/>
      <c r="T115" s="2"/>
      <c r="U115" s="2"/>
      <c r="V115" s="19"/>
      <c r="W115" s="2"/>
      <c r="X115" s="2">
        <f t="shared" si="2"/>
        <v>-184.99</v>
      </c>
      <c r="Y115" s="2"/>
      <c r="Z115" s="19">
        <f t="shared" si="3"/>
        <v>0</v>
      </c>
    </row>
    <row r="116" spans="1:26" s="24" customFormat="1" hidden="1" outlineLevel="1" x14ac:dyDescent="0.25">
      <c r="A116" s="44"/>
      <c r="B116" s="11" t="str">
        <f>CONCATENATE("          ", "4304", " - ", "SALES RETURN NON TAXABLE-DIGIT")</f>
        <v xml:space="preserve">          4304 - SALES RETURN NON TAXABLE-DIGIT</v>
      </c>
      <c r="C116" s="11"/>
      <c r="D116" s="2">
        <f>-438.2</f>
        <v>-438.2</v>
      </c>
      <c r="E116" s="2"/>
      <c r="F116" s="19"/>
      <c r="G116" s="2"/>
      <c r="H116" s="2"/>
      <c r="I116" s="2"/>
      <c r="J116" s="19"/>
      <c r="K116" s="2"/>
      <c r="L116" s="2">
        <f t="shared" si="0"/>
        <v>-438.2</v>
      </c>
      <c r="M116" s="2"/>
      <c r="N116" s="19">
        <f t="shared" si="1"/>
        <v>0</v>
      </c>
      <c r="O116" s="11"/>
      <c r="P116" s="2">
        <f>-19474.33</f>
        <v>-19474.330000000002</v>
      </c>
      <c r="Q116" s="2"/>
      <c r="R116" s="19"/>
      <c r="S116" s="2"/>
      <c r="T116" s="2"/>
      <c r="U116" s="2"/>
      <c r="V116" s="19"/>
      <c r="W116" s="2"/>
      <c r="X116" s="2">
        <f t="shared" si="2"/>
        <v>-19474.330000000002</v>
      </c>
      <c r="Y116" s="2"/>
      <c r="Z116" s="19">
        <f t="shared" si="3"/>
        <v>0</v>
      </c>
    </row>
    <row r="117" spans="1:26" s="24" customFormat="1" hidden="1" outlineLevel="1" x14ac:dyDescent="0.25">
      <c r="A117" s="44"/>
      <c r="B117" s="11" t="str">
        <f>CONCATENATE("          ", "4311", " - ", "SALES RETURN NON TAXABLE-NO VA")</f>
        <v xml:space="preserve">          4311 - SALES RETURN NON TAXABLE-NO VA</v>
      </c>
      <c r="C117" s="11"/>
      <c r="D117" s="2">
        <f t="shared" ref="D117:D121" si="11">0</f>
        <v>0</v>
      </c>
      <c r="E117" s="2"/>
      <c r="F117" s="19"/>
      <c r="G117" s="2"/>
      <c r="H117" s="2"/>
      <c r="I117" s="2"/>
      <c r="J117" s="19"/>
      <c r="K117" s="2"/>
      <c r="L117" s="2">
        <f t="shared" si="0"/>
        <v>0</v>
      </c>
      <c r="M117" s="2"/>
      <c r="N117" s="19">
        <f t="shared" si="1"/>
        <v>0</v>
      </c>
      <c r="O117" s="11"/>
      <c r="P117" s="2">
        <f>-941.28</f>
        <v>-941.28</v>
      </c>
      <c r="Q117" s="2"/>
      <c r="R117" s="19"/>
      <c r="S117" s="2"/>
      <c r="T117" s="2"/>
      <c r="U117" s="2"/>
      <c r="V117" s="19"/>
      <c r="W117" s="2"/>
      <c r="X117" s="2">
        <f t="shared" si="2"/>
        <v>-941.28</v>
      </c>
      <c r="Y117" s="2"/>
      <c r="Z117" s="19">
        <f t="shared" si="3"/>
        <v>0</v>
      </c>
    </row>
    <row r="118" spans="1:26" s="24" customFormat="1" hidden="1" outlineLevel="1" x14ac:dyDescent="0.25">
      <c r="A118" s="44"/>
      <c r="B118" s="11" t="str">
        <f>CONCATENATE("          ", "4313", " - ", "SALES RETURN NON TAXABLE-TRADE")</f>
        <v xml:space="preserve">          4313 - SALES RETURN NON TAXABLE-TRADE</v>
      </c>
      <c r="C118" s="11"/>
      <c r="D118" s="2">
        <f t="shared" si="11"/>
        <v>0</v>
      </c>
      <c r="E118" s="2"/>
      <c r="F118" s="19"/>
      <c r="G118" s="2"/>
      <c r="H118" s="2"/>
      <c r="I118" s="2"/>
      <c r="J118" s="19"/>
      <c r="K118" s="2"/>
      <c r="L118" s="2">
        <f t="shared" si="0"/>
        <v>0</v>
      </c>
      <c r="M118" s="2"/>
      <c r="N118" s="19">
        <f t="shared" si="1"/>
        <v>0</v>
      </c>
      <c r="O118" s="11"/>
      <c r="P118" s="2">
        <f>-2481.44</f>
        <v>-2481.44</v>
      </c>
      <c r="Q118" s="2"/>
      <c r="R118" s="19"/>
      <c r="S118" s="2"/>
      <c r="T118" s="2"/>
      <c r="U118" s="2"/>
      <c r="V118" s="19"/>
      <c r="W118" s="2"/>
      <c r="X118" s="2">
        <f t="shared" si="2"/>
        <v>-2481.44</v>
      </c>
      <c r="Y118" s="2"/>
      <c r="Z118" s="19">
        <f t="shared" si="3"/>
        <v>0</v>
      </c>
    </row>
    <row r="119" spans="1:26" s="24" customFormat="1" hidden="1" outlineLevel="1" x14ac:dyDescent="0.25">
      <c r="A119" s="44"/>
      <c r="B119" s="11" t="str">
        <f>CONCATENATE("          ", "4327", " - ", "SALES RETURN NON TAXABLE-SCHOO")</f>
        <v xml:space="preserve">          4327 - SALES RETURN NON TAXABLE-SCHOO</v>
      </c>
      <c r="C119" s="11"/>
      <c r="D119" s="2">
        <f t="shared" si="11"/>
        <v>0</v>
      </c>
      <c r="E119" s="2"/>
      <c r="F119" s="19"/>
      <c r="G119" s="2"/>
      <c r="H119" s="2"/>
      <c r="I119" s="2"/>
      <c r="J119" s="19"/>
      <c r="K119" s="2"/>
      <c r="L119" s="2">
        <f t="shared" si="0"/>
        <v>0</v>
      </c>
      <c r="M119" s="2"/>
      <c r="N119" s="19">
        <f t="shared" si="1"/>
        <v>0</v>
      </c>
      <c r="O119" s="11"/>
      <c r="P119" s="2">
        <f>-21.87</f>
        <v>-21.87</v>
      </c>
      <c r="Q119" s="2"/>
      <c r="R119" s="19"/>
      <c r="S119" s="2"/>
      <c r="T119" s="2"/>
      <c r="U119" s="2"/>
      <c r="V119" s="19"/>
      <c r="W119" s="2"/>
      <c r="X119" s="2">
        <f t="shared" si="2"/>
        <v>-21.87</v>
      </c>
      <c r="Y119" s="2"/>
      <c r="Z119" s="19">
        <f t="shared" si="3"/>
        <v>0</v>
      </c>
    </row>
    <row r="120" spans="1:26" s="24" customFormat="1" hidden="1" outlineLevel="1" x14ac:dyDescent="0.25">
      <c r="A120" s="44"/>
      <c r="B120" s="11" t="str">
        <f>CONCATENATE("          ", "4331", " - ", "SALES RETURN NON TAXABLE-FOOD")</f>
        <v xml:space="preserve">          4331 - SALES RETURN NON TAXABLE-FOOD</v>
      </c>
      <c r="C120" s="11"/>
      <c r="D120" s="2">
        <f t="shared" si="11"/>
        <v>0</v>
      </c>
      <c r="E120" s="2"/>
      <c r="F120" s="19"/>
      <c r="G120" s="2"/>
      <c r="H120" s="2"/>
      <c r="I120" s="2"/>
      <c r="J120" s="19"/>
      <c r="K120" s="2"/>
      <c r="L120" s="2">
        <f t="shared" si="0"/>
        <v>0</v>
      </c>
      <c r="M120" s="2"/>
      <c r="N120" s="19">
        <f t="shared" si="1"/>
        <v>0</v>
      </c>
      <c r="O120" s="11"/>
      <c r="P120" s="2">
        <f>-12.57</f>
        <v>-12.57</v>
      </c>
      <c r="Q120" s="2"/>
      <c r="R120" s="19"/>
      <c r="S120" s="2"/>
      <c r="T120" s="2"/>
      <c r="U120" s="2"/>
      <c r="V120" s="19"/>
      <c r="W120" s="2"/>
      <c r="X120" s="2">
        <f t="shared" si="2"/>
        <v>-12.57</v>
      </c>
      <c r="Y120" s="2"/>
      <c r="Z120" s="19">
        <f t="shared" si="3"/>
        <v>0</v>
      </c>
    </row>
    <row r="121" spans="1:26" s="24" customFormat="1" hidden="1" outlineLevel="1" x14ac:dyDescent="0.25">
      <c r="A121" s="44"/>
      <c r="B121" s="11" t="str">
        <f>CONCATENATE("          ", "4332", " - ", "SALES RETURN NON TAXABLE-JUICE")</f>
        <v xml:space="preserve">          4332 - SALES RETURN NON TAXABLE-JUICE</v>
      </c>
      <c r="C121" s="11"/>
      <c r="D121" s="2">
        <f t="shared" si="11"/>
        <v>0</v>
      </c>
      <c r="E121" s="2"/>
      <c r="F121" s="19"/>
      <c r="G121" s="2"/>
      <c r="H121" s="2"/>
      <c r="I121" s="2"/>
      <c r="J121" s="19"/>
      <c r="K121" s="2"/>
      <c r="L121" s="2">
        <f t="shared" si="0"/>
        <v>0</v>
      </c>
      <c r="M121" s="2"/>
      <c r="N121" s="19">
        <f t="shared" si="1"/>
        <v>0</v>
      </c>
      <c r="O121" s="11"/>
      <c r="P121" s="2">
        <f>-2.79</f>
        <v>-2.79</v>
      </c>
      <c r="Q121" s="2"/>
      <c r="R121" s="19"/>
      <c r="S121" s="2"/>
      <c r="T121" s="2"/>
      <c r="U121" s="2"/>
      <c r="V121" s="19"/>
      <c r="W121" s="2"/>
      <c r="X121" s="2">
        <f t="shared" si="2"/>
        <v>-2.79</v>
      </c>
      <c r="Y121" s="2"/>
      <c r="Z121" s="19">
        <f t="shared" si="3"/>
        <v>0</v>
      </c>
    </row>
    <row r="122" spans="1:26" s="24" customFormat="1" hidden="1" outlineLevel="1" x14ac:dyDescent="0.25">
      <c r="A122" s="44"/>
      <c r="B122" s="11" t="str">
        <f>CONCATENATE("          ", "4340", " - ", "SALES RETURN NON TAXABLE-LOGO")</f>
        <v xml:space="preserve">          4340 - SALES RETURN NON TAXABLE-LOGO</v>
      </c>
      <c r="C122" s="11"/>
      <c r="D122" s="2">
        <f>-598.43</f>
        <v>-598.42999999999995</v>
      </c>
      <c r="E122" s="2"/>
      <c r="F122" s="19"/>
      <c r="G122" s="2"/>
      <c r="H122" s="2"/>
      <c r="I122" s="2"/>
      <c r="J122" s="19"/>
      <c r="K122" s="2"/>
      <c r="L122" s="2">
        <f t="shared" si="0"/>
        <v>-598.42999999999995</v>
      </c>
      <c r="M122" s="2"/>
      <c r="N122" s="19">
        <f t="shared" si="1"/>
        <v>0</v>
      </c>
      <c r="O122" s="11"/>
      <c r="P122" s="2">
        <f>-1618.83</f>
        <v>-1618.83</v>
      </c>
      <c r="Q122" s="2"/>
      <c r="R122" s="19"/>
      <c r="S122" s="2"/>
      <c r="T122" s="2"/>
      <c r="U122" s="2"/>
      <c r="V122" s="19"/>
      <c r="W122" s="2"/>
      <c r="X122" s="2">
        <f t="shared" si="2"/>
        <v>-1618.83</v>
      </c>
      <c r="Y122" s="2"/>
      <c r="Z122" s="19">
        <f t="shared" si="3"/>
        <v>0</v>
      </c>
    </row>
    <row r="123" spans="1:26" s="24" customFormat="1" hidden="1" outlineLevel="1" x14ac:dyDescent="0.25">
      <c r="A123" s="44"/>
      <c r="B123" s="11" t="str">
        <f>CONCATENATE("          ", "4341", " - ", "SALES RETURN NON TAXABLE-LOGO")</f>
        <v xml:space="preserve">          4341 - SALES RETURN NON TAXABLE-LOGO</v>
      </c>
      <c r="C123" s="11"/>
      <c r="D123" s="2">
        <f>-39.95</f>
        <v>-39.950000000000003</v>
      </c>
      <c r="E123" s="2"/>
      <c r="F123" s="19"/>
      <c r="G123" s="2"/>
      <c r="H123" s="2"/>
      <c r="I123" s="2"/>
      <c r="J123" s="19"/>
      <c r="K123" s="2"/>
      <c r="L123" s="2">
        <f t="shared" si="0"/>
        <v>-39.950000000000003</v>
      </c>
      <c r="M123" s="2"/>
      <c r="N123" s="19">
        <f t="shared" si="1"/>
        <v>0</v>
      </c>
      <c r="O123" s="11"/>
      <c r="P123" s="2">
        <f>-285.45</f>
        <v>-285.45</v>
      </c>
      <c r="Q123" s="2"/>
      <c r="R123" s="19"/>
      <c r="S123" s="2"/>
      <c r="T123" s="2"/>
      <c r="U123" s="2"/>
      <c r="V123" s="19"/>
      <c r="W123" s="2"/>
      <c r="X123" s="2">
        <f t="shared" si="2"/>
        <v>-285.45</v>
      </c>
      <c r="Y123" s="2"/>
      <c r="Z123" s="19">
        <f t="shared" si="3"/>
        <v>0</v>
      </c>
    </row>
    <row r="124" spans="1:26" s="24" customFormat="1" hidden="1" outlineLevel="1" x14ac:dyDescent="0.25">
      <c r="A124" s="44"/>
      <c r="B124" s="11" t="str">
        <f>CONCATENATE("          ", "4342", " - ", "SALES RETURN NON TAXABLE-EVERY")</f>
        <v xml:space="preserve">          4342 - SALES RETURN NON TAXABLE-EVERY</v>
      </c>
      <c r="C124" s="11"/>
      <c r="D124" s="2">
        <f t="shared" ref="D124:D129" si="12">0</f>
        <v>0</v>
      </c>
      <c r="E124" s="2"/>
      <c r="F124" s="19"/>
      <c r="G124" s="2"/>
      <c r="H124" s="2"/>
      <c r="I124" s="2"/>
      <c r="J124" s="19"/>
      <c r="K124" s="2"/>
      <c r="L124" s="2">
        <f t="shared" si="0"/>
        <v>0</v>
      </c>
      <c r="M124" s="2"/>
      <c r="N124" s="19">
        <f t="shared" si="1"/>
        <v>0</v>
      </c>
      <c r="O124" s="11"/>
      <c r="P124" s="2">
        <f>-149.22</f>
        <v>-149.22</v>
      </c>
      <c r="Q124" s="2"/>
      <c r="R124" s="19"/>
      <c r="S124" s="2"/>
      <c r="T124" s="2"/>
      <c r="U124" s="2"/>
      <c r="V124" s="19"/>
      <c r="W124" s="2"/>
      <c r="X124" s="2">
        <f t="shared" si="2"/>
        <v>-149.22</v>
      </c>
      <c r="Y124" s="2"/>
      <c r="Z124" s="19">
        <f t="shared" si="3"/>
        <v>0</v>
      </c>
    </row>
    <row r="125" spans="1:26" s="24" customFormat="1" hidden="1" outlineLevel="1" x14ac:dyDescent="0.25">
      <c r="A125" s="44"/>
      <c r="B125" s="11" t="str">
        <f>CONCATENATE("          ", "4346", " - ", "SALES RETURN NON TAXABLE-COIN-")</f>
        <v xml:space="preserve">          4346 - SALES RETURN NON TAXABLE-COIN-</v>
      </c>
      <c r="C125" s="11"/>
      <c r="D125" s="2">
        <f t="shared" si="12"/>
        <v>0</v>
      </c>
      <c r="E125" s="2"/>
      <c r="F125" s="19"/>
      <c r="G125" s="2"/>
      <c r="H125" s="2"/>
      <c r="I125" s="2"/>
      <c r="J125" s="19"/>
      <c r="K125" s="2"/>
      <c r="L125" s="2">
        <f t="shared" si="0"/>
        <v>0</v>
      </c>
      <c r="M125" s="2"/>
      <c r="N125" s="19">
        <f t="shared" si="1"/>
        <v>0</v>
      </c>
      <c r="O125" s="11"/>
      <c r="P125" s="2">
        <f>-8.15</f>
        <v>-8.15</v>
      </c>
      <c r="Q125" s="2"/>
      <c r="R125" s="19"/>
      <c r="S125" s="2"/>
      <c r="T125" s="2"/>
      <c r="U125" s="2"/>
      <c r="V125" s="19"/>
      <c r="W125" s="2"/>
      <c r="X125" s="2">
        <f t="shared" si="2"/>
        <v>-8.15</v>
      </c>
      <c r="Y125" s="2"/>
      <c r="Z125" s="19">
        <f t="shared" si="3"/>
        <v>0</v>
      </c>
    </row>
    <row r="126" spans="1:26" s="24" customFormat="1" hidden="1" outlineLevel="1" x14ac:dyDescent="0.25">
      <c r="A126" s="44"/>
      <c r="B126" s="11" t="str">
        <f>CONCATENATE("          ", "4347", " - ", "SALES RETURN NON TAXABLE-MISC")</f>
        <v xml:space="preserve">          4347 - SALES RETURN NON TAXABLE-MISC</v>
      </c>
      <c r="C126" s="11"/>
      <c r="D126" s="2">
        <f t="shared" si="12"/>
        <v>0</v>
      </c>
      <c r="E126" s="2"/>
      <c r="F126" s="19"/>
      <c r="G126" s="2"/>
      <c r="H126" s="2"/>
      <c r="I126" s="2"/>
      <c r="J126" s="19"/>
      <c r="K126" s="2"/>
      <c r="L126" s="2">
        <f t="shared" si="0"/>
        <v>0</v>
      </c>
      <c r="M126" s="2"/>
      <c r="N126" s="19">
        <f t="shared" si="1"/>
        <v>0</v>
      </c>
      <c r="O126" s="11"/>
      <c r="P126" s="2">
        <f>-84</f>
        <v>-84</v>
      </c>
      <c r="Q126" s="2"/>
      <c r="R126" s="19"/>
      <c r="S126" s="2"/>
      <c r="T126" s="2"/>
      <c r="U126" s="2"/>
      <c r="V126" s="19"/>
      <c r="W126" s="2"/>
      <c r="X126" s="2">
        <f t="shared" si="2"/>
        <v>-84</v>
      </c>
      <c r="Y126" s="2"/>
      <c r="Z126" s="19">
        <f t="shared" si="3"/>
        <v>0</v>
      </c>
    </row>
    <row r="127" spans="1:26" s="24" customFormat="1" hidden="1" outlineLevel="1" x14ac:dyDescent="0.25">
      <c r="A127" s="44"/>
      <c r="B127" s="11" t="str">
        <f>CONCATENATE("          ", "4381", " - ", "SALES RETURN NON TAXABLE-ELECT")</f>
        <v xml:space="preserve">          4381 - SALES RETURN NON TAXABLE-ELECT</v>
      </c>
      <c r="C127" s="11"/>
      <c r="D127" s="2">
        <f t="shared" si="12"/>
        <v>0</v>
      </c>
      <c r="E127" s="2"/>
      <c r="F127" s="19"/>
      <c r="G127" s="2"/>
      <c r="H127" s="2"/>
      <c r="I127" s="2"/>
      <c r="J127" s="19"/>
      <c r="K127" s="2"/>
      <c r="L127" s="2">
        <f t="shared" si="0"/>
        <v>0</v>
      </c>
      <c r="M127" s="2"/>
      <c r="N127" s="19">
        <f t="shared" si="1"/>
        <v>0</v>
      </c>
      <c r="O127" s="11"/>
      <c r="P127" s="2">
        <f>-1279.84</f>
        <v>-1279.8399999999999</v>
      </c>
      <c r="Q127" s="2"/>
      <c r="R127" s="19"/>
      <c r="S127" s="2"/>
      <c r="T127" s="2"/>
      <c r="U127" s="2"/>
      <c r="V127" s="19"/>
      <c r="W127" s="2"/>
      <c r="X127" s="2">
        <f t="shared" si="2"/>
        <v>-1279.8399999999999</v>
      </c>
      <c r="Y127" s="2"/>
      <c r="Z127" s="19">
        <f t="shared" si="3"/>
        <v>0</v>
      </c>
    </row>
    <row r="128" spans="1:26" s="24" customFormat="1" hidden="1" outlineLevel="1" x14ac:dyDescent="0.25">
      <c r="A128" s="44"/>
      <c r="B128" s="11" t="str">
        <f>CONCATENATE("          ", "4383", " - ", "SALES RETURN NON TAXABLE-COMPU")</f>
        <v xml:space="preserve">          4383 - SALES RETURN NON TAXABLE-COMPU</v>
      </c>
      <c r="C128" s="11"/>
      <c r="D128" s="2">
        <f t="shared" si="12"/>
        <v>0</v>
      </c>
      <c r="E128" s="2"/>
      <c r="F128" s="19"/>
      <c r="G128" s="2"/>
      <c r="H128" s="2"/>
      <c r="I128" s="2"/>
      <c r="J128" s="19"/>
      <c r="K128" s="2"/>
      <c r="L128" s="2">
        <f t="shared" si="0"/>
        <v>0</v>
      </c>
      <c r="M128" s="2"/>
      <c r="N128" s="19">
        <f t="shared" si="1"/>
        <v>0</v>
      </c>
      <c r="O128" s="11"/>
      <c r="P128" s="2">
        <f>-49.98</f>
        <v>-49.98</v>
      </c>
      <c r="Q128" s="2"/>
      <c r="R128" s="19"/>
      <c r="S128" s="2"/>
      <c r="T128" s="2"/>
      <c r="U128" s="2"/>
      <c r="V128" s="19"/>
      <c r="W128" s="2"/>
      <c r="X128" s="2">
        <f t="shared" si="2"/>
        <v>-49.98</v>
      </c>
      <c r="Y128" s="2"/>
      <c r="Z128" s="19">
        <f t="shared" si="3"/>
        <v>0</v>
      </c>
    </row>
    <row r="129" spans="1:26" s="24" customFormat="1" hidden="1" outlineLevel="1" x14ac:dyDescent="0.25">
      <c r="A129" s="44"/>
      <c r="B129" s="11" t="str">
        <f>CONCATENATE("          ", "4386", " - ", "SALES RETURN NON TAXABLE-COMPU")</f>
        <v xml:space="preserve">          4386 - SALES RETURN NON TAXABLE-COMPU</v>
      </c>
      <c r="C129" s="11"/>
      <c r="D129" s="2">
        <f t="shared" si="12"/>
        <v>0</v>
      </c>
      <c r="E129" s="2"/>
      <c r="F129" s="19"/>
      <c r="G129" s="2"/>
      <c r="H129" s="2"/>
      <c r="I129" s="2"/>
      <c r="J129" s="19"/>
      <c r="K129" s="2"/>
      <c r="L129" s="2">
        <f t="shared" si="0"/>
        <v>0</v>
      </c>
      <c r="M129" s="2"/>
      <c r="N129" s="19">
        <f t="shared" si="1"/>
        <v>0</v>
      </c>
      <c r="O129" s="11"/>
      <c r="P129" s="2">
        <f>-104.96</f>
        <v>-104.96</v>
      </c>
      <c r="Q129" s="2"/>
      <c r="R129" s="19"/>
      <c r="S129" s="2"/>
      <c r="T129" s="2"/>
      <c r="U129" s="2"/>
      <c r="V129" s="19"/>
      <c r="W129" s="2"/>
      <c r="X129" s="2">
        <f t="shared" si="2"/>
        <v>-104.96</v>
      </c>
      <c r="Y129" s="2"/>
      <c r="Z129" s="19">
        <f t="shared" si="3"/>
        <v>0</v>
      </c>
    </row>
    <row r="130" spans="1:26" x14ac:dyDescent="0.25">
      <c r="A130" s="9"/>
      <c r="B130" s="10"/>
      <c r="C130" s="9"/>
      <c r="D130" s="3"/>
      <c r="E130" s="3"/>
      <c r="F130" s="8"/>
      <c r="G130" s="3"/>
      <c r="H130" s="3"/>
      <c r="I130" s="3"/>
      <c r="J130" s="8"/>
      <c r="K130" s="3"/>
      <c r="L130" s="3"/>
      <c r="M130" s="3"/>
      <c r="N130" s="8"/>
      <c r="P130" s="3"/>
      <c r="Q130" s="3"/>
      <c r="R130" s="8"/>
      <c r="S130" s="3"/>
      <c r="T130" s="3"/>
      <c r="U130" s="3"/>
      <c r="V130" s="8"/>
      <c r="W130" s="3"/>
      <c r="X130" s="3"/>
      <c r="Y130" s="3"/>
      <c r="Z130" s="8"/>
    </row>
    <row r="131" spans="1:26" s="23" customFormat="1" collapsed="1" x14ac:dyDescent="0.25">
      <c r="A131" s="10"/>
      <c r="B131" s="28" t="s">
        <v>8</v>
      </c>
      <c r="C131" s="10"/>
      <c r="D131" s="4">
        <f>SUM(OSRRefD16x_0)</f>
        <v>244289.98</v>
      </c>
      <c r="E131" s="4"/>
      <c r="F131" s="13">
        <f t="shared" ref="F131:F190" si="13">IF(D$12=0,0,D131/D$12)</f>
        <v>0.68012125865067341</v>
      </c>
      <c r="G131" s="4"/>
      <c r="H131" s="4">
        <f>SUM(OSRRefH16x_0)</f>
        <v>665032.29676000006</v>
      </c>
      <c r="I131" s="4"/>
      <c r="J131" s="13">
        <f t="shared" ref="J131:J190" si="14">IF(H$12=0,0,H131/H$12)</f>
        <v>0.53171631532331498</v>
      </c>
      <c r="K131" s="4"/>
      <c r="L131" s="4">
        <f t="shared" ref="L131:L190" si="15">+D131-H131</f>
        <v>-420742.31676000007</v>
      </c>
      <c r="M131" s="4"/>
      <c r="N131" s="13">
        <f t="shared" ref="N131:N190" si="16">IF(H131=0,0,L131/H131)</f>
        <v>-0.6326644868374558</v>
      </c>
      <c r="O131" s="10"/>
      <c r="P131" s="4">
        <f>SUM(OSRRefP16x_0)</f>
        <v>7368938.1399999997</v>
      </c>
      <c r="Q131" s="4"/>
      <c r="R131" s="13">
        <f t="shared" ref="R131:R190" si="17">IF(P$12=0,0,P131/P$12)</f>
        <v>0.64277630691779719</v>
      </c>
      <c r="S131" s="4"/>
      <c r="T131" s="4">
        <f>SUM(OSRRefT16x_0)</f>
        <v>8428806.9143000003</v>
      </c>
      <c r="U131" s="4"/>
      <c r="V131" s="13">
        <f t="shared" ref="V131:V190" si="18">IF(T$12=0,0,T131/T$12)</f>
        <v>0.59936182077216649</v>
      </c>
      <c r="W131" s="4"/>
      <c r="X131" s="4">
        <f t="shared" ref="X131:X190" si="19">+P131-T131</f>
        <v>-1059868.7743000006</v>
      </c>
      <c r="Y131" s="4"/>
      <c r="Z131" s="13">
        <f t="shared" ref="Z131:Z190" si="20">IF(T131=0,0,X131/T131)</f>
        <v>-0.12574362956421112</v>
      </c>
    </row>
    <row r="132" spans="1:26" s="24" customFormat="1" hidden="1" outlineLevel="1" x14ac:dyDescent="0.25">
      <c r="A132" s="44"/>
      <c r="B132" s="11" t="str">
        <f>CONCATENATE("          ", "5000", " - ", "PURCHASES @ COST")</f>
        <v xml:space="preserve">          5000 - PURCHASES @ COST</v>
      </c>
      <c r="C132" s="11"/>
      <c r="D132" s="2"/>
      <c r="E132" s="2"/>
      <c r="F132" s="19">
        <f t="shared" si="13"/>
        <v>0</v>
      </c>
      <c r="G132" s="2"/>
      <c r="H132" s="2">
        <v>665032.29676000006</v>
      </c>
      <c r="I132" s="2"/>
      <c r="J132" s="19">
        <f t="shared" si="14"/>
        <v>0.53171631532331498</v>
      </c>
      <c r="K132" s="2"/>
      <c r="L132" s="2">
        <f t="shared" si="15"/>
        <v>-665032.29676000006</v>
      </c>
      <c r="M132" s="2"/>
      <c r="N132" s="19">
        <f t="shared" si="16"/>
        <v>-1</v>
      </c>
      <c r="O132" s="11"/>
      <c r="P132" s="2"/>
      <c r="Q132" s="2"/>
      <c r="R132" s="19">
        <f t="shared" si="17"/>
        <v>0</v>
      </c>
      <c r="S132" s="2"/>
      <c r="T132" s="2">
        <v>8428806.9143000003</v>
      </c>
      <c r="U132" s="2"/>
      <c r="V132" s="19">
        <f t="shared" si="18"/>
        <v>0.59936182077216649</v>
      </c>
      <c r="W132" s="2"/>
      <c r="X132" s="2">
        <f t="shared" si="19"/>
        <v>-8428806.9143000003</v>
      </c>
      <c r="Y132" s="2"/>
      <c r="Z132" s="19">
        <f t="shared" si="20"/>
        <v>-1</v>
      </c>
    </row>
    <row r="133" spans="1:26" s="24" customFormat="1" hidden="1" outlineLevel="1" x14ac:dyDescent="0.25">
      <c r="A133" s="44"/>
      <c r="B133" s="11" t="str">
        <f>CONCATENATE("          ", "5001", " - ", "PURCHASES @ COST-NEW TEXT")</f>
        <v xml:space="preserve">          5001 - PURCHASES @ COST-NEW TEXT</v>
      </c>
      <c r="C133" s="11"/>
      <c r="D133" s="2">
        <v>71528.210000000006</v>
      </c>
      <c r="E133" s="2"/>
      <c r="F133" s="19">
        <f t="shared" si="13"/>
        <v>0.19913979367565418</v>
      </c>
      <c r="G133" s="2"/>
      <c r="H133" s="2"/>
      <c r="I133" s="2"/>
      <c r="J133" s="19">
        <f t="shared" si="14"/>
        <v>0</v>
      </c>
      <c r="K133" s="2"/>
      <c r="L133" s="2">
        <f t="shared" si="15"/>
        <v>71528.210000000006</v>
      </c>
      <c r="M133" s="2"/>
      <c r="N133" s="19">
        <f t="shared" si="16"/>
        <v>0</v>
      </c>
      <c r="O133" s="11"/>
      <c r="P133" s="2">
        <v>1641280.46</v>
      </c>
      <c r="Q133" s="2"/>
      <c r="R133" s="19">
        <f t="shared" si="17"/>
        <v>0.14316529364909872</v>
      </c>
      <c r="S133" s="2"/>
      <c r="T133" s="2"/>
      <c r="U133" s="2"/>
      <c r="V133" s="19">
        <f t="shared" si="18"/>
        <v>0</v>
      </c>
      <c r="W133" s="2"/>
      <c r="X133" s="2">
        <f t="shared" si="19"/>
        <v>1641280.46</v>
      </c>
      <c r="Y133" s="2"/>
      <c r="Z133" s="19">
        <f t="shared" si="20"/>
        <v>0</v>
      </c>
    </row>
    <row r="134" spans="1:26" s="24" customFormat="1" hidden="1" outlineLevel="1" x14ac:dyDescent="0.25">
      <c r="A134" s="44"/>
      <c r="B134" s="11" t="str">
        <f>CONCATENATE("          ", "5002", " - ", "PURCHASES @ COST-USED TEXT")</f>
        <v xml:space="preserve">          5002 - PURCHASES @ COST-USED TEXT</v>
      </c>
      <c r="C134" s="11"/>
      <c r="D134" s="2">
        <v>14738.6</v>
      </c>
      <c r="E134" s="2"/>
      <c r="F134" s="19">
        <f t="shared" si="13"/>
        <v>4.1033345627801907E-2</v>
      </c>
      <c r="G134" s="2"/>
      <c r="H134" s="2"/>
      <c r="I134" s="2"/>
      <c r="J134" s="19">
        <f t="shared" si="14"/>
        <v>0</v>
      </c>
      <c r="K134" s="2"/>
      <c r="L134" s="2">
        <f t="shared" si="15"/>
        <v>14738.6</v>
      </c>
      <c r="M134" s="2"/>
      <c r="N134" s="19">
        <f t="shared" si="16"/>
        <v>0</v>
      </c>
      <c r="O134" s="11"/>
      <c r="P134" s="2">
        <v>610321.38</v>
      </c>
      <c r="Q134" s="2"/>
      <c r="R134" s="19">
        <f t="shared" si="17"/>
        <v>5.3236994966736624E-2</v>
      </c>
      <c r="S134" s="2"/>
      <c r="T134" s="2"/>
      <c r="U134" s="2"/>
      <c r="V134" s="19">
        <f t="shared" si="18"/>
        <v>0</v>
      </c>
      <c r="W134" s="2"/>
      <c r="X134" s="2">
        <f t="shared" si="19"/>
        <v>610321.38</v>
      </c>
      <c r="Y134" s="2"/>
      <c r="Z134" s="19">
        <f t="shared" si="20"/>
        <v>0</v>
      </c>
    </row>
    <row r="135" spans="1:26" s="24" customFormat="1" hidden="1" outlineLevel="1" x14ac:dyDescent="0.25">
      <c r="A135" s="44"/>
      <c r="B135" s="11" t="str">
        <f>CONCATENATE("          ", "5003", " - ", "PURCHASES @ COST-RENTAL TEXT")</f>
        <v xml:space="preserve">          5003 - PURCHASES @ COST-RENTAL TEXT</v>
      </c>
      <c r="C135" s="11"/>
      <c r="D135" s="2"/>
      <c r="E135" s="2"/>
      <c r="F135" s="19">
        <f t="shared" si="13"/>
        <v>0</v>
      </c>
      <c r="G135" s="2"/>
      <c r="H135" s="2"/>
      <c r="I135" s="2"/>
      <c r="J135" s="19">
        <f t="shared" si="14"/>
        <v>0</v>
      </c>
      <c r="K135" s="2"/>
      <c r="L135" s="2">
        <f t="shared" si="15"/>
        <v>0</v>
      </c>
      <c r="M135" s="2"/>
      <c r="N135" s="19">
        <f t="shared" si="16"/>
        <v>0</v>
      </c>
      <c r="O135" s="11"/>
      <c r="P135" s="2">
        <v>-78.400000000000006</v>
      </c>
      <c r="Q135" s="2"/>
      <c r="R135" s="19">
        <f t="shared" si="17"/>
        <v>-6.8386599948246143E-6</v>
      </c>
      <c r="S135" s="2"/>
      <c r="T135" s="2"/>
      <c r="U135" s="2"/>
      <c r="V135" s="19">
        <f t="shared" si="18"/>
        <v>0</v>
      </c>
      <c r="W135" s="2"/>
      <c r="X135" s="2">
        <f t="shared" si="19"/>
        <v>-78.400000000000006</v>
      </c>
      <c r="Y135" s="2"/>
      <c r="Z135" s="19">
        <f t="shared" si="20"/>
        <v>0</v>
      </c>
    </row>
    <row r="136" spans="1:26" s="24" customFormat="1" hidden="1" outlineLevel="1" x14ac:dyDescent="0.25">
      <c r="A136" s="44"/>
      <c r="B136" s="11" t="str">
        <f>CONCATENATE("          ", "5004", " - ", "PURCHASES @ COST-DIGITAL TEXT")</f>
        <v xml:space="preserve">          5004 - PURCHASES @ COST-DIGITAL TEXT</v>
      </c>
      <c r="C136" s="11"/>
      <c r="D136" s="2">
        <v>-46518.259999999995</v>
      </c>
      <c r="E136" s="2"/>
      <c r="F136" s="19">
        <f t="shared" si="13"/>
        <v>-0.12951025474495217</v>
      </c>
      <c r="G136" s="2"/>
      <c r="H136" s="2"/>
      <c r="I136" s="2"/>
      <c r="J136" s="19">
        <f t="shared" si="14"/>
        <v>0</v>
      </c>
      <c r="K136" s="2"/>
      <c r="L136" s="2">
        <f t="shared" si="15"/>
        <v>-46518.259999999995</v>
      </c>
      <c r="M136" s="2"/>
      <c r="N136" s="19">
        <f t="shared" si="16"/>
        <v>0</v>
      </c>
      <c r="O136" s="11"/>
      <c r="P136" s="2">
        <v>446269.65</v>
      </c>
      <c r="Q136" s="2"/>
      <c r="R136" s="19">
        <f t="shared" si="17"/>
        <v>3.8927122479073754E-2</v>
      </c>
      <c r="S136" s="2"/>
      <c r="T136" s="2"/>
      <c r="U136" s="2"/>
      <c r="V136" s="19">
        <f t="shared" si="18"/>
        <v>0</v>
      </c>
      <c r="W136" s="2"/>
      <c r="X136" s="2">
        <f t="shared" si="19"/>
        <v>446269.65</v>
      </c>
      <c r="Y136" s="2"/>
      <c r="Z136" s="19">
        <f t="shared" si="20"/>
        <v>0</v>
      </c>
    </row>
    <row r="137" spans="1:26" s="24" customFormat="1" hidden="1" outlineLevel="1" x14ac:dyDescent="0.25">
      <c r="A137" s="44"/>
      <c r="B137" s="11" t="str">
        <f>CONCATENATE("          ", "5011", " - ", "PURCHASES @ COST-NO VALUE TEXT")</f>
        <v xml:space="preserve">          5011 - PURCHASES @ COST-NO VALUE TEXT</v>
      </c>
      <c r="C137" s="11"/>
      <c r="D137" s="2"/>
      <c r="E137" s="2"/>
      <c r="F137" s="19">
        <f t="shared" si="13"/>
        <v>0</v>
      </c>
      <c r="G137" s="2"/>
      <c r="H137" s="2"/>
      <c r="I137" s="2"/>
      <c r="J137" s="19">
        <f t="shared" si="14"/>
        <v>0</v>
      </c>
      <c r="K137" s="2"/>
      <c r="L137" s="2">
        <f t="shared" si="15"/>
        <v>0</v>
      </c>
      <c r="M137" s="2"/>
      <c r="N137" s="19">
        <f t="shared" si="16"/>
        <v>0</v>
      </c>
      <c r="O137" s="11"/>
      <c r="P137" s="2">
        <v>6363</v>
      </c>
      <c r="Q137" s="2"/>
      <c r="R137" s="19">
        <f t="shared" si="17"/>
        <v>5.5503052993710481E-4</v>
      </c>
      <c r="S137" s="2"/>
      <c r="T137" s="2"/>
      <c r="U137" s="2"/>
      <c r="V137" s="19">
        <f t="shared" si="18"/>
        <v>0</v>
      </c>
      <c r="W137" s="2"/>
      <c r="X137" s="2">
        <f t="shared" si="19"/>
        <v>6363</v>
      </c>
      <c r="Y137" s="2"/>
      <c r="Z137" s="19">
        <f t="shared" si="20"/>
        <v>0</v>
      </c>
    </row>
    <row r="138" spans="1:26" s="24" customFormat="1" hidden="1" outlineLevel="1" x14ac:dyDescent="0.25">
      <c r="A138" s="44"/>
      <c r="B138" s="11" t="str">
        <f>CONCATENATE("          ", "5013", " - ", "PURCHASES @ COST-TRADE BOOKS")</f>
        <v xml:space="preserve">          5013 - PURCHASES @ COST-TRADE BOOKS</v>
      </c>
      <c r="C138" s="11"/>
      <c r="D138" s="2"/>
      <c r="E138" s="2"/>
      <c r="F138" s="19">
        <f t="shared" si="13"/>
        <v>0</v>
      </c>
      <c r="G138" s="2"/>
      <c r="H138" s="2"/>
      <c r="I138" s="2"/>
      <c r="J138" s="19">
        <f t="shared" si="14"/>
        <v>0</v>
      </c>
      <c r="K138" s="2"/>
      <c r="L138" s="2">
        <f t="shared" si="15"/>
        <v>0</v>
      </c>
      <c r="M138" s="2"/>
      <c r="N138" s="19">
        <f t="shared" si="16"/>
        <v>0</v>
      </c>
      <c r="O138" s="11"/>
      <c r="P138" s="2">
        <v>3197.85</v>
      </c>
      <c r="Q138" s="2"/>
      <c r="R138" s="19">
        <f t="shared" si="17"/>
        <v>2.7894143959757514E-4</v>
      </c>
      <c r="S138" s="2"/>
      <c r="T138" s="2"/>
      <c r="U138" s="2"/>
      <c r="V138" s="19">
        <f t="shared" si="18"/>
        <v>0</v>
      </c>
      <c r="W138" s="2"/>
      <c r="X138" s="2">
        <f t="shared" si="19"/>
        <v>3197.85</v>
      </c>
      <c r="Y138" s="2"/>
      <c r="Z138" s="19">
        <f t="shared" si="20"/>
        <v>0</v>
      </c>
    </row>
    <row r="139" spans="1:26" s="24" customFormat="1" hidden="1" outlineLevel="1" x14ac:dyDescent="0.25">
      <c r="A139" s="44"/>
      <c r="B139" s="11" t="str">
        <f>CONCATENATE("          ", "5014", " - ", "PURCHASES @ COST-REMAINDERS")</f>
        <v xml:space="preserve">          5014 - PURCHASES @ COST-REMAINDERS</v>
      </c>
      <c r="C139" s="11"/>
      <c r="D139" s="2"/>
      <c r="E139" s="2"/>
      <c r="F139" s="19">
        <f t="shared" si="13"/>
        <v>0</v>
      </c>
      <c r="G139" s="2"/>
      <c r="H139" s="2"/>
      <c r="I139" s="2"/>
      <c r="J139" s="19">
        <f t="shared" si="14"/>
        <v>0</v>
      </c>
      <c r="K139" s="2"/>
      <c r="L139" s="2">
        <f t="shared" si="15"/>
        <v>0</v>
      </c>
      <c r="M139" s="2"/>
      <c r="N139" s="19">
        <f t="shared" si="16"/>
        <v>0</v>
      </c>
      <c r="O139" s="11"/>
      <c r="P139" s="2">
        <v>615.07000000000005</v>
      </c>
      <c r="Q139" s="2"/>
      <c r="R139" s="19">
        <f t="shared" si="17"/>
        <v>5.3651206671132341E-5</v>
      </c>
      <c r="S139" s="2"/>
      <c r="T139" s="2"/>
      <c r="U139" s="2"/>
      <c r="V139" s="19">
        <f t="shared" si="18"/>
        <v>0</v>
      </c>
      <c r="W139" s="2"/>
      <c r="X139" s="2">
        <f t="shared" si="19"/>
        <v>615.07000000000005</v>
      </c>
      <c r="Y139" s="2"/>
      <c r="Z139" s="19">
        <f t="shared" si="20"/>
        <v>0</v>
      </c>
    </row>
    <row r="140" spans="1:26" s="24" customFormat="1" hidden="1" outlineLevel="1" x14ac:dyDescent="0.25">
      <c r="A140" s="44"/>
      <c r="B140" s="11" t="str">
        <f>CONCATENATE("          ", "5017", " - ", "PURCHASES @ COST-DORM/HOUSEWAR")</f>
        <v xml:space="preserve">          5017 - PURCHASES @ COST-DORM/HOUSEWAR</v>
      </c>
      <c r="C140" s="11"/>
      <c r="D140" s="2"/>
      <c r="E140" s="2"/>
      <c r="F140" s="19">
        <f t="shared" si="13"/>
        <v>0</v>
      </c>
      <c r="G140" s="2"/>
      <c r="H140" s="2"/>
      <c r="I140" s="2"/>
      <c r="J140" s="19">
        <f t="shared" si="14"/>
        <v>0</v>
      </c>
      <c r="K140" s="2"/>
      <c r="L140" s="2">
        <f t="shared" si="15"/>
        <v>0</v>
      </c>
      <c r="M140" s="2"/>
      <c r="N140" s="19">
        <f t="shared" si="16"/>
        <v>0</v>
      </c>
      <c r="O140" s="11"/>
      <c r="P140" s="2">
        <v>14.46</v>
      </c>
      <c r="Q140" s="2"/>
      <c r="R140" s="19">
        <f t="shared" si="17"/>
        <v>1.2613140755760703E-6</v>
      </c>
      <c r="S140" s="2"/>
      <c r="T140" s="2"/>
      <c r="U140" s="2"/>
      <c r="V140" s="19">
        <f t="shared" si="18"/>
        <v>0</v>
      </c>
      <c r="W140" s="2"/>
      <c r="X140" s="2">
        <f t="shared" si="19"/>
        <v>14.46</v>
      </c>
      <c r="Y140" s="2"/>
      <c r="Z140" s="19">
        <f t="shared" si="20"/>
        <v>0</v>
      </c>
    </row>
    <row r="141" spans="1:26" s="24" customFormat="1" hidden="1" outlineLevel="1" x14ac:dyDescent="0.25">
      <c r="A141" s="44"/>
      <c r="B141" s="11" t="str">
        <f>CONCATENATE("          ", "5018", " - ", "PURCHASES @ COST-STUDY GUIDES")</f>
        <v xml:space="preserve">          5018 - PURCHASES @ COST-STUDY GUIDES</v>
      </c>
      <c r="C141" s="11"/>
      <c r="D141" s="2"/>
      <c r="E141" s="2"/>
      <c r="F141" s="19">
        <f t="shared" si="13"/>
        <v>0</v>
      </c>
      <c r="G141" s="2"/>
      <c r="H141" s="2"/>
      <c r="I141" s="2"/>
      <c r="J141" s="19">
        <f t="shared" si="14"/>
        <v>0</v>
      </c>
      <c r="K141" s="2"/>
      <c r="L141" s="2">
        <f t="shared" si="15"/>
        <v>0</v>
      </c>
      <c r="M141" s="2"/>
      <c r="N141" s="19">
        <f t="shared" si="16"/>
        <v>0</v>
      </c>
      <c r="O141" s="11"/>
      <c r="P141" s="2">
        <v>-205.14</v>
      </c>
      <c r="Q141" s="2"/>
      <c r="R141" s="19">
        <f t="shared" si="17"/>
        <v>-1.789391213441736E-5</v>
      </c>
      <c r="S141" s="2"/>
      <c r="T141" s="2"/>
      <c r="U141" s="2"/>
      <c r="V141" s="19">
        <f t="shared" si="18"/>
        <v>0</v>
      </c>
      <c r="W141" s="2"/>
      <c r="X141" s="2">
        <f t="shared" si="19"/>
        <v>-205.14</v>
      </c>
      <c r="Y141" s="2"/>
      <c r="Z141" s="19">
        <f t="shared" si="20"/>
        <v>0</v>
      </c>
    </row>
    <row r="142" spans="1:26" s="24" customFormat="1" hidden="1" outlineLevel="1" x14ac:dyDescent="0.25">
      <c r="A142" s="44"/>
      <c r="B142" s="11" t="str">
        <f>CONCATENATE("          ", "5025", " - ", "PURCHASES @ COST-TEST FORMS")</f>
        <v xml:space="preserve">          5025 - PURCHASES @ COST-TEST FORMS</v>
      </c>
      <c r="C142" s="11"/>
      <c r="D142" s="2"/>
      <c r="E142" s="2"/>
      <c r="F142" s="19">
        <f t="shared" si="13"/>
        <v>0</v>
      </c>
      <c r="G142" s="2"/>
      <c r="H142" s="2"/>
      <c r="I142" s="2"/>
      <c r="J142" s="19">
        <f t="shared" si="14"/>
        <v>0</v>
      </c>
      <c r="K142" s="2"/>
      <c r="L142" s="2">
        <f t="shared" si="15"/>
        <v>0</v>
      </c>
      <c r="M142" s="2"/>
      <c r="N142" s="19">
        <f t="shared" si="16"/>
        <v>0</v>
      </c>
      <c r="O142" s="11"/>
      <c r="P142" s="2">
        <v>26400.390000000003</v>
      </c>
      <c r="Q142" s="2"/>
      <c r="R142" s="19">
        <f t="shared" si="17"/>
        <v>2.302848098734283E-3</v>
      </c>
      <c r="S142" s="2"/>
      <c r="T142" s="2"/>
      <c r="U142" s="2"/>
      <c r="V142" s="19">
        <f t="shared" si="18"/>
        <v>0</v>
      </c>
      <c r="W142" s="2"/>
      <c r="X142" s="2">
        <f t="shared" si="19"/>
        <v>26400.390000000003</v>
      </c>
      <c r="Y142" s="2"/>
      <c r="Z142" s="19">
        <f t="shared" si="20"/>
        <v>0</v>
      </c>
    </row>
    <row r="143" spans="1:26" s="24" customFormat="1" hidden="1" outlineLevel="1" x14ac:dyDescent="0.25">
      <c r="A143" s="44"/>
      <c r="B143" s="11" t="str">
        <f>CONCATENATE("          ", "5026", " - ", "PURCHASES @ COST-WRITING INSTR")</f>
        <v xml:space="preserve">          5026 - PURCHASES @ COST-WRITING INSTR</v>
      </c>
      <c r="C143" s="11"/>
      <c r="D143" s="2">
        <v>-7248</v>
      </c>
      <c r="E143" s="2"/>
      <c r="F143" s="19">
        <f t="shared" si="13"/>
        <v>-2.017896469883898E-2</v>
      </c>
      <c r="G143" s="2"/>
      <c r="H143" s="2"/>
      <c r="I143" s="2"/>
      <c r="J143" s="19">
        <f t="shared" si="14"/>
        <v>0</v>
      </c>
      <c r="K143" s="2"/>
      <c r="L143" s="2">
        <f t="shared" si="15"/>
        <v>-7248</v>
      </c>
      <c r="M143" s="2"/>
      <c r="N143" s="19">
        <f t="shared" si="16"/>
        <v>0</v>
      </c>
      <c r="O143" s="11"/>
      <c r="P143" s="2">
        <v>44186.57</v>
      </c>
      <c r="Q143" s="2"/>
      <c r="R143" s="19">
        <f t="shared" si="17"/>
        <v>3.8542975582591507E-3</v>
      </c>
      <c r="S143" s="2"/>
      <c r="T143" s="2"/>
      <c r="U143" s="2"/>
      <c r="V143" s="19">
        <f t="shared" si="18"/>
        <v>0</v>
      </c>
      <c r="W143" s="2"/>
      <c r="X143" s="2">
        <f t="shared" si="19"/>
        <v>44186.57</v>
      </c>
      <c r="Y143" s="2"/>
      <c r="Z143" s="19">
        <f t="shared" si="20"/>
        <v>0</v>
      </c>
    </row>
    <row r="144" spans="1:26" s="24" customFormat="1" hidden="1" outlineLevel="1" x14ac:dyDescent="0.25">
      <c r="A144" s="44"/>
      <c r="B144" s="11" t="str">
        <f>CONCATENATE("          ", "5027", " - ", "PURCHASES @ COST-SCHOOL SUPPLI")</f>
        <v xml:space="preserve">          5027 - PURCHASES @ COST-SCHOOL SUPPLI</v>
      </c>
      <c r="C144" s="11"/>
      <c r="D144" s="2">
        <v>-2393.63</v>
      </c>
      <c r="E144" s="2"/>
      <c r="F144" s="19">
        <f t="shared" si="13"/>
        <v>-6.6640418421746624E-3</v>
      </c>
      <c r="G144" s="2"/>
      <c r="H144" s="2"/>
      <c r="I144" s="2"/>
      <c r="J144" s="19">
        <f t="shared" si="14"/>
        <v>0</v>
      </c>
      <c r="K144" s="2"/>
      <c r="L144" s="2">
        <f t="shared" si="15"/>
        <v>-2393.63</v>
      </c>
      <c r="M144" s="2"/>
      <c r="N144" s="19">
        <f t="shared" si="16"/>
        <v>0</v>
      </c>
      <c r="O144" s="11"/>
      <c r="P144" s="2">
        <v>141214.54</v>
      </c>
      <c r="Q144" s="2"/>
      <c r="R144" s="19">
        <f t="shared" si="17"/>
        <v>1.2317834507468881E-2</v>
      </c>
      <c r="S144" s="2"/>
      <c r="T144" s="2"/>
      <c r="U144" s="2"/>
      <c r="V144" s="19">
        <f t="shared" si="18"/>
        <v>0</v>
      </c>
      <c r="W144" s="2"/>
      <c r="X144" s="2">
        <f t="shared" si="19"/>
        <v>141214.54</v>
      </c>
      <c r="Y144" s="2"/>
      <c r="Z144" s="19">
        <f t="shared" si="20"/>
        <v>0</v>
      </c>
    </row>
    <row r="145" spans="1:26" s="24" customFormat="1" hidden="1" outlineLevel="1" x14ac:dyDescent="0.25">
      <c r="A145" s="44"/>
      <c r="B145" s="11" t="str">
        <f>CONCATENATE("          ", "5028", " - ", "PURCHASES @ COST-ART/TECH")</f>
        <v xml:space="preserve">          5028 - PURCHASES @ COST-ART/TECH</v>
      </c>
      <c r="C145" s="11"/>
      <c r="D145" s="2">
        <v>-60.3</v>
      </c>
      <c r="E145" s="2"/>
      <c r="F145" s="19">
        <f t="shared" si="13"/>
        <v>-1.6787963180739385E-4</v>
      </c>
      <c r="G145" s="2"/>
      <c r="H145" s="2"/>
      <c r="I145" s="2"/>
      <c r="J145" s="19">
        <f t="shared" si="14"/>
        <v>0</v>
      </c>
      <c r="K145" s="2"/>
      <c r="L145" s="2">
        <f t="shared" si="15"/>
        <v>-60.3</v>
      </c>
      <c r="M145" s="2"/>
      <c r="N145" s="19">
        <f t="shared" si="16"/>
        <v>0</v>
      </c>
      <c r="O145" s="11"/>
      <c r="P145" s="2">
        <v>159627.69</v>
      </c>
      <c r="Q145" s="2"/>
      <c r="R145" s="19">
        <f t="shared" si="17"/>
        <v>1.3923973184556952E-2</v>
      </c>
      <c r="S145" s="2"/>
      <c r="T145" s="2"/>
      <c r="U145" s="2"/>
      <c r="V145" s="19">
        <f t="shared" si="18"/>
        <v>0</v>
      </c>
      <c r="W145" s="2"/>
      <c r="X145" s="2">
        <f t="shared" si="19"/>
        <v>159627.69</v>
      </c>
      <c r="Y145" s="2"/>
      <c r="Z145" s="19">
        <f t="shared" si="20"/>
        <v>0</v>
      </c>
    </row>
    <row r="146" spans="1:26" s="24" customFormat="1" hidden="1" outlineLevel="1" x14ac:dyDescent="0.25">
      <c r="A146" s="44"/>
      <c r="B146" s="11" t="str">
        <f>CONCATENATE("          ", "5031", " - ", "PURCHASES @ COST-FOOD")</f>
        <v xml:space="preserve">          5031 - PURCHASES @ COST-FOOD</v>
      </c>
      <c r="C146" s="11"/>
      <c r="D146" s="2"/>
      <c r="E146" s="2"/>
      <c r="F146" s="19">
        <f t="shared" si="13"/>
        <v>0</v>
      </c>
      <c r="G146" s="2"/>
      <c r="H146" s="2"/>
      <c r="I146" s="2"/>
      <c r="J146" s="19">
        <f t="shared" si="14"/>
        <v>0</v>
      </c>
      <c r="K146" s="2"/>
      <c r="L146" s="2">
        <f t="shared" si="15"/>
        <v>0</v>
      </c>
      <c r="M146" s="2"/>
      <c r="N146" s="19">
        <f t="shared" si="16"/>
        <v>0</v>
      </c>
      <c r="O146" s="11"/>
      <c r="P146" s="2">
        <v>33239.879999999997</v>
      </c>
      <c r="Q146" s="2"/>
      <c r="R146" s="19">
        <f t="shared" si="17"/>
        <v>2.8994418059792187E-3</v>
      </c>
      <c r="S146" s="2"/>
      <c r="T146" s="2"/>
      <c r="U146" s="2"/>
      <c r="V146" s="19">
        <f t="shared" si="18"/>
        <v>0</v>
      </c>
      <c r="W146" s="2"/>
      <c r="X146" s="2">
        <f t="shared" si="19"/>
        <v>33239.879999999997</v>
      </c>
      <c r="Y146" s="2"/>
      <c r="Z146" s="19">
        <f t="shared" si="20"/>
        <v>0</v>
      </c>
    </row>
    <row r="147" spans="1:26" s="24" customFormat="1" hidden="1" outlineLevel="1" x14ac:dyDescent="0.25">
      <c r="A147" s="44"/>
      <c r="B147" s="11" t="str">
        <f>CONCATENATE("          ", "5032", " - ", "PURCHASES @ COST-JUICE")</f>
        <v xml:space="preserve">          5032 - PURCHASES @ COST-JUICE</v>
      </c>
      <c r="C147" s="11"/>
      <c r="D147" s="2"/>
      <c r="E147" s="2"/>
      <c r="F147" s="19">
        <f t="shared" si="13"/>
        <v>0</v>
      </c>
      <c r="G147" s="2"/>
      <c r="H147" s="2"/>
      <c r="I147" s="2"/>
      <c r="J147" s="19">
        <f t="shared" si="14"/>
        <v>0</v>
      </c>
      <c r="K147" s="2"/>
      <c r="L147" s="2">
        <f t="shared" si="15"/>
        <v>0</v>
      </c>
      <c r="M147" s="2"/>
      <c r="N147" s="19">
        <f t="shared" si="16"/>
        <v>0</v>
      </c>
      <c r="O147" s="11"/>
      <c r="P147" s="2">
        <v>7802.45</v>
      </c>
      <c r="Q147" s="2"/>
      <c r="R147" s="19">
        <f t="shared" si="17"/>
        <v>6.8059059536504211E-4</v>
      </c>
      <c r="S147" s="2"/>
      <c r="T147" s="2"/>
      <c r="U147" s="2"/>
      <c r="V147" s="19">
        <f t="shared" si="18"/>
        <v>0</v>
      </c>
      <c r="W147" s="2"/>
      <c r="X147" s="2">
        <f t="shared" si="19"/>
        <v>7802.45</v>
      </c>
      <c r="Y147" s="2"/>
      <c r="Z147" s="19">
        <f t="shared" si="20"/>
        <v>0</v>
      </c>
    </row>
    <row r="148" spans="1:26" s="24" customFormat="1" hidden="1" outlineLevel="1" x14ac:dyDescent="0.25">
      <c r="A148" s="44"/>
      <c r="B148" s="11" t="str">
        <f>CONCATENATE("          ", "5033", " - ", "PURCHASES @ COST-CANDY")</f>
        <v xml:space="preserve">          5033 - PURCHASES @ COST-CANDY</v>
      </c>
      <c r="C148" s="11"/>
      <c r="D148" s="2"/>
      <c r="E148" s="2"/>
      <c r="F148" s="19">
        <f t="shared" si="13"/>
        <v>0</v>
      </c>
      <c r="G148" s="2"/>
      <c r="H148" s="2"/>
      <c r="I148" s="2"/>
      <c r="J148" s="19">
        <f t="shared" si="14"/>
        <v>0</v>
      </c>
      <c r="K148" s="2"/>
      <c r="L148" s="2">
        <f t="shared" si="15"/>
        <v>0</v>
      </c>
      <c r="M148" s="2"/>
      <c r="N148" s="19">
        <f t="shared" si="16"/>
        <v>0</v>
      </c>
      <c r="O148" s="11"/>
      <c r="P148" s="2">
        <v>9998.41</v>
      </c>
      <c r="Q148" s="2"/>
      <c r="R148" s="19">
        <f t="shared" si="17"/>
        <v>8.7213936835273424E-4</v>
      </c>
      <c r="S148" s="2"/>
      <c r="T148" s="2"/>
      <c r="U148" s="2"/>
      <c r="V148" s="19">
        <f t="shared" si="18"/>
        <v>0</v>
      </c>
      <c r="W148" s="2"/>
      <c r="X148" s="2">
        <f t="shared" si="19"/>
        <v>9998.41</v>
      </c>
      <c r="Y148" s="2"/>
      <c r="Z148" s="19">
        <f t="shared" si="20"/>
        <v>0</v>
      </c>
    </row>
    <row r="149" spans="1:26" s="24" customFormat="1" hidden="1" outlineLevel="1" x14ac:dyDescent="0.25">
      <c r="A149" s="44"/>
      <c r="B149" s="11" t="str">
        <f>CONCATENATE("          ", "5034", " - ", "PURCHASES @ COST-SODA")</f>
        <v xml:space="preserve">          5034 - PURCHASES @ COST-SODA</v>
      </c>
      <c r="C149" s="11"/>
      <c r="D149" s="2"/>
      <c r="E149" s="2"/>
      <c r="F149" s="19">
        <f t="shared" si="13"/>
        <v>0</v>
      </c>
      <c r="G149" s="2"/>
      <c r="H149" s="2"/>
      <c r="I149" s="2"/>
      <c r="J149" s="19">
        <f t="shared" si="14"/>
        <v>0</v>
      </c>
      <c r="K149" s="2"/>
      <c r="L149" s="2">
        <f t="shared" si="15"/>
        <v>0</v>
      </c>
      <c r="M149" s="2"/>
      <c r="N149" s="19">
        <f t="shared" si="16"/>
        <v>0</v>
      </c>
      <c r="O149" s="11"/>
      <c r="P149" s="2">
        <v>4033.88</v>
      </c>
      <c r="Q149" s="2"/>
      <c r="R149" s="19">
        <f t="shared" si="17"/>
        <v>3.5186650229493768E-4</v>
      </c>
      <c r="S149" s="2"/>
      <c r="T149" s="2"/>
      <c r="U149" s="2"/>
      <c r="V149" s="19">
        <f t="shared" si="18"/>
        <v>0</v>
      </c>
      <c r="W149" s="2"/>
      <c r="X149" s="2">
        <f t="shared" si="19"/>
        <v>4033.88</v>
      </c>
      <c r="Y149" s="2"/>
      <c r="Z149" s="19">
        <f t="shared" si="20"/>
        <v>0</v>
      </c>
    </row>
    <row r="150" spans="1:26" s="24" customFormat="1" hidden="1" outlineLevel="1" x14ac:dyDescent="0.25">
      <c r="A150" s="44"/>
      <c r="B150" s="11" t="str">
        <f>CONCATENATE("          ", "5035", " - ", "PURCHASES @ COST-HEALTH &amp; BEAU")</f>
        <v xml:space="preserve">          5035 - PURCHASES @ COST-HEALTH &amp; BEAU</v>
      </c>
      <c r="C150" s="11"/>
      <c r="D150" s="2"/>
      <c r="E150" s="2"/>
      <c r="F150" s="19">
        <f t="shared" si="13"/>
        <v>0</v>
      </c>
      <c r="G150" s="2"/>
      <c r="H150" s="2"/>
      <c r="I150" s="2"/>
      <c r="J150" s="19">
        <f t="shared" si="14"/>
        <v>0</v>
      </c>
      <c r="K150" s="2"/>
      <c r="L150" s="2">
        <f t="shared" si="15"/>
        <v>0</v>
      </c>
      <c r="M150" s="2"/>
      <c r="N150" s="19">
        <f t="shared" si="16"/>
        <v>0</v>
      </c>
      <c r="O150" s="11"/>
      <c r="P150" s="2">
        <v>1117.6500000000001</v>
      </c>
      <c r="Q150" s="2"/>
      <c r="R150" s="19">
        <f t="shared" si="17"/>
        <v>9.7490157438976153E-5</v>
      </c>
      <c r="S150" s="2"/>
      <c r="T150" s="2"/>
      <c r="U150" s="2"/>
      <c r="V150" s="19">
        <f t="shared" si="18"/>
        <v>0</v>
      </c>
      <c r="W150" s="2"/>
      <c r="X150" s="2">
        <f t="shared" si="19"/>
        <v>1117.6500000000001</v>
      </c>
      <c r="Y150" s="2"/>
      <c r="Z150" s="19">
        <f t="shared" si="20"/>
        <v>0</v>
      </c>
    </row>
    <row r="151" spans="1:26" s="24" customFormat="1" hidden="1" outlineLevel="1" x14ac:dyDescent="0.25">
      <c r="A151" s="44"/>
      <c r="B151" s="11" t="str">
        <f>CONCATENATE("          ", "5037", " - ", "PURCHASES @ COST-WATER")</f>
        <v xml:space="preserve">          5037 - PURCHASES @ COST-WATER</v>
      </c>
      <c r="C151" s="11"/>
      <c r="D151" s="2"/>
      <c r="E151" s="2"/>
      <c r="F151" s="19">
        <f t="shared" si="13"/>
        <v>0</v>
      </c>
      <c r="G151" s="2"/>
      <c r="H151" s="2"/>
      <c r="I151" s="2"/>
      <c r="J151" s="19">
        <f t="shared" si="14"/>
        <v>0</v>
      </c>
      <c r="K151" s="2"/>
      <c r="L151" s="2">
        <f t="shared" si="15"/>
        <v>0</v>
      </c>
      <c r="M151" s="2"/>
      <c r="N151" s="19">
        <f t="shared" si="16"/>
        <v>0</v>
      </c>
      <c r="O151" s="11"/>
      <c r="P151" s="2">
        <v>5693.57</v>
      </c>
      <c r="Q151" s="2"/>
      <c r="R151" s="19">
        <f t="shared" si="17"/>
        <v>4.9663761972874453E-4</v>
      </c>
      <c r="S151" s="2"/>
      <c r="T151" s="2"/>
      <c r="U151" s="2"/>
      <c r="V151" s="19">
        <f t="shared" si="18"/>
        <v>0</v>
      </c>
      <c r="W151" s="2"/>
      <c r="X151" s="2">
        <f t="shared" si="19"/>
        <v>5693.57</v>
      </c>
      <c r="Y151" s="2"/>
      <c r="Z151" s="19">
        <f t="shared" si="20"/>
        <v>0</v>
      </c>
    </row>
    <row r="152" spans="1:26" s="24" customFormat="1" hidden="1" outlineLevel="1" x14ac:dyDescent="0.25">
      <c r="A152" s="44"/>
      <c r="B152" s="11" t="str">
        <f>CONCATENATE("          ", "5040", " - ", "PURCHASES @ COST-LOGO CLOTHING")</f>
        <v xml:space="preserve">          5040 - PURCHASES @ COST-LOGO CLOTHING</v>
      </c>
      <c r="C152" s="11"/>
      <c r="D152" s="2">
        <v>1557.89</v>
      </c>
      <c r="E152" s="2"/>
      <c r="F152" s="19">
        <f t="shared" si="13"/>
        <v>4.3372802586471113E-3</v>
      </c>
      <c r="G152" s="2"/>
      <c r="H152" s="2"/>
      <c r="I152" s="2"/>
      <c r="J152" s="19">
        <f t="shared" si="14"/>
        <v>0</v>
      </c>
      <c r="K152" s="2"/>
      <c r="L152" s="2">
        <f t="shared" si="15"/>
        <v>1557.89</v>
      </c>
      <c r="M152" s="2"/>
      <c r="N152" s="19">
        <f t="shared" si="16"/>
        <v>0</v>
      </c>
      <c r="O152" s="11"/>
      <c r="P152" s="2">
        <v>976469.33000000007</v>
      </c>
      <c r="Q152" s="2"/>
      <c r="R152" s="19">
        <f t="shared" si="17"/>
        <v>8.5175277337298405E-2</v>
      </c>
      <c r="S152" s="2"/>
      <c r="T152" s="2"/>
      <c r="U152" s="2"/>
      <c r="V152" s="19">
        <f t="shared" si="18"/>
        <v>0</v>
      </c>
      <c r="W152" s="2"/>
      <c r="X152" s="2">
        <f t="shared" si="19"/>
        <v>976469.33000000007</v>
      </c>
      <c r="Y152" s="2"/>
      <c r="Z152" s="19">
        <f t="shared" si="20"/>
        <v>0</v>
      </c>
    </row>
    <row r="153" spans="1:26" s="24" customFormat="1" hidden="1" outlineLevel="1" x14ac:dyDescent="0.25">
      <c r="A153" s="44"/>
      <c r="B153" s="11" t="str">
        <f>CONCATENATE("          ", "5041", " - ", "PURCHASES @ COST-LOGO GIFTS")</f>
        <v xml:space="preserve">          5041 - PURCHASES @ COST-LOGO GIFTS</v>
      </c>
      <c r="C153" s="11"/>
      <c r="D153" s="2">
        <v>4290.8100000000004</v>
      </c>
      <c r="E153" s="2"/>
      <c r="F153" s="19">
        <f t="shared" si="13"/>
        <v>1.1945930397271702E-2</v>
      </c>
      <c r="G153" s="2"/>
      <c r="H153" s="2"/>
      <c r="I153" s="2"/>
      <c r="J153" s="19">
        <f t="shared" si="14"/>
        <v>0</v>
      </c>
      <c r="K153" s="2"/>
      <c r="L153" s="2">
        <f t="shared" si="15"/>
        <v>4290.8100000000004</v>
      </c>
      <c r="M153" s="2"/>
      <c r="N153" s="19">
        <f t="shared" si="16"/>
        <v>0</v>
      </c>
      <c r="O153" s="11"/>
      <c r="P153" s="2">
        <v>149750.84</v>
      </c>
      <c r="Q153" s="2"/>
      <c r="R153" s="19">
        <f t="shared" si="17"/>
        <v>1.3062437228308438E-2</v>
      </c>
      <c r="S153" s="2"/>
      <c r="T153" s="2"/>
      <c r="U153" s="2"/>
      <c r="V153" s="19">
        <f t="shared" si="18"/>
        <v>0</v>
      </c>
      <c r="W153" s="2"/>
      <c r="X153" s="2">
        <f t="shared" si="19"/>
        <v>149750.84</v>
      </c>
      <c r="Y153" s="2"/>
      <c r="Z153" s="19">
        <f t="shared" si="20"/>
        <v>0</v>
      </c>
    </row>
    <row r="154" spans="1:26" s="24" customFormat="1" hidden="1" outlineLevel="1" x14ac:dyDescent="0.25">
      <c r="A154" s="44"/>
      <c r="B154" s="11" t="str">
        <f>CONCATENATE("          ", "5042", " - ", "PURCHASES @ COST-EVERYDAY GIFT")</f>
        <v xml:space="preserve">          5042 - PURCHASES @ COST-EVERYDAY GIFT</v>
      </c>
      <c r="C154" s="11"/>
      <c r="D154" s="2">
        <v>10730.16</v>
      </c>
      <c r="E154" s="2"/>
      <c r="F154" s="19">
        <f t="shared" si="13"/>
        <v>2.9873554063589141E-2</v>
      </c>
      <c r="G154" s="2"/>
      <c r="H154" s="2"/>
      <c r="I154" s="2"/>
      <c r="J154" s="19">
        <f t="shared" si="14"/>
        <v>0</v>
      </c>
      <c r="K154" s="2"/>
      <c r="L154" s="2">
        <f t="shared" si="15"/>
        <v>10730.16</v>
      </c>
      <c r="M154" s="2"/>
      <c r="N154" s="19">
        <f t="shared" si="16"/>
        <v>0</v>
      </c>
      <c r="O154" s="11"/>
      <c r="P154" s="2">
        <v>126615.2</v>
      </c>
      <c r="Q154" s="2"/>
      <c r="R154" s="19">
        <f t="shared" si="17"/>
        <v>1.1044366109396906E-2</v>
      </c>
      <c r="S154" s="2"/>
      <c r="T154" s="2"/>
      <c r="U154" s="2"/>
      <c r="V154" s="19">
        <f t="shared" si="18"/>
        <v>0</v>
      </c>
      <c r="W154" s="2"/>
      <c r="X154" s="2">
        <f t="shared" si="19"/>
        <v>126615.2</v>
      </c>
      <c r="Y154" s="2"/>
      <c r="Z154" s="19">
        <f t="shared" si="20"/>
        <v>0</v>
      </c>
    </row>
    <row r="155" spans="1:26" s="24" customFormat="1" hidden="1" outlineLevel="1" x14ac:dyDescent="0.25">
      <c r="A155" s="44"/>
      <c r="B155" s="11" t="str">
        <f>CONCATENATE("          ", "5043", " - ", "PURCHASES @ COST-CARDS")</f>
        <v xml:space="preserve">          5043 - PURCHASES @ COST-CARDS</v>
      </c>
      <c r="C155" s="11"/>
      <c r="D155" s="2"/>
      <c r="E155" s="2"/>
      <c r="F155" s="19">
        <f t="shared" si="13"/>
        <v>0</v>
      </c>
      <c r="G155" s="2"/>
      <c r="H155" s="2"/>
      <c r="I155" s="2"/>
      <c r="J155" s="19">
        <f t="shared" si="14"/>
        <v>0</v>
      </c>
      <c r="K155" s="2"/>
      <c r="L155" s="2">
        <f t="shared" si="15"/>
        <v>0</v>
      </c>
      <c r="M155" s="2"/>
      <c r="N155" s="19">
        <f t="shared" si="16"/>
        <v>0</v>
      </c>
      <c r="O155" s="11"/>
      <c r="P155" s="2">
        <v>30914.659999999996</v>
      </c>
      <c r="Q155" s="2"/>
      <c r="R155" s="19">
        <f t="shared" si="17"/>
        <v>2.6966179667806717E-3</v>
      </c>
      <c r="S155" s="2"/>
      <c r="T155" s="2"/>
      <c r="U155" s="2"/>
      <c r="V155" s="19">
        <f t="shared" si="18"/>
        <v>0</v>
      </c>
      <c r="W155" s="2"/>
      <c r="X155" s="2">
        <f t="shared" si="19"/>
        <v>30914.659999999996</v>
      </c>
      <c r="Y155" s="2"/>
      <c r="Z155" s="19">
        <f t="shared" si="20"/>
        <v>0</v>
      </c>
    </row>
    <row r="156" spans="1:26" s="24" customFormat="1" hidden="1" outlineLevel="1" x14ac:dyDescent="0.25">
      <c r="A156" s="44"/>
      <c r="B156" s="11" t="str">
        <f>CONCATENATE("          ", "5044", " - ", "PURCHASES @ COST-ACCESSORIES")</f>
        <v xml:space="preserve">          5044 - PURCHASES @ COST-ACCESSORIES</v>
      </c>
      <c r="C156" s="11"/>
      <c r="D156" s="2">
        <v>1395</v>
      </c>
      <c r="E156" s="2"/>
      <c r="F156" s="19">
        <f t="shared" si="13"/>
        <v>3.8837825268874695E-3</v>
      </c>
      <c r="G156" s="2"/>
      <c r="H156" s="2"/>
      <c r="I156" s="2"/>
      <c r="J156" s="19">
        <f t="shared" si="14"/>
        <v>0</v>
      </c>
      <c r="K156" s="2"/>
      <c r="L156" s="2">
        <f t="shared" si="15"/>
        <v>1395</v>
      </c>
      <c r="M156" s="2"/>
      <c r="N156" s="19">
        <f t="shared" si="16"/>
        <v>0</v>
      </c>
      <c r="O156" s="11"/>
      <c r="P156" s="2">
        <v>37869.03</v>
      </c>
      <c r="Q156" s="2"/>
      <c r="R156" s="19">
        <f t="shared" si="17"/>
        <v>3.3032324043853717E-3</v>
      </c>
      <c r="S156" s="2"/>
      <c r="T156" s="2"/>
      <c r="U156" s="2"/>
      <c r="V156" s="19">
        <f t="shared" si="18"/>
        <v>0</v>
      </c>
      <c r="W156" s="2"/>
      <c r="X156" s="2">
        <f t="shared" si="19"/>
        <v>37869.03</v>
      </c>
      <c r="Y156" s="2"/>
      <c r="Z156" s="19">
        <f t="shared" si="20"/>
        <v>0</v>
      </c>
    </row>
    <row r="157" spans="1:26" s="24" customFormat="1" hidden="1" outlineLevel="1" x14ac:dyDescent="0.25">
      <c r="A157" s="44"/>
      <c r="B157" s="11" t="str">
        <f>CONCATENATE("          ", "5045", " - ", "PURCHASES @ COST-SPECIAL ORDER")</f>
        <v xml:space="preserve">          5045 - PURCHASES @ COST-SPECIAL ORDER</v>
      </c>
      <c r="C157" s="11"/>
      <c r="D157" s="2">
        <v>16919.25</v>
      </c>
      <c r="E157" s="2"/>
      <c r="F157" s="19">
        <f t="shared" si="13"/>
        <v>4.7104435496803453E-2</v>
      </c>
      <c r="G157" s="2"/>
      <c r="H157" s="2"/>
      <c r="I157" s="2"/>
      <c r="J157" s="19">
        <f t="shared" si="14"/>
        <v>0</v>
      </c>
      <c r="K157" s="2"/>
      <c r="L157" s="2">
        <f t="shared" si="15"/>
        <v>16919.25</v>
      </c>
      <c r="M157" s="2"/>
      <c r="N157" s="19">
        <f t="shared" si="16"/>
        <v>0</v>
      </c>
      <c r="O157" s="11"/>
      <c r="P157" s="2">
        <v>78842.399999999994</v>
      </c>
      <c r="Q157" s="2"/>
      <c r="R157" s="19">
        <f t="shared" si="17"/>
        <v>6.8772495762239802E-3</v>
      </c>
      <c r="S157" s="2"/>
      <c r="T157" s="2"/>
      <c r="U157" s="2"/>
      <c r="V157" s="19">
        <f t="shared" si="18"/>
        <v>0</v>
      </c>
      <c r="W157" s="2"/>
      <c r="X157" s="2">
        <f t="shared" si="19"/>
        <v>78842.399999999994</v>
      </c>
      <c r="Y157" s="2"/>
      <c r="Z157" s="19">
        <f t="shared" si="20"/>
        <v>0</v>
      </c>
    </row>
    <row r="158" spans="1:26" s="24" customFormat="1" hidden="1" outlineLevel="1" x14ac:dyDescent="0.25">
      <c r="A158" s="44"/>
      <c r="B158" s="11" t="str">
        <f>CONCATENATE("          ", "5081", " - ", "PURCHASES @ COST-ELECTRONICS")</f>
        <v xml:space="preserve">          5081 - PURCHASES @ COST-ELECTRONICS</v>
      </c>
      <c r="C158" s="11"/>
      <c r="D158" s="2">
        <v>1637.44</v>
      </c>
      <c r="E158" s="2"/>
      <c r="F158" s="19">
        <f t="shared" si="13"/>
        <v>4.5587533052520559E-3</v>
      </c>
      <c r="G158" s="2"/>
      <c r="H158" s="2"/>
      <c r="I158" s="2"/>
      <c r="J158" s="19">
        <f t="shared" si="14"/>
        <v>0</v>
      </c>
      <c r="K158" s="2"/>
      <c r="L158" s="2">
        <f t="shared" si="15"/>
        <v>1637.44</v>
      </c>
      <c r="M158" s="2"/>
      <c r="N158" s="19">
        <f t="shared" si="16"/>
        <v>0</v>
      </c>
      <c r="O158" s="11"/>
      <c r="P158" s="2">
        <v>260469.61000000002</v>
      </c>
      <c r="Q158" s="2"/>
      <c r="R158" s="19">
        <f t="shared" si="17"/>
        <v>2.2720192624675627E-2</v>
      </c>
      <c r="S158" s="2"/>
      <c r="T158" s="2"/>
      <c r="U158" s="2"/>
      <c r="V158" s="19">
        <f t="shared" si="18"/>
        <v>0</v>
      </c>
      <c r="W158" s="2"/>
      <c r="X158" s="2">
        <f t="shared" si="19"/>
        <v>260469.61000000002</v>
      </c>
      <c r="Y158" s="2"/>
      <c r="Z158" s="19">
        <f t="shared" si="20"/>
        <v>0</v>
      </c>
    </row>
    <row r="159" spans="1:26" s="24" customFormat="1" hidden="1" outlineLevel="1" x14ac:dyDescent="0.25">
      <c r="A159" s="44"/>
      <c r="B159" s="11" t="str">
        <f>CONCATENATE("          ", "5082", " - ", "PURCHASES @ COST-COMPUTER HARD")</f>
        <v xml:space="preserve">          5082 - PURCHASES @ COST-COMPUTER HARD</v>
      </c>
      <c r="C159" s="11"/>
      <c r="D159" s="2">
        <v>140818.03</v>
      </c>
      <c r="E159" s="2"/>
      <c r="F159" s="19">
        <f t="shared" si="13"/>
        <v>0.39204774507864909</v>
      </c>
      <c r="G159" s="2"/>
      <c r="H159" s="2"/>
      <c r="I159" s="2"/>
      <c r="J159" s="19">
        <f t="shared" si="14"/>
        <v>0</v>
      </c>
      <c r="K159" s="2"/>
      <c r="L159" s="2">
        <f t="shared" si="15"/>
        <v>140818.03</v>
      </c>
      <c r="M159" s="2"/>
      <c r="N159" s="19">
        <f t="shared" si="16"/>
        <v>0</v>
      </c>
      <c r="O159" s="11"/>
      <c r="P159" s="2">
        <v>1641649.9</v>
      </c>
      <c r="Q159" s="2"/>
      <c r="R159" s="19">
        <f t="shared" si="17"/>
        <v>0.14319751908976819</v>
      </c>
      <c r="S159" s="2"/>
      <c r="T159" s="2"/>
      <c r="U159" s="2"/>
      <c r="V159" s="19">
        <f t="shared" si="18"/>
        <v>0</v>
      </c>
      <c r="W159" s="2"/>
      <c r="X159" s="2">
        <f t="shared" si="19"/>
        <v>1641649.9</v>
      </c>
      <c r="Y159" s="2"/>
      <c r="Z159" s="19">
        <f t="shared" si="20"/>
        <v>0</v>
      </c>
    </row>
    <row r="160" spans="1:26" s="24" customFormat="1" hidden="1" outlineLevel="1" x14ac:dyDescent="0.25">
      <c r="A160" s="44"/>
      <c r="B160" s="11" t="str">
        <f>CONCATENATE("          ", "5083", " - ", "PURCHASES @ COST-COMPUTER EQUI")</f>
        <v xml:space="preserve">          5083 - PURCHASES @ COST-COMPUTER EQUI</v>
      </c>
      <c r="C160" s="11"/>
      <c r="D160" s="2">
        <v>14533.49</v>
      </c>
      <c r="E160" s="2"/>
      <c r="F160" s="19">
        <f t="shared" si="13"/>
        <v>4.0462304313042131E-2</v>
      </c>
      <c r="G160" s="2"/>
      <c r="H160" s="2"/>
      <c r="I160" s="2"/>
      <c r="J160" s="19">
        <f t="shared" si="14"/>
        <v>0</v>
      </c>
      <c r="K160" s="2"/>
      <c r="L160" s="2">
        <f t="shared" si="15"/>
        <v>14533.49</v>
      </c>
      <c r="M160" s="2"/>
      <c r="N160" s="19">
        <f t="shared" si="16"/>
        <v>0</v>
      </c>
      <c r="O160" s="11"/>
      <c r="P160" s="2">
        <v>94945.82</v>
      </c>
      <c r="Q160" s="2"/>
      <c r="R160" s="19">
        <f t="shared" si="17"/>
        <v>8.2819155728293212E-3</v>
      </c>
      <c r="S160" s="2"/>
      <c r="T160" s="2"/>
      <c r="U160" s="2"/>
      <c r="V160" s="19">
        <f t="shared" si="18"/>
        <v>0</v>
      </c>
      <c r="W160" s="2"/>
      <c r="X160" s="2">
        <f t="shared" si="19"/>
        <v>94945.82</v>
      </c>
      <c r="Y160" s="2"/>
      <c r="Z160" s="19">
        <f t="shared" si="20"/>
        <v>0</v>
      </c>
    </row>
    <row r="161" spans="1:26" s="24" customFormat="1" hidden="1" outlineLevel="1" x14ac:dyDescent="0.25">
      <c r="A161" s="44"/>
      <c r="B161" s="11" t="str">
        <f>CONCATENATE("          ", "5084", " - ", "PURCHASES @ COST-SOFTWARE LICE")</f>
        <v xml:space="preserve">          5084 - PURCHASES @ COST-SOFTWARE LICE</v>
      </c>
      <c r="C161" s="11"/>
      <c r="D161" s="2"/>
      <c r="E161" s="2"/>
      <c r="F161" s="19">
        <f t="shared" si="13"/>
        <v>0</v>
      </c>
      <c r="G161" s="2"/>
      <c r="H161" s="2"/>
      <c r="I161" s="2"/>
      <c r="J161" s="19">
        <f t="shared" si="14"/>
        <v>0</v>
      </c>
      <c r="K161" s="2"/>
      <c r="L161" s="2">
        <f t="shared" si="15"/>
        <v>0</v>
      </c>
      <c r="M161" s="2"/>
      <c r="N161" s="19">
        <f t="shared" si="16"/>
        <v>0</v>
      </c>
      <c r="O161" s="11"/>
      <c r="P161" s="2">
        <v>2728</v>
      </c>
      <c r="Q161" s="2"/>
      <c r="R161" s="19">
        <f t="shared" si="17"/>
        <v>2.3795745492195849E-4</v>
      </c>
      <c r="S161" s="2"/>
      <c r="T161" s="2"/>
      <c r="U161" s="2"/>
      <c r="V161" s="19">
        <f t="shared" si="18"/>
        <v>0</v>
      </c>
      <c r="W161" s="2"/>
      <c r="X161" s="2">
        <f t="shared" si="19"/>
        <v>2728</v>
      </c>
      <c r="Y161" s="2"/>
      <c r="Z161" s="19">
        <f t="shared" si="20"/>
        <v>0</v>
      </c>
    </row>
    <row r="162" spans="1:26" s="24" customFormat="1" hidden="1" outlineLevel="1" x14ac:dyDescent="0.25">
      <c r="A162" s="44"/>
      <c r="B162" s="11" t="str">
        <f>CONCATENATE("          ", "5085", " - ", "PURCHASES @ COST-SOFTWARE")</f>
        <v xml:space="preserve">          5085 - PURCHASES @ COST-SOFTWARE</v>
      </c>
      <c r="C162" s="11"/>
      <c r="D162" s="2">
        <v>3661.64</v>
      </c>
      <c r="E162" s="2"/>
      <c r="F162" s="19">
        <f t="shared" si="13"/>
        <v>1.0194274875808053E-2</v>
      </c>
      <c r="G162" s="2"/>
      <c r="H162" s="2"/>
      <c r="I162" s="2"/>
      <c r="J162" s="19">
        <f t="shared" si="14"/>
        <v>0</v>
      </c>
      <c r="K162" s="2"/>
      <c r="L162" s="2">
        <f t="shared" si="15"/>
        <v>3661.64</v>
      </c>
      <c r="M162" s="2"/>
      <c r="N162" s="19">
        <f t="shared" si="16"/>
        <v>0</v>
      </c>
      <c r="O162" s="11"/>
      <c r="P162" s="2">
        <v>15328.14</v>
      </c>
      <c r="Q162" s="2"/>
      <c r="R162" s="19">
        <f t="shared" si="17"/>
        <v>1.3370400231259049E-3</v>
      </c>
      <c r="S162" s="2"/>
      <c r="T162" s="2"/>
      <c r="U162" s="2"/>
      <c r="V162" s="19">
        <f t="shared" si="18"/>
        <v>0</v>
      </c>
      <c r="W162" s="2"/>
      <c r="X162" s="2">
        <f t="shared" si="19"/>
        <v>15328.14</v>
      </c>
      <c r="Y162" s="2"/>
      <c r="Z162" s="19">
        <f t="shared" si="20"/>
        <v>0</v>
      </c>
    </row>
    <row r="163" spans="1:26" s="24" customFormat="1" hidden="1" outlineLevel="1" x14ac:dyDescent="0.25">
      <c r="A163" s="44"/>
      <c r="B163" s="11" t="str">
        <f>CONCATENATE("          ", "5086", " - ", "PURCHASES @ COST-COMPUTER SUPP")</f>
        <v xml:space="preserve">          5086 - PURCHASES @ COST-COMPUTER SUPP</v>
      </c>
      <c r="C163" s="11"/>
      <c r="D163" s="2">
        <v>-67.5</v>
      </c>
      <c r="E163" s="2"/>
      <c r="F163" s="19">
        <f t="shared" si="13"/>
        <v>-1.8792496097842594E-4</v>
      </c>
      <c r="G163" s="2"/>
      <c r="H163" s="2"/>
      <c r="I163" s="2"/>
      <c r="J163" s="19">
        <f t="shared" si="14"/>
        <v>0</v>
      </c>
      <c r="K163" s="2"/>
      <c r="L163" s="2">
        <f t="shared" si="15"/>
        <v>-67.5</v>
      </c>
      <c r="M163" s="2"/>
      <c r="N163" s="19">
        <f t="shared" si="16"/>
        <v>0</v>
      </c>
      <c r="O163" s="11"/>
      <c r="P163" s="2">
        <v>30309.27</v>
      </c>
      <c r="Q163" s="2"/>
      <c r="R163" s="19">
        <f t="shared" si="17"/>
        <v>2.6438111252721662E-3</v>
      </c>
      <c r="S163" s="2"/>
      <c r="T163" s="2"/>
      <c r="U163" s="2"/>
      <c r="V163" s="19">
        <f t="shared" si="18"/>
        <v>0</v>
      </c>
      <c r="W163" s="2"/>
      <c r="X163" s="2">
        <f t="shared" si="19"/>
        <v>30309.27</v>
      </c>
      <c r="Y163" s="2"/>
      <c r="Z163" s="19">
        <f t="shared" si="20"/>
        <v>0</v>
      </c>
    </row>
    <row r="164" spans="1:26" s="24" customFormat="1" hidden="1" outlineLevel="1" x14ac:dyDescent="0.25">
      <c r="A164" s="44"/>
      <c r="B164" s="11" t="str">
        <f>CONCATENATE("          ", "5088", " - ", "PURCHASES @ COST-MUSIC")</f>
        <v xml:space="preserve">          5088 - PURCHASES @ COST-MUSIC</v>
      </c>
      <c r="C164" s="11"/>
      <c r="D164" s="2"/>
      <c r="E164" s="2"/>
      <c r="F164" s="19">
        <f t="shared" si="13"/>
        <v>0</v>
      </c>
      <c r="G164" s="2"/>
      <c r="H164" s="2"/>
      <c r="I164" s="2"/>
      <c r="J164" s="19">
        <f t="shared" si="14"/>
        <v>0</v>
      </c>
      <c r="K164" s="2"/>
      <c r="L164" s="2">
        <f t="shared" si="15"/>
        <v>0</v>
      </c>
      <c r="M164" s="2"/>
      <c r="N164" s="19">
        <f t="shared" si="16"/>
        <v>0</v>
      </c>
      <c r="O164" s="11"/>
      <c r="P164" s="2">
        <v>95.65</v>
      </c>
      <c r="Q164" s="2"/>
      <c r="R164" s="19">
        <f t="shared" si="17"/>
        <v>8.3433396492981424E-6</v>
      </c>
      <c r="S164" s="2"/>
      <c r="T164" s="2"/>
      <c r="U164" s="2"/>
      <c r="V164" s="19">
        <f t="shared" si="18"/>
        <v>0</v>
      </c>
      <c r="W164" s="2"/>
      <c r="X164" s="2">
        <f t="shared" si="19"/>
        <v>95.65</v>
      </c>
      <c r="Y164" s="2"/>
      <c r="Z164" s="19">
        <f t="shared" si="20"/>
        <v>0</v>
      </c>
    </row>
    <row r="165" spans="1:26" s="24" customFormat="1" hidden="1" outlineLevel="1" x14ac:dyDescent="0.25">
      <c r="A165" s="44"/>
      <c r="B165" s="11" t="str">
        <f>CONCATENATE("          ", "5092", " - ", "PURCHASES @ COST-GRAD MERCH")</f>
        <v xml:space="preserve">          5092 - PURCHASES @ COST-GRAD MERCH</v>
      </c>
      <c r="C165" s="11"/>
      <c r="D165" s="2">
        <v>-3999.6</v>
      </c>
      <c r="E165" s="2"/>
      <c r="F165" s="19">
        <f t="shared" si="13"/>
        <v>-1.1135180354508332E-2</v>
      </c>
      <c r="G165" s="2"/>
      <c r="H165" s="2"/>
      <c r="I165" s="2"/>
      <c r="J165" s="19">
        <f t="shared" si="14"/>
        <v>0</v>
      </c>
      <c r="K165" s="2"/>
      <c r="L165" s="2">
        <f t="shared" si="15"/>
        <v>-3999.6</v>
      </c>
      <c r="M165" s="2"/>
      <c r="N165" s="19">
        <f t="shared" si="16"/>
        <v>0</v>
      </c>
      <c r="O165" s="11"/>
      <c r="P165" s="2">
        <v>4485.88</v>
      </c>
      <c r="Q165" s="2"/>
      <c r="R165" s="19">
        <f t="shared" si="17"/>
        <v>3.9129347063244694E-4</v>
      </c>
      <c r="S165" s="2"/>
      <c r="T165" s="2"/>
      <c r="U165" s="2"/>
      <c r="V165" s="19">
        <f t="shared" si="18"/>
        <v>0</v>
      </c>
      <c r="W165" s="2"/>
      <c r="X165" s="2">
        <f t="shared" si="19"/>
        <v>4485.88</v>
      </c>
      <c r="Y165" s="2"/>
      <c r="Z165" s="19">
        <f t="shared" si="20"/>
        <v>0</v>
      </c>
    </row>
    <row r="166" spans="1:26" s="24" customFormat="1" hidden="1" outlineLevel="1" x14ac:dyDescent="0.25">
      <c r="A166" s="44"/>
      <c r="B166" s="11" t="str">
        <f>CONCATENATE("          ", "5095", " - ", "PURCHASES @ COST-CUSTOMER SERV")</f>
        <v xml:space="preserve">          5095 - PURCHASES @ COST-CUSTOMER SERV</v>
      </c>
      <c r="C166" s="11"/>
      <c r="D166" s="2"/>
      <c r="E166" s="2"/>
      <c r="F166" s="19">
        <f t="shared" si="13"/>
        <v>0</v>
      </c>
      <c r="G166" s="2"/>
      <c r="H166" s="2"/>
      <c r="I166" s="2"/>
      <c r="J166" s="19">
        <f t="shared" si="14"/>
        <v>0</v>
      </c>
      <c r="K166" s="2"/>
      <c r="L166" s="2">
        <f t="shared" si="15"/>
        <v>0</v>
      </c>
      <c r="M166" s="2"/>
      <c r="N166" s="19">
        <f t="shared" si="16"/>
        <v>0</v>
      </c>
      <c r="O166" s="11"/>
      <c r="P166" s="2">
        <v>0</v>
      </c>
      <c r="Q166" s="2"/>
      <c r="R166" s="19">
        <f t="shared" si="17"/>
        <v>0</v>
      </c>
      <c r="S166" s="2"/>
      <c r="T166" s="2"/>
      <c r="U166" s="2"/>
      <c r="V166" s="19">
        <f t="shared" si="18"/>
        <v>0</v>
      </c>
      <c r="W166" s="2"/>
      <c r="X166" s="2">
        <f t="shared" si="19"/>
        <v>0</v>
      </c>
      <c r="Y166" s="2"/>
      <c r="Z166" s="19">
        <f t="shared" si="20"/>
        <v>0</v>
      </c>
    </row>
    <row r="167" spans="1:26" s="24" customFormat="1" hidden="1" outlineLevel="1" x14ac:dyDescent="0.25">
      <c r="A167" s="44"/>
      <c r="B167" s="11" t="str">
        <f>CONCATENATE("          ", "5200", " - ", "PURCHASES OFFSET")</f>
        <v xml:space="preserve">          5200 - PURCHASES OFFSET</v>
      </c>
      <c r="C167" s="11"/>
      <c r="D167" s="2">
        <v>-217306</v>
      </c>
      <c r="E167" s="2"/>
      <c r="F167" s="19">
        <f t="shared" si="13"/>
        <v>-0.6049958751167086</v>
      </c>
      <c r="G167" s="2"/>
      <c r="H167" s="2"/>
      <c r="I167" s="2"/>
      <c r="J167" s="19">
        <f t="shared" si="14"/>
        <v>0</v>
      </c>
      <c r="K167" s="2"/>
      <c r="L167" s="2">
        <f t="shared" si="15"/>
        <v>-217306</v>
      </c>
      <c r="M167" s="2"/>
      <c r="N167" s="19">
        <f t="shared" si="16"/>
        <v>0</v>
      </c>
      <c r="O167" s="11"/>
      <c r="P167" s="2">
        <v>-5517897</v>
      </c>
      <c r="Q167" s="2"/>
      <c r="R167" s="19">
        <f t="shared" si="17"/>
        <v>-0.48131404935539224</v>
      </c>
      <c r="S167" s="2"/>
      <c r="T167" s="2"/>
      <c r="U167" s="2"/>
      <c r="V167" s="19">
        <f t="shared" si="18"/>
        <v>0</v>
      </c>
      <c r="W167" s="2"/>
      <c r="X167" s="2">
        <f t="shared" si="19"/>
        <v>-5517897</v>
      </c>
      <c r="Y167" s="2"/>
      <c r="Z167" s="19">
        <f t="shared" si="20"/>
        <v>0</v>
      </c>
    </row>
    <row r="168" spans="1:26" s="24" customFormat="1" hidden="1" outlineLevel="1" x14ac:dyDescent="0.25">
      <c r="A168" s="44"/>
      <c r="B168" s="11" t="str">
        <f>CONCATENATE("          ", "5300", " - ", "COG$ OFFSET")</f>
        <v xml:space="preserve">          5300 - COG$ OFFSET</v>
      </c>
      <c r="C168" s="11"/>
      <c r="D168" s="2">
        <v>237794.99999999997</v>
      </c>
      <c r="E168" s="2"/>
      <c r="F168" s="19">
        <f t="shared" si="13"/>
        <v>0.66203875697577474</v>
      </c>
      <c r="G168" s="2"/>
      <c r="H168" s="2"/>
      <c r="I168" s="2"/>
      <c r="J168" s="19">
        <f t="shared" si="14"/>
        <v>0</v>
      </c>
      <c r="K168" s="2"/>
      <c r="L168" s="2">
        <f t="shared" si="15"/>
        <v>237794.99999999997</v>
      </c>
      <c r="M168" s="2"/>
      <c r="N168" s="19">
        <f t="shared" si="16"/>
        <v>0</v>
      </c>
      <c r="O168" s="11"/>
      <c r="P168" s="2">
        <v>6157688.4699999997</v>
      </c>
      <c r="Q168" s="2"/>
      <c r="R168" s="19">
        <f t="shared" si="17"/>
        <v>0.53712165561711456</v>
      </c>
      <c r="S168" s="2"/>
      <c r="T168" s="2"/>
      <c r="U168" s="2"/>
      <c r="V168" s="19">
        <f t="shared" si="18"/>
        <v>0</v>
      </c>
      <c r="W168" s="2"/>
      <c r="X168" s="2">
        <f t="shared" si="19"/>
        <v>6157688.4699999997</v>
      </c>
      <c r="Y168" s="2"/>
      <c r="Z168" s="19">
        <f t="shared" si="20"/>
        <v>0</v>
      </c>
    </row>
    <row r="169" spans="1:26" s="24" customFormat="1" hidden="1" outlineLevel="1" x14ac:dyDescent="0.25">
      <c r="A169" s="44"/>
      <c r="B169" s="11" t="str">
        <f>CONCATENATE("          ", "5500", " - ", "FREIGHT-IN")</f>
        <v xml:space="preserve">          5500 - FREIGHT-IN</v>
      </c>
      <c r="C169" s="11"/>
      <c r="D169" s="2"/>
      <c r="E169" s="2"/>
      <c r="F169" s="19">
        <f t="shared" si="13"/>
        <v>0</v>
      </c>
      <c r="G169" s="2"/>
      <c r="H169" s="2"/>
      <c r="I169" s="2"/>
      <c r="J169" s="19">
        <f t="shared" si="14"/>
        <v>0</v>
      </c>
      <c r="K169" s="2"/>
      <c r="L169" s="2">
        <f t="shared" si="15"/>
        <v>0</v>
      </c>
      <c r="M169" s="2"/>
      <c r="N169" s="19">
        <f t="shared" si="16"/>
        <v>0</v>
      </c>
      <c r="O169" s="11"/>
      <c r="P169" s="2">
        <v>156.47999999999999</v>
      </c>
      <c r="Q169" s="2"/>
      <c r="R169" s="19">
        <f t="shared" si="17"/>
        <v>1.3649407091711167E-5</v>
      </c>
      <c r="S169" s="2"/>
      <c r="T169" s="2"/>
      <c r="U169" s="2"/>
      <c r="V169" s="19">
        <f t="shared" si="18"/>
        <v>0</v>
      </c>
      <c r="W169" s="2"/>
      <c r="X169" s="2">
        <f t="shared" si="19"/>
        <v>156.47999999999999</v>
      </c>
      <c r="Y169" s="2"/>
      <c r="Z169" s="19">
        <f t="shared" si="20"/>
        <v>0</v>
      </c>
    </row>
    <row r="170" spans="1:26" s="24" customFormat="1" hidden="1" outlineLevel="1" x14ac:dyDescent="0.25">
      <c r="A170" s="44"/>
      <c r="B170" s="11" t="str">
        <f>CONCATENATE("          ", "5501", " - ", "FREIGHT-IN-NEW TEXT")</f>
        <v xml:space="preserve">          5501 - FREIGHT-IN-NEW TEXT</v>
      </c>
      <c r="C170" s="11"/>
      <c r="D170" s="2">
        <v>-21.22</v>
      </c>
      <c r="E170" s="2"/>
      <c r="F170" s="19">
        <f t="shared" si="13"/>
        <v>-5.9078039584625162E-5</v>
      </c>
      <c r="G170" s="2"/>
      <c r="H170" s="2"/>
      <c r="I170" s="2"/>
      <c r="J170" s="19">
        <f t="shared" si="14"/>
        <v>0</v>
      </c>
      <c r="K170" s="2"/>
      <c r="L170" s="2">
        <f t="shared" si="15"/>
        <v>-21.22</v>
      </c>
      <c r="M170" s="2"/>
      <c r="N170" s="19">
        <f t="shared" si="16"/>
        <v>0</v>
      </c>
      <c r="O170" s="11"/>
      <c r="P170" s="2">
        <v>69747.73000000001</v>
      </c>
      <c r="Q170" s="2"/>
      <c r="R170" s="19">
        <f t="shared" si="17"/>
        <v>6.0839414653166913E-3</v>
      </c>
      <c r="S170" s="2"/>
      <c r="T170" s="2"/>
      <c r="U170" s="2"/>
      <c r="V170" s="19">
        <f t="shared" si="18"/>
        <v>0</v>
      </c>
      <c r="W170" s="2"/>
      <c r="X170" s="2">
        <f t="shared" si="19"/>
        <v>69747.73000000001</v>
      </c>
      <c r="Y170" s="2"/>
      <c r="Z170" s="19">
        <f t="shared" si="20"/>
        <v>0</v>
      </c>
    </row>
    <row r="171" spans="1:26" s="24" customFormat="1" hidden="1" outlineLevel="1" x14ac:dyDescent="0.25">
      <c r="A171" s="44"/>
      <c r="B171" s="11" t="str">
        <f>CONCATENATE("          ", "5502", " - ", "FREIGHT-IN-USED TEXT")</f>
        <v xml:space="preserve">          5502 - FREIGHT-IN-USED TEXT</v>
      </c>
      <c r="C171" s="11"/>
      <c r="D171" s="2">
        <v>379.42</v>
      </c>
      <c r="E171" s="2"/>
      <c r="F171" s="19">
        <f t="shared" si="13"/>
        <v>1.0563331658434722E-3</v>
      </c>
      <c r="G171" s="2"/>
      <c r="H171" s="2"/>
      <c r="I171" s="2"/>
      <c r="J171" s="19">
        <f t="shared" si="14"/>
        <v>0</v>
      </c>
      <c r="K171" s="2"/>
      <c r="L171" s="2">
        <f t="shared" si="15"/>
        <v>379.42</v>
      </c>
      <c r="M171" s="2"/>
      <c r="N171" s="19">
        <f t="shared" si="16"/>
        <v>0</v>
      </c>
      <c r="O171" s="11"/>
      <c r="P171" s="2">
        <v>15680.76</v>
      </c>
      <c r="Q171" s="2"/>
      <c r="R171" s="19">
        <f t="shared" si="17"/>
        <v>1.3677982920975256E-3</v>
      </c>
      <c r="S171" s="2"/>
      <c r="T171" s="2"/>
      <c r="U171" s="2"/>
      <c r="V171" s="19">
        <f t="shared" si="18"/>
        <v>0</v>
      </c>
      <c r="W171" s="2"/>
      <c r="X171" s="2">
        <f t="shared" si="19"/>
        <v>15680.76</v>
      </c>
      <c r="Y171" s="2"/>
      <c r="Z171" s="19">
        <f t="shared" si="20"/>
        <v>0</v>
      </c>
    </row>
    <row r="172" spans="1:26" s="24" customFormat="1" hidden="1" outlineLevel="1" x14ac:dyDescent="0.25">
      <c r="A172" s="44"/>
      <c r="B172" s="11" t="str">
        <f>CONCATENATE("          ", "5504", " - ", "FREIGHT-IN-DIGITAL TEXT")</f>
        <v xml:space="preserve">          5504 - FREIGHT-IN-DIGITAL TEXT</v>
      </c>
      <c r="C172" s="11"/>
      <c r="D172" s="2"/>
      <c r="E172" s="2"/>
      <c r="F172" s="19">
        <f t="shared" si="13"/>
        <v>0</v>
      </c>
      <c r="G172" s="2"/>
      <c r="H172" s="2"/>
      <c r="I172" s="2"/>
      <c r="J172" s="19">
        <f t="shared" si="14"/>
        <v>0</v>
      </c>
      <c r="K172" s="2"/>
      <c r="L172" s="2">
        <f t="shared" si="15"/>
        <v>0</v>
      </c>
      <c r="M172" s="2"/>
      <c r="N172" s="19">
        <f t="shared" si="16"/>
        <v>0</v>
      </c>
      <c r="O172" s="11"/>
      <c r="P172" s="2">
        <v>118.75</v>
      </c>
      <c r="Q172" s="2"/>
      <c r="R172" s="19">
        <f t="shared" si="17"/>
        <v>1.0358301969201822E-5</v>
      </c>
      <c r="S172" s="2"/>
      <c r="T172" s="2"/>
      <c r="U172" s="2"/>
      <c r="V172" s="19">
        <f t="shared" si="18"/>
        <v>0</v>
      </c>
      <c r="W172" s="2"/>
      <c r="X172" s="2">
        <f t="shared" si="19"/>
        <v>118.75</v>
      </c>
      <c r="Y172" s="2"/>
      <c r="Z172" s="19">
        <f t="shared" si="20"/>
        <v>0</v>
      </c>
    </row>
    <row r="173" spans="1:26" s="24" customFormat="1" hidden="1" outlineLevel="1" x14ac:dyDescent="0.25">
      <c r="A173" s="44"/>
      <c r="B173" s="11" t="str">
        <f>CONCATENATE("          ", "5513", " - ", "FREIGHT-IN-TRADE BOOKS")</f>
        <v xml:space="preserve">          5513 - FREIGHT-IN-TRADE BOOKS</v>
      </c>
      <c r="C173" s="11"/>
      <c r="D173" s="2"/>
      <c r="E173" s="2"/>
      <c r="F173" s="19">
        <f t="shared" si="13"/>
        <v>0</v>
      </c>
      <c r="G173" s="2"/>
      <c r="H173" s="2"/>
      <c r="I173" s="2"/>
      <c r="J173" s="19">
        <f t="shared" si="14"/>
        <v>0</v>
      </c>
      <c r="K173" s="2"/>
      <c r="L173" s="2">
        <f t="shared" si="15"/>
        <v>0</v>
      </c>
      <c r="M173" s="2"/>
      <c r="N173" s="19">
        <f t="shared" si="16"/>
        <v>0</v>
      </c>
      <c r="O173" s="11"/>
      <c r="P173" s="2">
        <v>30.24</v>
      </c>
      <c r="Q173" s="2"/>
      <c r="R173" s="19">
        <f t="shared" si="17"/>
        <v>2.6377688551466364E-6</v>
      </c>
      <c r="S173" s="2"/>
      <c r="T173" s="2"/>
      <c r="U173" s="2"/>
      <c r="V173" s="19">
        <f t="shared" si="18"/>
        <v>0</v>
      </c>
      <c r="W173" s="2"/>
      <c r="X173" s="2">
        <f t="shared" si="19"/>
        <v>30.24</v>
      </c>
      <c r="Y173" s="2"/>
      <c r="Z173" s="19">
        <f t="shared" si="20"/>
        <v>0</v>
      </c>
    </row>
    <row r="174" spans="1:26" s="24" customFormat="1" hidden="1" outlineLevel="1" x14ac:dyDescent="0.25">
      <c r="A174" s="44"/>
      <c r="B174" s="11" t="str">
        <f>CONCATENATE("          ", "5518", " - ", "FREIGHT-IN-STUDY GUIDES")</f>
        <v xml:space="preserve">          5518 - FREIGHT-IN-STUDY GUIDES</v>
      </c>
      <c r="C174" s="11"/>
      <c r="D174" s="2"/>
      <c r="E174" s="2"/>
      <c r="F174" s="19">
        <f t="shared" si="13"/>
        <v>0</v>
      </c>
      <c r="G174" s="2"/>
      <c r="H174" s="2"/>
      <c r="I174" s="2"/>
      <c r="J174" s="19">
        <f t="shared" si="14"/>
        <v>0</v>
      </c>
      <c r="K174" s="2"/>
      <c r="L174" s="2">
        <f t="shared" si="15"/>
        <v>0</v>
      </c>
      <c r="M174" s="2"/>
      <c r="N174" s="19">
        <f t="shared" si="16"/>
        <v>0</v>
      </c>
      <c r="O174" s="11"/>
      <c r="P174" s="2">
        <v>21.13</v>
      </c>
      <c r="Q174" s="2"/>
      <c r="R174" s="19">
        <f t="shared" si="17"/>
        <v>1.8431235419725011E-6</v>
      </c>
      <c r="S174" s="2"/>
      <c r="T174" s="2"/>
      <c r="U174" s="2"/>
      <c r="V174" s="19">
        <f t="shared" si="18"/>
        <v>0</v>
      </c>
      <c r="W174" s="2"/>
      <c r="X174" s="2">
        <f t="shared" si="19"/>
        <v>21.13</v>
      </c>
      <c r="Y174" s="2"/>
      <c r="Z174" s="19">
        <f t="shared" si="20"/>
        <v>0</v>
      </c>
    </row>
    <row r="175" spans="1:26" s="24" customFormat="1" hidden="1" outlineLevel="1" x14ac:dyDescent="0.25">
      <c r="A175" s="44"/>
      <c r="B175" s="11" t="str">
        <f>CONCATENATE("          ", "5525", " - ", "FREIGHT-IN-TEST FORMS")</f>
        <v xml:space="preserve">          5525 - FREIGHT-IN-TEST FORMS</v>
      </c>
      <c r="C175" s="11"/>
      <c r="D175" s="2">
        <v>377.1</v>
      </c>
      <c r="E175" s="2"/>
      <c r="F175" s="19">
        <f t="shared" si="13"/>
        <v>1.0498741153328064E-3</v>
      </c>
      <c r="G175" s="2"/>
      <c r="H175" s="2"/>
      <c r="I175" s="2"/>
      <c r="J175" s="19">
        <f t="shared" si="14"/>
        <v>0</v>
      </c>
      <c r="K175" s="2"/>
      <c r="L175" s="2">
        <f t="shared" si="15"/>
        <v>377.1</v>
      </c>
      <c r="M175" s="2"/>
      <c r="N175" s="19">
        <f t="shared" si="16"/>
        <v>0</v>
      </c>
      <c r="O175" s="11"/>
      <c r="P175" s="2">
        <v>1614.32</v>
      </c>
      <c r="Q175" s="2"/>
      <c r="R175" s="19">
        <f t="shared" si="17"/>
        <v>1.4081359187302641E-4</v>
      </c>
      <c r="S175" s="2"/>
      <c r="T175" s="2"/>
      <c r="U175" s="2"/>
      <c r="V175" s="19">
        <f t="shared" si="18"/>
        <v>0</v>
      </c>
      <c r="W175" s="2"/>
      <c r="X175" s="2">
        <f t="shared" si="19"/>
        <v>1614.32</v>
      </c>
      <c r="Y175" s="2"/>
      <c r="Z175" s="19">
        <f t="shared" si="20"/>
        <v>0</v>
      </c>
    </row>
    <row r="176" spans="1:26" s="24" customFormat="1" hidden="1" outlineLevel="1" x14ac:dyDescent="0.25">
      <c r="A176" s="44"/>
      <c r="B176" s="11" t="str">
        <f>CONCATENATE("          ", "5526", " - ", "FREIGHT-IN-WRITING INSTRUMENTS")</f>
        <v xml:space="preserve">          5526 - FREIGHT-IN-WRITING INSTRUMENTS</v>
      </c>
      <c r="C176" s="11"/>
      <c r="D176" s="2">
        <v>14.15</v>
      </c>
      <c r="E176" s="2"/>
      <c r="F176" s="19">
        <f t="shared" si="13"/>
        <v>3.9394639968070036E-5</v>
      </c>
      <c r="G176" s="2"/>
      <c r="H176" s="2"/>
      <c r="I176" s="2"/>
      <c r="J176" s="19">
        <f t="shared" si="14"/>
        <v>0</v>
      </c>
      <c r="K176" s="2"/>
      <c r="L176" s="2">
        <f t="shared" si="15"/>
        <v>14.15</v>
      </c>
      <c r="M176" s="2"/>
      <c r="N176" s="19">
        <f t="shared" si="16"/>
        <v>0</v>
      </c>
      <c r="O176" s="11"/>
      <c r="P176" s="2">
        <v>274.5</v>
      </c>
      <c r="Q176" s="2"/>
      <c r="R176" s="19">
        <f t="shared" si="17"/>
        <v>2.3944032762491792E-5</v>
      </c>
      <c r="S176" s="2"/>
      <c r="T176" s="2"/>
      <c r="U176" s="2"/>
      <c r="V176" s="19">
        <f t="shared" si="18"/>
        <v>0</v>
      </c>
      <c r="W176" s="2"/>
      <c r="X176" s="2">
        <f t="shared" si="19"/>
        <v>274.5</v>
      </c>
      <c r="Y176" s="2"/>
      <c r="Z176" s="19">
        <f t="shared" si="20"/>
        <v>0</v>
      </c>
    </row>
    <row r="177" spans="1:26" s="24" customFormat="1" hidden="1" outlineLevel="1" x14ac:dyDescent="0.25">
      <c r="A177" s="44"/>
      <c r="B177" s="11" t="str">
        <f>CONCATENATE("          ", "5527", " - ", "FREIGHT-IN-SCHOOL SUPPLIES")</f>
        <v xml:space="preserve">          5527 - FREIGHT-IN-SCHOOL SUPPLIES</v>
      </c>
      <c r="C177" s="11"/>
      <c r="D177" s="2">
        <v>-250.91</v>
      </c>
      <c r="E177" s="2"/>
      <c r="F177" s="19">
        <f t="shared" si="13"/>
        <v>-6.9855188087550898E-4</v>
      </c>
      <c r="G177" s="2"/>
      <c r="H177" s="2"/>
      <c r="I177" s="2"/>
      <c r="J177" s="19">
        <f t="shared" si="14"/>
        <v>0</v>
      </c>
      <c r="K177" s="2"/>
      <c r="L177" s="2">
        <f t="shared" si="15"/>
        <v>-250.91</v>
      </c>
      <c r="M177" s="2"/>
      <c r="N177" s="19">
        <f t="shared" si="16"/>
        <v>0</v>
      </c>
      <c r="O177" s="11"/>
      <c r="P177" s="2">
        <v>1808</v>
      </c>
      <c r="Q177" s="2"/>
      <c r="R177" s="19">
        <f t="shared" si="17"/>
        <v>1.57707873350037E-4</v>
      </c>
      <c r="S177" s="2"/>
      <c r="T177" s="2"/>
      <c r="U177" s="2"/>
      <c r="V177" s="19">
        <f t="shared" si="18"/>
        <v>0</v>
      </c>
      <c r="W177" s="2"/>
      <c r="X177" s="2">
        <f t="shared" si="19"/>
        <v>1808</v>
      </c>
      <c r="Y177" s="2"/>
      <c r="Z177" s="19">
        <f t="shared" si="20"/>
        <v>0</v>
      </c>
    </row>
    <row r="178" spans="1:26" s="24" customFormat="1" hidden="1" outlineLevel="1" x14ac:dyDescent="0.25">
      <c r="A178" s="44"/>
      <c r="B178" s="11" t="str">
        <f>CONCATENATE("          ", "5528", " - ", "FREIGHT-IN-ART/TECH")</f>
        <v xml:space="preserve">          5528 - FREIGHT-IN-ART/TECH</v>
      </c>
      <c r="C178" s="11"/>
      <c r="D178" s="2">
        <v>-19.75</v>
      </c>
      <c r="E178" s="2"/>
      <c r="F178" s="19">
        <f t="shared" si="13"/>
        <v>-5.4985451545539447E-5</v>
      </c>
      <c r="G178" s="2"/>
      <c r="H178" s="2"/>
      <c r="I178" s="2"/>
      <c r="J178" s="19">
        <f t="shared" si="14"/>
        <v>0</v>
      </c>
      <c r="K178" s="2"/>
      <c r="L178" s="2">
        <f t="shared" si="15"/>
        <v>-19.75</v>
      </c>
      <c r="M178" s="2"/>
      <c r="N178" s="19">
        <f t="shared" si="16"/>
        <v>0</v>
      </c>
      <c r="O178" s="11"/>
      <c r="P178" s="2">
        <v>2824.37</v>
      </c>
      <c r="Q178" s="2"/>
      <c r="R178" s="19">
        <f t="shared" si="17"/>
        <v>2.4636359859161729E-4</v>
      </c>
      <c r="S178" s="2"/>
      <c r="T178" s="2"/>
      <c r="U178" s="2"/>
      <c r="V178" s="19">
        <f t="shared" si="18"/>
        <v>0</v>
      </c>
      <c r="W178" s="2"/>
      <c r="X178" s="2">
        <f t="shared" si="19"/>
        <v>2824.37</v>
      </c>
      <c r="Y178" s="2"/>
      <c r="Z178" s="19">
        <f t="shared" si="20"/>
        <v>0</v>
      </c>
    </row>
    <row r="179" spans="1:26" s="24" customFormat="1" hidden="1" outlineLevel="1" x14ac:dyDescent="0.25">
      <c r="A179" s="44"/>
      <c r="B179" s="11" t="str">
        <f>CONCATENATE("          ", "5540", " - ", "FREIGHT-IN-LOGO CLOTHING")</f>
        <v xml:space="preserve">          5540 - FREIGHT-IN-LOGO CLOTHING</v>
      </c>
      <c r="C179" s="11"/>
      <c r="D179" s="2">
        <v>815.7</v>
      </c>
      <c r="E179" s="2"/>
      <c r="F179" s="19">
        <f t="shared" si="13"/>
        <v>2.2709687506681786E-3</v>
      </c>
      <c r="G179" s="2"/>
      <c r="H179" s="2"/>
      <c r="I179" s="2"/>
      <c r="J179" s="19">
        <f t="shared" si="14"/>
        <v>0</v>
      </c>
      <c r="K179" s="2"/>
      <c r="L179" s="2">
        <f t="shared" si="15"/>
        <v>815.7</v>
      </c>
      <c r="M179" s="2"/>
      <c r="N179" s="19">
        <f t="shared" si="16"/>
        <v>0</v>
      </c>
      <c r="O179" s="11"/>
      <c r="P179" s="2">
        <v>32519</v>
      </c>
      <c r="Q179" s="2"/>
      <c r="R179" s="19">
        <f t="shared" si="17"/>
        <v>2.8365610251492551E-3</v>
      </c>
      <c r="S179" s="2"/>
      <c r="T179" s="2"/>
      <c r="U179" s="2"/>
      <c r="V179" s="19">
        <f t="shared" si="18"/>
        <v>0</v>
      </c>
      <c r="W179" s="2"/>
      <c r="X179" s="2">
        <f t="shared" si="19"/>
        <v>32519</v>
      </c>
      <c r="Y179" s="2"/>
      <c r="Z179" s="19">
        <f t="shared" si="20"/>
        <v>0</v>
      </c>
    </row>
    <row r="180" spans="1:26" s="24" customFormat="1" hidden="1" outlineLevel="1" x14ac:dyDescent="0.25">
      <c r="A180" s="44"/>
      <c r="B180" s="11" t="str">
        <f>CONCATENATE("          ", "5541", " - ", "FREIGHT-IN-LOGO GIFTS")</f>
        <v xml:space="preserve">          5541 - FREIGHT-IN-LOGO GIFTS</v>
      </c>
      <c r="C180" s="11"/>
      <c r="D180" s="2">
        <v>343.16</v>
      </c>
      <c r="E180" s="2"/>
      <c r="F180" s="19">
        <f t="shared" si="13"/>
        <v>9.5538266087935781E-4</v>
      </c>
      <c r="G180" s="2"/>
      <c r="H180" s="2"/>
      <c r="I180" s="2"/>
      <c r="J180" s="19">
        <f t="shared" si="14"/>
        <v>0</v>
      </c>
      <c r="K180" s="2"/>
      <c r="L180" s="2">
        <f t="shared" si="15"/>
        <v>343.16</v>
      </c>
      <c r="M180" s="2"/>
      <c r="N180" s="19">
        <f t="shared" si="16"/>
        <v>0</v>
      </c>
      <c r="O180" s="11"/>
      <c r="P180" s="2">
        <v>5226.1000000000004</v>
      </c>
      <c r="Q180" s="2"/>
      <c r="R180" s="19">
        <f t="shared" si="17"/>
        <v>4.558612372315423E-4</v>
      </c>
      <c r="S180" s="2"/>
      <c r="T180" s="2"/>
      <c r="U180" s="2"/>
      <c r="V180" s="19">
        <f t="shared" si="18"/>
        <v>0</v>
      </c>
      <c r="W180" s="2"/>
      <c r="X180" s="2">
        <f t="shared" si="19"/>
        <v>5226.1000000000004</v>
      </c>
      <c r="Y180" s="2"/>
      <c r="Z180" s="19">
        <f t="shared" si="20"/>
        <v>0</v>
      </c>
    </row>
    <row r="181" spans="1:26" s="24" customFormat="1" hidden="1" outlineLevel="1" x14ac:dyDescent="0.25">
      <c r="A181" s="44"/>
      <c r="B181" s="11" t="str">
        <f>CONCATENATE("          ", "5542", " - ", "FREIGHT-IN-EVERYDAY GIFTS")</f>
        <v xml:space="preserve">          5542 - FREIGHT-IN-EVERYDAY GIFTS</v>
      </c>
      <c r="C181" s="11"/>
      <c r="D181" s="2">
        <v>384.47</v>
      </c>
      <c r="E181" s="2"/>
      <c r="F181" s="19">
        <f t="shared" si="13"/>
        <v>1.0703927369981544E-3</v>
      </c>
      <c r="G181" s="2"/>
      <c r="H181" s="2"/>
      <c r="I181" s="2"/>
      <c r="J181" s="19">
        <f t="shared" si="14"/>
        <v>0</v>
      </c>
      <c r="K181" s="2"/>
      <c r="L181" s="2">
        <f t="shared" si="15"/>
        <v>384.47</v>
      </c>
      <c r="M181" s="2"/>
      <c r="N181" s="19">
        <f t="shared" si="16"/>
        <v>0</v>
      </c>
      <c r="O181" s="11"/>
      <c r="P181" s="2">
        <v>2223.5100000000002</v>
      </c>
      <c r="Q181" s="2"/>
      <c r="R181" s="19">
        <f t="shared" si="17"/>
        <v>1.9395189904454691E-4</v>
      </c>
      <c r="S181" s="2"/>
      <c r="T181" s="2"/>
      <c r="U181" s="2"/>
      <c r="V181" s="19">
        <f t="shared" si="18"/>
        <v>0</v>
      </c>
      <c r="W181" s="2"/>
      <c r="X181" s="2">
        <f t="shared" si="19"/>
        <v>2223.5100000000002</v>
      </c>
      <c r="Y181" s="2"/>
      <c r="Z181" s="19">
        <f t="shared" si="20"/>
        <v>0</v>
      </c>
    </row>
    <row r="182" spans="1:26" s="24" customFormat="1" hidden="1" outlineLevel="1" x14ac:dyDescent="0.25">
      <c r="A182" s="44"/>
      <c r="B182" s="11" t="str">
        <f>CONCATENATE("          ", "5543", " - ", "FREIGHT-IN-CARDS")</f>
        <v xml:space="preserve">          5543 - FREIGHT-IN-CARDS</v>
      </c>
      <c r="C182" s="11"/>
      <c r="D182" s="2"/>
      <c r="E182" s="2"/>
      <c r="F182" s="19">
        <f t="shared" si="13"/>
        <v>0</v>
      </c>
      <c r="G182" s="2"/>
      <c r="H182" s="2"/>
      <c r="I182" s="2"/>
      <c r="J182" s="19">
        <f t="shared" si="14"/>
        <v>0</v>
      </c>
      <c r="K182" s="2"/>
      <c r="L182" s="2">
        <f t="shared" si="15"/>
        <v>0</v>
      </c>
      <c r="M182" s="2"/>
      <c r="N182" s="19">
        <f t="shared" si="16"/>
        <v>0</v>
      </c>
      <c r="O182" s="11"/>
      <c r="P182" s="2">
        <v>2926.76</v>
      </c>
      <c r="Q182" s="2"/>
      <c r="R182" s="19">
        <f t="shared" si="17"/>
        <v>2.5529485365373579E-4</v>
      </c>
      <c r="S182" s="2"/>
      <c r="T182" s="2"/>
      <c r="U182" s="2"/>
      <c r="V182" s="19">
        <f t="shared" si="18"/>
        <v>0</v>
      </c>
      <c r="W182" s="2"/>
      <c r="X182" s="2">
        <f t="shared" si="19"/>
        <v>2926.76</v>
      </c>
      <c r="Y182" s="2"/>
      <c r="Z182" s="19">
        <f t="shared" si="20"/>
        <v>0</v>
      </c>
    </row>
    <row r="183" spans="1:26" s="24" customFormat="1" hidden="1" outlineLevel="1" x14ac:dyDescent="0.25">
      <c r="A183" s="44"/>
      <c r="B183" s="11" t="str">
        <f>CONCATENATE("          ", "5544", " - ", "FREIGHT-IN-ACCESSORIES")</f>
        <v xml:space="preserve">          5544 - FREIGHT-IN-ACCESSORIES</v>
      </c>
      <c r="C183" s="11"/>
      <c r="D183" s="2"/>
      <c r="E183" s="2"/>
      <c r="F183" s="19">
        <f t="shared" si="13"/>
        <v>0</v>
      </c>
      <c r="G183" s="2"/>
      <c r="H183" s="2"/>
      <c r="I183" s="2"/>
      <c r="J183" s="19">
        <f t="shared" si="14"/>
        <v>0</v>
      </c>
      <c r="K183" s="2"/>
      <c r="L183" s="2">
        <f t="shared" si="15"/>
        <v>0</v>
      </c>
      <c r="M183" s="2"/>
      <c r="N183" s="19">
        <f t="shared" si="16"/>
        <v>0</v>
      </c>
      <c r="O183" s="11"/>
      <c r="P183" s="2">
        <v>483.44</v>
      </c>
      <c r="Q183" s="2"/>
      <c r="R183" s="19">
        <f t="shared" si="17"/>
        <v>4.2169410559923612E-5</v>
      </c>
      <c r="S183" s="2"/>
      <c r="T183" s="2"/>
      <c r="U183" s="2"/>
      <c r="V183" s="19">
        <f t="shared" si="18"/>
        <v>0</v>
      </c>
      <c r="W183" s="2"/>
      <c r="X183" s="2">
        <f t="shared" si="19"/>
        <v>483.44</v>
      </c>
      <c r="Y183" s="2"/>
      <c r="Z183" s="19">
        <f t="shared" si="20"/>
        <v>0</v>
      </c>
    </row>
    <row r="184" spans="1:26" s="24" customFormat="1" hidden="1" outlineLevel="1" x14ac:dyDescent="0.25">
      <c r="A184" s="44"/>
      <c r="B184" s="11" t="str">
        <f>CONCATENATE("          ", "5545", " - ", "FREIGHT-IN-SPECIAL ORDERS")</f>
        <v xml:space="preserve">          5545 - FREIGHT-IN-SPECIAL ORDERS</v>
      </c>
      <c r="C184" s="11"/>
      <c r="D184" s="2">
        <v>173.06</v>
      </c>
      <c r="E184" s="2"/>
      <c r="F184" s="19">
        <f t="shared" si="13"/>
        <v>4.818117592137244E-4</v>
      </c>
      <c r="G184" s="2"/>
      <c r="H184" s="2"/>
      <c r="I184" s="2"/>
      <c r="J184" s="19">
        <f t="shared" si="14"/>
        <v>0</v>
      </c>
      <c r="K184" s="2"/>
      <c r="L184" s="2">
        <f t="shared" si="15"/>
        <v>173.06</v>
      </c>
      <c r="M184" s="2"/>
      <c r="N184" s="19">
        <f t="shared" si="16"/>
        <v>0</v>
      </c>
      <c r="O184" s="11"/>
      <c r="P184" s="2">
        <v>1065.32</v>
      </c>
      <c r="Q184" s="2"/>
      <c r="R184" s="19">
        <f t="shared" si="17"/>
        <v>9.2925526348042824E-5</v>
      </c>
      <c r="S184" s="2"/>
      <c r="T184" s="2"/>
      <c r="U184" s="2"/>
      <c r="V184" s="19">
        <f t="shared" si="18"/>
        <v>0</v>
      </c>
      <c r="W184" s="2"/>
      <c r="X184" s="2">
        <f t="shared" si="19"/>
        <v>1065.32</v>
      </c>
      <c r="Y184" s="2"/>
      <c r="Z184" s="19">
        <f t="shared" si="20"/>
        <v>0</v>
      </c>
    </row>
    <row r="185" spans="1:26" s="24" customFormat="1" hidden="1" outlineLevel="1" x14ac:dyDescent="0.25">
      <c r="A185" s="44"/>
      <c r="B185" s="11" t="str">
        <f>CONCATENATE("          ", "5581", " - ", "FREIGHT-IN-ELECTRONICS")</f>
        <v xml:space="preserve">          5581 - FREIGHT-IN-ELECTRONICS</v>
      </c>
      <c r="C185" s="11"/>
      <c r="D185" s="2">
        <v>31.25</v>
      </c>
      <c r="E185" s="2"/>
      <c r="F185" s="19">
        <f t="shared" si="13"/>
        <v>8.7002296749271279E-5</v>
      </c>
      <c r="G185" s="2"/>
      <c r="H185" s="2"/>
      <c r="I185" s="2"/>
      <c r="J185" s="19">
        <f t="shared" si="14"/>
        <v>0</v>
      </c>
      <c r="K185" s="2"/>
      <c r="L185" s="2">
        <f t="shared" si="15"/>
        <v>31.25</v>
      </c>
      <c r="M185" s="2"/>
      <c r="N185" s="19">
        <f t="shared" si="16"/>
        <v>0</v>
      </c>
      <c r="O185" s="11"/>
      <c r="P185" s="2">
        <v>137</v>
      </c>
      <c r="Q185" s="2"/>
      <c r="R185" s="19">
        <f t="shared" si="17"/>
        <v>1.1950209429731787E-5</v>
      </c>
      <c r="S185" s="2"/>
      <c r="T185" s="2"/>
      <c r="U185" s="2"/>
      <c r="V185" s="19">
        <f t="shared" si="18"/>
        <v>0</v>
      </c>
      <c r="W185" s="2"/>
      <c r="X185" s="2">
        <f t="shared" si="19"/>
        <v>137</v>
      </c>
      <c r="Y185" s="2"/>
      <c r="Z185" s="19">
        <f t="shared" si="20"/>
        <v>0</v>
      </c>
    </row>
    <row r="186" spans="1:26" s="24" customFormat="1" hidden="1" outlineLevel="1" x14ac:dyDescent="0.25">
      <c r="A186" s="44"/>
      <c r="B186" s="11" t="str">
        <f>CONCATENATE("          ", "5582", " - ", "FREIGHT-IN-COMPUTER HARDWARE")</f>
        <v xml:space="preserve">          5582 - FREIGHT-IN-COMPUTER HARDWARE</v>
      </c>
      <c r="C186" s="11"/>
      <c r="D186" s="2"/>
      <c r="E186" s="2"/>
      <c r="F186" s="19">
        <f t="shared" si="13"/>
        <v>0</v>
      </c>
      <c r="G186" s="2"/>
      <c r="H186" s="2"/>
      <c r="I186" s="2"/>
      <c r="J186" s="19">
        <f t="shared" si="14"/>
        <v>0</v>
      </c>
      <c r="K186" s="2"/>
      <c r="L186" s="2">
        <f t="shared" si="15"/>
        <v>0</v>
      </c>
      <c r="M186" s="2"/>
      <c r="N186" s="19">
        <f t="shared" si="16"/>
        <v>0</v>
      </c>
      <c r="O186" s="11"/>
      <c r="P186" s="2">
        <v>154.30000000000001</v>
      </c>
      <c r="Q186" s="2"/>
      <c r="R186" s="19">
        <f t="shared" si="17"/>
        <v>1.3459250474508137E-5</v>
      </c>
      <c r="S186" s="2"/>
      <c r="T186" s="2"/>
      <c r="U186" s="2"/>
      <c r="V186" s="19">
        <f t="shared" si="18"/>
        <v>0</v>
      </c>
      <c r="W186" s="2"/>
      <c r="X186" s="2">
        <f t="shared" si="19"/>
        <v>154.30000000000001</v>
      </c>
      <c r="Y186" s="2"/>
      <c r="Z186" s="19">
        <f t="shared" si="20"/>
        <v>0</v>
      </c>
    </row>
    <row r="187" spans="1:26" s="24" customFormat="1" hidden="1" outlineLevel="1" x14ac:dyDescent="0.25">
      <c r="A187" s="44"/>
      <c r="B187" s="11" t="str">
        <f>CONCATENATE("          ", "5583", " - ", "FREIGHT-IN-COMPUTER EQUIPMENT")</f>
        <v xml:space="preserve">          5583 - FREIGHT-IN-COMPUTER EQUIPMENT</v>
      </c>
      <c r="C187" s="11"/>
      <c r="D187" s="2"/>
      <c r="E187" s="2"/>
      <c r="F187" s="19">
        <f t="shared" si="13"/>
        <v>0</v>
      </c>
      <c r="G187" s="2"/>
      <c r="H187" s="2"/>
      <c r="I187" s="2"/>
      <c r="J187" s="19">
        <f t="shared" si="14"/>
        <v>0</v>
      </c>
      <c r="K187" s="2"/>
      <c r="L187" s="2">
        <f t="shared" si="15"/>
        <v>0</v>
      </c>
      <c r="M187" s="2"/>
      <c r="N187" s="19">
        <f t="shared" si="16"/>
        <v>0</v>
      </c>
      <c r="O187" s="11"/>
      <c r="P187" s="2">
        <v>96.55</v>
      </c>
      <c r="Q187" s="2"/>
      <c r="R187" s="19">
        <f t="shared" si="17"/>
        <v>8.4218446747489343E-6</v>
      </c>
      <c r="S187" s="2"/>
      <c r="T187" s="2"/>
      <c r="U187" s="2"/>
      <c r="V187" s="19">
        <f t="shared" si="18"/>
        <v>0</v>
      </c>
      <c r="W187" s="2"/>
      <c r="X187" s="2">
        <f t="shared" si="19"/>
        <v>96.55</v>
      </c>
      <c r="Y187" s="2"/>
      <c r="Z187" s="19">
        <f t="shared" si="20"/>
        <v>0</v>
      </c>
    </row>
    <row r="188" spans="1:26" s="24" customFormat="1" hidden="1" outlineLevel="1" x14ac:dyDescent="0.25">
      <c r="A188" s="44"/>
      <c r="B188" s="11" t="str">
        <f>CONCATENATE("          ", "5585", " - ", "FREIGHT-IN-SOFTWARE")</f>
        <v xml:space="preserve">          5585 - FREIGHT-IN-SOFTWARE</v>
      </c>
      <c r="C188" s="11"/>
      <c r="D188" s="2">
        <v>10</v>
      </c>
      <c r="E188" s="2"/>
      <c r="F188" s="19">
        <f t="shared" si="13"/>
        <v>2.7840734959766807E-5</v>
      </c>
      <c r="G188" s="2"/>
      <c r="H188" s="2"/>
      <c r="I188" s="2"/>
      <c r="J188" s="19">
        <f t="shared" si="14"/>
        <v>0</v>
      </c>
      <c r="K188" s="2"/>
      <c r="L188" s="2">
        <f t="shared" si="15"/>
        <v>10</v>
      </c>
      <c r="M188" s="2"/>
      <c r="N188" s="19">
        <f t="shared" si="16"/>
        <v>0</v>
      </c>
      <c r="O188" s="11"/>
      <c r="P188" s="2">
        <v>10</v>
      </c>
      <c r="Q188" s="2"/>
      <c r="R188" s="19">
        <f t="shared" si="17"/>
        <v>8.72278060564364E-7</v>
      </c>
      <c r="S188" s="2"/>
      <c r="T188" s="2"/>
      <c r="U188" s="2"/>
      <c r="V188" s="19">
        <f t="shared" si="18"/>
        <v>0</v>
      </c>
      <c r="W188" s="2"/>
      <c r="X188" s="2">
        <f t="shared" si="19"/>
        <v>10</v>
      </c>
      <c r="Y188" s="2"/>
      <c r="Z188" s="19">
        <f t="shared" si="20"/>
        <v>0</v>
      </c>
    </row>
    <row r="189" spans="1:26" s="24" customFormat="1" hidden="1" outlineLevel="1" x14ac:dyDescent="0.25">
      <c r="A189" s="44"/>
      <c r="B189" s="11" t="str">
        <f>CONCATENATE("          ", "5586", " - ", "FREIGHT-IN-COMPUTER SUPPLIES")</f>
        <v xml:space="preserve">          5586 - FREIGHT-IN-COMPUTER SUPPLIES</v>
      </c>
      <c r="C189" s="11"/>
      <c r="D189" s="2"/>
      <c r="E189" s="2"/>
      <c r="F189" s="19">
        <f t="shared" si="13"/>
        <v>0</v>
      </c>
      <c r="G189" s="2"/>
      <c r="H189" s="2"/>
      <c r="I189" s="2"/>
      <c r="J189" s="19">
        <f t="shared" si="14"/>
        <v>0</v>
      </c>
      <c r="K189" s="2"/>
      <c r="L189" s="2">
        <f t="shared" si="15"/>
        <v>0</v>
      </c>
      <c r="M189" s="2"/>
      <c r="N189" s="19">
        <f t="shared" si="16"/>
        <v>0</v>
      </c>
      <c r="O189" s="11"/>
      <c r="P189" s="2">
        <v>301.27</v>
      </c>
      <c r="Q189" s="2"/>
      <c r="R189" s="19">
        <f t="shared" si="17"/>
        <v>2.6279121130622592E-5</v>
      </c>
      <c r="S189" s="2"/>
      <c r="T189" s="2"/>
      <c r="U189" s="2"/>
      <c r="V189" s="19">
        <f t="shared" si="18"/>
        <v>0</v>
      </c>
      <c r="W189" s="2"/>
      <c r="X189" s="2">
        <f t="shared" si="19"/>
        <v>301.27</v>
      </c>
      <c r="Y189" s="2"/>
      <c r="Z189" s="19">
        <f t="shared" si="20"/>
        <v>0</v>
      </c>
    </row>
    <row r="190" spans="1:26" s="24" customFormat="1" hidden="1" outlineLevel="1" x14ac:dyDescent="0.25">
      <c r="A190" s="44"/>
      <c r="B190" s="11" t="str">
        <f>CONCATENATE("          ", "5592", " - ", "FREIGHT-IN-GRAD MERCH")</f>
        <v xml:space="preserve">          5592 - FREIGHT-IN-GRAD MERCH</v>
      </c>
      <c r="C190" s="11"/>
      <c r="D190" s="2">
        <v>41.32</v>
      </c>
      <c r="E190" s="2"/>
      <c r="F190" s="19">
        <f t="shared" si="13"/>
        <v>1.1503791685375645E-4</v>
      </c>
      <c r="G190" s="2"/>
      <c r="H190" s="2"/>
      <c r="I190" s="2"/>
      <c r="J190" s="19">
        <f t="shared" si="14"/>
        <v>0</v>
      </c>
      <c r="K190" s="2"/>
      <c r="L190" s="2">
        <f t="shared" si="15"/>
        <v>41.32</v>
      </c>
      <c r="M190" s="2"/>
      <c r="N190" s="19">
        <f t="shared" si="16"/>
        <v>0</v>
      </c>
      <c r="O190" s="11"/>
      <c r="P190" s="2">
        <v>160.05000000000001</v>
      </c>
      <c r="Q190" s="2"/>
      <c r="R190" s="19">
        <f t="shared" si="17"/>
        <v>1.3960810359332646E-5</v>
      </c>
      <c r="S190" s="2"/>
      <c r="T190" s="2"/>
      <c r="U190" s="2"/>
      <c r="V190" s="19">
        <f t="shared" si="18"/>
        <v>0</v>
      </c>
      <c r="W190" s="2"/>
      <c r="X190" s="2">
        <f t="shared" si="19"/>
        <v>160.05000000000001</v>
      </c>
      <c r="Y190" s="2"/>
      <c r="Z190" s="19">
        <f t="shared" si="20"/>
        <v>0</v>
      </c>
    </row>
    <row r="191" spans="1:26" x14ac:dyDescent="0.25">
      <c r="A191" s="9"/>
      <c r="B191" s="10"/>
      <c r="C191" s="10"/>
      <c r="D191" s="3"/>
      <c r="E191" s="3"/>
      <c r="F191" s="8"/>
      <c r="G191" s="3"/>
      <c r="H191" s="3"/>
      <c r="I191" s="3"/>
      <c r="J191" s="8"/>
      <c r="K191" s="3"/>
      <c r="L191" s="3"/>
      <c r="M191" s="3"/>
      <c r="N191" s="8"/>
      <c r="O191" s="10"/>
      <c r="P191" s="3"/>
      <c r="Q191" s="3"/>
      <c r="R191" s="8"/>
      <c r="S191" s="3"/>
      <c r="T191" s="3"/>
      <c r="U191" s="3"/>
      <c r="V191" s="8"/>
      <c r="W191" s="3"/>
      <c r="X191" s="3"/>
      <c r="Y191" s="3"/>
      <c r="Z191" s="8"/>
    </row>
    <row r="192" spans="1:26" s="23" customFormat="1" x14ac:dyDescent="0.25">
      <c r="A192" s="10"/>
      <c r="B192" s="29" t="s">
        <v>6</v>
      </c>
      <c r="C192" s="29"/>
      <c r="D192" s="20">
        <f>D12-D131</f>
        <v>114895.93999999986</v>
      </c>
      <c r="E192" s="14"/>
      <c r="F192" s="22">
        <f>IF(D$12=0,0,D192/D$12)</f>
        <v>0.31987874134932653</v>
      </c>
      <c r="G192" s="14"/>
      <c r="H192" s="20">
        <f>H12-H131</f>
        <v>585695.35178999999</v>
      </c>
      <c r="I192" s="14"/>
      <c r="J192" s="22">
        <f>IF(H$12=0,0,H192/H$12)</f>
        <v>0.46828368467668507</v>
      </c>
      <c r="K192" s="16"/>
      <c r="L192" s="20">
        <f>+D192-H192</f>
        <v>-470799.41179000016</v>
      </c>
      <c r="M192" s="16"/>
      <c r="N192" s="22">
        <f>IF(H192=0,0,L192/H192)</f>
        <v>-0.80382985856238187</v>
      </c>
      <c r="O192" s="28"/>
      <c r="P192" s="20">
        <f>P12-P131</f>
        <v>4095296.0900000064</v>
      </c>
      <c r="Q192" s="14"/>
      <c r="R192" s="22">
        <f>IF(P$12=0,0,P192/P$12)</f>
        <v>0.35722369308220286</v>
      </c>
      <c r="S192" s="14"/>
      <c r="T192" s="20">
        <f>T12-T131</f>
        <v>5634162.4343999997</v>
      </c>
      <c r="U192" s="14"/>
      <c r="V192" s="22">
        <f>IF(T$12=0,0,T192/T$12)</f>
        <v>0.40063817922783351</v>
      </c>
      <c r="W192" s="16"/>
      <c r="X192" s="20">
        <f>+P192-T192</f>
        <v>-1538866.3443999933</v>
      </c>
      <c r="Y192" s="16"/>
      <c r="Z192" s="22">
        <f>IF(T192=0,0,X192/T192)</f>
        <v>-0.27313134158225105</v>
      </c>
    </row>
    <row r="193" spans="1:26" x14ac:dyDescent="0.25">
      <c r="A193" s="9"/>
      <c r="B193" s="10"/>
      <c r="C193" s="9"/>
      <c r="D193" s="1"/>
      <c r="E193" s="1"/>
      <c r="F193" s="5"/>
      <c r="G193" s="1"/>
      <c r="H193" s="1"/>
      <c r="I193" s="1"/>
      <c r="J193" s="5"/>
      <c r="K193" s="1"/>
      <c r="L193" s="1"/>
      <c r="M193" s="1"/>
      <c r="N193" s="5"/>
      <c r="O193" s="36"/>
      <c r="P193" s="1"/>
      <c r="Q193" s="1"/>
      <c r="R193" s="5"/>
      <c r="S193" s="1"/>
      <c r="T193" s="1"/>
      <c r="U193" s="1"/>
      <c r="V193" s="5"/>
      <c r="W193" s="1"/>
      <c r="X193" s="1"/>
      <c r="Y193" s="1"/>
      <c r="Z193" s="5"/>
    </row>
    <row r="194" spans="1:26" s="23" customFormat="1" x14ac:dyDescent="0.25">
      <c r="A194" s="10"/>
      <c r="B194" s="28" t="s">
        <v>9</v>
      </c>
      <c r="C194" s="10"/>
      <c r="D194" s="21">
        <f>SUM(OSRRefD22x_0)</f>
        <v>258340.22</v>
      </c>
      <c r="E194" s="21"/>
      <c r="F194" s="30">
        <f t="shared" ref="F194:F205" si="21">IF(D$12=0,0,D194/D$12)</f>
        <v>0.71923815944678482</v>
      </c>
      <c r="G194" s="21"/>
      <c r="H194" s="21">
        <f>SUM(OSRRefH22x_0)</f>
        <v>408231.87610985694</v>
      </c>
      <c r="I194" s="21"/>
      <c r="J194" s="30">
        <f t="shared" ref="J194:J205" si="22">IF(H$12=0,0,H194/H$12)</f>
        <v>0.32639549991809202</v>
      </c>
      <c r="K194" s="4"/>
      <c r="L194" s="21">
        <f t="shared" ref="L194:L205" si="23">+D194-H194</f>
        <v>-149891.65610985694</v>
      </c>
      <c r="M194" s="4"/>
      <c r="N194" s="30">
        <f t="shared" ref="N194:N205" si="24">IF(H194=0,0,L194/H194)</f>
        <v>-0.36717283701168024</v>
      </c>
      <c r="O194" s="10"/>
      <c r="P194" s="21">
        <f>SUM(OSRRefP22x_0)</f>
        <v>4105023.53</v>
      </c>
      <c r="Q194" s="21"/>
      <c r="R194" s="30">
        <f t="shared" ref="R194:R205" si="25">IF(P$12=0,0,P194/P$12)</f>
        <v>0.35807219633194792</v>
      </c>
      <c r="S194" s="21"/>
      <c r="T194" s="21">
        <f>SUM(OSRRefT22x_0)</f>
        <v>4677089.3790434338</v>
      </c>
      <c r="U194" s="21"/>
      <c r="V194" s="30">
        <f t="shared" ref="V194:V205" si="26">IF(T$12=0,0,T194/T$12)</f>
        <v>0.33258192228626243</v>
      </c>
      <c r="W194" s="4"/>
      <c r="X194" s="21">
        <f t="shared" ref="X194:X205" si="27">+P194-T194</f>
        <v>-572065.84904343402</v>
      </c>
      <c r="Y194" s="4"/>
      <c r="Z194" s="30">
        <f t="shared" ref="Z194:Z205" si="28">IF(T194=0,0,X194/T194)</f>
        <v>-0.12231236195884584</v>
      </c>
    </row>
    <row r="195" spans="1:26" s="27" customFormat="1" outlineLevel="1" collapsed="1" x14ac:dyDescent="0.25">
      <c r="A195" s="25"/>
      <c r="B195" s="12" t="str">
        <f>CONCATENATE("     ","*Benefits                                         ")</f>
        <v xml:space="preserve">     *Benefits                                         </v>
      </c>
      <c r="C195" s="12"/>
      <c r="D195" s="1">
        <f>SUM(OSRRefD22_0x_0)</f>
        <v>37027.909999999996</v>
      </c>
      <c r="E195" s="1"/>
      <c r="F195" s="5">
        <f t="shared" si="21"/>
        <v>0.10308842284240989</v>
      </c>
      <c r="G195" s="1"/>
      <c r="H195" s="1">
        <f>SUM(OSRRefH22_0x_0)</f>
        <v>49980.405390121756</v>
      </c>
      <c r="I195" s="1"/>
      <c r="J195" s="5">
        <f t="shared" si="22"/>
        <v>3.9961062224909874E-2</v>
      </c>
      <c r="K195" s="1"/>
      <c r="L195" s="1">
        <f t="shared" si="23"/>
        <v>-12952.49539012176</v>
      </c>
      <c r="M195" s="1"/>
      <c r="N195" s="5">
        <f t="shared" si="24"/>
        <v>-0.2591514672404342</v>
      </c>
      <c r="O195" s="12"/>
      <c r="P195" s="1">
        <f>SUM(OSRRefP22_0x_0)</f>
        <v>512054.92</v>
      </c>
      <c r="Q195" s="1"/>
      <c r="R195" s="5">
        <f t="shared" si="25"/>
        <v>4.4665427252004057E-2</v>
      </c>
      <c r="S195" s="1"/>
      <c r="T195" s="1">
        <f>SUM(OSRRefT22_0x_0)</f>
        <v>568867.12143781933</v>
      </c>
      <c r="U195" s="1"/>
      <c r="V195" s="5">
        <f t="shared" si="26"/>
        <v>4.0451422977068933E-2</v>
      </c>
      <c r="W195" s="1"/>
      <c r="X195" s="1">
        <f t="shared" si="27"/>
        <v>-56812.201437819342</v>
      </c>
      <c r="Y195" s="1"/>
      <c r="Z195" s="5">
        <f t="shared" si="28"/>
        <v>-9.9869019137941634E-2</v>
      </c>
    </row>
    <row r="196" spans="1:26" s="24" customFormat="1" hidden="1" outlineLevel="2" x14ac:dyDescent="0.25">
      <c r="A196" s="26"/>
      <c r="B196" s="11" t="str">
        <f>CONCATENATE("          ", "6111", " - ", "F.I.C.A.")</f>
        <v xml:space="preserve">          6111 - F.I.C.A.</v>
      </c>
      <c r="C196" s="11"/>
      <c r="D196" s="7">
        <v>6460.84</v>
      </c>
      <c r="E196" s="2"/>
      <c r="F196" s="6">
        <f t="shared" si="21"/>
        <v>1.7987453405745979E-2</v>
      </c>
      <c r="G196" s="2"/>
      <c r="H196" s="7">
        <v>9283.3722905123086</v>
      </c>
      <c r="I196" s="2"/>
      <c r="J196" s="6">
        <f t="shared" si="22"/>
        <v>7.4223771268467241E-3</v>
      </c>
      <c r="K196" s="2"/>
      <c r="L196" s="7">
        <f t="shared" si="23"/>
        <v>-2822.5322905123085</v>
      </c>
      <c r="M196" s="2"/>
      <c r="N196" s="6">
        <f t="shared" si="24"/>
        <v>-0.30404169973846273</v>
      </c>
      <c r="O196" s="11"/>
      <c r="P196" s="7">
        <v>107459.35</v>
      </c>
      <c r="Q196" s="2"/>
      <c r="R196" s="6">
        <f t="shared" si="25"/>
        <v>9.3734433407507197E-3</v>
      </c>
      <c r="S196" s="2"/>
      <c r="T196" s="7">
        <v>105975.24654616042</v>
      </c>
      <c r="U196" s="2"/>
      <c r="V196" s="6">
        <f t="shared" si="26"/>
        <v>7.5357660191413918E-3</v>
      </c>
      <c r="W196" s="2"/>
      <c r="X196" s="7">
        <f t="shared" si="27"/>
        <v>1484.1034538395907</v>
      </c>
      <c r="Y196" s="2"/>
      <c r="Z196" s="6">
        <f t="shared" si="28"/>
        <v>1.4004246295319057E-2</v>
      </c>
    </row>
    <row r="197" spans="1:26" s="24" customFormat="1" hidden="1" outlineLevel="2" x14ac:dyDescent="0.25">
      <c r="A197" s="26"/>
      <c r="B197" s="11" t="str">
        <f>CONCATENATE("          ", "6112", " - ", "COMPENSATION INSURANCE")</f>
        <v xml:space="preserve">          6112 - COMPENSATION INSURANCE</v>
      </c>
      <c r="C197" s="11"/>
      <c r="D197" s="7">
        <v>2012.72</v>
      </c>
      <c r="E197" s="2"/>
      <c r="F197" s="6">
        <f t="shared" si="21"/>
        <v>5.6035604068221849E-3</v>
      </c>
      <c r="G197" s="2"/>
      <c r="H197" s="7">
        <v>3715.3265568538459</v>
      </c>
      <c r="I197" s="2"/>
      <c r="J197" s="6">
        <f t="shared" si="22"/>
        <v>2.9705320428161297E-3</v>
      </c>
      <c r="K197" s="2"/>
      <c r="L197" s="7">
        <f t="shared" si="23"/>
        <v>-1702.6065568538459</v>
      </c>
      <c r="M197" s="2"/>
      <c r="N197" s="6">
        <f t="shared" si="24"/>
        <v>-0.45826565466041302</v>
      </c>
      <c r="O197" s="11"/>
      <c r="P197" s="7">
        <v>28304.489999999998</v>
      </c>
      <c r="Q197" s="2"/>
      <c r="R197" s="6">
        <f t="shared" si="25"/>
        <v>2.4689385642463432E-3</v>
      </c>
      <c r="S197" s="2"/>
      <c r="T197" s="7">
        <v>41260.011697146132</v>
      </c>
      <c r="U197" s="2"/>
      <c r="V197" s="6">
        <f t="shared" si="26"/>
        <v>2.9339473530858732E-3</v>
      </c>
      <c r="W197" s="2"/>
      <c r="X197" s="7">
        <f t="shared" si="27"/>
        <v>-12955.521697146134</v>
      </c>
      <c r="Y197" s="2"/>
      <c r="Z197" s="6">
        <f t="shared" si="28"/>
        <v>-0.31399704372944326</v>
      </c>
    </row>
    <row r="198" spans="1:26" s="24" customFormat="1" hidden="1" outlineLevel="2" x14ac:dyDescent="0.25">
      <c r="A198" s="26"/>
      <c r="B198" s="11" t="str">
        <f>CONCATENATE("          ", "6113", " - ", "GROUP INSURANCE")</f>
        <v xml:space="preserve">          6113 - GROUP INSURANCE</v>
      </c>
      <c r="C198" s="11"/>
      <c r="D198" s="7">
        <v>14448.96</v>
      </c>
      <c r="E198" s="2"/>
      <c r="F198" s="6">
        <f t="shared" si="21"/>
        <v>4.0226966580427216E-2</v>
      </c>
      <c r="G198" s="2"/>
      <c r="H198" s="7">
        <v>19697.01923076923</v>
      </c>
      <c r="I198" s="2"/>
      <c r="J198" s="6">
        <f t="shared" si="22"/>
        <v>1.57484479163825E-2</v>
      </c>
      <c r="K198" s="2"/>
      <c r="L198" s="7">
        <f t="shared" si="23"/>
        <v>-5248.0592307692314</v>
      </c>
      <c r="M198" s="2"/>
      <c r="N198" s="6">
        <f t="shared" si="24"/>
        <v>-0.26643926013795532</v>
      </c>
      <c r="O198" s="11"/>
      <c r="P198" s="7">
        <v>202620.76</v>
      </c>
      <c r="Q198" s="2"/>
      <c r="R198" s="6">
        <f t="shared" si="25"/>
        <v>1.7674164356287748E-2</v>
      </c>
      <c r="S198" s="2"/>
      <c r="T198" s="7">
        <v>218553.98076923078</v>
      </c>
      <c r="U198" s="2"/>
      <c r="V198" s="6">
        <f t="shared" si="26"/>
        <v>1.5541097712015863E-2</v>
      </c>
      <c r="W198" s="2"/>
      <c r="X198" s="7">
        <f t="shared" si="27"/>
        <v>-15933.220769230771</v>
      </c>
      <c r="Y198" s="2"/>
      <c r="Z198" s="6">
        <f t="shared" si="28"/>
        <v>-7.2902908074021847E-2</v>
      </c>
    </row>
    <row r="199" spans="1:26" s="24" customFormat="1" hidden="1" outlineLevel="2" x14ac:dyDescent="0.25">
      <c r="A199" s="26"/>
      <c r="B199" s="11" t="str">
        <f>CONCATENATE("          ", "6114", " - ", "STATE UNEMPLOYMENT INSURANCE")</f>
        <v xml:space="preserve">          6114 - STATE UNEMPLOYMENT INSURANCE</v>
      </c>
      <c r="C199" s="11"/>
      <c r="D199" s="7">
        <v>358.02</v>
      </c>
      <c r="E199" s="2"/>
      <c r="F199" s="6">
        <f t="shared" si="21"/>
        <v>9.9675399302957129E-4</v>
      </c>
      <c r="G199" s="2"/>
      <c r="H199" s="7">
        <v>525.86931806703149</v>
      </c>
      <c r="I199" s="2"/>
      <c r="J199" s="6">
        <f t="shared" si="22"/>
        <v>4.2045070217859576E-4</v>
      </c>
      <c r="K199" s="2"/>
      <c r="L199" s="7">
        <f t="shared" si="23"/>
        <v>-167.8493180670315</v>
      </c>
      <c r="M199" s="2"/>
      <c r="N199" s="6">
        <f t="shared" si="24"/>
        <v>-0.31918446712959986</v>
      </c>
      <c r="O199" s="11"/>
      <c r="P199" s="7">
        <v>5426.32</v>
      </c>
      <c r="Q199" s="2"/>
      <c r="R199" s="6">
        <f t="shared" si="25"/>
        <v>4.7332598856016192E-4</v>
      </c>
      <c r="S199" s="2"/>
      <c r="T199" s="7">
        <v>5848.5562951820357</v>
      </c>
      <c r="U199" s="2"/>
      <c r="V199" s="6">
        <f t="shared" si="26"/>
        <v>4.1588345605849482E-4</v>
      </c>
      <c r="W199" s="2"/>
      <c r="X199" s="7">
        <f t="shared" si="27"/>
        <v>-422.23629518203597</v>
      </c>
      <c r="Y199" s="2"/>
      <c r="Z199" s="6">
        <f t="shared" si="28"/>
        <v>-7.2194961264178778E-2</v>
      </c>
    </row>
    <row r="200" spans="1:26" s="24" customFormat="1" hidden="1" outlineLevel="2" x14ac:dyDescent="0.25">
      <c r="A200" s="26"/>
      <c r="B200" s="11" t="str">
        <f>CONCATENATE("          ", "6115", " - ", "P.E.R.S.")</f>
        <v xml:space="preserve">          6115 - P.E.R.S.</v>
      </c>
      <c r="C200" s="11"/>
      <c r="D200" s="7">
        <v>4823.4799999999996</v>
      </c>
      <c r="E200" s="2"/>
      <c r="F200" s="6">
        <f t="shared" si="21"/>
        <v>1.3428922826373599E-2</v>
      </c>
      <c r="G200" s="2"/>
      <c r="H200" s="7">
        <v>6361.9776405384546</v>
      </c>
      <c r="I200" s="2"/>
      <c r="J200" s="6">
        <f t="shared" si="22"/>
        <v>5.0866210944597373E-3</v>
      </c>
      <c r="K200" s="2"/>
      <c r="L200" s="7">
        <f t="shared" si="23"/>
        <v>-1538.497640538455</v>
      </c>
      <c r="M200" s="2"/>
      <c r="N200" s="6">
        <f t="shared" si="24"/>
        <v>-0.24182694870462357</v>
      </c>
      <c r="O200" s="11"/>
      <c r="P200" s="7">
        <v>77108.89</v>
      </c>
      <c r="Q200" s="2"/>
      <c r="R200" s="6">
        <f t="shared" si="25"/>
        <v>6.7260393021470882E-3</v>
      </c>
      <c r="S200" s="2"/>
      <c r="T200" s="7">
        <v>75957.350886461456</v>
      </c>
      <c r="U200" s="2"/>
      <c r="V200" s="6">
        <f t="shared" si="26"/>
        <v>5.4012313475946712E-3</v>
      </c>
      <c r="W200" s="2"/>
      <c r="X200" s="7">
        <f t="shared" si="27"/>
        <v>1151.5391135385435</v>
      </c>
      <c r="Y200" s="2"/>
      <c r="Z200" s="6">
        <f t="shared" si="28"/>
        <v>1.5160338006782598E-2</v>
      </c>
    </row>
    <row r="201" spans="1:26" s="24" customFormat="1" hidden="1" outlineLevel="2" x14ac:dyDescent="0.25">
      <c r="A201" s="26"/>
      <c r="B201" s="11" t="str">
        <f>CONCATENATE("          ", "6116", " - ", "EDUCATIONAL BENEFITS")</f>
        <v xml:space="preserve">          6116 - EDUCATIONAL BENEFITS</v>
      </c>
      <c r="C201" s="11"/>
      <c r="D201" s="7"/>
      <c r="E201" s="2"/>
      <c r="F201" s="6">
        <f t="shared" si="21"/>
        <v>0</v>
      </c>
      <c r="G201" s="2"/>
      <c r="H201" s="7">
        <v>0</v>
      </c>
      <c r="I201" s="2"/>
      <c r="J201" s="6">
        <f t="shared" si="22"/>
        <v>0</v>
      </c>
      <c r="K201" s="2"/>
      <c r="L201" s="7">
        <f t="shared" si="23"/>
        <v>0</v>
      </c>
      <c r="M201" s="2"/>
      <c r="N201" s="6">
        <f t="shared" si="24"/>
        <v>0</v>
      </c>
      <c r="O201" s="11"/>
      <c r="P201" s="7"/>
      <c r="Q201" s="2"/>
      <c r="R201" s="6">
        <f t="shared" si="25"/>
        <v>0</v>
      </c>
      <c r="S201" s="2"/>
      <c r="T201" s="7">
        <v>0</v>
      </c>
      <c r="U201" s="2"/>
      <c r="V201" s="6">
        <f t="shared" si="26"/>
        <v>0</v>
      </c>
      <c r="W201" s="2"/>
      <c r="X201" s="7">
        <f t="shared" si="27"/>
        <v>0</v>
      </c>
      <c r="Y201" s="2"/>
      <c r="Z201" s="6">
        <f t="shared" si="28"/>
        <v>0</v>
      </c>
    </row>
    <row r="202" spans="1:26" s="24" customFormat="1" hidden="1" outlineLevel="2" x14ac:dyDescent="0.25">
      <c r="A202" s="26"/>
      <c r="B202" s="11" t="str">
        <f>CONCATENATE("          ", "6117", " - ", "RETIREMENT STAFF HOURLY")</f>
        <v xml:space="preserve">          6117 - RETIREMENT STAFF HOURLY</v>
      </c>
      <c r="C202" s="11"/>
      <c r="D202" s="7">
        <v>349.85</v>
      </c>
      <c r="E202" s="2"/>
      <c r="F202" s="6">
        <f t="shared" si="21"/>
        <v>9.7400811256744186E-4</v>
      </c>
      <c r="G202" s="2"/>
      <c r="H202" s="7"/>
      <c r="I202" s="2"/>
      <c r="J202" s="6">
        <f t="shared" si="22"/>
        <v>0</v>
      </c>
      <c r="K202" s="2"/>
      <c r="L202" s="7">
        <f t="shared" si="23"/>
        <v>349.85</v>
      </c>
      <c r="M202" s="2"/>
      <c r="N202" s="6">
        <f t="shared" si="24"/>
        <v>0</v>
      </c>
      <c r="O202" s="11"/>
      <c r="P202" s="7">
        <v>3739.96</v>
      </c>
      <c r="Q202" s="2"/>
      <c r="R202" s="6">
        <f t="shared" si="25"/>
        <v>3.2622850553882989E-4</v>
      </c>
      <c r="S202" s="2"/>
      <c r="T202" s="7"/>
      <c r="U202" s="2"/>
      <c r="V202" s="6">
        <f t="shared" si="26"/>
        <v>0</v>
      </c>
      <c r="W202" s="2"/>
      <c r="X202" s="7">
        <f t="shared" si="27"/>
        <v>3739.96</v>
      </c>
      <c r="Y202" s="2"/>
      <c r="Z202" s="6">
        <f t="shared" si="28"/>
        <v>0</v>
      </c>
    </row>
    <row r="203" spans="1:26" s="24" customFormat="1" hidden="1" outlineLevel="2" x14ac:dyDescent="0.25">
      <c r="A203" s="26"/>
      <c r="B203" s="11" t="str">
        <f>CONCATENATE("          ", "6118", " - ", "VACATION")</f>
        <v xml:space="preserve">          6118 - VACATION</v>
      </c>
      <c r="C203" s="11"/>
      <c r="D203" s="7">
        <v>4751.04</v>
      </c>
      <c r="E203" s="2"/>
      <c r="F203" s="6">
        <f t="shared" si="21"/>
        <v>1.3227244542325049E-2</v>
      </c>
      <c r="G203" s="2"/>
      <c r="H203" s="7">
        <v>4591.3221527846117</v>
      </c>
      <c r="I203" s="2"/>
      <c r="J203" s="6">
        <f t="shared" si="22"/>
        <v>3.6709208100640031E-3</v>
      </c>
      <c r="K203" s="2"/>
      <c r="L203" s="7">
        <f t="shared" si="23"/>
        <v>159.71784721538825</v>
      </c>
      <c r="M203" s="2"/>
      <c r="N203" s="6">
        <f t="shared" si="24"/>
        <v>3.4786896214311656E-2</v>
      </c>
      <c r="O203" s="11"/>
      <c r="P203" s="7">
        <v>65758</v>
      </c>
      <c r="Q203" s="2"/>
      <c r="R203" s="6">
        <f t="shared" si="25"/>
        <v>5.7359260706591449E-3</v>
      </c>
      <c r="S203" s="2"/>
      <c r="T203" s="7">
        <v>54811.32183341535</v>
      </c>
      <c r="U203" s="2"/>
      <c r="V203" s="6">
        <f t="shared" si="26"/>
        <v>3.8975639123100402E-3</v>
      </c>
      <c r="W203" s="2"/>
      <c r="X203" s="7">
        <f t="shared" si="27"/>
        <v>10946.67816658465</v>
      </c>
      <c r="Y203" s="2"/>
      <c r="Z203" s="6">
        <f t="shared" si="28"/>
        <v>0.19971563903994524</v>
      </c>
    </row>
    <row r="204" spans="1:26" s="24" customFormat="1" hidden="1" outlineLevel="2" x14ac:dyDescent="0.25">
      <c r="A204" s="26"/>
      <c r="B204" s="11" t="str">
        <f>CONCATENATE("          ", "6119", " - ", "SICK LEAVE")</f>
        <v xml:space="preserve">          6119 - SICK LEAVE</v>
      </c>
      <c r="C204" s="11"/>
      <c r="D204" s="7">
        <v>3114.01</v>
      </c>
      <c r="E204" s="2"/>
      <c r="F204" s="6">
        <f t="shared" si="21"/>
        <v>8.6696327072063439E-3</v>
      </c>
      <c r="G204" s="2"/>
      <c r="H204" s="7">
        <v>4255.5182005962724</v>
      </c>
      <c r="I204" s="2"/>
      <c r="J204" s="6">
        <f t="shared" si="22"/>
        <v>3.4024339395789336E-3</v>
      </c>
      <c r="K204" s="2"/>
      <c r="L204" s="7">
        <f t="shared" si="23"/>
        <v>-1141.5082005962722</v>
      </c>
      <c r="M204" s="2"/>
      <c r="N204" s="6">
        <f t="shared" si="24"/>
        <v>-0.26824187955213702</v>
      </c>
      <c r="O204" s="11"/>
      <c r="P204" s="7">
        <v>952.98</v>
      </c>
      <c r="Q204" s="2"/>
      <c r="R204" s="6">
        <f t="shared" si="25"/>
        <v>8.3126354615662765E-5</v>
      </c>
      <c r="S204" s="2"/>
      <c r="T204" s="7">
        <v>49410.653410223182</v>
      </c>
      <c r="U204" s="2"/>
      <c r="V204" s="6">
        <f t="shared" si="26"/>
        <v>3.5135291975012923E-3</v>
      </c>
      <c r="W204" s="2"/>
      <c r="X204" s="7">
        <f t="shared" si="27"/>
        <v>-48457.673410223179</v>
      </c>
      <c r="Y204" s="2"/>
      <c r="Z204" s="6">
        <f t="shared" si="28"/>
        <v>-0.98071306622707344</v>
      </c>
    </row>
    <row r="205" spans="1:26" s="24" customFormat="1" hidden="1" outlineLevel="2" x14ac:dyDescent="0.25">
      <c r="A205" s="26"/>
      <c r="B205" s="11" t="str">
        <f>CONCATENATE("          ", "6156", " - ", "EMPLOYEE MEALS")</f>
        <v xml:space="preserve">          6156 - EMPLOYEE MEALS</v>
      </c>
      <c r="C205" s="11"/>
      <c r="D205" s="7">
        <v>708.99</v>
      </c>
      <c r="E205" s="2"/>
      <c r="F205" s="6">
        <f t="shared" si="21"/>
        <v>1.9738802679125068E-3</v>
      </c>
      <c r="G205" s="2"/>
      <c r="H205" s="7">
        <v>1550</v>
      </c>
      <c r="I205" s="2"/>
      <c r="J205" s="6">
        <f t="shared" si="22"/>
        <v>1.2392785925832487E-3</v>
      </c>
      <c r="K205" s="2"/>
      <c r="L205" s="7">
        <f t="shared" si="23"/>
        <v>-841.01</v>
      </c>
      <c r="M205" s="2"/>
      <c r="N205" s="6">
        <f t="shared" si="24"/>
        <v>-0.54258709677419359</v>
      </c>
      <c r="O205" s="11"/>
      <c r="P205" s="7">
        <v>20684.169999999998</v>
      </c>
      <c r="Q205" s="2"/>
      <c r="R205" s="6">
        <f t="shared" si="25"/>
        <v>1.80423476919836E-3</v>
      </c>
      <c r="S205" s="2"/>
      <c r="T205" s="7">
        <v>17050</v>
      </c>
      <c r="U205" s="2"/>
      <c r="V205" s="6">
        <f t="shared" si="26"/>
        <v>1.2124039793613092E-3</v>
      </c>
      <c r="W205" s="2"/>
      <c r="X205" s="7">
        <f t="shared" si="27"/>
        <v>3634.1699999999983</v>
      </c>
      <c r="Y205" s="2"/>
      <c r="Z205" s="6">
        <f t="shared" si="28"/>
        <v>0.21314780058651017</v>
      </c>
    </row>
    <row r="206" spans="1:26" s="27" customFormat="1" outlineLevel="1" collapsed="1" x14ac:dyDescent="0.25">
      <c r="A206" s="25"/>
      <c r="B206" s="12" t="str">
        <f>CONCATENATE("     ","*Payroll                                          ")</f>
        <v xml:space="preserve">     *Payroll                                          </v>
      </c>
      <c r="C206" s="12"/>
      <c r="D206" s="1">
        <f>SUM(OSRRefD22_1x_0)</f>
        <v>89064.640000000014</v>
      </c>
      <c r="E206" s="1"/>
      <c r="F206" s="5">
        <f t="shared" ref="F206:F216" si="29">IF(D$12=0,0,D206/D$12)</f>
        <v>0.24796250365270456</v>
      </c>
      <c r="G206" s="1"/>
      <c r="H206" s="1">
        <f>SUM(OSRRefH22_1x_0)</f>
        <v>194487.97071973517</v>
      </c>
      <c r="I206" s="1"/>
      <c r="J206" s="5">
        <f t="shared" ref="J206:J216" si="30">IF(H$12=0,0,H206/H$12)</f>
        <v>0.15549985717930676</v>
      </c>
      <c r="K206" s="1"/>
      <c r="L206" s="1">
        <f t="shared" ref="L206:L216" si="31">+D206-H206</f>
        <v>-105423.33071973515</v>
      </c>
      <c r="M206" s="1"/>
      <c r="N206" s="5">
        <f t="shared" ref="N206:N216" si="32">IF(H206=0,0,L206/H206)</f>
        <v>-0.54205579054374697</v>
      </c>
      <c r="O206" s="12"/>
      <c r="P206" s="1">
        <f>SUM(OSRRefP22_1x_0)</f>
        <v>1895731.9899999998</v>
      </c>
      <c r="Q206" s="1"/>
      <c r="R206" s="5">
        <f t="shared" ref="R206:R216" si="33">IF(P$12=0,0,P206/P$12)</f>
        <v>0.16536054235870221</v>
      </c>
      <c r="S206" s="1"/>
      <c r="T206" s="1">
        <f>SUM(OSRRefT22_1x_0)</f>
        <v>2158516.7576056141</v>
      </c>
      <c r="U206" s="1"/>
      <c r="V206" s="5">
        <f t="shared" ref="V206:V216" si="34">IF(T$12=0,0,T206/T$12)</f>
        <v>0.15348940213719162</v>
      </c>
      <c r="W206" s="1"/>
      <c r="X206" s="1">
        <f t="shared" ref="X206:X216" si="35">+P206-T206</f>
        <v>-262784.76760561438</v>
      </c>
      <c r="Y206" s="1"/>
      <c r="Z206" s="5">
        <f t="shared" ref="Z206:Z216" si="36">IF(T206=0,0,X206/T206)</f>
        <v>-0.121743214028653</v>
      </c>
    </row>
    <row r="207" spans="1:26" s="24" customFormat="1" hidden="1" outlineLevel="2" x14ac:dyDescent="0.25">
      <c r="A207" s="26"/>
      <c r="B207" s="11" t="str">
        <f>CONCATENATE("          ", "6001", " - ", "ADMINISTRATIVE SALARIES")</f>
        <v xml:space="preserve">          6001 - ADMINISTRATIVE SALARIES</v>
      </c>
      <c r="C207" s="11"/>
      <c r="D207" s="7"/>
      <c r="E207" s="2"/>
      <c r="F207" s="6">
        <f t="shared" si="29"/>
        <v>0</v>
      </c>
      <c r="G207" s="2"/>
      <c r="H207" s="7">
        <v>27651.922292615382</v>
      </c>
      <c r="I207" s="2"/>
      <c r="J207" s="6">
        <f t="shared" si="30"/>
        <v>2.2108667961944353E-2</v>
      </c>
      <c r="K207" s="2"/>
      <c r="L207" s="7">
        <f t="shared" si="31"/>
        <v>-27651.922292615382</v>
      </c>
      <c r="M207" s="2"/>
      <c r="N207" s="6">
        <f t="shared" si="32"/>
        <v>-1</v>
      </c>
      <c r="O207" s="11"/>
      <c r="P207" s="7">
        <v>93238.31</v>
      </c>
      <c r="Q207" s="2"/>
      <c r="R207" s="6">
        <f t="shared" si="33"/>
        <v>8.1329732217098934E-3</v>
      </c>
      <c r="S207" s="2"/>
      <c r="T207" s="7">
        <v>331823.06751138461</v>
      </c>
      <c r="U207" s="2"/>
      <c r="V207" s="6">
        <f t="shared" si="34"/>
        <v>2.35955195011542E-2</v>
      </c>
      <c r="W207" s="2"/>
      <c r="X207" s="7">
        <f t="shared" si="35"/>
        <v>-238584.75751138461</v>
      </c>
      <c r="Y207" s="2"/>
      <c r="Z207" s="6">
        <f t="shared" si="36"/>
        <v>-0.71901197014640628</v>
      </c>
    </row>
    <row r="208" spans="1:26" s="24" customFormat="1" hidden="1" outlineLevel="2" x14ac:dyDescent="0.25">
      <c r="A208" s="26"/>
      <c r="B208" s="11" t="str">
        <f>CONCATENATE("          ", "6002", " - ", "STAFF SALARIES")</f>
        <v xml:space="preserve">          6002 - STAFF SALARIES</v>
      </c>
      <c r="C208" s="11"/>
      <c r="D208" s="7">
        <v>47195.77</v>
      </c>
      <c r="E208" s="2"/>
      <c r="F208" s="6">
        <f t="shared" si="29"/>
        <v>0.13139649237921133</v>
      </c>
      <c r="G208" s="2"/>
      <c r="H208" s="7">
        <v>39749.506545646182</v>
      </c>
      <c r="I208" s="2"/>
      <c r="J208" s="6">
        <f t="shared" si="30"/>
        <v>3.1781104856623887E-2</v>
      </c>
      <c r="K208" s="2"/>
      <c r="L208" s="7">
        <f t="shared" si="31"/>
        <v>7446.2634543538152</v>
      </c>
      <c r="M208" s="2"/>
      <c r="N208" s="6">
        <f t="shared" si="32"/>
        <v>0.18732970800034787</v>
      </c>
      <c r="O208" s="11"/>
      <c r="P208" s="7">
        <v>645340.99</v>
      </c>
      <c r="Q208" s="2"/>
      <c r="R208" s="6">
        <f t="shared" si="33"/>
        <v>5.6291678715988662E-2</v>
      </c>
      <c r="S208" s="2"/>
      <c r="T208" s="7">
        <v>472980.51054775401</v>
      </c>
      <c r="U208" s="2"/>
      <c r="V208" s="6">
        <f t="shared" si="34"/>
        <v>3.3633047105480395E-2</v>
      </c>
      <c r="W208" s="2"/>
      <c r="X208" s="7">
        <f t="shared" si="35"/>
        <v>172360.47945224599</v>
      </c>
      <c r="Y208" s="2"/>
      <c r="Z208" s="6">
        <f t="shared" si="36"/>
        <v>0.36441349190611899</v>
      </c>
    </row>
    <row r="209" spans="1:26" s="24" customFormat="1" hidden="1" outlineLevel="2" x14ac:dyDescent="0.25">
      <c r="A209" s="26"/>
      <c r="B209" s="11" t="str">
        <f>CONCATENATE("          ", "6003", " - ", "STAFF HOURLY-9 MONTH")</f>
        <v xml:space="preserve">          6003 - STAFF HOURLY-9 MONTH</v>
      </c>
      <c r="C209" s="11"/>
      <c r="D209" s="7"/>
      <c r="E209" s="2"/>
      <c r="F209" s="6">
        <f t="shared" si="29"/>
        <v>0</v>
      </c>
      <c r="G209" s="2"/>
      <c r="H209" s="7">
        <v>0</v>
      </c>
      <c r="I209" s="2"/>
      <c r="J209" s="6">
        <f t="shared" si="30"/>
        <v>0</v>
      </c>
      <c r="K209" s="2"/>
      <c r="L209" s="7">
        <f t="shared" si="31"/>
        <v>0</v>
      </c>
      <c r="M209" s="2"/>
      <c r="N209" s="6">
        <f t="shared" si="32"/>
        <v>0</v>
      </c>
      <c r="O209" s="11"/>
      <c r="P209" s="7"/>
      <c r="Q209" s="2"/>
      <c r="R209" s="6">
        <f t="shared" si="33"/>
        <v>0</v>
      </c>
      <c r="S209" s="2"/>
      <c r="T209" s="7">
        <v>0</v>
      </c>
      <c r="U209" s="2"/>
      <c r="V209" s="6">
        <f t="shared" si="34"/>
        <v>0</v>
      </c>
      <c r="W209" s="2"/>
      <c r="X209" s="7">
        <f t="shared" si="35"/>
        <v>0</v>
      </c>
      <c r="Y209" s="2"/>
      <c r="Z209" s="6">
        <f t="shared" si="36"/>
        <v>0</v>
      </c>
    </row>
    <row r="210" spans="1:26" s="24" customFormat="1" hidden="1" outlineLevel="2" x14ac:dyDescent="0.25">
      <c r="A210" s="26"/>
      <c r="B210" s="11" t="str">
        <f>CONCATENATE("          ", "6004", " - ", "STAFF HOURLY")</f>
        <v xml:space="preserve">          6004 - STAFF HOURLY</v>
      </c>
      <c r="C210" s="11"/>
      <c r="D210" s="7">
        <v>13803.95</v>
      </c>
      <c r="E210" s="2"/>
      <c r="F210" s="6">
        <f t="shared" si="29"/>
        <v>3.8431211334787302E-2</v>
      </c>
      <c r="G210" s="2"/>
      <c r="H210" s="7">
        <v>23102.312382</v>
      </c>
      <c r="I210" s="2"/>
      <c r="J210" s="6">
        <f t="shared" si="30"/>
        <v>1.84710975317313E-2</v>
      </c>
      <c r="K210" s="2"/>
      <c r="L210" s="7">
        <f t="shared" si="31"/>
        <v>-9298.3623819999993</v>
      </c>
      <c r="M210" s="2"/>
      <c r="N210" s="6">
        <f t="shared" si="32"/>
        <v>-0.40248621991817368</v>
      </c>
      <c r="O210" s="11"/>
      <c r="P210" s="7">
        <v>71412.13</v>
      </c>
      <c r="Q210" s="2"/>
      <c r="R210" s="6">
        <f t="shared" si="33"/>
        <v>6.2291234257170237E-3</v>
      </c>
      <c r="S210" s="2"/>
      <c r="T210" s="7">
        <v>271839.62483400002</v>
      </c>
      <c r="U210" s="2"/>
      <c r="V210" s="6">
        <f t="shared" si="34"/>
        <v>1.9330172603919473E-2</v>
      </c>
      <c r="W210" s="2"/>
      <c r="X210" s="7">
        <f t="shared" si="35"/>
        <v>-200427.49483400001</v>
      </c>
      <c r="Y210" s="2"/>
      <c r="Z210" s="6">
        <f t="shared" si="36"/>
        <v>-0.73730051296381782</v>
      </c>
    </row>
    <row r="211" spans="1:26" s="24" customFormat="1" hidden="1" outlineLevel="2" x14ac:dyDescent="0.25">
      <c r="A211" s="26"/>
      <c r="B211" s="11" t="str">
        <f>CONCATENATE("          ", "6005", " - ", "TEMPORARY WAGES-HOURLY")</f>
        <v xml:space="preserve">          6005 - TEMPORARY WAGES-HOURLY</v>
      </c>
      <c r="C211" s="11"/>
      <c r="D211" s="7">
        <v>8052.32</v>
      </c>
      <c r="E211" s="2"/>
      <c r="F211" s="6">
        <f t="shared" si="29"/>
        <v>2.2418250693122945E-2</v>
      </c>
      <c r="G211" s="2"/>
      <c r="H211" s="7">
        <v>3545.84</v>
      </c>
      <c r="I211" s="2"/>
      <c r="J211" s="6">
        <f t="shared" si="30"/>
        <v>2.8350216804679911E-3</v>
      </c>
      <c r="K211" s="2"/>
      <c r="L211" s="7">
        <f t="shared" si="31"/>
        <v>4506.4799999999996</v>
      </c>
      <c r="M211" s="2"/>
      <c r="N211" s="6">
        <f t="shared" si="32"/>
        <v>1.2709202896915821</v>
      </c>
      <c r="O211" s="11"/>
      <c r="P211" s="7">
        <v>218308.78999999998</v>
      </c>
      <c r="Q211" s="2"/>
      <c r="R211" s="6">
        <f t="shared" si="33"/>
        <v>1.9042596794535301E-2</v>
      </c>
      <c r="S211" s="2"/>
      <c r="T211" s="7">
        <v>37161.519999999997</v>
      </c>
      <c r="U211" s="2"/>
      <c r="V211" s="6">
        <f t="shared" si="34"/>
        <v>2.6425087816489665E-3</v>
      </c>
      <c r="W211" s="2"/>
      <c r="X211" s="7">
        <f t="shared" si="35"/>
        <v>181147.27</v>
      </c>
      <c r="Y211" s="2"/>
      <c r="Z211" s="6">
        <f t="shared" si="36"/>
        <v>4.87459258932358</v>
      </c>
    </row>
    <row r="212" spans="1:26" s="24" customFormat="1" hidden="1" outlineLevel="2" x14ac:dyDescent="0.25">
      <c r="A212" s="26"/>
      <c r="B212" s="11" t="str">
        <f>CONCATENATE("          ", "6006", " - ", "TEMPORARY PART TIME")</f>
        <v xml:space="preserve">          6006 - TEMPORARY PART TIME</v>
      </c>
      <c r="C212" s="11"/>
      <c r="D212" s="7">
        <v>1929.14</v>
      </c>
      <c r="E212" s="2"/>
      <c r="F212" s="6">
        <f t="shared" si="29"/>
        <v>5.3708675440284539E-3</v>
      </c>
      <c r="G212" s="2"/>
      <c r="H212" s="7">
        <v>0</v>
      </c>
      <c r="I212" s="2"/>
      <c r="J212" s="6">
        <f t="shared" si="30"/>
        <v>0</v>
      </c>
      <c r="K212" s="2"/>
      <c r="L212" s="7">
        <f t="shared" si="31"/>
        <v>1929.14</v>
      </c>
      <c r="M212" s="2"/>
      <c r="N212" s="6">
        <f t="shared" si="32"/>
        <v>0</v>
      </c>
      <c r="O212" s="11"/>
      <c r="P212" s="7">
        <v>44094.39</v>
      </c>
      <c r="Q212" s="2"/>
      <c r="R212" s="6">
        <f t="shared" si="33"/>
        <v>3.8462568990968687E-3</v>
      </c>
      <c r="S212" s="2"/>
      <c r="T212" s="7">
        <v>0</v>
      </c>
      <c r="U212" s="2"/>
      <c r="V212" s="6">
        <f t="shared" si="34"/>
        <v>0</v>
      </c>
      <c r="W212" s="2"/>
      <c r="X212" s="7">
        <f t="shared" si="35"/>
        <v>44094.39</v>
      </c>
      <c r="Y212" s="2"/>
      <c r="Z212" s="6">
        <f t="shared" si="36"/>
        <v>0</v>
      </c>
    </row>
    <row r="213" spans="1:26" s="24" customFormat="1" hidden="1" outlineLevel="2" x14ac:dyDescent="0.25">
      <c r="A213" s="26"/>
      <c r="B213" s="11" t="str">
        <f>CONCATENATE("          ", "6007", " - ", "STUDENT HOURLY")</f>
        <v xml:space="preserve">          6007 - STUDENT HOURLY</v>
      </c>
      <c r="C213" s="11"/>
      <c r="D213" s="7">
        <v>18083.46</v>
      </c>
      <c r="E213" s="2"/>
      <c r="F213" s="6">
        <f t="shared" si="29"/>
        <v>5.0345681701554464E-2</v>
      </c>
      <c r="G213" s="2"/>
      <c r="H213" s="7">
        <v>23132.8125</v>
      </c>
      <c r="I213" s="2"/>
      <c r="J213" s="6">
        <f t="shared" si="30"/>
        <v>1.8495483430640117E-2</v>
      </c>
      <c r="K213" s="2"/>
      <c r="L213" s="7">
        <f t="shared" si="31"/>
        <v>-5049.3525000000009</v>
      </c>
      <c r="M213" s="2"/>
      <c r="N213" s="6">
        <f t="shared" si="32"/>
        <v>-0.21827663627152993</v>
      </c>
      <c r="O213" s="11"/>
      <c r="P213" s="7">
        <v>807857.46000000008</v>
      </c>
      <c r="Q213" s="2"/>
      <c r="R213" s="6">
        <f t="shared" si="33"/>
        <v>7.046763384212533E-2</v>
      </c>
      <c r="S213" s="2"/>
      <c r="T213" s="7">
        <v>217336.60170120001</v>
      </c>
      <c r="U213" s="2"/>
      <c r="V213" s="6">
        <f t="shared" si="34"/>
        <v>1.5454531423073244E-2</v>
      </c>
      <c r="W213" s="2"/>
      <c r="X213" s="7">
        <f t="shared" si="35"/>
        <v>590520.85829880007</v>
      </c>
      <c r="Y213" s="2"/>
      <c r="Z213" s="6">
        <f t="shared" si="36"/>
        <v>2.7170796528357588</v>
      </c>
    </row>
    <row r="214" spans="1:26" s="24" customFormat="1" hidden="1" outlineLevel="2" x14ac:dyDescent="0.25">
      <c r="A214" s="26"/>
      <c r="B214" s="11" t="str">
        <f>CONCATENATE("          ", "6008", " - ", "STUDENT HOURLY-FICA EXEMPT")</f>
        <v xml:space="preserve">          6008 - STUDENT HOURLY-FICA EXEMPT</v>
      </c>
      <c r="C214" s="11"/>
      <c r="D214" s="7"/>
      <c r="E214" s="2"/>
      <c r="F214" s="6">
        <f t="shared" si="29"/>
        <v>0</v>
      </c>
      <c r="G214" s="2"/>
      <c r="H214" s="7">
        <v>77305.576999473604</v>
      </c>
      <c r="I214" s="2"/>
      <c r="J214" s="6">
        <f t="shared" si="30"/>
        <v>6.18084817178991E-2</v>
      </c>
      <c r="K214" s="2"/>
      <c r="L214" s="7">
        <f t="shared" si="31"/>
        <v>-77305.576999473604</v>
      </c>
      <c r="M214" s="2"/>
      <c r="N214" s="6">
        <f t="shared" si="32"/>
        <v>-1</v>
      </c>
      <c r="O214" s="11"/>
      <c r="P214" s="7">
        <v>15479.92</v>
      </c>
      <c r="Q214" s="2"/>
      <c r="R214" s="6">
        <f t="shared" si="33"/>
        <v>1.3502794595291509E-3</v>
      </c>
      <c r="S214" s="2"/>
      <c r="T214" s="7">
        <v>827375.43301127525</v>
      </c>
      <c r="U214" s="2"/>
      <c r="V214" s="6">
        <f t="shared" si="34"/>
        <v>5.8833622721915335E-2</v>
      </c>
      <c r="W214" s="2"/>
      <c r="X214" s="7">
        <f t="shared" si="35"/>
        <v>-811895.51301127521</v>
      </c>
      <c r="Y214" s="2"/>
      <c r="Z214" s="6">
        <f t="shared" si="36"/>
        <v>-0.98129033159268453</v>
      </c>
    </row>
    <row r="215" spans="1:26" s="24" customFormat="1" hidden="1" outlineLevel="2" x14ac:dyDescent="0.25">
      <c r="A215" s="26"/>
      <c r="B215" s="11" t="str">
        <f>CONCATENATE("          ", "6009", " - ", "TEMPORARY-SEASONAL")</f>
        <v xml:space="preserve">          6009 - TEMPORARY-SEASONAL</v>
      </c>
      <c r="C215" s="11"/>
      <c r="D215" s="7"/>
      <c r="E215" s="2"/>
      <c r="F215" s="6">
        <f t="shared" si="29"/>
        <v>0</v>
      </c>
      <c r="G215" s="2"/>
      <c r="H215" s="7">
        <v>0</v>
      </c>
      <c r="I215" s="2"/>
      <c r="J215" s="6">
        <f t="shared" si="30"/>
        <v>0</v>
      </c>
      <c r="K215" s="2"/>
      <c r="L215" s="7">
        <f t="shared" si="31"/>
        <v>0</v>
      </c>
      <c r="M215" s="2"/>
      <c r="N215" s="6">
        <f t="shared" si="32"/>
        <v>0</v>
      </c>
      <c r="O215" s="11"/>
      <c r="P215" s="7"/>
      <c r="Q215" s="2"/>
      <c r="R215" s="6">
        <f t="shared" si="33"/>
        <v>0</v>
      </c>
      <c r="S215" s="2"/>
      <c r="T215" s="7">
        <v>0</v>
      </c>
      <c r="U215" s="2"/>
      <c r="V215" s="6">
        <f t="shared" si="34"/>
        <v>0</v>
      </c>
      <c r="W215" s="2"/>
      <c r="X215" s="7">
        <f t="shared" si="35"/>
        <v>0</v>
      </c>
      <c r="Y215" s="2"/>
      <c r="Z215" s="6">
        <f t="shared" si="36"/>
        <v>0</v>
      </c>
    </row>
    <row r="216" spans="1:26" s="24" customFormat="1" hidden="1" outlineLevel="2" x14ac:dyDescent="0.25">
      <c r="A216" s="26"/>
      <c r="B216" s="11" t="str">
        <f>CONCATENATE("          ", "6010", " - ", "GRATUITY")</f>
        <v xml:space="preserve">          6010 - GRATUITY</v>
      </c>
      <c r="C216" s="11"/>
      <c r="D216" s="7"/>
      <c r="E216" s="2"/>
      <c r="F216" s="6">
        <f t="shared" si="29"/>
        <v>0</v>
      </c>
      <c r="G216" s="2"/>
      <c r="H216" s="7">
        <v>0</v>
      </c>
      <c r="I216" s="2"/>
      <c r="J216" s="6">
        <f t="shared" si="30"/>
        <v>0</v>
      </c>
      <c r="K216" s="2"/>
      <c r="L216" s="7">
        <f t="shared" si="31"/>
        <v>0</v>
      </c>
      <c r="M216" s="2"/>
      <c r="N216" s="6">
        <f t="shared" si="32"/>
        <v>0</v>
      </c>
      <c r="O216" s="11"/>
      <c r="P216" s="7"/>
      <c r="Q216" s="2"/>
      <c r="R216" s="6">
        <f t="shared" si="33"/>
        <v>0</v>
      </c>
      <c r="S216" s="2"/>
      <c r="T216" s="7">
        <v>0</v>
      </c>
      <c r="U216" s="2"/>
      <c r="V216" s="6">
        <f t="shared" si="34"/>
        <v>0</v>
      </c>
      <c r="W216" s="2"/>
      <c r="X216" s="7">
        <f t="shared" si="35"/>
        <v>0</v>
      </c>
      <c r="Y216" s="2"/>
      <c r="Z216" s="6">
        <f t="shared" si="36"/>
        <v>0</v>
      </c>
    </row>
    <row r="217" spans="1:26" s="27" customFormat="1" outlineLevel="1" collapsed="1" x14ac:dyDescent="0.25">
      <c r="A217" s="25"/>
      <c r="B217" s="12" t="str">
        <f>CONCATENATE("     ","Advertising/Promo                                 ")</f>
        <v xml:space="preserve">     Advertising/Promo                                 </v>
      </c>
      <c r="C217" s="12"/>
      <c r="D217" s="1">
        <f>SUM(OSRRefD22_2x_0)</f>
        <v>1029</v>
      </c>
      <c r="E217" s="1"/>
      <c r="F217" s="5">
        <f t="shared" ref="F217:F221" si="37">IF(D$12=0,0,D217/D$12)</f>
        <v>2.8648116273600043E-3</v>
      </c>
      <c r="G217" s="1"/>
      <c r="H217" s="1">
        <f>SUM(OSRRefH22_2x_0)</f>
        <v>4020</v>
      </c>
      <c r="I217" s="1"/>
      <c r="J217" s="5">
        <f t="shared" ref="J217:J221" si="38">IF(H$12=0,0,H217/H$12)</f>
        <v>3.2141289949578445E-3</v>
      </c>
      <c r="K217" s="1"/>
      <c r="L217" s="1">
        <f t="shared" ref="L217:L221" si="39">+D217-H217</f>
        <v>-2991</v>
      </c>
      <c r="M217" s="1"/>
      <c r="N217" s="5">
        <f t="shared" ref="N217:N221" si="40">IF(H217=0,0,L217/H217)</f>
        <v>-0.74402985074626871</v>
      </c>
      <c r="O217" s="12"/>
      <c r="P217" s="1">
        <f>SUM(OSRRefP22_2x_0)</f>
        <v>47217.409999999996</v>
      </c>
      <c r="Q217" s="1"/>
      <c r="R217" s="5">
        <f t="shared" ref="R217:R221" si="41">IF(P$12=0,0,P217/P$12)</f>
        <v>4.1186710819672403E-3</v>
      </c>
      <c r="S217" s="1"/>
      <c r="T217" s="1">
        <f>SUM(OSRRefT22_2x_0)</f>
        <v>71370</v>
      </c>
      <c r="U217" s="1"/>
      <c r="V217" s="5">
        <f t="shared" ref="V217:V221" si="42">IF(T$12=0,0,T217/T$12)</f>
        <v>5.0750306162473105E-3</v>
      </c>
      <c r="W217" s="1"/>
      <c r="X217" s="1">
        <f t="shared" ref="X217:X221" si="43">+P217-T217</f>
        <v>-24152.590000000004</v>
      </c>
      <c r="Y217" s="1"/>
      <c r="Z217" s="5">
        <f t="shared" ref="Z217:Z221" si="44">IF(T217=0,0,X217/T217)</f>
        <v>-0.3384137592826118</v>
      </c>
    </row>
    <row r="218" spans="1:26" s="24" customFormat="1" hidden="1" outlineLevel="2" x14ac:dyDescent="0.25">
      <c r="A218" s="26"/>
      <c r="B218" s="11" t="str">
        <f>CONCATENATE("          ", "6362", " - ", "ADVERTISING EXPENSE")</f>
        <v xml:space="preserve">          6362 - ADVERTISING EXPENSE</v>
      </c>
      <c r="C218" s="11"/>
      <c r="D218" s="7">
        <v>1029</v>
      </c>
      <c r="E218" s="2"/>
      <c r="F218" s="6">
        <f t="shared" si="37"/>
        <v>2.8648116273600043E-3</v>
      </c>
      <c r="G218" s="2"/>
      <c r="H218" s="7">
        <v>4020</v>
      </c>
      <c r="I218" s="2"/>
      <c r="J218" s="6">
        <f t="shared" si="38"/>
        <v>3.2141289949578445E-3</v>
      </c>
      <c r="K218" s="2"/>
      <c r="L218" s="7">
        <f t="shared" si="39"/>
        <v>-2991</v>
      </c>
      <c r="M218" s="2"/>
      <c r="N218" s="6">
        <f t="shared" si="40"/>
        <v>-0.74402985074626871</v>
      </c>
      <c r="O218" s="11"/>
      <c r="P218" s="7">
        <v>47217.409999999996</v>
      </c>
      <c r="Q218" s="2"/>
      <c r="R218" s="6">
        <f t="shared" si="41"/>
        <v>4.1186710819672403E-3</v>
      </c>
      <c r="S218" s="2"/>
      <c r="T218" s="7">
        <v>71370</v>
      </c>
      <c r="U218" s="2"/>
      <c r="V218" s="6">
        <f t="shared" si="42"/>
        <v>5.0750306162473105E-3</v>
      </c>
      <c r="W218" s="2"/>
      <c r="X218" s="7">
        <f t="shared" si="43"/>
        <v>-24152.590000000004</v>
      </c>
      <c r="Y218" s="2"/>
      <c r="Z218" s="6">
        <f t="shared" si="44"/>
        <v>-0.3384137592826118</v>
      </c>
    </row>
    <row r="219" spans="1:26" s="27" customFormat="1" outlineLevel="1" collapsed="1" x14ac:dyDescent="0.25">
      <c r="A219" s="25"/>
      <c r="B219" s="12" t="str">
        <f>CONCATENATE("     ","Bad Debts/Over/Short                              ")</f>
        <v xml:space="preserve">     Bad Debts/Over/Short                              </v>
      </c>
      <c r="C219" s="12"/>
      <c r="D219" s="1">
        <f>SUM(OSRRefD22_3x_0)</f>
        <v>-4.55</v>
      </c>
      <c r="E219" s="1"/>
      <c r="F219" s="5">
        <f t="shared" si="37"/>
        <v>-1.2667534406693896E-5</v>
      </c>
      <c r="G219" s="1"/>
      <c r="H219" s="1">
        <f>SUM(OSRRefH22_3x_0)</f>
        <v>135</v>
      </c>
      <c r="I219" s="1"/>
      <c r="J219" s="5">
        <f t="shared" si="38"/>
        <v>1.0793716774112165E-4</v>
      </c>
      <c r="K219" s="1"/>
      <c r="L219" s="1">
        <f t="shared" si="39"/>
        <v>-139.55000000000001</v>
      </c>
      <c r="M219" s="1"/>
      <c r="N219" s="5">
        <f t="shared" si="40"/>
        <v>-1.0337037037037038</v>
      </c>
      <c r="O219" s="12"/>
      <c r="P219" s="1">
        <f>SUM(OSRRefP22_3x_0)</f>
        <v>-30.92</v>
      </c>
      <c r="Q219" s="1"/>
      <c r="R219" s="5">
        <f t="shared" si="41"/>
        <v>-2.6970837632650138E-6</v>
      </c>
      <c r="S219" s="1"/>
      <c r="T219" s="1">
        <f>SUM(OSRRefT22_3x_0)</f>
        <v>1485</v>
      </c>
      <c r="U219" s="1"/>
      <c r="V219" s="5">
        <f t="shared" si="42"/>
        <v>1.0559647562179146E-4</v>
      </c>
      <c r="W219" s="1"/>
      <c r="X219" s="1">
        <f t="shared" si="43"/>
        <v>-1515.92</v>
      </c>
      <c r="Y219" s="1"/>
      <c r="Z219" s="5">
        <f t="shared" si="44"/>
        <v>-1.0208215488215489</v>
      </c>
    </row>
    <row r="220" spans="1:26" s="24" customFormat="1" hidden="1" outlineLevel="2" x14ac:dyDescent="0.25">
      <c r="A220" s="26"/>
      <c r="B220" s="11" t="str">
        <f>CONCATENATE("          ", "6272", " - ", "CASH (OVER/SHORT)")</f>
        <v xml:space="preserve">          6272 - CASH (OVER/SHORT)</v>
      </c>
      <c r="C220" s="11"/>
      <c r="D220" s="7">
        <v>-4.55</v>
      </c>
      <c r="E220" s="2"/>
      <c r="F220" s="6">
        <f t="shared" si="37"/>
        <v>-1.2667534406693896E-5</v>
      </c>
      <c r="G220" s="2"/>
      <c r="H220" s="7">
        <v>125</v>
      </c>
      <c r="I220" s="2"/>
      <c r="J220" s="6">
        <f t="shared" si="38"/>
        <v>9.9941821982520051E-5</v>
      </c>
      <c r="K220" s="2"/>
      <c r="L220" s="7">
        <f t="shared" si="39"/>
        <v>-129.55000000000001</v>
      </c>
      <c r="M220" s="2"/>
      <c r="N220" s="6">
        <f t="shared" si="40"/>
        <v>-1.0364</v>
      </c>
      <c r="O220" s="11"/>
      <c r="P220" s="7">
        <v>-75.72</v>
      </c>
      <c r="Q220" s="2"/>
      <c r="R220" s="6">
        <f t="shared" si="41"/>
        <v>-6.6048894745933642E-6</v>
      </c>
      <c r="S220" s="2"/>
      <c r="T220" s="7">
        <v>1375</v>
      </c>
      <c r="U220" s="2"/>
      <c r="V220" s="6">
        <f t="shared" si="42"/>
        <v>9.7774514464621717E-5</v>
      </c>
      <c r="W220" s="2"/>
      <c r="X220" s="7">
        <f t="shared" si="43"/>
        <v>-1450.72</v>
      </c>
      <c r="Y220" s="2"/>
      <c r="Z220" s="6">
        <f t="shared" si="44"/>
        <v>-1.055069090909091</v>
      </c>
    </row>
    <row r="221" spans="1:26" s="24" customFormat="1" hidden="1" outlineLevel="2" x14ac:dyDescent="0.25">
      <c r="A221" s="26"/>
      <c r="B221" s="11" t="str">
        <f>CONCATENATE("          ", "6342", " - ", "BAD DEBT")</f>
        <v xml:space="preserve">          6342 - BAD DEBT</v>
      </c>
      <c r="C221" s="11"/>
      <c r="D221" s="7"/>
      <c r="E221" s="2"/>
      <c r="F221" s="6">
        <f t="shared" si="37"/>
        <v>0</v>
      </c>
      <c r="G221" s="2"/>
      <c r="H221" s="7">
        <v>10</v>
      </c>
      <c r="I221" s="2"/>
      <c r="J221" s="6">
        <f t="shared" si="38"/>
        <v>7.995345758601604E-6</v>
      </c>
      <c r="K221" s="2"/>
      <c r="L221" s="7">
        <f t="shared" si="39"/>
        <v>-10</v>
      </c>
      <c r="M221" s="2"/>
      <c r="N221" s="6">
        <f t="shared" si="40"/>
        <v>-1</v>
      </c>
      <c r="O221" s="11"/>
      <c r="P221" s="7">
        <v>44.8</v>
      </c>
      <c r="Q221" s="2"/>
      <c r="R221" s="6">
        <f t="shared" si="41"/>
        <v>3.9078057113283508E-6</v>
      </c>
      <c r="S221" s="2"/>
      <c r="T221" s="7">
        <v>110</v>
      </c>
      <c r="U221" s="2"/>
      <c r="V221" s="6">
        <f t="shared" si="42"/>
        <v>7.8219611571697372E-6</v>
      </c>
      <c r="W221" s="2"/>
      <c r="X221" s="7">
        <f t="shared" si="43"/>
        <v>-65.2</v>
      </c>
      <c r="Y221" s="2"/>
      <c r="Z221" s="6">
        <f t="shared" si="44"/>
        <v>-0.59272727272727277</v>
      </c>
    </row>
    <row r="222" spans="1:26" s="27" customFormat="1" outlineLevel="1" collapsed="1" x14ac:dyDescent="0.25">
      <c r="A222" s="25"/>
      <c r="B222" s="12" t="str">
        <f>CONCATENATE("     ","Bank/card Fees                                    ")</f>
        <v xml:space="preserve">     Bank/card Fees                                    </v>
      </c>
      <c r="C222" s="12"/>
      <c r="D222" s="1">
        <f>SUM(OSRRefD22_4x_0)</f>
        <v>5413.34</v>
      </c>
      <c r="E222" s="1"/>
      <c r="F222" s="5">
        <f t="shared" ref="F222:F228" si="45">IF(D$12=0,0,D222/D$12)</f>
        <v>1.5071136418710405E-2</v>
      </c>
      <c r="G222" s="1"/>
      <c r="H222" s="1">
        <f>SUM(OSRRefH22_4x_0)</f>
        <v>11000</v>
      </c>
      <c r="I222" s="1"/>
      <c r="J222" s="5">
        <f t="shared" ref="J222:J228" si="46">IF(H$12=0,0,H222/H$12)</f>
        <v>8.7948803344617636E-3</v>
      </c>
      <c r="K222" s="1"/>
      <c r="L222" s="1">
        <f t="shared" ref="L222:L228" si="47">+D222-H222</f>
        <v>-5586.66</v>
      </c>
      <c r="M222" s="1"/>
      <c r="N222" s="5">
        <f t="shared" ref="N222:N228" si="48">IF(H222=0,0,L222/H222)</f>
        <v>-0.50787818181818178</v>
      </c>
      <c r="O222" s="12"/>
      <c r="P222" s="1">
        <f>SUM(OSRRefP22_4x_0)</f>
        <v>145245.03</v>
      </c>
      <c r="Q222" s="1"/>
      <c r="R222" s="5">
        <f t="shared" ref="R222:R228" si="49">IF(P$12=0,0,P222/P$12)</f>
        <v>1.2669405307501286E-2</v>
      </c>
      <c r="S222" s="1"/>
      <c r="T222" s="1">
        <f>SUM(OSRRefT22_4x_0)</f>
        <v>181385</v>
      </c>
      <c r="U222" s="1"/>
      <c r="V222" s="5">
        <f t="shared" ref="V222:V228" si="50">IF(T$12=0,0,T222/T$12)</f>
        <v>1.2898058404483935E-2</v>
      </c>
      <c r="W222" s="1"/>
      <c r="X222" s="1">
        <f t="shared" ref="X222:X228" si="51">+P222-T222</f>
        <v>-36139.97</v>
      </c>
      <c r="Y222" s="1"/>
      <c r="Z222" s="5">
        <f t="shared" ref="Z222:Z228" si="52">IF(T222=0,0,X222/T222)</f>
        <v>-0.1992445351048874</v>
      </c>
    </row>
    <row r="223" spans="1:26" s="24" customFormat="1" hidden="1" outlineLevel="2" x14ac:dyDescent="0.25">
      <c r="A223" s="26"/>
      <c r="B223" s="11" t="str">
        <f>CONCATENATE("          ", "6381", " - ", "BANK/CREDIT CARD FEES")</f>
        <v xml:space="preserve">          6381 - BANK/CREDIT CARD FEES</v>
      </c>
      <c r="C223" s="11"/>
      <c r="D223" s="7">
        <v>5413.34</v>
      </c>
      <c r="E223" s="2"/>
      <c r="F223" s="6">
        <f t="shared" si="45"/>
        <v>1.5071136418710405E-2</v>
      </c>
      <c r="G223" s="2"/>
      <c r="H223" s="7">
        <v>11000</v>
      </c>
      <c r="I223" s="2"/>
      <c r="J223" s="6">
        <f t="shared" si="46"/>
        <v>8.7948803344617636E-3</v>
      </c>
      <c r="K223" s="2"/>
      <c r="L223" s="7">
        <f t="shared" si="47"/>
        <v>-5586.66</v>
      </c>
      <c r="M223" s="2"/>
      <c r="N223" s="6">
        <f t="shared" si="48"/>
        <v>-0.50787818181818178</v>
      </c>
      <c r="O223" s="11"/>
      <c r="P223" s="7">
        <v>145245.03</v>
      </c>
      <c r="Q223" s="2"/>
      <c r="R223" s="6">
        <f t="shared" si="49"/>
        <v>1.2669405307501286E-2</v>
      </c>
      <c r="S223" s="2"/>
      <c r="T223" s="7">
        <v>181385</v>
      </c>
      <c r="U223" s="2"/>
      <c r="V223" s="6">
        <f t="shared" si="50"/>
        <v>1.2898058404483935E-2</v>
      </c>
      <c r="W223" s="2"/>
      <c r="X223" s="7">
        <f t="shared" si="51"/>
        <v>-36139.97</v>
      </c>
      <c r="Y223" s="2"/>
      <c r="Z223" s="6">
        <f t="shared" si="52"/>
        <v>-0.1992445351048874</v>
      </c>
    </row>
    <row r="224" spans="1:26" s="27" customFormat="1" outlineLevel="1" collapsed="1" x14ac:dyDescent="0.25">
      <c r="A224" s="25"/>
      <c r="B224" s="12" t="str">
        <f>CONCATENATE("     ","Depreciation                                      ")</f>
        <v xml:space="preserve">     Depreciation                                      </v>
      </c>
      <c r="C224" s="12"/>
      <c r="D224" s="1">
        <f>SUM(OSRRefD22_5x_0)</f>
        <v>30629.919999999998</v>
      </c>
      <c r="E224" s="1"/>
      <c r="F224" s="5">
        <f t="shared" si="45"/>
        <v>8.5275948455886041E-2</v>
      </c>
      <c r="G224" s="1"/>
      <c r="H224" s="1">
        <f>SUM(OSRRefH22_5x_0)</f>
        <v>31271</v>
      </c>
      <c r="I224" s="1"/>
      <c r="J224" s="5">
        <f t="shared" si="46"/>
        <v>2.5002245721723076E-2</v>
      </c>
      <c r="K224" s="1"/>
      <c r="L224" s="1">
        <f t="shared" si="47"/>
        <v>-641.08000000000175</v>
      </c>
      <c r="M224" s="1"/>
      <c r="N224" s="5">
        <f t="shared" si="48"/>
        <v>-2.0500783473505861E-2</v>
      </c>
      <c r="O224" s="12"/>
      <c r="P224" s="1">
        <f>SUM(OSRRefP22_5x_0)</f>
        <v>332117.26</v>
      </c>
      <c r="Q224" s="1"/>
      <c r="R224" s="5">
        <f t="shared" si="49"/>
        <v>2.8969859943275063E-2</v>
      </c>
      <c r="S224" s="1"/>
      <c r="T224" s="1">
        <f>SUM(OSRRefT22_5x_0)</f>
        <v>338398</v>
      </c>
      <c r="U224" s="1"/>
      <c r="V224" s="5">
        <f t="shared" si="50"/>
        <v>2.4063054651490227E-2</v>
      </c>
      <c r="W224" s="1"/>
      <c r="X224" s="1">
        <f t="shared" si="51"/>
        <v>-6280.7399999999907</v>
      </c>
      <c r="Y224" s="1"/>
      <c r="Z224" s="5">
        <f t="shared" si="52"/>
        <v>-1.8560216076927143E-2</v>
      </c>
    </row>
    <row r="225" spans="1:26" s="24" customFormat="1" hidden="1" outlineLevel="2" x14ac:dyDescent="0.25">
      <c r="A225" s="26"/>
      <c r="B225" s="11" t="str">
        <f>CONCATENATE("          ", "6321", " - ", "BUILDING DEPRECIATION")</f>
        <v xml:space="preserve">          6321 - BUILDING DEPRECIATION</v>
      </c>
      <c r="C225" s="11"/>
      <c r="D225" s="7">
        <v>16396.52</v>
      </c>
      <c r="E225" s="2"/>
      <c r="F225" s="6">
        <f t="shared" si="45"/>
        <v>4.5649116758251569E-2</v>
      </c>
      <c r="G225" s="2"/>
      <c r="H225" s="7">
        <v>16397</v>
      </c>
      <c r="I225" s="2"/>
      <c r="J225" s="6">
        <f t="shared" si="46"/>
        <v>1.3109968440379049E-2</v>
      </c>
      <c r="K225" s="2"/>
      <c r="L225" s="7">
        <f t="shared" si="47"/>
        <v>-0.47999999999956344</v>
      </c>
      <c r="M225" s="2"/>
      <c r="N225" s="6">
        <f t="shared" si="48"/>
        <v>-2.927364761844017E-5</v>
      </c>
      <c r="O225" s="11"/>
      <c r="P225" s="7">
        <v>180361.72</v>
      </c>
      <c r="Q225" s="2"/>
      <c r="R225" s="6">
        <f t="shared" si="49"/>
        <v>1.5732557132165287E-2</v>
      </c>
      <c r="S225" s="2"/>
      <c r="T225" s="7">
        <v>180535</v>
      </c>
      <c r="U225" s="2"/>
      <c r="V225" s="6">
        <f t="shared" si="50"/>
        <v>1.2837615977360351E-2</v>
      </c>
      <c r="W225" s="2"/>
      <c r="X225" s="7">
        <f t="shared" si="51"/>
        <v>-173.27999999999884</v>
      </c>
      <c r="Y225" s="2"/>
      <c r="Z225" s="6">
        <f t="shared" si="52"/>
        <v>-9.5981388650399554E-4</v>
      </c>
    </row>
    <row r="226" spans="1:26" s="24" customFormat="1" hidden="1" outlineLevel="2" x14ac:dyDescent="0.25">
      <c r="A226" s="26"/>
      <c r="B226" s="11" t="str">
        <f>CONCATENATE("          ", "6322", " - ", "EQUIPMENT DEPRECIATION EXPENSE")</f>
        <v xml:space="preserve">          6322 - EQUIPMENT DEPRECIATION EXPENSE</v>
      </c>
      <c r="C226" s="11"/>
      <c r="D226" s="7">
        <v>14233.4</v>
      </c>
      <c r="E226" s="2"/>
      <c r="F226" s="6">
        <f t="shared" si="45"/>
        <v>3.9626831697634486E-2</v>
      </c>
      <c r="G226" s="2"/>
      <c r="H226" s="7">
        <v>13049</v>
      </c>
      <c r="I226" s="2"/>
      <c r="J226" s="6">
        <f t="shared" si="46"/>
        <v>1.0433126680399233E-2</v>
      </c>
      <c r="K226" s="2"/>
      <c r="L226" s="7">
        <f t="shared" si="47"/>
        <v>1184.3999999999996</v>
      </c>
      <c r="M226" s="2"/>
      <c r="N226" s="6">
        <f t="shared" si="48"/>
        <v>9.0765575906199686E-2</v>
      </c>
      <c r="O226" s="11"/>
      <c r="P226" s="7">
        <v>151755.54</v>
      </c>
      <c r="Q226" s="2"/>
      <c r="R226" s="6">
        <f t="shared" si="49"/>
        <v>1.3237302811109778E-2</v>
      </c>
      <c r="S226" s="2"/>
      <c r="T226" s="7">
        <v>143539</v>
      </c>
      <c r="U226" s="2"/>
      <c r="V226" s="6">
        <f t="shared" si="50"/>
        <v>1.020687711399079E-2</v>
      </c>
      <c r="W226" s="2"/>
      <c r="X226" s="7">
        <f t="shared" si="51"/>
        <v>8216.5400000000081</v>
      </c>
      <c r="Y226" s="2"/>
      <c r="Z226" s="6">
        <f t="shared" si="52"/>
        <v>5.7242561255129325E-2</v>
      </c>
    </row>
    <row r="227" spans="1:26" s="24" customFormat="1" hidden="1" outlineLevel="2" x14ac:dyDescent="0.25">
      <c r="A227" s="26"/>
      <c r="B227" s="11" t="str">
        <f>CONCATENATE("          ", "6324", " - ", "FURNITURE + FIXT DEPRECIATION")</f>
        <v xml:space="preserve">          6324 - FURNITURE + FIXT DEPRECIATION</v>
      </c>
      <c r="C227" s="11"/>
      <c r="D227" s="7"/>
      <c r="E227" s="2"/>
      <c r="F227" s="6">
        <f t="shared" si="45"/>
        <v>0</v>
      </c>
      <c r="G227" s="2"/>
      <c r="H227" s="7">
        <v>1492</v>
      </c>
      <c r="I227" s="2"/>
      <c r="J227" s="6">
        <f t="shared" si="46"/>
        <v>1.1929055871833592E-3</v>
      </c>
      <c r="K227" s="2"/>
      <c r="L227" s="7">
        <f t="shared" si="47"/>
        <v>-1492</v>
      </c>
      <c r="M227" s="2"/>
      <c r="N227" s="6">
        <f t="shared" si="48"/>
        <v>-1</v>
      </c>
      <c r="O227" s="11"/>
      <c r="P227" s="7"/>
      <c r="Q227" s="2"/>
      <c r="R227" s="6">
        <f t="shared" si="49"/>
        <v>0</v>
      </c>
      <c r="S227" s="2"/>
      <c r="T227" s="7">
        <v>11660</v>
      </c>
      <c r="U227" s="2"/>
      <c r="V227" s="6">
        <f t="shared" si="50"/>
        <v>8.2912788265999211E-4</v>
      </c>
      <c r="W227" s="2"/>
      <c r="X227" s="7">
        <f t="shared" si="51"/>
        <v>-11660</v>
      </c>
      <c r="Y227" s="2"/>
      <c r="Z227" s="6">
        <f t="shared" si="52"/>
        <v>-1</v>
      </c>
    </row>
    <row r="228" spans="1:26" s="24" customFormat="1" hidden="1" outlineLevel="2" x14ac:dyDescent="0.25">
      <c r="A228" s="26"/>
      <c r="B228" s="11" t="str">
        <f>CONCATENATE("          ", "6326", " - ", "VEHICLES DEPRECIATION EXPENSE")</f>
        <v xml:space="preserve">          6326 - VEHICLES DEPRECIATION EXPENSE</v>
      </c>
      <c r="C228" s="11"/>
      <c r="D228" s="7"/>
      <c r="E228" s="2"/>
      <c r="F228" s="6">
        <f t="shared" si="45"/>
        <v>0</v>
      </c>
      <c r="G228" s="2"/>
      <c r="H228" s="7">
        <v>333</v>
      </c>
      <c r="I228" s="2"/>
      <c r="J228" s="6">
        <f t="shared" si="46"/>
        <v>2.6624501376143342E-4</v>
      </c>
      <c r="K228" s="2"/>
      <c r="L228" s="7">
        <f t="shared" si="47"/>
        <v>-333</v>
      </c>
      <c r="M228" s="2"/>
      <c r="N228" s="6">
        <f t="shared" si="48"/>
        <v>-1</v>
      </c>
      <c r="O228" s="11"/>
      <c r="P228" s="7"/>
      <c r="Q228" s="2"/>
      <c r="R228" s="6">
        <f t="shared" si="49"/>
        <v>0</v>
      </c>
      <c r="S228" s="2"/>
      <c r="T228" s="7">
        <v>2664</v>
      </c>
      <c r="U228" s="2"/>
      <c r="V228" s="6">
        <f t="shared" si="50"/>
        <v>1.8943367747909255E-4</v>
      </c>
      <c r="W228" s="2"/>
      <c r="X228" s="7">
        <f t="shared" si="51"/>
        <v>-2664</v>
      </c>
      <c r="Y228" s="2"/>
      <c r="Z228" s="6">
        <f t="shared" si="52"/>
        <v>-1</v>
      </c>
    </row>
    <row r="229" spans="1:26" s="27" customFormat="1" outlineLevel="1" collapsed="1" x14ac:dyDescent="0.25">
      <c r="A229" s="25"/>
      <c r="B229" s="12" t="str">
        <f>CONCATENATE("     ","Discounts and Markdowns                           ")</f>
        <v xml:space="preserve">     Discounts and Markdowns                           </v>
      </c>
      <c r="C229" s="12"/>
      <c r="D229" s="1">
        <f>SUM(OSRRefD22_6x_0)</f>
        <v>48114.67</v>
      </c>
      <c r="E229" s="1"/>
      <c r="F229" s="5">
        <f t="shared" ref="F229:F231" si="53">IF(D$12=0,0,D229/D$12)</f>
        <v>0.13395477751466431</v>
      </c>
      <c r="G229" s="1"/>
      <c r="H229" s="1">
        <f>SUM(OSRRefH22_6x_0)</f>
        <v>22825</v>
      </c>
      <c r="I229" s="1"/>
      <c r="J229" s="5">
        <f t="shared" ref="J229:J231" si="54">IF(H$12=0,0,H229/H$12)</f>
        <v>1.8249376694008161E-2</v>
      </c>
      <c r="K229" s="1"/>
      <c r="L229" s="1">
        <f t="shared" ref="L229:L231" si="55">+D229-H229</f>
        <v>25289.67</v>
      </c>
      <c r="M229" s="1"/>
      <c r="N229" s="5">
        <f t="shared" ref="N229:N231" si="56">IF(H229=0,0,L229/H229)</f>
        <v>1.1079811610076669</v>
      </c>
      <c r="O229" s="12"/>
      <c r="P229" s="1">
        <f>SUM(OSRRefP22_6x_0)</f>
        <v>421769.48</v>
      </c>
      <c r="Q229" s="1"/>
      <c r="R229" s="5">
        <f t="shared" ref="R229:R231" si="57">IF(P$12=0,0,P229/P$12)</f>
        <v>3.6790026401964028E-2</v>
      </c>
      <c r="S229" s="1"/>
      <c r="T229" s="1">
        <f>SUM(OSRRefT22_6x_0)</f>
        <v>355775</v>
      </c>
      <c r="U229" s="1"/>
      <c r="V229" s="5">
        <f t="shared" ref="V229:V231" si="58">IF(T$12=0,0,T229/T$12)</f>
        <v>2.5298711188109668E-2</v>
      </c>
      <c r="W229" s="1"/>
      <c r="X229" s="1">
        <f t="shared" ref="X229:X231" si="59">+P229-T229</f>
        <v>65994.479999999981</v>
      </c>
      <c r="Y229" s="1"/>
      <c r="Z229" s="5">
        <f t="shared" ref="Z229:Z231" si="60">IF(T229=0,0,X229/T229)</f>
        <v>0.18549498981097598</v>
      </c>
    </row>
    <row r="230" spans="1:26" s="24" customFormat="1" hidden="1" outlineLevel="2" x14ac:dyDescent="0.25">
      <c r="A230" s="26"/>
      <c r="B230" s="11" t="str">
        <f>CONCATENATE("          ", "6382", " - ", "DISCOUNTS/MARK DOWNS")</f>
        <v xml:space="preserve">          6382 - DISCOUNTS/MARK DOWNS</v>
      </c>
      <c r="C230" s="11"/>
      <c r="D230" s="7">
        <v>48114.67</v>
      </c>
      <c r="E230" s="2"/>
      <c r="F230" s="6">
        <f t="shared" si="53"/>
        <v>0.13395477751466431</v>
      </c>
      <c r="G230" s="2"/>
      <c r="H230" s="7">
        <v>22825</v>
      </c>
      <c r="I230" s="2"/>
      <c r="J230" s="6">
        <f t="shared" si="54"/>
        <v>1.8249376694008161E-2</v>
      </c>
      <c r="K230" s="2"/>
      <c r="L230" s="7">
        <f t="shared" si="55"/>
        <v>25289.67</v>
      </c>
      <c r="M230" s="2"/>
      <c r="N230" s="6">
        <f t="shared" si="56"/>
        <v>1.1079811610076669</v>
      </c>
      <c r="O230" s="11"/>
      <c r="P230" s="7">
        <v>425001.1</v>
      </c>
      <c r="Q230" s="2"/>
      <c r="R230" s="6">
        <f t="shared" si="57"/>
        <v>3.7071913524572127E-2</v>
      </c>
      <c r="S230" s="2"/>
      <c r="T230" s="7">
        <v>355775</v>
      </c>
      <c r="U230" s="2"/>
      <c r="V230" s="6">
        <f t="shared" si="58"/>
        <v>2.5298711188109668E-2</v>
      </c>
      <c r="W230" s="2"/>
      <c r="X230" s="7">
        <f t="shared" si="59"/>
        <v>69226.099999999977</v>
      </c>
      <c r="Y230" s="2"/>
      <c r="Z230" s="6">
        <f t="shared" si="60"/>
        <v>0.19457831494624406</v>
      </c>
    </row>
    <row r="231" spans="1:26" s="24" customFormat="1" hidden="1" outlineLevel="2" x14ac:dyDescent="0.25">
      <c r="A231" s="26"/>
      <c r="B231" s="11" t="str">
        <f>CONCATENATE("          ", "9175", " - ", "EARNED DISCOUNTS")</f>
        <v xml:space="preserve">          9175 - EARNED DISCOUNTS</v>
      </c>
      <c r="C231" s="11"/>
      <c r="D231" s="7"/>
      <c r="E231" s="2"/>
      <c r="F231" s="6">
        <f t="shared" si="53"/>
        <v>0</v>
      </c>
      <c r="G231" s="2"/>
      <c r="H231" s="7"/>
      <c r="I231" s="2"/>
      <c r="J231" s="6">
        <f t="shared" si="54"/>
        <v>0</v>
      </c>
      <c r="K231" s="2"/>
      <c r="L231" s="7">
        <f t="shared" si="55"/>
        <v>0</v>
      </c>
      <c r="M231" s="2"/>
      <c r="N231" s="6">
        <f t="shared" si="56"/>
        <v>0</v>
      </c>
      <c r="O231" s="11"/>
      <c r="P231" s="7">
        <v>-3231.62</v>
      </c>
      <c r="Q231" s="2"/>
      <c r="R231" s="6">
        <f t="shared" si="57"/>
        <v>-2.8188712260810101E-4</v>
      </c>
      <c r="S231" s="2"/>
      <c r="T231" s="7"/>
      <c r="U231" s="2"/>
      <c r="V231" s="6">
        <f t="shared" si="58"/>
        <v>0</v>
      </c>
      <c r="W231" s="2"/>
      <c r="X231" s="7">
        <f t="shared" si="59"/>
        <v>-3231.62</v>
      </c>
      <c r="Y231" s="2"/>
      <c r="Z231" s="6">
        <f t="shared" si="60"/>
        <v>0</v>
      </c>
    </row>
    <row r="232" spans="1:26" s="27" customFormat="1" outlineLevel="1" collapsed="1" x14ac:dyDescent="0.25">
      <c r="A232" s="25"/>
      <c r="B232" s="12" t="str">
        <f>CONCATENATE("     ","Donations                                         ")</f>
        <v xml:space="preserve">     Donations                                         </v>
      </c>
      <c r="C232" s="12"/>
      <c r="D232" s="1">
        <f>SUM(OSRRefD22_7x_0)</f>
        <v>-1385.81</v>
      </c>
      <c r="E232" s="1"/>
      <c r="F232" s="5">
        <f t="shared" ref="F232:F234" si="61">IF(D$12=0,0,D232/D$12)</f>
        <v>-3.858196891459444E-3</v>
      </c>
      <c r="G232" s="1"/>
      <c r="H232" s="1">
        <f>SUM(OSRRefH22_7x_0)</f>
        <v>1050</v>
      </c>
      <c r="I232" s="1"/>
      <c r="J232" s="5">
        <f t="shared" ref="J232:J234" si="62">IF(H$12=0,0,H232/H$12)</f>
        <v>8.3951130465316839E-4</v>
      </c>
      <c r="K232" s="1"/>
      <c r="L232" s="1">
        <f t="shared" ref="L232:L234" si="63">+D232-H232</f>
        <v>-2435.81</v>
      </c>
      <c r="M232" s="1"/>
      <c r="N232" s="5">
        <f t="shared" ref="N232:N234" si="64">IF(H232=0,0,L232/H232)</f>
        <v>-2.3198190476190477</v>
      </c>
      <c r="O232" s="12"/>
      <c r="P232" s="1">
        <f>SUM(OSRRefP22_7x_0)</f>
        <v>10985.64</v>
      </c>
      <c r="Q232" s="1"/>
      <c r="R232" s="5">
        <f t="shared" ref="R232:R234" si="65">IF(P$12=0,0,P232/P$12)</f>
        <v>9.582532753258299E-4</v>
      </c>
      <c r="S232" s="1"/>
      <c r="T232" s="1">
        <f>SUM(OSRRefT22_7x_0)</f>
        <v>11375</v>
      </c>
      <c r="U232" s="1"/>
      <c r="V232" s="5">
        <f t="shared" ref="V232:V234" si="66">IF(T$12=0,0,T232/T$12)</f>
        <v>8.0886189238914329E-4</v>
      </c>
      <c r="W232" s="1"/>
      <c r="X232" s="1">
        <f t="shared" ref="X232:X234" si="67">+P232-T232</f>
        <v>-389.36000000000058</v>
      </c>
      <c r="Y232" s="1"/>
      <c r="Z232" s="5">
        <f t="shared" ref="Z232:Z234" si="68">IF(T232=0,0,X232/T232)</f>
        <v>-3.4229450549450598E-2</v>
      </c>
    </row>
    <row r="233" spans="1:26" s="24" customFormat="1" hidden="1" outlineLevel="2" x14ac:dyDescent="0.25">
      <c r="A233" s="26"/>
      <c r="B233" s="11" t="str">
        <f>CONCATENATE("          ", "6395", " - ", "DONATION-OFF CAMPUS")</f>
        <v xml:space="preserve">          6395 - DONATION-OFF CAMPUS</v>
      </c>
      <c r="C233" s="11"/>
      <c r="D233" s="7"/>
      <c r="E233" s="2"/>
      <c r="F233" s="6">
        <f t="shared" si="61"/>
        <v>0</v>
      </c>
      <c r="G233" s="2"/>
      <c r="H233" s="7">
        <v>1050</v>
      </c>
      <c r="I233" s="2"/>
      <c r="J233" s="6">
        <f t="shared" si="62"/>
        <v>8.3951130465316839E-4</v>
      </c>
      <c r="K233" s="2"/>
      <c r="L233" s="7">
        <f t="shared" si="63"/>
        <v>-1050</v>
      </c>
      <c r="M233" s="2"/>
      <c r="N233" s="6">
        <f t="shared" si="64"/>
        <v>-1</v>
      </c>
      <c r="O233" s="11"/>
      <c r="P233" s="7"/>
      <c r="Q233" s="2"/>
      <c r="R233" s="6">
        <f t="shared" si="65"/>
        <v>0</v>
      </c>
      <c r="S233" s="2"/>
      <c r="T233" s="7">
        <v>11375</v>
      </c>
      <c r="U233" s="2"/>
      <c r="V233" s="6">
        <f t="shared" si="66"/>
        <v>8.0886189238914329E-4</v>
      </c>
      <c r="W233" s="2"/>
      <c r="X233" s="7">
        <f t="shared" si="67"/>
        <v>-11375</v>
      </c>
      <c r="Y233" s="2"/>
      <c r="Z233" s="6">
        <f t="shared" si="68"/>
        <v>-1</v>
      </c>
    </row>
    <row r="234" spans="1:26" s="24" customFormat="1" hidden="1" outlineLevel="2" x14ac:dyDescent="0.25">
      <c r="A234" s="26"/>
      <c r="B234" s="11" t="str">
        <f>CONCATENATE("          ", "6399", " - ", "DONATION-ON CAMPUS")</f>
        <v xml:space="preserve">          6399 - DONATION-ON CAMPUS</v>
      </c>
      <c r="C234" s="11"/>
      <c r="D234" s="7">
        <v>-1385.81</v>
      </c>
      <c r="E234" s="2"/>
      <c r="F234" s="6">
        <f t="shared" si="61"/>
        <v>-3.858196891459444E-3</v>
      </c>
      <c r="G234" s="2"/>
      <c r="H234" s="7"/>
      <c r="I234" s="2"/>
      <c r="J234" s="6">
        <f t="shared" si="62"/>
        <v>0</v>
      </c>
      <c r="K234" s="2"/>
      <c r="L234" s="7">
        <f t="shared" si="63"/>
        <v>-1385.81</v>
      </c>
      <c r="M234" s="2"/>
      <c r="N234" s="6">
        <f t="shared" si="64"/>
        <v>0</v>
      </c>
      <c r="O234" s="11"/>
      <c r="P234" s="7">
        <v>10985.64</v>
      </c>
      <c r="Q234" s="2"/>
      <c r="R234" s="6">
        <f t="shared" si="65"/>
        <v>9.582532753258299E-4</v>
      </c>
      <c r="S234" s="2"/>
      <c r="T234" s="7"/>
      <c r="U234" s="2"/>
      <c r="V234" s="6">
        <f t="shared" si="66"/>
        <v>0</v>
      </c>
      <c r="W234" s="2"/>
      <c r="X234" s="7">
        <f t="shared" si="67"/>
        <v>10985.64</v>
      </c>
      <c r="Y234" s="2"/>
      <c r="Z234" s="6">
        <f t="shared" si="68"/>
        <v>0</v>
      </c>
    </row>
    <row r="235" spans="1:26" s="27" customFormat="1" outlineLevel="1" collapsed="1" x14ac:dyDescent="0.25">
      <c r="A235" s="25"/>
      <c r="B235" s="12" t="str">
        <f>CONCATENATE("     ","Employees' Appreciation                           ")</f>
        <v xml:space="preserve">     Employees' Appreciation                           </v>
      </c>
      <c r="C235" s="12"/>
      <c r="D235" s="1">
        <f>SUM(OSRRefD22_8x_0)</f>
        <v>0</v>
      </c>
      <c r="E235" s="1"/>
      <c r="F235" s="5">
        <f t="shared" ref="F235:F241" si="69">IF(D$12=0,0,D235/D$12)</f>
        <v>0</v>
      </c>
      <c r="G235" s="1"/>
      <c r="H235" s="1">
        <f>SUM(OSRRefH22_8x_0)</f>
        <v>790</v>
      </c>
      <c r="I235" s="1"/>
      <c r="J235" s="5">
        <f t="shared" ref="J235:J241" si="70">IF(H$12=0,0,H235/H$12)</f>
        <v>6.3163231492952671E-4</v>
      </c>
      <c r="K235" s="1"/>
      <c r="L235" s="1">
        <f t="shared" ref="L235:L241" si="71">+D235-H235</f>
        <v>-790</v>
      </c>
      <c r="M235" s="1"/>
      <c r="N235" s="5">
        <f t="shared" ref="N235:N241" si="72">IF(H235=0,0,L235/H235)</f>
        <v>-1</v>
      </c>
      <c r="O235" s="12"/>
      <c r="P235" s="1">
        <f>SUM(OSRRefP22_8x_0)</f>
        <v>1554.27</v>
      </c>
      <c r="Q235" s="1"/>
      <c r="R235" s="5">
        <f t="shared" ref="R235:R241" si="73">IF(P$12=0,0,P235/P$12)</f>
        <v>1.3557556211933741E-4</v>
      </c>
      <c r="S235" s="1"/>
      <c r="T235" s="1">
        <f>SUM(OSRRefT22_8x_0)</f>
        <v>8365</v>
      </c>
      <c r="U235" s="1"/>
      <c r="V235" s="5">
        <f t="shared" ref="V235:V241" si="74">IF(T$12=0,0,T235/T$12)</f>
        <v>5.9482459163386233E-4</v>
      </c>
      <c r="W235" s="1"/>
      <c r="X235" s="1">
        <f t="shared" ref="X235:X241" si="75">+P235-T235</f>
        <v>-6810.73</v>
      </c>
      <c r="Y235" s="1"/>
      <c r="Z235" s="5">
        <f t="shared" ref="Z235:Z241" si="76">IF(T235=0,0,X235/T235)</f>
        <v>-0.81419366407650917</v>
      </c>
    </row>
    <row r="236" spans="1:26" s="24" customFormat="1" hidden="1" outlineLevel="2" x14ac:dyDescent="0.25">
      <c r="A236" s="26"/>
      <c r="B236" s="11" t="str">
        <f>CONCATENATE("          ", "6277", " - ", "EMPLOYEE APPRECIATION")</f>
        <v xml:space="preserve">          6277 - EMPLOYEE APPRECIATION</v>
      </c>
      <c r="C236" s="11"/>
      <c r="D236" s="7"/>
      <c r="E236" s="2"/>
      <c r="F236" s="6">
        <f t="shared" si="69"/>
        <v>0</v>
      </c>
      <c r="G236" s="2"/>
      <c r="H236" s="7">
        <v>790</v>
      </c>
      <c r="I236" s="2"/>
      <c r="J236" s="6">
        <f t="shared" si="70"/>
        <v>6.3163231492952671E-4</v>
      </c>
      <c r="K236" s="2"/>
      <c r="L236" s="7">
        <f t="shared" si="71"/>
        <v>-790</v>
      </c>
      <c r="M236" s="2"/>
      <c r="N236" s="6">
        <f t="shared" si="72"/>
        <v>-1</v>
      </c>
      <c r="O236" s="11"/>
      <c r="P236" s="7">
        <v>1554.27</v>
      </c>
      <c r="Q236" s="2"/>
      <c r="R236" s="6">
        <f t="shared" si="73"/>
        <v>1.3557556211933741E-4</v>
      </c>
      <c r="S236" s="2"/>
      <c r="T236" s="7">
        <v>8365</v>
      </c>
      <c r="U236" s="2"/>
      <c r="V236" s="6">
        <f t="shared" si="74"/>
        <v>5.9482459163386233E-4</v>
      </c>
      <c r="W236" s="2"/>
      <c r="X236" s="7">
        <f t="shared" si="75"/>
        <v>-6810.73</v>
      </c>
      <c r="Y236" s="2"/>
      <c r="Z236" s="6">
        <f t="shared" si="76"/>
        <v>-0.81419366407650917</v>
      </c>
    </row>
    <row r="237" spans="1:26" s="27" customFormat="1" outlineLevel="1" collapsed="1" x14ac:dyDescent="0.25">
      <c r="A237" s="25"/>
      <c r="B237" s="12" t="str">
        <f>CONCATENATE("     ","Equipment Rental                                  ")</f>
        <v xml:space="preserve">     Equipment Rental                                  </v>
      </c>
      <c r="C237" s="12"/>
      <c r="D237" s="1">
        <f>SUM(OSRRefD22_9x_0)</f>
        <v>1687.5</v>
      </c>
      <c r="E237" s="1"/>
      <c r="F237" s="5">
        <f t="shared" si="69"/>
        <v>4.6981240244606485E-3</v>
      </c>
      <c r="G237" s="1"/>
      <c r="H237" s="1">
        <f>SUM(OSRRefH22_9x_0)</f>
        <v>3225</v>
      </c>
      <c r="I237" s="1"/>
      <c r="J237" s="5">
        <f t="shared" si="70"/>
        <v>2.5784990071490172E-3</v>
      </c>
      <c r="K237" s="1"/>
      <c r="L237" s="1">
        <f t="shared" si="71"/>
        <v>-1537.5</v>
      </c>
      <c r="M237" s="1"/>
      <c r="N237" s="5">
        <f t="shared" si="72"/>
        <v>-0.47674418604651164</v>
      </c>
      <c r="O237" s="12"/>
      <c r="P237" s="1">
        <f>SUM(OSRRefP22_9x_0)</f>
        <v>18451.63</v>
      </c>
      <c r="Q237" s="1"/>
      <c r="R237" s="5">
        <f t="shared" si="73"/>
        <v>1.6094952030651236E-3</v>
      </c>
      <c r="S237" s="1"/>
      <c r="T237" s="1">
        <f>SUM(OSRRefT22_9x_0)</f>
        <v>35475</v>
      </c>
      <c r="U237" s="1"/>
      <c r="V237" s="5">
        <f t="shared" si="74"/>
        <v>2.5225824731872405E-3</v>
      </c>
      <c r="W237" s="1"/>
      <c r="X237" s="1">
        <f t="shared" si="75"/>
        <v>-17023.37</v>
      </c>
      <c r="Y237" s="1"/>
      <c r="Z237" s="5">
        <f t="shared" si="76"/>
        <v>-0.47986948555320647</v>
      </c>
    </row>
    <row r="238" spans="1:26" s="24" customFormat="1" hidden="1" outlineLevel="2" x14ac:dyDescent="0.25">
      <c r="A238" s="26"/>
      <c r="B238" s="11" t="str">
        <f>CONCATENATE("          ", "6351", " - ", "EQUIPMENT RENTAL")</f>
        <v xml:space="preserve">          6351 - EQUIPMENT RENTAL</v>
      </c>
      <c r="C238" s="11"/>
      <c r="D238" s="7">
        <v>1687.5</v>
      </c>
      <c r="E238" s="2"/>
      <c r="F238" s="6">
        <f t="shared" si="69"/>
        <v>4.6981240244606485E-3</v>
      </c>
      <c r="G238" s="2"/>
      <c r="H238" s="7">
        <v>3225</v>
      </c>
      <c r="I238" s="2"/>
      <c r="J238" s="6">
        <f t="shared" si="70"/>
        <v>2.5784990071490172E-3</v>
      </c>
      <c r="K238" s="2"/>
      <c r="L238" s="7">
        <f t="shared" si="71"/>
        <v>-1537.5</v>
      </c>
      <c r="M238" s="2"/>
      <c r="N238" s="6">
        <f t="shared" si="72"/>
        <v>-0.47674418604651164</v>
      </c>
      <c r="O238" s="11"/>
      <c r="P238" s="7">
        <v>18451.63</v>
      </c>
      <c r="Q238" s="2"/>
      <c r="R238" s="6">
        <f t="shared" si="73"/>
        <v>1.6094952030651236E-3</v>
      </c>
      <c r="S238" s="2"/>
      <c r="T238" s="7">
        <v>35475</v>
      </c>
      <c r="U238" s="2"/>
      <c r="V238" s="6">
        <f t="shared" si="74"/>
        <v>2.5225824731872405E-3</v>
      </c>
      <c r="W238" s="2"/>
      <c r="X238" s="7">
        <f t="shared" si="75"/>
        <v>-17023.37</v>
      </c>
      <c r="Y238" s="2"/>
      <c r="Z238" s="6">
        <f t="shared" si="76"/>
        <v>-0.47986948555320647</v>
      </c>
    </row>
    <row r="239" spans="1:26" s="27" customFormat="1" outlineLevel="1" collapsed="1" x14ac:dyDescent="0.25">
      <c r="A239" s="25"/>
      <c r="B239" s="12" t="str">
        <f>CONCATENATE("     ","Freight out/Postage                               ")</f>
        <v xml:space="preserve">     Freight out/Postage                               </v>
      </c>
      <c r="C239" s="12"/>
      <c r="D239" s="1">
        <f>SUM(OSRRefD22_10x_0)</f>
        <v>6098.17</v>
      </c>
      <c r="E239" s="1"/>
      <c r="F239" s="5">
        <f t="shared" si="69"/>
        <v>1.6977753470960116E-2</v>
      </c>
      <c r="G239" s="1"/>
      <c r="H239" s="1">
        <f>SUM(OSRRefH22_10x_0)</f>
        <v>315</v>
      </c>
      <c r="I239" s="1"/>
      <c r="J239" s="5">
        <f t="shared" si="70"/>
        <v>2.518533913959505E-4</v>
      </c>
      <c r="K239" s="1"/>
      <c r="L239" s="1">
        <f t="shared" si="71"/>
        <v>5783.17</v>
      </c>
      <c r="M239" s="1"/>
      <c r="N239" s="5">
        <f t="shared" si="72"/>
        <v>18.359269841269843</v>
      </c>
      <c r="O239" s="12"/>
      <c r="P239" s="1">
        <f>SUM(OSRRefP22_10x_0)</f>
        <v>16112.96</v>
      </c>
      <c r="Q239" s="1"/>
      <c r="R239" s="5">
        <f t="shared" si="73"/>
        <v>1.4054981498751173E-3</v>
      </c>
      <c r="S239" s="1"/>
      <c r="T239" s="1">
        <f>SUM(OSRRefT22_10x_0)</f>
        <v>-54235</v>
      </c>
      <c r="U239" s="1"/>
      <c r="V239" s="5">
        <f t="shared" si="74"/>
        <v>-3.8565823941736428E-3</v>
      </c>
      <c r="W239" s="1"/>
      <c r="X239" s="1">
        <f t="shared" si="75"/>
        <v>70347.959999999992</v>
      </c>
      <c r="Y239" s="1"/>
      <c r="Z239" s="5">
        <f t="shared" si="76"/>
        <v>-1.2970952337051718</v>
      </c>
    </row>
    <row r="240" spans="1:26" s="24" customFormat="1" hidden="1" outlineLevel="2" x14ac:dyDescent="0.25">
      <c r="A240" s="26"/>
      <c r="B240" s="11" t="str">
        <f>CONCATENATE("          ", "6305", " - ", "FREIGHT OUT")</f>
        <v xml:space="preserve">          6305 - FREIGHT OUT</v>
      </c>
      <c r="C240" s="11"/>
      <c r="D240" s="7">
        <v>7586</v>
      </c>
      <c r="E240" s="2"/>
      <c r="F240" s="6">
        <f t="shared" si="69"/>
        <v>2.1119981540479098E-2</v>
      </c>
      <c r="G240" s="2"/>
      <c r="H240" s="7">
        <v>275</v>
      </c>
      <c r="I240" s="2"/>
      <c r="J240" s="6">
        <f t="shared" si="70"/>
        <v>2.1987200836154409E-4</v>
      </c>
      <c r="K240" s="2"/>
      <c r="L240" s="7">
        <f t="shared" si="71"/>
        <v>7311</v>
      </c>
      <c r="M240" s="2"/>
      <c r="N240" s="6">
        <f t="shared" si="72"/>
        <v>26.585454545454546</v>
      </c>
      <c r="O240" s="11"/>
      <c r="P240" s="7">
        <v>70031.78</v>
      </c>
      <c r="Q240" s="2"/>
      <c r="R240" s="6">
        <f t="shared" si="73"/>
        <v>6.108718523627021E-3</v>
      </c>
      <c r="S240" s="2"/>
      <c r="T240" s="7">
        <v>-54675</v>
      </c>
      <c r="U240" s="2"/>
      <c r="V240" s="6">
        <f t="shared" si="74"/>
        <v>-3.8878702388023215E-3</v>
      </c>
      <c r="W240" s="2"/>
      <c r="X240" s="7">
        <f t="shared" si="75"/>
        <v>124706.78</v>
      </c>
      <c r="Y240" s="2"/>
      <c r="Z240" s="6">
        <f t="shared" si="76"/>
        <v>-2.2808738911751258</v>
      </c>
    </row>
    <row r="241" spans="1:26" s="24" customFormat="1" hidden="1" outlineLevel="2" x14ac:dyDescent="0.25">
      <c r="A241" s="26"/>
      <c r="B241" s="11" t="str">
        <f>CONCATENATE("          ", "6307", " - ", "POSTAGE")</f>
        <v xml:space="preserve">          6307 - POSTAGE</v>
      </c>
      <c r="C241" s="11"/>
      <c r="D241" s="7">
        <v>-1487.83</v>
      </c>
      <c r="E241" s="2"/>
      <c r="F241" s="6">
        <f t="shared" si="69"/>
        <v>-4.1422280695189847E-3</v>
      </c>
      <c r="G241" s="2"/>
      <c r="H241" s="7">
        <v>40</v>
      </c>
      <c r="I241" s="2"/>
      <c r="J241" s="6">
        <f t="shared" si="70"/>
        <v>3.1981383034406416E-5</v>
      </c>
      <c r="K241" s="2"/>
      <c r="L241" s="7">
        <f t="shared" si="71"/>
        <v>-1527.83</v>
      </c>
      <c r="M241" s="2"/>
      <c r="N241" s="6">
        <f t="shared" si="72"/>
        <v>-38.195749999999997</v>
      </c>
      <c r="O241" s="11"/>
      <c r="P241" s="7">
        <v>-53918.82</v>
      </c>
      <c r="Q241" s="2"/>
      <c r="R241" s="6">
        <f t="shared" si="73"/>
        <v>-4.7032203737519037E-3</v>
      </c>
      <c r="S241" s="2"/>
      <c r="T241" s="7">
        <v>440</v>
      </c>
      <c r="U241" s="2"/>
      <c r="V241" s="6">
        <f t="shared" si="74"/>
        <v>3.1287844628678949E-5</v>
      </c>
      <c r="W241" s="2"/>
      <c r="X241" s="7">
        <f t="shared" si="75"/>
        <v>-54358.82</v>
      </c>
      <c r="Y241" s="2"/>
      <c r="Z241" s="6">
        <f t="shared" si="76"/>
        <v>-123.54277272727272</v>
      </c>
    </row>
    <row r="242" spans="1:26" s="27" customFormat="1" outlineLevel="1" collapsed="1" x14ac:dyDescent="0.25">
      <c r="A242" s="25"/>
      <c r="B242" s="12" t="str">
        <f>CONCATENATE("     ","General                                           ")</f>
        <v xml:space="preserve">     General                                           </v>
      </c>
      <c r="C242" s="12"/>
      <c r="D242" s="1">
        <f>SUM(OSRRefD22_11x_0)</f>
        <v>40.99</v>
      </c>
      <c r="E242" s="1"/>
      <c r="F242" s="5">
        <f t="shared" ref="F242:F256" si="77">IF(D$12=0,0,D242/D$12)</f>
        <v>1.1411917260008415E-4</v>
      </c>
      <c r="G242" s="1"/>
      <c r="H242" s="1">
        <f>SUM(OSRRefH22_11x_0)</f>
        <v>480</v>
      </c>
      <c r="I242" s="1"/>
      <c r="J242" s="5">
        <f t="shared" ref="J242:J256" si="78">IF(H$12=0,0,H242/H$12)</f>
        <v>3.8377659641287699E-4</v>
      </c>
      <c r="K242" s="1"/>
      <c r="L242" s="1">
        <f t="shared" ref="L242:L256" si="79">+D242-H242</f>
        <v>-439.01</v>
      </c>
      <c r="M242" s="1"/>
      <c r="N242" s="5">
        <f t="shared" ref="N242:N256" si="80">IF(H242=0,0,L242/H242)</f>
        <v>-0.91460416666666666</v>
      </c>
      <c r="O242" s="12"/>
      <c r="P242" s="1">
        <f>SUM(OSRRefP22_11x_0)</f>
        <v>-1365.63</v>
      </c>
      <c r="Q242" s="1"/>
      <c r="R242" s="5">
        <f t="shared" ref="R242:R256" si="81">IF(P$12=0,0,P242/P$12)</f>
        <v>-1.1912090878485124E-4</v>
      </c>
      <c r="S242" s="1"/>
      <c r="T242" s="1">
        <f>SUM(OSRRefT22_11x_0)</f>
        <v>33165</v>
      </c>
      <c r="U242" s="1"/>
      <c r="V242" s="5">
        <f t="shared" ref="V242:V256" si="82">IF(T$12=0,0,T242/T$12)</f>
        <v>2.3583212888866759E-3</v>
      </c>
      <c r="W242" s="1"/>
      <c r="X242" s="1">
        <f t="shared" ref="X242:X256" si="83">+P242-T242</f>
        <v>-34530.629999999997</v>
      </c>
      <c r="Y242" s="1"/>
      <c r="Z242" s="5">
        <f t="shared" ref="Z242:Z256" si="84">IF(T242=0,0,X242/T242)</f>
        <v>-1.04117684305744</v>
      </c>
    </row>
    <row r="243" spans="1:26" s="24" customFormat="1" hidden="1" outlineLevel="2" x14ac:dyDescent="0.25">
      <c r="A243" s="26"/>
      <c r="B243" s="11" t="str">
        <f>CONCATENATE("          ", "6279", " - ", "GENERAL EXPENSE")</f>
        <v xml:space="preserve">          6279 - GENERAL EXPENSE</v>
      </c>
      <c r="C243" s="11"/>
      <c r="D243" s="7">
        <v>40.99</v>
      </c>
      <c r="E243" s="2"/>
      <c r="F243" s="6">
        <f t="shared" si="77"/>
        <v>1.1411917260008415E-4</v>
      </c>
      <c r="G243" s="2"/>
      <c r="H243" s="7">
        <v>480</v>
      </c>
      <c r="I243" s="2"/>
      <c r="J243" s="6">
        <f t="shared" si="78"/>
        <v>3.8377659641287699E-4</v>
      </c>
      <c r="K243" s="2"/>
      <c r="L243" s="7">
        <f t="shared" si="79"/>
        <v>-439.01</v>
      </c>
      <c r="M243" s="2"/>
      <c r="N243" s="6">
        <f t="shared" si="80"/>
        <v>-0.91460416666666666</v>
      </c>
      <c r="O243" s="11"/>
      <c r="P243" s="7">
        <v>-1365.63</v>
      </c>
      <c r="Q243" s="2"/>
      <c r="R243" s="6">
        <f t="shared" si="81"/>
        <v>-1.1912090878485124E-4</v>
      </c>
      <c r="S243" s="2"/>
      <c r="T243" s="7">
        <v>33165</v>
      </c>
      <c r="U243" s="2"/>
      <c r="V243" s="6">
        <f t="shared" si="82"/>
        <v>2.3583212888866759E-3</v>
      </c>
      <c r="W243" s="2"/>
      <c r="X243" s="7">
        <f t="shared" si="83"/>
        <v>-34530.629999999997</v>
      </c>
      <c r="Y243" s="2"/>
      <c r="Z243" s="6">
        <f t="shared" si="84"/>
        <v>-1.04117684305744</v>
      </c>
    </row>
    <row r="244" spans="1:26" s="27" customFormat="1" outlineLevel="1" collapsed="1" x14ac:dyDescent="0.25">
      <c r="A244" s="25"/>
      <c r="B244" s="12" t="str">
        <f>CONCATENATE("     ","Insurance                                         ")</f>
        <v xml:space="preserve">     Insurance                                         </v>
      </c>
      <c r="C244" s="12"/>
      <c r="D244" s="1">
        <f>SUM(OSRRefD22_12x_0)</f>
        <v>4044.74</v>
      </c>
      <c r="E244" s="1"/>
      <c r="F244" s="5">
        <f t="shared" si="77"/>
        <v>1.1260853432116719E-2</v>
      </c>
      <c r="G244" s="1"/>
      <c r="H244" s="1">
        <f>SUM(OSRRefH22_12x_0)</f>
        <v>3815</v>
      </c>
      <c r="I244" s="1"/>
      <c r="J244" s="5">
        <f t="shared" si="78"/>
        <v>3.0502244069065118E-3</v>
      </c>
      <c r="K244" s="1"/>
      <c r="L244" s="1">
        <f t="shared" si="79"/>
        <v>229.73999999999978</v>
      </c>
      <c r="M244" s="1"/>
      <c r="N244" s="5">
        <f t="shared" si="80"/>
        <v>6.0220183486238477E-2</v>
      </c>
      <c r="O244" s="12"/>
      <c r="P244" s="1">
        <f>SUM(OSRRefP22_12x_0)</f>
        <v>44492.140000000007</v>
      </c>
      <c r="Q244" s="1"/>
      <c r="R244" s="5">
        <f t="shared" si="81"/>
        <v>3.8809517589558167E-3</v>
      </c>
      <c r="S244" s="1"/>
      <c r="T244" s="1">
        <f>SUM(OSRRefT22_12x_0)</f>
        <v>41965</v>
      </c>
      <c r="U244" s="1"/>
      <c r="V244" s="5">
        <f t="shared" si="82"/>
        <v>2.9840781814602546E-3</v>
      </c>
      <c r="W244" s="1"/>
      <c r="X244" s="1">
        <f t="shared" si="83"/>
        <v>2527.1400000000067</v>
      </c>
      <c r="Y244" s="1"/>
      <c r="Z244" s="5">
        <f t="shared" si="84"/>
        <v>6.0220183486238692E-2</v>
      </c>
    </row>
    <row r="245" spans="1:26" s="24" customFormat="1" hidden="1" outlineLevel="2" x14ac:dyDescent="0.25">
      <c r="A245" s="26"/>
      <c r="B245" s="11" t="str">
        <f>CONCATENATE("          ", "6314", " - ", "LIABILITY INSURANCE")</f>
        <v xml:space="preserve">          6314 - LIABILITY INSURANCE</v>
      </c>
      <c r="C245" s="11"/>
      <c r="D245" s="7">
        <v>4044.74</v>
      </c>
      <c r="E245" s="2"/>
      <c r="F245" s="6">
        <f t="shared" si="77"/>
        <v>1.1260853432116719E-2</v>
      </c>
      <c r="G245" s="2"/>
      <c r="H245" s="7">
        <v>3815</v>
      </c>
      <c r="I245" s="2"/>
      <c r="J245" s="6">
        <f t="shared" si="78"/>
        <v>3.0502244069065118E-3</v>
      </c>
      <c r="K245" s="2"/>
      <c r="L245" s="7">
        <f t="shared" si="79"/>
        <v>229.73999999999978</v>
      </c>
      <c r="M245" s="2"/>
      <c r="N245" s="6">
        <f t="shared" si="80"/>
        <v>6.0220183486238477E-2</v>
      </c>
      <c r="O245" s="11"/>
      <c r="P245" s="7">
        <v>44492.140000000007</v>
      </c>
      <c r="Q245" s="2"/>
      <c r="R245" s="6">
        <f t="shared" si="81"/>
        <v>3.8809517589558167E-3</v>
      </c>
      <c r="S245" s="2"/>
      <c r="T245" s="7">
        <v>41965</v>
      </c>
      <c r="U245" s="2"/>
      <c r="V245" s="6">
        <f t="shared" si="82"/>
        <v>2.9840781814602546E-3</v>
      </c>
      <c r="W245" s="2"/>
      <c r="X245" s="7">
        <f t="shared" si="83"/>
        <v>2527.1400000000067</v>
      </c>
      <c r="Y245" s="2"/>
      <c r="Z245" s="6">
        <f t="shared" si="84"/>
        <v>6.0220183486238692E-2</v>
      </c>
    </row>
    <row r="246" spans="1:26" s="27" customFormat="1" outlineLevel="1" collapsed="1" x14ac:dyDescent="0.25">
      <c r="A246" s="25"/>
      <c r="B246" s="12" t="str">
        <f>CONCATENATE("     ","Inventory Adjustment                              ")</f>
        <v xml:space="preserve">     Inventory Adjustment                              </v>
      </c>
      <c r="C246" s="12"/>
      <c r="D246" s="1">
        <f>SUM(OSRRefD22_13x_0)</f>
        <v>4550</v>
      </c>
      <c r="E246" s="1"/>
      <c r="F246" s="5">
        <f t="shared" si="77"/>
        <v>1.2667534406693897E-2</v>
      </c>
      <c r="G246" s="1"/>
      <c r="H246" s="1">
        <f>SUM(OSRRefH22_13x_0)</f>
        <v>4550</v>
      </c>
      <c r="I246" s="1"/>
      <c r="J246" s="5">
        <f t="shared" si="78"/>
        <v>3.6378823201637296E-3</v>
      </c>
      <c r="K246" s="1"/>
      <c r="L246" s="1">
        <f t="shared" si="79"/>
        <v>0</v>
      </c>
      <c r="M246" s="1"/>
      <c r="N246" s="5">
        <f t="shared" si="80"/>
        <v>0</v>
      </c>
      <c r="O246" s="12"/>
      <c r="P246" s="1">
        <f>SUM(OSRRefP22_13x_0)</f>
        <v>53350</v>
      </c>
      <c r="Q246" s="1"/>
      <c r="R246" s="5">
        <f t="shared" si="81"/>
        <v>4.6536034531108822E-3</v>
      </c>
      <c r="S246" s="1"/>
      <c r="T246" s="1">
        <f>SUM(OSRRefT22_13x_0)</f>
        <v>53350</v>
      </c>
      <c r="U246" s="1"/>
      <c r="V246" s="5">
        <f t="shared" si="82"/>
        <v>3.7936511612273226E-3</v>
      </c>
      <c r="W246" s="1"/>
      <c r="X246" s="1">
        <f t="shared" si="83"/>
        <v>0</v>
      </c>
      <c r="Y246" s="1"/>
      <c r="Z246" s="5">
        <f t="shared" si="84"/>
        <v>0</v>
      </c>
    </row>
    <row r="247" spans="1:26" s="24" customFormat="1" hidden="1" outlineLevel="2" x14ac:dyDescent="0.25">
      <c r="A247" s="26"/>
      <c r="B247" s="11" t="str">
        <f>CONCATENATE("          ", "6408", " - ", "INVENTORY ADJUSTMENT")</f>
        <v xml:space="preserve">          6408 - INVENTORY ADJUSTMENT</v>
      </c>
      <c r="C247" s="11"/>
      <c r="D247" s="7">
        <v>4550</v>
      </c>
      <c r="E247" s="2"/>
      <c r="F247" s="6">
        <f t="shared" si="77"/>
        <v>1.2667534406693897E-2</v>
      </c>
      <c r="G247" s="2"/>
      <c r="H247" s="7">
        <v>4550</v>
      </c>
      <c r="I247" s="2"/>
      <c r="J247" s="6">
        <f t="shared" si="78"/>
        <v>3.6378823201637296E-3</v>
      </c>
      <c r="K247" s="2"/>
      <c r="L247" s="7">
        <f t="shared" si="79"/>
        <v>0</v>
      </c>
      <c r="M247" s="2"/>
      <c r="N247" s="6">
        <f t="shared" si="80"/>
        <v>0</v>
      </c>
      <c r="O247" s="11"/>
      <c r="P247" s="7">
        <v>53350</v>
      </c>
      <c r="Q247" s="2"/>
      <c r="R247" s="6">
        <f t="shared" si="81"/>
        <v>4.6536034531108822E-3</v>
      </c>
      <c r="S247" s="2"/>
      <c r="T247" s="7">
        <v>53350</v>
      </c>
      <c r="U247" s="2"/>
      <c r="V247" s="6">
        <f t="shared" si="82"/>
        <v>3.7936511612273226E-3</v>
      </c>
      <c r="W247" s="2"/>
      <c r="X247" s="7">
        <f t="shared" si="83"/>
        <v>0</v>
      </c>
      <c r="Y247" s="2"/>
      <c r="Z247" s="6">
        <f t="shared" si="84"/>
        <v>0</v>
      </c>
    </row>
    <row r="248" spans="1:26" s="27" customFormat="1" outlineLevel="1" collapsed="1" x14ac:dyDescent="0.25">
      <c r="A248" s="25"/>
      <c r="B248" s="12" t="str">
        <f>CONCATENATE("     ","Professional Services                             ")</f>
        <v xml:space="preserve">     Professional Services                             </v>
      </c>
      <c r="C248" s="12"/>
      <c r="D248" s="1">
        <f>SUM(OSRRefD22_14x_0)</f>
        <v>0</v>
      </c>
      <c r="E248" s="1"/>
      <c r="F248" s="5">
        <f t="shared" si="77"/>
        <v>0</v>
      </c>
      <c r="G248" s="1"/>
      <c r="H248" s="1">
        <f>SUM(OSRRefH22_14x_0)</f>
        <v>1015</v>
      </c>
      <c r="I248" s="1"/>
      <c r="J248" s="5">
        <f t="shared" si="78"/>
        <v>8.115275944980628E-4</v>
      </c>
      <c r="K248" s="1"/>
      <c r="L248" s="1">
        <f t="shared" si="79"/>
        <v>-1015</v>
      </c>
      <c r="M248" s="1"/>
      <c r="N248" s="5">
        <f t="shared" si="80"/>
        <v>-1</v>
      </c>
      <c r="O248" s="12"/>
      <c r="P248" s="1">
        <f>SUM(OSRRefP22_14x_0)</f>
        <v>9129.56</v>
      </c>
      <c r="Q248" s="1"/>
      <c r="R248" s="5">
        <f t="shared" si="81"/>
        <v>7.9635148906059946E-4</v>
      </c>
      <c r="S248" s="1"/>
      <c r="T248" s="1">
        <f>SUM(OSRRefT22_14x_0)</f>
        <v>14315</v>
      </c>
      <c r="U248" s="1"/>
      <c r="V248" s="5">
        <f t="shared" si="82"/>
        <v>1.0179215814989527E-3</v>
      </c>
      <c r="W248" s="1"/>
      <c r="X248" s="1">
        <f t="shared" si="83"/>
        <v>-5185.4400000000005</v>
      </c>
      <c r="Y248" s="1"/>
      <c r="Z248" s="5">
        <f t="shared" si="84"/>
        <v>-0.36223821166608455</v>
      </c>
    </row>
    <row r="249" spans="1:26" s="24" customFormat="1" hidden="1" outlineLevel="2" x14ac:dyDescent="0.25">
      <c r="A249" s="26"/>
      <c r="B249" s="11" t="str">
        <f>CONCATENATE("          ", "6336", " - ", "PROFESSIONAL SERVICES")</f>
        <v xml:space="preserve">          6336 - PROFESSIONAL SERVICES</v>
      </c>
      <c r="C249" s="11"/>
      <c r="D249" s="7"/>
      <c r="E249" s="2"/>
      <c r="F249" s="6">
        <f t="shared" si="77"/>
        <v>0</v>
      </c>
      <c r="G249" s="2"/>
      <c r="H249" s="7">
        <v>1015</v>
      </c>
      <c r="I249" s="2"/>
      <c r="J249" s="6">
        <f t="shared" si="78"/>
        <v>8.115275944980628E-4</v>
      </c>
      <c r="K249" s="2"/>
      <c r="L249" s="7">
        <f t="shared" si="79"/>
        <v>-1015</v>
      </c>
      <c r="M249" s="2"/>
      <c r="N249" s="6">
        <f t="shared" si="80"/>
        <v>-1</v>
      </c>
      <c r="O249" s="11"/>
      <c r="P249" s="7">
        <v>9129.56</v>
      </c>
      <c r="Q249" s="2"/>
      <c r="R249" s="6">
        <f t="shared" si="81"/>
        <v>7.9635148906059946E-4</v>
      </c>
      <c r="S249" s="2"/>
      <c r="T249" s="7">
        <v>14315</v>
      </c>
      <c r="U249" s="2"/>
      <c r="V249" s="6">
        <f t="shared" si="82"/>
        <v>1.0179215814989527E-3</v>
      </c>
      <c r="W249" s="2"/>
      <c r="X249" s="7">
        <f t="shared" si="83"/>
        <v>-5185.4400000000005</v>
      </c>
      <c r="Y249" s="2"/>
      <c r="Z249" s="6">
        <f t="shared" si="84"/>
        <v>-0.36223821166608455</v>
      </c>
    </row>
    <row r="250" spans="1:26" s="27" customFormat="1" outlineLevel="1" collapsed="1" x14ac:dyDescent="0.25">
      <c r="A250" s="25"/>
      <c r="B250" s="12" t="str">
        <f>CONCATENATE("     ","Rent                                              ")</f>
        <v xml:space="preserve">     Rent                                              </v>
      </c>
      <c r="C250" s="12"/>
      <c r="D250" s="1">
        <f>SUM(OSRRefD22_15x_0)</f>
        <v>6100</v>
      </c>
      <c r="E250" s="1"/>
      <c r="F250" s="5">
        <f t="shared" si="77"/>
        <v>1.6982848325457753E-2</v>
      </c>
      <c r="G250" s="1"/>
      <c r="H250" s="1">
        <f>SUM(OSRRefH22_15x_0)</f>
        <v>6400</v>
      </c>
      <c r="I250" s="1"/>
      <c r="J250" s="5">
        <f t="shared" si="78"/>
        <v>5.1170212855050261E-3</v>
      </c>
      <c r="K250" s="1"/>
      <c r="L250" s="1">
        <f t="shared" si="79"/>
        <v>-300</v>
      </c>
      <c r="M250" s="1"/>
      <c r="N250" s="5">
        <f t="shared" si="80"/>
        <v>-4.6875E-2</v>
      </c>
      <c r="O250" s="12"/>
      <c r="P250" s="1">
        <f>SUM(OSRRefP22_15x_0)</f>
        <v>68700</v>
      </c>
      <c r="Q250" s="1"/>
      <c r="R250" s="5">
        <f t="shared" si="81"/>
        <v>5.9925502760771803E-3</v>
      </c>
      <c r="S250" s="1"/>
      <c r="T250" s="1">
        <f>SUM(OSRRefT22_15x_0)</f>
        <v>70400</v>
      </c>
      <c r="U250" s="1"/>
      <c r="V250" s="5">
        <f t="shared" si="82"/>
        <v>5.0060551405886316E-3</v>
      </c>
      <c r="W250" s="1"/>
      <c r="X250" s="1">
        <f t="shared" si="83"/>
        <v>-1700</v>
      </c>
      <c r="Y250" s="1"/>
      <c r="Z250" s="5">
        <f t="shared" si="84"/>
        <v>-2.4147727272727272E-2</v>
      </c>
    </row>
    <row r="251" spans="1:26" s="24" customFormat="1" hidden="1" outlineLevel="2" x14ac:dyDescent="0.25">
      <c r="A251" s="26"/>
      <c r="B251" s="11" t="str">
        <f>CONCATENATE("          ", "6273", " - ", "RENT")</f>
        <v xml:space="preserve">          6273 - RENT</v>
      </c>
      <c r="C251" s="11"/>
      <c r="D251" s="7">
        <v>6100</v>
      </c>
      <c r="E251" s="2"/>
      <c r="F251" s="6">
        <f t="shared" si="77"/>
        <v>1.6982848325457753E-2</v>
      </c>
      <c r="G251" s="2"/>
      <c r="H251" s="7">
        <v>6400</v>
      </c>
      <c r="I251" s="2"/>
      <c r="J251" s="6">
        <f t="shared" si="78"/>
        <v>5.1170212855050261E-3</v>
      </c>
      <c r="K251" s="2"/>
      <c r="L251" s="7">
        <f t="shared" si="79"/>
        <v>-300</v>
      </c>
      <c r="M251" s="2"/>
      <c r="N251" s="6">
        <f t="shared" si="80"/>
        <v>-4.6875E-2</v>
      </c>
      <c r="O251" s="11"/>
      <c r="P251" s="7">
        <v>68700</v>
      </c>
      <c r="Q251" s="2"/>
      <c r="R251" s="6">
        <f t="shared" si="81"/>
        <v>5.9925502760771803E-3</v>
      </c>
      <c r="S251" s="2"/>
      <c r="T251" s="7">
        <v>70400</v>
      </c>
      <c r="U251" s="2"/>
      <c r="V251" s="6">
        <f t="shared" si="82"/>
        <v>5.0060551405886316E-3</v>
      </c>
      <c r="W251" s="2"/>
      <c r="X251" s="7">
        <f t="shared" si="83"/>
        <v>-1700</v>
      </c>
      <c r="Y251" s="2"/>
      <c r="Z251" s="6">
        <f t="shared" si="84"/>
        <v>-2.4147727272727272E-2</v>
      </c>
    </row>
    <row r="252" spans="1:26" s="27" customFormat="1" outlineLevel="1" collapsed="1" x14ac:dyDescent="0.25">
      <c r="A252" s="25"/>
      <c r="B252" s="12" t="str">
        <f>CONCATENATE("     ","Repair and Maintenance                            ")</f>
        <v xml:space="preserve">     Repair and Maintenance                            </v>
      </c>
      <c r="C252" s="12"/>
      <c r="D252" s="1">
        <f>SUM(OSRRefD22_16x_0)</f>
        <v>5285.57</v>
      </c>
      <c r="E252" s="1"/>
      <c r="F252" s="5">
        <f t="shared" si="77"/>
        <v>1.4715415348129464E-2</v>
      </c>
      <c r="G252" s="1"/>
      <c r="H252" s="1">
        <f>SUM(OSRRefH22_16x_0)</f>
        <v>26540</v>
      </c>
      <c r="I252" s="1"/>
      <c r="J252" s="5">
        <f t="shared" si="78"/>
        <v>2.1219647643328655E-2</v>
      </c>
      <c r="K252" s="1"/>
      <c r="L252" s="1">
        <f t="shared" si="79"/>
        <v>-21254.43</v>
      </c>
      <c r="M252" s="1"/>
      <c r="N252" s="5">
        <f t="shared" si="80"/>
        <v>-0.80084513941220803</v>
      </c>
      <c r="O252" s="12"/>
      <c r="P252" s="1">
        <f>SUM(OSRRefP22_16x_0)</f>
        <v>133836.76999999999</v>
      </c>
      <c r="Q252" s="1"/>
      <c r="R252" s="5">
        <f t="shared" si="81"/>
        <v>1.1674287816779885E-2</v>
      </c>
      <c r="S252" s="1"/>
      <c r="T252" s="1">
        <f>SUM(OSRRefT22_16x_0)</f>
        <v>216575</v>
      </c>
      <c r="U252" s="1"/>
      <c r="V252" s="5">
        <f t="shared" si="82"/>
        <v>1.5400374887400326E-2</v>
      </c>
      <c r="W252" s="1"/>
      <c r="X252" s="1">
        <f t="shared" si="83"/>
        <v>-82738.23000000001</v>
      </c>
      <c r="Y252" s="1"/>
      <c r="Z252" s="5">
        <f t="shared" si="84"/>
        <v>-0.38203038208472823</v>
      </c>
    </row>
    <row r="253" spans="1:26" s="24" customFormat="1" hidden="1" outlineLevel="2" x14ac:dyDescent="0.25">
      <c r="A253" s="26"/>
      <c r="B253" s="11" t="str">
        <f>CONCATENATE("          ", "6371", " - ", "COMPUTER SOFTWARE MAINTENANCE")</f>
        <v xml:space="preserve">          6371 - COMPUTER SOFTWARE MAINTENANCE</v>
      </c>
      <c r="C253" s="11"/>
      <c r="D253" s="7"/>
      <c r="E253" s="2"/>
      <c r="F253" s="6">
        <f t="shared" si="77"/>
        <v>0</v>
      </c>
      <c r="G253" s="2"/>
      <c r="H253" s="7">
        <v>12000</v>
      </c>
      <c r="I253" s="2"/>
      <c r="J253" s="6">
        <f t="shared" si="78"/>
        <v>9.5944149103219245E-3</v>
      </c>
      <c r="K253" s="2"/>
      <c r="L253" s="7">
        <f t="shared" si="79"/>
        <v>-12000</v>
      </c>
      <c r="M253" s="2"/>
      <c r="N253" s="6">
        <f t="shared" si="80"/>
        <v>-1</v>
      </c>
      <c r="O253" s="11"/>
      <c r="P253" s="7">
        <v>16417.5</v>
      </c>
      <c r="Q253" s="2"/>
      <c r="R253" s="6">
        <f t="shared" si="81"/>
        <v>1.4320625059315445E-3</v>
      </c>
      <c r="S253" s="2"/>
      <c r="T253" s="7">
        <v>60535.000000000007</v>
      </c>
      <c r="U253" s="2"/>
      <c r="V253" s="6">
        <f t="shared" si="82"/>
        <v>4.3045674422660923E-3</v>
      </c>
      <c r="W253" s="2"/>
      <c r="X253" s="7">
        <f t="shared" si="83"/>
        <v>-44117.500000000007</v>
      </c>
      <c r="Y253" s="2"/>
      <c r="Z253" s="6">
        <f t="shared" si="84"/>
        <v>-0.72879326009746426</v>
      </c>
    </row>
    <row r="254" spans="1:26" s="24" customFormat="1" hidden="1" outlineLevel="2" x14ac:dyDescent="0.25">
      <c r="A254" s="26"/>
      <c r="B254" s="11" t="str">
        <f>CONCATENATE("          ", "6372", " - ", "COMPUTER HARDWARE MAINTENANCE")</f>
        <v xml:space="preserve">          6372 - COMPUTER HARDWARE MAINTENANCE</v>
      </c>
      <c r="C254" s="11"/>
      <c r="D254" s="7"/>
      <c r="E254" s="2"/>
      <c r="F254" s="6">
        <f t="shared" si="77"/>
        <v>0</v>
      </c>
      <c r="G254" s="2"/>
      <c r="H254" s="7"/>
      <c r="I254" s="2"/>
      <c r="J254" s="6">
        <f t="shared" si="78"/>
        <v>0</v>
      </c>
      <c r="K254" s="2"/>
      <c r="L254" s="7">
        <f t="shared" si="79"/>
        <v>0</v>
      </c>
      <c r="M254" s="2"/>
      <c r="N254" s="6">
        <f t="shared" si="80"/>
        <v>0</v>
      </c>
      <c r="O254" s="11"/>
      <c r="P254" s="7">
        <v>52.32</v>
      </c>
      <c r="Q254" s="2"/>
      <c r="R254" s="6">
        <f t="shared" si="81"/>
        <v>4.5637588128727526E-6</v>
      </c>
      <c r="S254" s="2"/>
      <c r="T254" s="7">
        <v>2000</v>
      </c>
      <c r="U254" s="2"/>
      <c r="V254" s="6">
        <f t="shared" si="82"/>
        <v>1.4221747558490431E-4</v>
      </c>
      <c r="W254" s="2"/>
      <c r="X254" s="7">
        <f t="shared" si="83"/>
        <v>-1947.68</v>
      </c>
      <c r="Y254" s="2"/>
      <c r="Z254" s="6">
        <f t="shared" si="84"/>
        <v>-0.97384000000000004</v>
      </c>
    </row>
    <row r="255" spans="1:26" s="24" customFormat="1" hidden="1" outlineLevel="2" x14ac:dyDescent="0.25">
      <c r="A255" s="26"/>
      <c r="B255" s="11" t="str">
        <f>CONCATENATE("          ", "6373", " - ", "MAINTENANCE CONTRACTS")</f>
        <v xml:space="preserve">          6373 - MAINTENANCE CONTRACTS</v>
      </c>
      <c r="C255" s="11"/>
      <c r="D255" s="7">
        <v>3743.93</v>
      </c>
      <c r="E255" s="2"/>
      <c r="F255" s="6">
        <f t="shared" si="77"/>
        <v>1.0423376283791974E-2</v>
      </c>
      <c r="G255" s="2"/>
      <c r="H255" s="7">
        <v>7040</v>
      </c>
      <c r="I255" s="2"/>
      <c r="J255" s="6">
        <f t="shared" si="78"/>
        <v>5.628723414055529E-3</v>
      </c>
      <c r="K255" s="2"/>
      <c r="L255" s="7">
        <f t="shared" si="79"/>
        <v>-3296.07</v>
      </c>
      <c r="M255" s="2"/>
      <c r="N255" s="6">
        <f t="shared" si="80"/>
        <v>-0.46819176136363638</v>
      </c>
      <c r="O255" s="11"/>
      <c r="P255" s="7">
        <v>78674.05</v>
      </c>
      <c r="Q255" s="2"/>
      <c r="R255" s="6">
        <f t="shared" si="81"/>
        <v>6.8625647750743804E-3</v>
      </c>
      <c r="S255" s="2"/>
      <c r="T255" s="7">
        <v>77515</v>
      </c>
      <c r="U255" s="2"/>
      <c r="V255" s="6">
        <f t="shared" si="82"/>
        <v>5.5119938099819294E-3</v>
      </c>
      <c r="W255" s="2"/>
      <c r="X255" s="7">
        <f t="shared" si="83"/>
        <v>1159.0500000000029</v>
      </c>
      <c r="Y255" s="2"/>
      <c r="Z255" s="6">
        <f t="shared" si="84"/>
        <v>1.4952589821324943E-2</v>
      </c>
    </row>
    <row r="256" spans="1:26" s="24" customFormat="1" hidden="1" outlineLevel="2" x14ac:dyDescent="0.25">
      <c r="A256" s="26"/>
      <c r="B256" s="11" t="str">
        <f>CONCATENATE("          ", "6375", " - ", "OUTSIDE REPAIRS &amp; MAINTENANCE")</f>
        <v xml:space="preserve">          6375 - OUTSIDE REPAIRS &amp; MAINTENANCE</v>
      </c>
      <c r="C256" s="11"/>
      <c r="D256" s="7">
        <v>1541.64</v>
      </c>
      <c r="E256" s="2"/>
      <c r="F256" s="6">
        <f t="shared" si="77"/>
        <v>4.2920390643374903E-3</v>
      </c>
      <c r="G256" s="2"/>
      <c r="H256" s="7">
        <v>7500</v>
      </c>
      <c r="I256" s="2"/>
      <c r="J256" s="6">
        <f t="shared" si="78"/>
        <v>5.9965093189512028E-3</v>
      </c>
      <c r="K256" s="2"/>
      <c r="L256" s="7">
        <f t="shared" si="79"/>
        <v>-5958.36</v>
      </c>
      <c r="M256" s="2"/>
      <c r="N256" s="6">
        <f t="shared" si="80"/>
        <v>-0.79444799999999993</v>
      </c>
      <c r="O256" s="11"/>
      <c r="P256" s="7">
        <v>38692.899999999994</v>
      </c>
      <c r="Q256" s="2"/>
      <c r="R256" s="6">
        <f t="shared" si="81"/>
        <v>3.3750967769610872E-3</v>
      </c>
      <c r="S256" s="2"/>
      <c r="T256" s="7">
        <v>76525</v>
      </c>
      <c r="U256" s="2"/>
      <c r="V256" s="6">
        <f t="shared" si="82"/>
        <v>5.4415961595674018E-3</v>
      </c>
      <c r="W256" s="2"/>
      <c r="X256" s="7">
        <f t="shared" si="83"/>
        <v>-37832.100000000006</v>
      </c>
      <c r="Y256" s="2"/>
      <c r="Z256" s="6">
        <f t="shared" si="84"/>
        <v>-0.49437569421757604</v>
      </c>
    </row>
    <row r="257" spans="1:26" s="27" customFormat="1" outlineLevel="1" collapsed="1" x14ac:dyDescent="0.25">
      <c r="A257" s="25"/>
      <c r="B257" s="12" t="str">
        <f>CONCATENATE("     ","Royalty &amp; Commissions                             ")</f>
        <v xml:space="preserve">     Royalty &amp; Commissions                             </v>
      </c>
      <c r="C257" s="12"/>
      <c r="D257" s="1">
        <f>SUM(OSRRefD22_17x_0)</f>
        <v>0</v>
      </c>
      <c r="E257" s="1"/>
      <c r="F257" s="5">
        <f t="shared" ref="F257:F261" si="85">IF(D$12=0,0,D257/D$12)</f>
        <v>0</v>
      </c>
      <c r="G257" s="1"/>
      <c r="H257" s="1">
        <f>SUM(OSRRefH22_17x_0)</f>
        <v>16485</v>
      </c>
      <c r="I257" s="1"/>
      <c r="J257" s="5">
        <f t="shared" ref="J257:J261" si="86">IF(H$12=0,0,H257/H$12)</f>
        <v>1.3180327483054744E-2</v>
      </c>
      <c r="K257" s="1"/>
      <c r="L257" s="1">
        <f t="shared" ref="L257:L261" si="87">+D257-H257</f>
        <v>-16485</v>
      </c>
      <c r="M257" s="1"/>
      <c r="N257" s="5">
        <f t="shared" ref="N257:N261" si="88">IF(H257=0,0,L257/H257)</f>
        <v>-1</v>
      </c>
      <c r="O257" s="12"/>
      <c r="P257" s="1">
        <f>SUM(OSRRefP22_17x_0)</f>
        <v>123449.40000000001</v>
      </c>
      <c r="Q257" s="1"/>
      <c r="R257" s="5">
        <f t="shared" ref="R257:R261" si="89">IF(P$12=0,0,P257/P$12)</f>
        <v>1.076822032098344E-2</v>
      </c>
      <c r="S257" s="1"/>
      <c r="T257" s="1">
        <f>SUM(OSRRefT22_17x_0)</f>
        <v>181335</v>
      </c>
      <c r="U257" s="1"/>
      <c r="V257" s="5">
        <f t="shared" ref="V257:V261" si="90">IF(T$12=0,0,T257/T$12)</f>
        <v>1.2894502967594312E-2</v>
      </c>
      <c r="W257" s="1"/>
      <c r="X257" s="1">
        <f t="shared" ref="X257:X261" si="91">+P257-T257</f>
        <v>-57885.599999999991</v>
      </c>
      <c r="Y257" s="1"/>
      <c r="Z257" s="5">
        <f t="shared" ref="Z257:Z261" si="92">IF(T257=0,0,X257/T257)</f>
        <v>-0.31921912482422032</v>
      </c>
    </row>
    <row r="258" spans="1:26" s="24" customFormat="1" hidden="1" outlineLevel="2" x14ac:dyDescent="0.25">
      <c r="A258" s="26"/>
      <c r="B258" s="11" t="str">
        <f>CONCATENATE("          ", "6252", " - ", "ROYALTY DUE CSTV")</f>
        <v xml:space="preserve">          6252 - ROYALTY DUE CSTV</v>
      </c>
      <c r="C258" s="11"/>
      <c r="D258" s="7"/>
      <c r="E258" s="2"/>
      <c r="F258" s="6">
        <f t="shared" si="85"/>
        <v>0</v>
      </c>
      <c r="G258" s="2"/>
      <c r="H258" s="7">
        <v>1085</v>
      </c>
      <c r="I258" s="2"/>
      <c r="J258" s="6">
        <f t="shared" si="86"/>
        <v>8.6749501480827399E-4</v>
      </c>
      <c r="K258" s="2"/>
      <c r="L258" s="7">
        <f t="shared" si="87"/>
        <v>-1085</v>
      </c>
      <c r="M258" s="2"/>
      <c r="N258" s="6">
        <f t="shared" si="88"/>
        <v>-1</v>
      </c>
      <c r="O258" s="11"/>
      <c r="P258" s="7"/>
      <c r="Q258" s="2"/>
      <c r="R258" s="6">
        <f t="shared" si="89"/>
        <v>0</v>
      </c>
      <c r="S258" s="2"/>
      <c r="T258" s="7">
        <v>11935</v>
      </c>
      <c r="U258" s="2"/>
      <c r="V258" s="6">
        <f t="shared" si="90"/>
        <v>8.4868278555291646E-4</v>
      </c>
      <c r="W258" s="2"/>
      <c r="X258" s="7">
        <f t="shared" si="91"/>
        <v>-11935</v>
      </c>
      <c r="Y258" s="2"/>
      <c r="Z258" s="6">
        <f t="shared" si="92"/>
        <v>-1</v>
      </c>
    </row>
    <row r="259" spans="1:26" s="24" customFormat="1" hidden="1" outlineLevel="2" x14ac:dyDescent="0.25">
      <c r="A259" s="26"/>
      <c r="B259" s="11" t="str">
        <f>CONCATENATE("          ", "6253", " - ", "ROYALTY DUE ATHLETICS-LRG")</f>
        <v xml:space="preserve">          6253 - ROYALTY DUE ATHLETICS-LRG</v>
      </c>
      <c r="C259" s="11"/>
      <c r="D259" s="7"/>
      <c r="E259" s="2"/>
      <c r="F259" s="6">
        <f t="shared" si="85"/>
        <v>0</v>
      </c>
      <c r="G259" s="2"/>
      <c r="H259" s="7">
        <v>3700</v>
      </c>
      <c r="I259" s="2"/>
      <c r="J259" s="6">
        <f t="shared" si="86"/>
        <v>2.9582779306825935E-3</v>
      </c>
      <c r="K259" s="2"/>
      <c r="L259" s="7">
        <f t="shared" si="87"/>
        <v>-3700</v>
      </c>
      <c r="M259" s="2"/>
      <c r="N259" s="6">
        <f t="shared" si="88"/>
        <v>-1</v>
      </c>
      <c r="O259" s="11"/>
      <c r="P259" s="7">
        <v>32870.44</v>
      </c>
      <c r="Q259" s="2"/>
      <c r="R259" s="6">
        <f t="shared" si="89"/>
        <v>2.8672163653097296E-3</v>
      </c>
      <c r="S259" s="2"/>
      <c r="T259" s="7">
        <v>40700</v>
      </c>
      <c r="U259" s="2"/>
      <c r="V259" s="6">
        <f t="shared" si="90"/>
        <v>2.8941256281528028E-3</v>
      </c>
      <c r="W259" s="2"/>
      <c r="X259" s="7">
        <f t="shared" si="91"/>
        <v>-7829.5599999999977</v>
      </c>
      <c r="Y259" s="2"/>
      <c r="Z259" s="6">
        <f t="shared" si="92"/>
        <v>-0.19237248157248152</v>
      </c>
    </row>
    <row r="260" spans="1:26" s="24" customFormat="1" hidden="1" outlineLevel="2" x14ac:dyDescent="0.25">
      <c r="A260" s="26"/>
      <c r="B260" s="11" t="str">
        <f>CONCATENATE("          ", "6254", " - ", "ROYALTY &amp; COMMISSIONS")</f>
        <v xml:space="preserve">          6254 - ROYALTY &amp; COMMISSIONS</v>
      </c>
      <c r="C260" s="11"/>
      <c r="D260" s="7"/>
      <c r="E260" s="2"/>
      <c r="F260" s="6">
        <f t="shared" si="85"/>
        <v>0</v>
      </c>
      <c r="G260" s="2"/>
      <c r="H260" s="7">
        <v>11700</v>
      </c>
      <c r="I260" s="2"/>
      <c r="J260" s="6">
        <f t="shared" si="86"/>
        <v>9.3545545375638764E-3</v>
      </c>
      <c r="K260" s="2"/>
      <c r="L260" s="7">
        <f t="shared" si="87"/>
        <v>-11700</v>
      </c>
      <c r="M260" s="2"/>
      <c r="N260" s="6">
        <f t="shared" si="88"/>
        <v>-1</v>
      </c>
      <c r="O260" s="11"/>
      <c r="P260" s="7">
        <v>7971.22</v>
      </c>
      <c r="Q260" s="2"/>
      <c r="R260" s="6">
        <f t="shared" si="89"/>
        <v>6.9531203219318693E-4</v>
      </c>
      <c r="S260" s="2"/>
      <c r="T260" s="7">
        <v>128700</v>
      </c>
      <c r="U260" s="2"/>
      <c r="V260" s="6">
        <f t="shared" si="90"/>
        <v>9.1516945538885931E-3</v>
      </c>
      <c r="W260" s="2"/>
      <c r="X260" s="7">
        <f t="shared" si="91"/>
        <v>-120728.78</v>
      </c>
      <c r="Y260" s="2"/>
      <c r="Z260" s="6">
        <f t="shared" si="92"/>
        <v>-0.93806355866355862</v>
      </c>
    </row>
    <row r="261" spans="1:26" s="24" customFormat="1" hidden="1" outlineLevel="2" x14ac:dyDescent="0.25">
      <c r="A261" s="26"/>
      <c r="B261" s="11" t="str">
        <f>CONCATENATE("          ", "6259", " - ", "ROYALTY &amp; COMMISSIONS")</f>
        <v xml:space="preserve">          6259 - ROYALTY &amp; COMMISSIONS</v>
      </c>
      <c r="C261" s="11"/>
      <c r="D261" s="7"/>
      <c r="E261" s="2"/>
      <c r="F261" s="6">
        <f t="shared" si="85"/>
        <v>0</v>
      </c>
      <c r="G261" s="2"/>
      <c r="H261" s="7"/>
      <c r="I261" s="2"/>
      <c r="J261" s="6">
        <f t="shared" si="86"/>
        <v>0</v>
      </c>
      <c r="K261" s="2"/>
      <c r="L261" s="7">
        <f t="shared" si="87"/>
        <v>0</v>
      </c>
      <c r="M261" s="2"/>
      <c r="N261" s="6">
        <f t="shared" si="88"/>
        <v>0</v>
      </c>
      <c r="O261" s="11"/>
      <c r="P261" s="7">
        <v>82607.740000000005</v>
      </c>
      <c r="Q261" s="2"/>
      <c r="R261" s="6">
        <f t="shared" si="89"/>
        <v>7.205691923480524E-3</v>
      </c>
      <c r="S261" s="2"/>
      <c r="T261" s="7"/>
      <c r="U261" s="2"/>
      <c r="V261" s="6">
        <f t="shared" si="90"/>
        <v>0</v>
      </c>
      <c r="W261" s="2"/>
      <c r="X261" s="7">
        <f t="shared" si="91"/>
        <v>82607.740000000005</v>
      </c>
      <c r="Y261" s="2"/>
      <c r="Z261" s="6">
        <f t="shared" si="92"/>
        <v>0</v>
      </c>
    </row>
    <row r="262" spans="1:26" s="27" customFormat="1" outlineLevel="1" collapsed="1" x14ac:dyDescent="0.25">
      <c r="A262" s="25"/>
      <c r="B262" s="12" t="str">
        <f>CONCATENATE("     ","Services                                          ")</f>
        <v xml:space="preserve">     Services                                          </v>
      </c>
      <c r="C262" s="12"/>
      <c r="D262" s="1">
        <f>SUM(OSRRefD22_18x_0)</f>
        <v>4376.38</v>
      </c>
      <c r="E262" s="1"/>
      <c r="F262" s="5">
        <f t="shared" ref="F262:F266" si="93">IF(D$12=0,0,D262/D$12)</f>
        <v>1.2184163566322426E-2</v>
      </c>
      <c r="G262" s="1"/>
      <c r="H262" s="1">
        <f>SUM(OSRRefH22_18x_0)</f>
        <v>4442.5</v>
      </c>
      <c r="I262" s="1"/>
      <c r="J262" s="5">
        <f t="shared" ref="J262:J266" si="94">IF(H$12=0,0,H262/H$12)</f>
        <v>3.5519323532587624E-3</v>
      </c>
      <c r="K262" s="1"/>
      <c r="L262" s="1">
        <f t="shared" ref="L262:L266" si="95">+D262-H262</f>
        <v>-66.119999999999891</v>
      </c>
      <c r="M262" s="1"/>
      <c r="N262" s="5">
        <f t="shared" ref="N262:N266" si="96">IF(H262=0,0,L262/H262)</f>
        <v>-1.4883511536297106E-2</v>
      </c>
      <c r="O262" s="12"/>
      <c r="P262" s="1">
        <f>SUM(OSRRefP22_18x_0)</f>
        <v>50633.25</v>
      </c>
      <c r="Q262" s="1"/>
      <c r="R262" s="5">
        <f t="shared" ref="R262:R266" si="97">IF(P$12=0,0,P262/P$12)</f>
        <v>4.416627311007058E-3</v>
      </c>
      <c r="S262" s="1"/>
      <c r="T262" s="1">
        <f>SUM(OSRRefT22_18x_0)</f>
        <v>49132.5</v>
      </c>
      <c r="U262" s="1"/>
      <c r="V262" s="5">
        <f t="shared" ref="V262:V266" si="98">IF(T$12=0,0,T262/T$12)</f>
        <v>3.4937500595876555E-3</v>
      </c>
      <c r="W262" s="1"/>
      <c r="X262" s="1">
        <f t="shared" ref="X262:X266" si="99">+P262-T262</f>
        <v>1500.75</v>
      </c>
      <c r="Y262" s="1"/>
      <c r="Z262" s="5">
        <f t="shared" ref="Z262:Z266" si="100">IF(T262=0,0,X262/T262)</f>
        <v>3.0544954968707069E-2</v>
      </c>
    </row>
    <row r="263" spans="1:26" s="24" customFormat="1" hidden="1" outlineLevel="2" x14ac:dyDescent="0.25">
      <c r="A263" s="26"/>
      <c r="B263" s="11" t="str">
        <f>CONCATENATE("          ", "6282", " - ", "JANITORIAL/EXTERMINATOR EXPENS")</f>
        <v xml:space="preserve">          6282 - JANITORIAL/EXTERMINATOR EXPENS</v>
      </c>
      <c r="C263" s="11"/>
      <c r="D263" s="7"/>
      <c r="E263" s="2"/>
      <c r="F263" s="6">
        <f t="shared" si="93"/>
        <v>0</v>
      </c>
      <c r="G263" s="2"/>
      <c r="H263" s="7">
        <v>50</v>
      </c>
      <c r="I263" s="2"/>
      <c r="J263" s="6">
        <f t="shared" si="94"/>
        <v>3.9976728793008017E-5</v>
      </c>
      <c r="K263" s="2"/>
      <c r="L263" s="7">
        <f t="shared" si="95"/>
        <v>-50</v>
      </c>
      <c r="M263" s="2"/>
      <c r="N263" s="6">
        <f t="shared" si="96"/>
        <v>-1</v>
      </c>
      <c r="O263" s="11"/>
      <c r="P263" s="7">
        <v>2686.02</v>
      </c>
      <c r="Q263" s="2"/>
      <c r="R263" s="6">
        <f t="shared" si="97"/>
        <v>2.3429563162370929E-4</v>
      </c>
      <c r="S263" s="2"/>
      <c r="T263" s="7">
        <v>550</v>
      </c>
      <c r="U263" s="2"/>
      <c r="V263" s="6">
        <f t="shared" si="98"/>
        <v>3.9109805785848684E-5</v>
      </c>
      <c r="W263" s="2"/>
      <c r="X263" s="7">
        <f t="shared" si="99"/>
        <v>2136.02</v>
      </c>
      <c r="Y263" s="2"/>
      <c r="Z263" s="6">
        <f t="shared" si="100"/>
        <v>3.8836727272727272</v>
      </c>
    </row>
    <row r="264" spans="1:26" s="24" customFormat="1" hidden="1" outlineLevel="2" x14ac:dyDescent="0.25">
      <c r="A264" s="26"/>
      <c r="B264" s="11" t="str">
        <f>CONCATENATE("          ", "6283", " - ", "PLANT SERVICE")</f>
        <v xml:space="preserve">          6283 - PLANT SERVICE</v>
      </c>
      <c r="C264" s="11"/>
      <c r="D264" s="7"/>
      <c r="E264" s="2"/>
      <c r="F264" s="6">
        <f t="shared" si="93"/>
        <v>0</v>
      </c>
      <c r="G264" s="2"/>
      <c r="H264" s="7">
        <v>60</v>
      </c>
      <c r="I264" s="2"/>
      <c r="J264" s="6">
        <f t="shared" si="94"/>
        <v>4.7972074551609624E-5</v>
      </c>
      <c r="K264" s="2"/>
      <c r="L264" s="7">
        <f t="shared" si="95"/>
        <v>-60</v>
      </c>
      <c r="M264" s="2"/>
      <c r="N264" s="6">
        <f t="shared" si="96"/>
        <v>-1</v>
      </c>
      <c r="O264" s="11"/>
      <c r="P264" s="7">
        <v>541.98</v>
      </c>
      <c r="Q264" s="2"/>
      <c r="R264" s="6">
        <f t="shared" si="97"/>
        <v>4.7275726326467399E-5</v>
      </c>
      <c r="S264" s="2"/>
      <c r="T264" s="7">
        <v>660</v>
      </c>
      <c r="U264" s="2"/>
      <c r="V264" s="6">
        <f t="shared" si="98"/>
        <v>4.6931766943018427E-5</v>
      </c>
      <c r="W264" s="2"/>
      <c r="X264" s="7">
        <f t="shared" si="99"/>
        <v>-118.01999999999998</v>
      </c>
      <c r="Y264" s="2"/>
      <c r="Z264" s="6">
        <f t="shared" si="100"/>
        <v>-0.17881818181818179</v>
      </c>
    </row>
    <row r="265" spans="1:26" s="24" customFormat="1" hidden="1" outlineLevel="2" x14ac:dyDescent="0.25">
      <c r="A265" s="26"/>
      <c r="B265" s="11" t="str">
        <f>CONCATENATE("          ", "6284", " - ", "TRASH REMOVAL EXPENSE")</f>
        <v xml:space="preserve">          6284 - TRASH REMOVAL EXPENSE</v>
      </c>
      <c r="C265" s="11"/>
      <c r="D265" s="7">
        <v>134.82</v>
      </c>
      <c r="E265" s="2"/>
      <c r="F265" s="6">
        <f t="shared" si="93"/>
        <v>3.753487887275761E-4</v>
      </c>
      <c r="G265" s="2"/>
      <c r="H265" s="7">
        <v>62.5</v>
      </c>
      <c r="I265" s="2"/>
      <c r="J265" s="6">
        <f t="shared" si="94"/>
        <v>4.9970910991260026E-5</v>
      </c>
      <c r="K265" s="2"/>
      <c r="L265" s="7">
        <f t="shared" si="95"/>
        <v>72.319999999999993</v>
      </c>
      <c r="M265" s="2"/>
      <c r="N265" s="6">
        <f t="shared" si="96"/>
        <v>1.1571199999999999</v>
      </c>
      <c r="O265" s="11"/>
      <c r="P265" s="7">
        <v>1483.02</v>
      </c>
      <c r="Q265" s="2"/>
      <c r="R265" s="6">
        <f t="shared" si="97"/>
        <v>1.2936058093781629E-4</v>
      </c>
      <c r="S265" s="2"/>
      <c r="T265" s="7">
        <v>687.5</v>
      </c>
      <c r="U265" s="2"/>
      <c r="V265" s="6">
        <f t="shared" si="98"/>
        <v>4.8887257232310859E-5</v>
      </c>
      <c r="W265" s="2"/>
      <c r="X265" s="7">
        <f t="shared" si="99"/>
        <v>795.52</v>
      </c>
      <c r="Y265" s="2"/>
      <c r="Z265" s="6">
        <f t="shared" si="100"/>
        <v>1.1571199999999999</v>
      </c>
    </row>
    <row r="266" spans="1:26" s="24" customFormat="1" hidden="1" outlineLevel="2" x14ac:dyDescent="0.25">
      <c r="A266" s="26"/>
      <c r="B266" s="11" t="str">
        <f>CONCATENATE("          ", "6285", " - ", "JANITORIAL SERVICES")</f>
        <v xml:space="preserve">          6285 - JANITORIAL SERVICES</v>
      </c>
      <c r="C266" s="11"/>
      <c r="D266" s="7">
        <v>4241.5600000000004</v>
      </c>
      <c r="E266" s="2"/>
      <c r="F266" s="6">
        <f t="shared" si="93"/>
        <v>1.180881477759485E-2</v>
      </c>
      <c r="G266" s="2"/>
      <c r="H266" s="7">
        <v>4270</v>
      </c>
      <c r="I266" s="2"/>
      <c r="J266" s="6">
        <f t="shared" si="94"/>
        <v>3.4140126389228848E-3</v>
      </c>
      <c r="K266" s="2"/>
      <c r="L266" s="7">
        <f t="shared" si="95"/>
        <v>-28.4399999999996</v>
      </c>
      <c r="M266" s="2"/>
      <c r="N266" s="6">
        <f t="shared" si="96"/>
        <v>-6.6604215456673539E-3</v>
      </c>
      <c r="O266" s="11"/>
      <c r="P266" s="7">
        <v>45922.23</v>
      </c>
      <c r="Q266" s="2"/>
      <c r="R266" s="6">
        <f t="shared" si="97"/>
        <v>4.0056953721190657E-3</v>
      </c>
      <c r="S266" s="2"/>
      <c r="T266" s="7">
        <v>47235</v>
      </c>
      <c r="U266" s="2"/>
      <c r="V266" s="6">
        <f t="shared" si="98"/>
        <v>3.3588212296264777E-3</v>
      </c>
      <c r="W266" s="2"/>
      <c r="X266" s="7">
        <f t="shared" si="99"/>
        <v>-1312.7699999999968</v>
      </c>
      <c r="Y266" s="2"/>
      <c r="Z266" s="6">
        <f t="shared" si="100"/>
        <v>-2.7792315020641407E-2</v>
      </c>
    </row>
    <row r="267" spans="1:26" s="27" customFormat="1" outlineLevel="1" collapsed="1" x14ac:dyDescent="0.25">
      <c r="A267" s="25"/>
      <c r="B267" s="12" t="str">
        <f>CONCATENATE("     ","Subscriptions &amp; Dues                              ")</f>
        <v xml:space="preserve">     Subscriptions &amp; Dues                              </v>
      </c>
      <c r="C267" s="12"/>
      <c r="D267" s="1">
        <f>SUM(OSRRefD22_19x_0)</f>
        <v>260</v>
      </c>
      <c r="E267" s="1"/>
      <c r="F267" s="5">
        <f t="shared" ref="F267:F269" si="101">IF(D$12=0,0,D267/D$12)</f>
        <v>7.23859108953937E-4</v>
      </c>
      <c r="G267" s="1"/>
      <c r="H267" s="1">
        <f>SUM(OSRRefH22_19x_0)</f>
        <v>615</v>
      </c>
      <c r="I267" s="1"/>
      <c r="J267" s="5">
        <f t="shared" ref="J267:J269" si="102">IF(H$12=0,0,H267/H$12)</f>
        <v>4.9171376415399861E-4</v>
      </c>
      <c r="K267" s="1"/>
      <c r="L267" s="1">
        <f t="shared" ref="L267:L269" si="103">+D267-H267</f>
        <v>-355</v>
      </c>
      <c r="M267" s="1"/>
      <c r="N267" s="5">
        <f t="shared" ref="N267:N269" si="104">IF(H267=0,0,L267/H267)</f>
        <v>-0.57723577235772361</v>
      </c>
      <c r="O267" s="12"/>
      <c r="P267" s="1">
        <f>SUM(OSRRefP22_19x_0)</f>
        <v>2472.35</v>
      </c>
      <c r="Q267" s="1"/>
      <c r="R267" s="5">
        <f t="shared" ref="R267:R269" si="105">IF(P$12=0,0,P267/P$12)</f>
        <v>2.1565766630363053E-4</v>
      </c>
      <c r="S267" s="1"/>
      <c r="T267" s="1">
        <f>SUM(OSRRefT22_19x_0)</f>
        <v>20855</v>
      </c>
      <c r="U267" s="1"/>
      <c r="V267" s="5">
        <f t="shared" ref="V267:V269" si="106">IF(T$12=0,0,T267/T$12)</f>
        <v>1.4829727266615898E-3</v>
      </c>
      <c r="W267" s="1"/>
      <c r="X267" s="1">
        <f t="shared" ref="X267:X269" si="107">+P267-T267</f>
        <v>-18382.650000000001</v>
      </c>
      <c r="Y267" s="1"/>
      <c r="Z267" s="5">
        <f t="shared" ref="Z267:Z269" si="108">IF(T267=0,0,X267/T267)</f>
        <v>-0.88145049148885168</v>
      </c>
    </row>
    <row r="268" spans="1:26" s="24" customFormat="1" hidden="1" outlineLevel="2" x14ac:dyDescent="0.25">
      <c r="A268" s="26"/>
      <c r="B268" s="11" t="str">
        <f>CONCATENATE("          ", "6258", " - ", "MEMBERSHIP DUES")</f>
        <v xml:space="preserve">          6258 - MEMBERSHIP DUES</v>
      </c>
      <c r="C268" s="11"/>
      <c r="D268" s="7">
        <v>260</v>
      </c>
      <c r="E268" s="2"/>
      <c r="F268" s="6">
        <f t="shared" si="101"/>
        <v>7.23859108953937E-4</v>
      </c>
      <c r="G268" s="2"/>
      <c r="H268" s="7">
        <v>400</v>
      </c>
      <c r="I268" s="2"/>
      <c r="J268" s="6">
        <f t="shared" si="102"/>
        <v>3.1981383034406413E-4</v>
      </c>
      <c r="K268" s="2"/>
      <c r="L268" s="7">
        <f t="shared" si="103"/>
        <v>-140</v>
      </c>
      <c r="M268" s="2"/>
      <c r="N268" s="6">
        <f t="shared" si="104"/>
        <v>-0.35</v>
      </c>
      <c r="O268" s="11"/>
      <c r="P268" s="7">
        <v>-320.08999999999997</v>
      </c>
      <c r="Q268" s="2"/>
      <c r="R268" s="6">
        <f t="shared" si="105"/>
        <v>-2.7920748440604726E-5</v>
      </c>
      <c r="S268" s="2"/>
      <c r="T268" s="7">
        <v>15440</v>
      </c>
      <c r="U268" s="2"/>
      <c r="V268" s="6">
        <f t="shared" si="106"/>
        <v>1.0979189115154612E-3</v>
      </c>
      <c r="W268" s="2"/>
      <c r="X268" s="7">
        <f t="shared" si="107"/>
        <v>-15760.09</v>
      </c>
      <c r="Y268" s="2"/>
      <c r="Z268" s="6">
        <f t="shared" si="108"/>
        <v>-1.0207312176165804</v>
      </c>
    </row>
    <row r="269" spans="1:26" s="24" customFormat="1" hidden="1" outlineLevel="2" x14ac:dyDescent="0.25">
      <c r="A269" s="26"/>
      <c r="B269" s="11" t="str">
        <f>CONCATENATE("          ", "6275", " - ", "SUBSCRIPTIONS")</f>
        <v xml:space="preserve">          6275 - SUBSCRIPTIONS</v>
      </c>
      <c r="C269" s="11"/>
      <c r="D269" s="7"/>
      <c r="E269" s="2"/>
      <c r="F269" s="6">
        <f t="shared" si="101"/>
        <v>0</v>
      </c>
      <c r="G269" s="2"/>
      <c r="H269" s="7">
        <v>215</v>
      </c>
      <c r="I269" s="2"/>
      <c r="J269" s="6">
        <f t="shared" si="102"/>
        <v>1.7189993380993448E-4</v>
      </c>
      <c r="K269" s="2"/>
      <c r="L269" s="7">
        <f t="shared" si="103"/>
        <v>-215</v>
      </c>
      <c r="M269" s="2"/>
      <c r="N269" s="6">
        <f t="shared" si="104"/>
        <v>-1</v>
      </c>
      <c r="O269" s="11"/>
      <c r="P269" s="7">
        <v>2792.44</v>
      </c>
      <c r="Q269" s="2"/>
      <c r="R269" s="6">
        <f t="shared" si="105"/>
        <v>2.4357841474423526E-4</v>
      </c>
      <c r="S269" s="2"/>
      <c r="T269" s="7">
        <v>5415</v>
      </c>
      <c r="U269" s="2"/>
      <c r="V269" s="6">
        <f t="shared" si="106"/>
        <v>3.8505381514612844E-4</v>
      </c>
      <c r="W269" s="2"/>
      <c r="X269" s="7">
        <f t="shared" si="107"/>
        <v>-2622.56</v>
      </c>
      <c r="Y269" s="2"/>
      <c r="Z269" s="6">
        <f t="shared" si="108"/>
        <v>-0.48431394275161588</v>
      </c>
    </row>
    <row r="270" spans="1:26" s="27" customFormat="1" outlineLevel="1" collapsed="1" x14ac:dyDescent="0.25">
      <c r="A270" s="25"/>
      <c r="B270" s="12" t="str">
        <f>CONCATENATE("     ","Supplies                                          ")</f>
        <v xml:space="preserve">     Supplies                                          </v>
      </c>
      <c r="C270" s="12"/>
      <c r="D270" s="1">
        <f>SUM(OSRRefD22_20x_0)</f>
        <v>4756.8600000000006</v>
      </c>
      <c r="E270" s="1"/>
      <c r="F270" s="5">
        <f t="shared" ref="F270:F278" si="109">IF(D$12=0,0,D270/D$12)</f>
        <v>1.3243447850071635E-2</v>
      </c>
      <c r="G270" s="1"/>
      <c r="H270" s="1">
        <f>SUM(OSRRefH22_20x_0)</f>
        <v>15095</v>
      </c>
      <c r="I270" s="1"/>
      <c r="J270" s="5">
        <f t="shared" ref="J270:J278" si="110">IF(H$12=0,0,H270/H$12)</f>
        <v>1.2068974422609121E-2</v>
      </c>
      <c r="K270" s="1"/>
      <c r="L270" s="1">
        <f t="shared" ref="L270:L278" si="111">+D270-H270</f>
        <v>-10338.14</v>
      </c>
      <c r="M270" s="1"/>
      <c r="N270" s="5">
        <f t="shared" ref="N270:N278" si="112">IF(H270=0,0,L270/H270)</f>
        <v>-0.68487181185823121</v>
      </c>
      <c r="O270" s="12"/>
      <c r="P270" s="1">
        <f>SUM(OSRRefP22_20x_0)</f>
        <v>96297.08</v>
      </c>
      <c r="Q270" s="1"/>
      <c r="R270" s="5">
        <f t="shared" ref="R270:R278" si="113">IF(P$12=0,0,P270/P$12)</f>
        <v>8.3997830180411407E-3</v>
      </c>
      <c r="S270" s="1"/>
      <c r="T270" s="1">
        <f>SUM(OSRRefT22_20x_0)</f>
        <v>191365</v>
      </c>
      <c r="U270" s="1"/>
      <c r="V270" s="5">
        <f t="shared" ref="V270:V278" si="114">IF(T$12=0,0,T270/T$12)</f>
        <v>1.3607723607652607E-2</v>
      </c>
      <c r="W270" s="1"/>
      <c r="X270" s="1">
        <f t="shared" ref="X270:X278" si="115">+P270-T270</f>
        <v>-95067.92</v>
      </c>
      <c r="Y270" s="1"/>
      <c r="Z270" s="5">
        <f t="shared" ref="Z270:Z278" si="116">IF(T270=0,0,X270/T270)</f>
        <v>-0.49678844093747548</v>
      </c>
    </row>
    <row r="271" spans="1:26" s="24" customFormat="1" hidden="1" outlineLevel="2" x14ac:dyDescent="0.25">
      <c r="A271" s="26"/>
      <c r="B271" s="11" t="str">
        <f>CONCATENATE("          ", "6234", " - ", "EXPENDABLE SUPPLIES &amp; EQUIPMEN")</f>
        <v xml:space="preserve">          6234 - EXPENDABLE SUPPLIES &amp; EQUIPMEN</v>
      </c>
      <c r="C271" s="11"/>
      <c r="D271" s="7">
        <v>700.76</v>
      </c>
      <c r="E271" s="2"/>
      <c r="F271" s="6">
        <f t="shared" si="109"/>
        <v>1.9509673430406188E-3</v>
      </c>
      <c r="G271" s="2"/>
      <c r="H271" s="7">
        <v>400</v>
      </c>
      <c r="I271" s="2"/>
      <c r="J271" s="6">
        <f t="shared" si="110"/>
        <v>3.1981383034406413E-4</v>
      </c>
      <c r="K271" s="2"/>
      <c r="L271" s="7">
        <f t="shared" si="111"/>
        <v>300.76</v>
      </c>
      <c r="M271" s="2"/>
      <c r="N271" s="6">
        <f t="shared" si="112"/>
        <v>0.75190000000000001</v>
      </c>
      <c r="O271" s="11"/>
      <c r="P271" s="7">
        <v>4142.5600000000004</v>
      </c>
      <c r="Q271" s="2"/>
      <c r="R271" s="6">
        <f t="shared" si="113"/>
        <v>3.613464202571512E-4</v>
      </c>
      <c r="S271" s="2"/>
      <c r="T271" s="7">
        <v>7250</v>
      </c>
      <c r="U271" s="2"/>
      <c r="V271" s="6">
        <f t="shared" si="114"/>
        <v>5.1553834899527816E-4</v>
      </c>
      <c r="W271" s="2"/>
      <c r="X271" s="7">
        <f t="shared" si="115"/>
        <v>-3107.4399999999996</v>
      </c>
      <c r="Y271" s="2"/>
      <c r="Z271" s="6">
        <f t="shared" si="116"/>
        <v>-0.42861241379310339</v>
      </c>
    </row>
    <row r="272" spans="1:26" s="24" customFormat="1" hidden="1" outlineLevel="2" x14ac:dyDescent="0.25">
      <c r="A272" s="26"/>
      <c r="B272" s="11" t="str">
        <f>CONCATENATE("          ", "6235", " - ", "COVID-19 EXPENSES")</f>
        <v xml:space="preserve">          6235 - COVID-19 EXPENSES</v>
      </c>
      <c r="C272" s="11"/>
      <c r="D272" s="7">
        <v>1550</v>
      </c>
      <c r="E272" s="2"/>
      <c r="F272" s="6">
        <f t="shared" si="109"/>
        <v>4.3153139187638552E-3</v>
      </c>
      <c r="G272" s="2"/>
      <c r="H272" s="7"/>
      <c r="I272" s="2"/>
      <c r="J272" s="6">
        <f t="shared" si="110"/>
        <v>0</v>
      </c>
      <c r="K272" s="2"/>
      <c r="L272" s="7">
        <f t="shared" si="111"/>
        <v>1550</v>
      </c>
      <c r="M272" s="2"/>
      <c r="N272" s="6">
        <f t="shared" si="112"/>
        <v>0</v>
      </c>
      <c r="O272" s="11"/>
      <c r="P272" s="7">
        <v>1550</v>
      </c>
      <c r="Q272" s="2"/>
      <c r="R272" s="6">
        <f t="shared" si="113"/>
        <v>1.3520309938747641E-4</v>
      </c>
      <c r="S272" s="2"/>
      <c r="T272" s="7"/>
      <c r="U272" s="2"/>
      <c r="V272" s="6">
        <f t="shared" si="114"/>
        <v>0</v>
      </c>
      <c r="W272" s="2"/>
      <c r="X272" s="7">
        <f t="shared" si="115"/>
        <v>1550</v>
      </c>
      <c r="Y272" s="2"/>
      <c r="Z272" s="6">
        <f t="shared" si="116"/>
        <v>0</v>
      </c>
    </row>
    <row r="273" spans="1:26" s="24" customFormat="1" hidden="1" outlineLevel="2" x14ac:dyDescent="0.25">
      <c r="A273" s="26"/>
      <c r="B273" s="11" t="str">
        <f>CONCATENATE("          ", "6237", " - ", "JANITORIAL SUPPLIES")</f>
        <v xml:space="preserve">          6237 - JANITORIAL SUPPLIES</v>
      </c>
      <c r="C273" s="11"/>
      <c r="D273" s="7"/>
      <c r="E273" s="2"/>
      <c r="F273" s="6">
        <f t="shared" si="109"/>
        <v>0</v>
      </c>
      <c r="G273" s="2"/>
      <c r="H273" s="7">
        <v>45</v>
      </c>
      <c r="I273" s="2"/>
      <c r="J273" s="6">
        <f t="shared" si="110"/>
        <v>3.597905591370722E-5</v>
      </c>
      <c r="K273" s="2"/>
      <c r="L273" s="7">
        <f t="shared" si="111"/>
        <v>-45</v>
      </c>
      <c r="M273" s="2"/>
      <c r="N273" s="6">
        <f t="shared" si="112"/>
        <v>-1</v>
      </c>
      <c r="O273" s="11"/>
      <c r="P273" s="7">
        <v>5305.04</v>
      </c>
      <c r="Q273" s="2"/>
      <c r="R273" s="6">
        <f t="shared" si="113"/>
        <v>4.6274700024163734E-4</v>
      </c>
      <c r="S273" s="2"/>
      <c r="T273" s="7">
        <v>490</v>
      </c>
      <c r="U273" s="2"/>
      <c r="V273" s="6">
        <f t="shared" si="114"/>
        <v>3.4843281518301555E-5</v>
      </c>
      <c r="W273" s="2"/>
      <c r="X273" s="7">
        <f t="shared" si="115"/>
        <v>4815.04</v>
      </c>
      <c r="Y273" s="2"/>
      <c r="Z273" s="6">
        <f t="shared" si="116"/>
        <v>9.8266122448979587</v>
      </c>
    </row>
    <row r="274" spans="1:26" s="24" customFormat="1" hidden="1" outlineLevel="2" x14ac:dyDescent="0.25">
      <c r="A274" s="26"/>
      <c r="B274" s="11" t="str">
        <f>CONCATENATE("          ", "6241", " - ", "OFFICE EXPENSE")</f>
        <v xml:space="preserve">          6241 - OFFICE EXPENSE</v>
      </c>
      <c r="C274" s="11"/>
      <c r="D274" s="7">
        <v>1359.12</v>
      </c>
      <c r="E274" s="2"/>
      <c r="F274" s="6">
        <f t="shared" si="109"/>
        <v>3.7838899698518259E-3</v>
      </c>
      <c r="G274" s="2"/>
      <c r="H274" s="7">
        <v>1350</v>
      </c>
      <c r="I274" s="2"/>
      <c r="J274" s="6">
        <f t="shared" si="110"/>
        <v>1.0793716774112165E-3</v>
      </c>
      <c r="K274" s="2"/>
      <c r="L274" s="7">
        <f t="shared" si="111"/>
        <v>9.1199999999998909</v>
      </c>
      <c r="M274" s="2"/>
      <c r="N274" s="6">
        <f t="shared" si="112"/>
        <v>6.7555555555554748E-3</v>
      </c>
      <c r="O274" s="11"/>
      <c r="P274" s="7">
        <v>25565.69</v>
      </c>
      <c r="Q274" s="2"/>
      <c r="R274" s="6">
        <f t="shared" si="113"/>
        <v>2.2300390490189751E-3</v>
      </c>
      <c r="S274" s="2"/>
      <c r="T274" s="7">
        <v>19825</v>
      </c>
      <c r="U274" s="2"/>
      <c r="V274" s="6">
        <f t="shared" si="114"/>
        <v>1.409730726735364E-3</v>
      </c>
      <c r="W274" s="2"/>
      <c r="X274" s="7">
        <f t="shared" si="115"/>
        <v>5740.6899999999987</v>
      </c>
      <c r="Y274" s="2"/>
      <c r="Z274" s="6">
        <f t="shared" si="116"/>
        <v>0.28956822194199239</v>
      </c>
    </row>
    <row r="275" spans="1:26" s="24" customFormat="1" hidden="1" outlineLevel="2" x14ac:dyDescent="0.25">
      <c r="A275" s="26"/>
      <c r="B275" s="11" t="str">
        <f>CONCATENATE("          ", "6243", " - ", "PAPER SUPPLIES")</f>
        <v xml:space="preserve">          6243 - PAPER SUPPLIES</v>
      </c>
      <c r="C275" s="11"/>
      <c r="D275" s="7">
        <v>50.85</v>
      </c>
      <c r="E275" s="2"/>
      <c r="F275" s="6">
        <f t="shared" si="109"/>
        <v>1.4157013727041421E-4</v>
      </c>
      <c r="G275" s="2"/>
      <c r="H275" s="7">
        <v>250</v>
      </c>
      <c r="I275" s="2"/>
      <c r="J275" s="6">
        <f t="shared" si="110"/>
        <v>1.998836439650401E-4</v>
      </c>
      <c r="K275" s="2"/>
      <c r="L275" s="7">
        <f t="shared" si="111"/>
        <v>-199.15</v>
      </c>
      <c r="M275" s="2"/>
      <c r="N275" s="6">
        <f t="shared" si="112"/>
        <v>-0.79659999999999997</v>
      </c>
      <c r="O275" s="11"/>
      <c r="P275" s="7">
        <v>17939.21</v>
      </c>
      <c r="Q275" s="2"/>
      <c r="R275" s="6">
        <f t="shared" si="113"/>
        <v>1.5647979306856843E-3</v>
      </c>
      <c r="S275" s="2"/>
      <c r="T275" s="7">
        <v>3750</v>
      </c>
      <c r="U275" s="2"/>
      <c r="V275" s="6">
        <f t="shared" si="114"/>
        <v>2.6665776672169558E-4</v>
      </c>
      <c r="W275" s="2"/>
      <c r="X275" s="7">
        <f t="shared" si="115"/>
        <v>14189.21</v>
      </c>
      <c r="Y275" s="2"/>
      <c r="Z275" s="6">
        <f t="shared" si="116"/>
        <v>3.783789333333333</v>
      </c>
    </row>
    <row r="276" spans="1:26" s="24" customFormat="1" hidden="1" outlineLevel="2" x14ac:dyDescent="0.25">
      <c r="A276" s="26"/>
      <c r="B276" s="11" t="str">
        <f>CONCATENATE("          ", "6245", " - ", "PRINTING")</f>
        <v xml:space="preserve">          6245 - PRINTING</v>
      </c>
      <c r="C276" s="11"/>
      <c r="D276" s="7">
        <v>66.150000000000006</v>
      </c>
      <c r="E276" s="2"/>
      <c r="F276" s="6">
        <f t="shared" si="109"/>
        <v>1.8416646175885745E-4</v>
      </c>
      <c r="G276" s="2"/>
      <c r="H276" s="7">
        <v>500</v>
      </c>
      <c r="I276" s="2"/>
      <c r="J276" s="6">
        <f t="shared" si="110"/>
        <v>3.9976728793008021E-4</v>
      </c>
      <c r="K276" s="2"/>
      <c r="L276" s="7">
        <f t="shared" si="111"/>
        <v>-433.85</v>
      </c>
      <c r="M276" s="2"/>
      <c r="N276" s="6">
        <f t="shared" si="112"/>
        <v>-0.86770000000000003</v>
      </c>
      <c r="O276" s="11"/>
      <c r="P276" s="7">
        <v>10627.6</v>
      </c>
      <c r="Q276" s="2"/>
      <c r="R276" s="6">
        <f t="shared" si="113"/>
        <v>9.2702223164538354E-4</v>
      </c>
      <c r="S276" s="2"/>
      <c r="T276" s="7">
        <v>2700</v>
      </c>
      <c r="U276" s="2"/>
      <c r="V276" s="6">
        <f t="shared" si="114"/>
        <v>1.9199359203962084E-4</v>
      </c>
      <c r="W276" s="2"/>
      <c r="X276" s="7">
        <f t="shared" si="115"/>
        <v>7927.6</v>
      </c>
      <c r="Y276" s="2"/>
      <c r="Z276" s="6">
        <f t="shared" si="116"/>
        <v>2.9361481481481482</v>
      </c>
    </row>
    <row r="277" spans="1:26" s="24" customFormat="1" hidden="1" outlineLevel="2" x14ac:dyDescent="0.25">
      <c r="A277" s="26"/>
      <c r="B277" s="11" t="str">
        <f>CONCATENATE("          ", "6247", " - ", "STORE SUPPLIES")</f>
        <v xml:space="preserve">          6247 - STORE SUPPLIES</v>
      </c>
      <c r="C277" s="11"/>
      <c r="D277" s="7">
        <v>1029.98</v>
      </c>
      <c r="E277" s="2"/>
      <c r="F277" s="6">
        <f t="shared" si="109"/>
        <v>2.8675400193860618E-3</v>
      </c>
      <c r="G277" s="2"/>
      <c r="H277" s="7">
        <v>11550</v>
      </c>
      <c r="I277" s="2"/>
      <c r="J277" s="6">
        <f t="shared" si="110"/>
        <v>9.2346243511848523E-3</v>
      </c>
      <c r="K277" s="2"/>
      <c r="L277" s="7">
        <f t="shared" si="111"/>
        <v>-10520.02</v>
      </c>
      <c r="M277" s="2"/>
      <c r="N277" s="6">
        <f t="shared" si="112"/>
        <v>-0.91082424242424243</v>
      </c>
      <c r="O277" s="11"/>
      <c r="P277" s="7">
        <v>31123.070000000003</v>
      </c>
      <c r="Q277" s="2"/>
      <c r="R277" s="6">
        <f t="shared" si="113"/>
        <v>2.7147971138408943E-3</v>
      </c>
      <c r="S277" s="2"/>
      <c r="T277" s="7">
        <v>145850</v>
      </c>
      <c r="U277" s="2"/>
      <c r="V277" s="6">
        <f t="shared" si="114"/>
        <v>1.0371209407029148E-2</v>
      </c>
      <c r="W277" s="2"/>
      <c r="X277" s="7">
        <f t="shared" si="115"/>
        <v>-114726.93</v>
      </c>
      <c r="Y277" s="2"/>
      <c r="Z277" s="6">
        <f t="shared" si="116"/>
        <v>-0.78660905039424056</v>
      </c>
    </row>
    <row r="278" spans="1:26" s="24" customFormat="1" hidden="1" outlineLevel="2" x14ac:dyDescent="0.25">
      <c r="A278" s="26"/>
      <c r="B278" s="11" t="str">
        <f>CONCATENATE("          ", "6248", " - ", "UNIFORMS")</f>
        <v xml:space="preserve">          6248 - UNIFORMS</v>
      </c>
      <c r="C278" s="11"/>
      <c r="D278" s="7"/>
      <c r="E278" s="2"/>
      <c r="F278" s="6">
        <f t="shared" si="109"/>
        <v>0</v>
      </c>
      <c r="G278" s="2"/>
      <c r="H278" s="7">
        <v>1000</v>
      </c>
      <c r="I278" s="2"/>
      <c r="J278" s="6">
        <f t="shared" si="110"/>
        <v>7.9953457586016041E-4</v>
      </c>
      <c r="K278" s="2"/>
      <c r="L278" s="7">
        <f t="shared" si="111"/>
        <v>-1000</v>
      </c>
      <c r="M278" s="2"/>
      <c r="N278" s="6">
        <f t="shared" si="112"/>
        <v>-1</v>
      </c>
      <c r="O278" s="11"/>
      <c r="P278" s="7">
        <v>43.91</v>
      </c>
      <c r="Q278" s="2"/>
      <c r="R278" s="6">
        <f t="shared" si="113"/>
        <v>3.8301729639381217E-6</v>
      </c>
      <c r="S278" s="2"/>
      <c r="T278" s="7">
        <v>11500</v>
      </c>
      <c r="U278" s="2"/>
      <c r="V278" s="6">
        <f t="shared" si="114"/>
        <v>8.1775048461319984E-4</v>
      </c>
      <c r="W278" s="2"/>
      <c r="X278" s="7">
        <f t="shared" si="115"/>
        <v>-11456.09</v>
      </c>
      <c r="Y278" s="2"/>
      <c r="Z278" s="6">
        <f t="shared" si="116"/>
        <v>-0.99618173913043484</v>
      </c>
    </row>
    <row r="279" spans="1:26" s="27" customFormat="1" outlineLevel="1" collapsed="1" x14ac:dyDescent="0.25">
      <c r="A279" s="25"/>
      <c r="B279" s="12" t="str">
        <f>CONCATENATE("     ","Telephone/Data Lines                              ")</f>
        <v xml:space="preserve">     Telephone/Data Lines                              </v>
      </c>
      <c r="C279" s="12"/>
      <c r="D279" s="1">
        <f>SUM(OSRRefD22_21x_0)</f>
        <v>2951.33</v>
      </c>
      <c r="E279" s="1"/>
      <c r="F279" s="5">
        <f t="shared" ref="F279:F281" si="117">IF(D$12=0,0,D279/D$12)</f>
        <v>8.216719630880857E-3</v>
      </c>
      <c r="G279" s="1"/>
      <c r="H279" s="1">
        <f>SUM(OSRRefH22_21x_0)</f>
        <v>2820</v>
      </c>
      <c r="I279" s="1"/>
      <c r="J279" s="5">
        <f t="shared" ref="J279:J281" si="118">IF(H$12=0,0,H279/H$12)</f>
        <v>2.2546875039256521E-3</v>
      </c>
      <c r="K279" s="1"/>
      <c r="L279" s="1">
        <f t="shared" ref="L279:L281" si="119">+D279-H279</f>
        <v>131.32999999999993</v>
      </c>
      <c r="M279" s="1"/>
      <c r="N279" s="5">
        <f t="shared" ref="N279:N281" si="120">IF(H279=0,0,L279/H279)</f>
        <v>4.6570921985815576E-2</v>
      </c>
      <c r="O279" s="12"/>
      <c r="P279" s="1">
        <f>SUM(OSRRefP22_21x_0)</f>
        <v>30581.670000000002</v>
      </c>
      <c r="Q279" s="1"/>
      <c r="R279" s="5">
        <f t="shared" ref="R279:R281" si="121">IF(P$12=0,0,P279/P$12)</f>
        <v>2.6675719796419393E-3</v>
      </c>
      <c r="S279" s="1"/>
      <c r="T279" s="1">
        <f>SUM(OSRRefT22_21x_0)</f>
        <v>34845</v>
      </c>
      <c r="U279" s="1"/>
      <c r="V279" s="5">
        <f t="shared" ref="V279:V281" si="122">IF(T$12=0,0,T279/T$12)</f>
        <v>2.4777839683779953E-3</v>
      </c>
      <c r="W279" s="1"/>
      <c r="X279" s="1">
        <f t="shared" ref="X279:X281" si="123">+P279-T279</f>
        <v>-4263.3299999999981</v>
      </c>
      <c r="Y279" s="1"/>
      <c r="Z279" s="5">
        <f t="shared" ref="Z279:Z281" si="124">IF(T279=0,0,X279/T279)</f>
        <v>-0.1223512699095996</v>
      </c>
    </row>
    <row r="280" spans="1:26" s="24" customFormat="1" hidden="1" outlineLevel="2" x14ac:dyDescent="0.25">
      <c r="A280" s="26"/>
      <c r="B280" s="11" t="str">
        <f>CONCATENATE("          ", "6303", " - ", "DATA PHONE LINES")</f>
        <v xml:space="preserve">          6303 - DATA PHONE LINES</v>
      </c>
      <c r="C280" s="11"/>
      <c r="D280" s="7">
        <v>590</v>
      </c>
      <c r="E280" s="2"/>
      <c r="F280" s="6">
        <f t="shared" si="117"/>
        <v>1.6426033626262416E-3</v>
      </c>
      <c r="G280" s="2"/>
      <c r="H280" s="7">
        <v>1230</v>
      </c>
      <c r="I280" s="2"/>
      <c r="J280" s="6">
        <f t="shared" si="118"/>
        <v>9.8342752830799722E-4</v>
      </c>
      <c r="K280" s="2"/>
      <c r="L280" s="7">
        <f t="shared" si="119"/>
        <v>-640</v>
      </c>
      <c r="M280" s="2"/>
      <c r="N280" s="6">
        <f t="shared" si="120"/>
        <v>-0.52032520325203258</v>
      </c>
      <c r="O280" s="11"/>
      <c r="P280" s="7">
        <v>2950</v>
      </c>
      <c r="Q280" s="2"/>
      <c r="R280" s="6">
        <f t="shared" si="121"/>
        <v>2.5732202786648737E-4</v>
      </c>
      <c r="S280" s="2"/>
      <c r="T280" s="7">
        <v>14855</v>
      </c>
      <c r="U280" s="2"/>
      <c r="V280" s="6">
        <f t="shared" si="122"/>
        <v>1.0563202999068768E-3</v>
      </c>
      <c r="W280" s="2"/>
      <c r="X280" s="7">
        <f t="shared" si="123"/>
        <v>-11905</v>
      </c>
      <c r="Y280" s="2"/>
      <c r="Z280" s="6">
        <f t="shared" si="124"/>
        <v>-0.80141366543251435</v>
      </c>
    </row>
    <row r="281" spans="1:26" s="24" customFormat="1" hidden="1" outlineLevel="2" x14ac:dyDescent="0.25">
      <c r="A281" s="26"/>
      <c r="B281" s="11" t="str">
        <f>CONCATENATE("          ", "6309", " - ", "TELEPHONE")</f>
        <v xml:space="preserve">          6309 - TELEPHONE</v>
      </c>
      <c r="C281" s="11"/>
      <c r="D281" s="7">
        <v>2361.33</v>
      </c>
      <c r="E281" s="2"/>
      <c r="F281" s="6">
        <f t="shared" si="117"/>
        <v>6.5741162682546152E-3</v>
      </c>
      <c r="G281" s="2"/>
      <c r="H281" s="7">
        <v>1590</v>
      </c>
      <c r="I281" s="2"/>
      <c r="J281" s="6">
        <f t="shared" si="118"/>
        <v>1.2712599756176551E-3</v>
      </c>
      <c r="K281" s="2"/>
      <c r="L281" s="7">
        <f t="shared" si="119"/>
        <v>771.32999999999993</v>
      </c>
      <c r="M281" s="2"/>
      <c r="N281" s="6">
        <f t="shared" si="120"/>
        <v>0.48511320754716974</v>
      </c>
      <c r="O281" s="11"/>
      <c r="P281" s="7">
        <v>27631.670000000002</v>
      </c>
      <c r="Q281" s="2"/>
      <c r="R281" s="6">
        <f t="shared" si="121"/>
        <v>2.410249951775452E-3</v>
      </c>
      <c r="S281" s="2"/>
      <c r="T281" s="7">
        <v>19990</v>
      </c>
      <c r="U281" s="2"/>
      <c r="V281" s="6">
        <f t="shared" si="122"/>
        <v>1.4214636684711187E-3</v>
      </c>
      <c r="W281" s="2"/>
      <c r="X281" s="7">
        <f t="shared" si="123"/>
        <v>7641.6700000000019</v>
      </c>
      <c r="Y281" s="2"/>
      <c r="Z281" s="6">
        <f t="shared" si="124"/>
        <v>0.3822746373186594</v>
      </c>
    </row>
    <row r="282" spans="1:26" s="27" customFormat="1" outlineLevel="1" collapsed="1" x14ac:dyDescent="0.25">
      <c r="A282" s="25"/>
      <c r="B282" s="12" t="str">
        <f>CONCATENATE("     ","Training                                          ")</f>
        <v xml:space="preserve">     Training                                          </v>
      </c>
      <c r="C282" s="12"/>
      <c r="D282" s="1">
        <f>SUM(OSRRefD22_22x_0)</f>
        <v>2140.13</v>
      </c>
      <c r="E282" s="1"/>
      <c r="F282" s="5">
        <f t="shared" ref="F282:F287" si="125">IF(D$12=0,0,D282/D$12)</f>
        <v>5.9582792109445738E-3</v>
      </c>
      <c r="G282" s="1"/>
      <c r="H282" s="1">
        <f>SUM(OSRRefH22_22x_0)</f>
        <v>1675</v>
      </c>
      <c r="I282" s="1"/>
      <c r="J282" s="5">
        <f t="shared" ref="J282:J287" si="126">IF(H$12=0,0,H282/H$12)</f>
        <v>1.3392204145657686E-3</v>
      </c>
      <c r="K282" s="1"/>
      <c r="L282" s="1">
        <f t="shared" ref="L282:L287" si="127">+D282-H282</f>
        <v>465.13000000000011</v>
      </c>
      <c r="M282" s="1"/>
      <c r="N282" s="5">
        <f t="shared" ref="N282:N287" si="128">IF(H282=0,0,L282/H282)</f>
        <v>0.27768955223880604</v>
      </c>
      <c r="O282" s="12"/>
      <c r="P282" s="1">
        <f>SUM(OSRRefP22_22x_0)</f>
        <v>25732.76</v>
      </c>
      <c r="Q282" s="1"/>
      <c r="R282" s="5">
        <f t="shared" ref="R282:R287" si="129">IF(P$12=0,0,P282/P$12)</f>
        <v>2.2446121985768243E-3</v>
      </c>
      <c r="S282" s="1"/>
      <c r="T282" s="1">
        <f>SUM(OSRRefT22_22x_0)</f>
        <v>32325</v>
      </c>
      <c r="U282" s="1"/>
      <c r="V282" s="5">
        <f t="shared" ref="V282:V287" si="130">IF(T$12=0,0,T282/T$12)</f>
        <v>2.298589949141016E-3</v>
      </c>
      <c r="W282" s="1"/>
      <c r="X282" s="1">
        <f t="shared" ref="X282:X287" si="131">+P282-T282</f>
        <v>-6592.2400000000016</v>
      </c>
      <c r="Y282" s="1"/>
      <c r="Z282" s="5">
        <f t="shared" ref="Z282:Z287" si="132">IF(T282=0,0,X282/T282)</f>
        <v>-0.20393627223511218</v>
      </c>
    </row>
    <row r="283" spans="1:26" s="24" customFormat="1" hidden="1" outlineLevel="2" x14ac:dyDescent="0.25">
      <c r="A283" s="26"/>
      <c r="B283" s="11" t="str">
        <f>CONCATENATE("          ", "6376", " - ", "TRAINING")</f>
        <v xml:space="preserve">          6376 - TRAINING</v>
      </c>
      <c r="C283" s="11"/>
      <c r="D283" s="7">
        <v>2140.13</v>
      </c>
      <c r="E283" s="2"/>
      <c r="F283" s="6">
        <f t="shared" si="125"/>
        <v>5.9582792109445738E-3</v>
      </c>
      <c r="G283" s="2"/>
      <c r="H283" s="7">
        <v>1675</v>
      </c>
      <c r="I283" s="2"/>
      <c r="J283" s="6">
        <f t="shared" si="126"/>
        <v>1.3392204145657686E-3</v>
      </c>
      <c r="K283" s="2"/>
      <c r="L283" s="7">
        <f t="shared" si="127"/>
        <v>465.13000000000011</v>
      </c>
      <c r="M283" s="2"/>
      <c r="N283" s="6">
        <f t="shared" si="128"/>
        <v>0.27768955223880604</v>
      </c>
      <c r="O283" s="11"/>
      <c r="P283" s="7">
        <v>25732.76</v>
      </c>
      <c r="Q283" s="2"/>
      <c r="R283" s="6">
        <f t="shared" si="129"/>
        <v>2.2446121985768243E-3</v>
      </c>
      <c r="S283" s="2"/>
      <c r="T283" s="7">
        <v>32325</v>
      </c>
      <c r="U283" s="2"/>
      <c r="V283" s="6">
        <f t="shared" si="130"/>
        <v>2.298589949141016E-3</v>
      </c>
      <c r="W283" s="2"/>
      <c r="X283" s="7">
        <f t="shared" si="131"/>
        <v>-6592.2400000000016</v>
      </c>
      <c r="Y283" s="2"/>
      <c r="Z283" s="6">
        <f t="shared" si="132"/>
        <v>-0.20393627223511218</v>
      </c>
    </row>
    <row r="284" spans="1:26" s="27" customFormat="1" outlineLevel="1" collapsed="1" x14ac:dyDescent="0.25">
      <c r="A284" s="25"/>
      <c r="B284" s="12" t="str">
        <f>CONCATENATE("     ","Travel                                            ")</f>
        <v xml:space="preserve">     Travel                                            </v>
      </c>
      <c r="C284" s="12"/>
      <c r="D284" s="1">
        <f>SUM(OSRRefD22_23x_0)</f>
        <v>0</v>
      </c>
      <c r="E284" s="1"/>
      <c r="F284" s="5">
        <f t="shared" si="125"/>
        <v>0</v>
      </c>
      <c r="G284" s="1"/>
      <c r="H284" s="1">
        <f>SUM(OSRRefH22_23x_0)</f>
        <v>100</v>
      </c>
      <c r="I284" s="1"/>
      <c r="J284" s="5">
        <f t="shared" si="126"/>
        <v>7.9953457586016033E-5</v>
      </c>
      <c r="K284" s="1"/>
      <c r="L284" s="1">
        <f t="shared" si="127"/>
        <v>-100</v>
      </c>
      <c r="M284" s="1"/>
      <c r="N284" s="5">
        <f t="shared" si="128"/>
        <v>-1</v>
      </c>
      <c r="O284" s="12"/>
      <c r="P284" s="1">
        <f>SUM(OSRRefP22_23x_0)</f>
        <v>1139.73</v>
      </c>
      <c r="Q284" s="1"/>
      <c r="R284" s="5">
        <f t="shared" si="129"/>
        <v>9.9416147396702264E-5</v>
      </c>
      <c r="S284" s="1"/>
      <c r="T284" s="1">
        <f>SUM(OSRRefT22_23x_0)</f>
        <v>1635</v>
      </c>
      <c r="U284" s="1"/>
      <c r="V284" s="5">
        <f t="shared" si="130"/>
        <v>1.1626278629065928E-4</v>
      </c>
      <c r="W284" s="1"/>
      <c r="X284" s="1">
        <f t="shared" si="131"/>
        <v>-495.27</v>
      </c>
      <c r="Y284" s="1"/>
      <c r="Z284" s="5">
        <f t="shared" si="132"/>
        <v>-0.30291743119266051</v>
      </c>
    </row>
    <row r="285" spans="1:26" s="24" customFormat="1" hidden="1" outlineLevel="2" x14ac:dyDescent="0.25">
      <c r="A285" s="26"/>
      <c r="B285" s="11" t="str">
        <f>CONCATENATE("          ", "6292", " - ", "TRAVEL/CONFERENCE")</f>
        <v xml:space="preserve">          6292 - TRAVEL/CONFERENCE</v>
      </c>
      <c r="C285" s="11"/>
      <c r="D285" s="7"/>
      <c r="E285" s="2"/>
      <c r="F285" s="6">
        <f t="shared" si="125"/>
        <v>0</v>
      </c>
      <c r="G285" s="2"/>
      <c r="H285" s="7"/>
      <c r="I285" s="2"/>
      <c r="J285" s="6">
        <f t="shared" si="126"/>
        <v>0</v>
      </c>
      <c r="K285" s="2"/>
      <c r="L285" s="7">
        <f t="shared" si="127"/>
        <v>0</v>
      </c>
      <c r="M285" s="2"/>
      <c r="N285" s="6">
        <f t="shared" si="128"/>
        <v>0</v>
      </c>
      <c r="O285" s="11"/>
      <c r="P285" s="7">
        <v>326.60000000000002</v>
      </c>
      <c r="Q285" s="2"/>
      <c r="R285" s="6">
        <f t="shared" si="129"/>
        <v>2.8488601458032131E-5</v>
      </c>
      <c r="S285" s="2"/>
      <c r="T285" s="7"/>
      <c r="U285" s="2"/>
      <c r="V285" s="6">
        <f t="shared" si="130"/>
        <v>0</v>
      </c>
      <c r="W285" s="2"/>
      <c r="X285" s="7">
        <f t="shared" si="131"/>
        <v>326.60000000000002</v>
      </c>
      <c r="Y285" s="2"/>
      <c r="Z285" s="6">
        <f t="shared" si="132"/>
        <v>0</v>
      </c>
    </row>
    <row r="286" spans="1:26" s="24" customFormat="1" hidden="1" outlineLevel="2" x14ac:dyDescent="0.25">
      <c r="A286" s="26"/>
      <c r="B286" s="11" t="str">
        <f>CONCATENATE("          ", "6294", " - ", "TRAVEL OPERATIONAL")</f>
        <v xml:space="preserve">          6294 - TRAVEL OPERATIONAL</v>
      </c>
      <c r="C286" s="11"/>
      <c r="D286" s="7"/>
      <c r="E286" s="2"/>
      <c r="F286" s="6">
        <f t="shared" si="125"/>
        <v>0</v>
      </c>
      <c r="G286" s="2"/>
      <c r="H286" s="7">
        <v>100</v>
      </c>
      <c r="I286" s="2"/>
      <c r="J286" s="6">
        <f t="shared" si="126"/>
        <v>7.9953457586016033E-5</v>
      </c>
      <c r="K286" s="2"/>
      <c r="L286" s="7">
        <f t="shared" si="127"/>
        <v>-100</v>
      </c>
      <c r="M286" s="2"/>
      <c r="N286" s="6">
        <f t="shared" si="128"/>
        <v>-1</v>
      </c>
      <c r="O286" s="11"/>
      <c r="P286" s="7">
        <v>361.61</v>
      </c>
      <c r="Q286" s="2"/>
      <c r="R286" s="6">
        <f t="shared" si="129"/>
        <v>3.154244694806797E-5</v>
      </c>
      <c r="S286" s="2"/>
      <c r="T286" s="7">
        <v>1085</v>
      </c>
      <c r="U286" s="2"/>
      <c r="V286" s="6">
        <f t="shared" si="130"/>
        <v>7.7152980504810586E-5</v>
      </c>
      <c r="W286" s="2"/>
      <c r="X286" s="7">
        <f t="shared" si="131"/>
        <v>-723.39</v>
      </c>
      <c r="Y286" s="2"/>
      <c r="Z286" s="6">
        <f t="shared" si="132"/>
        <v>-0.66671889400921658</v>
      </c>
    </row>
    <row r="287" spans="1:26" s="24" customFormat="1" hidden="1" outlineLevel="2" x14ac:dyDescent="0.25">
      <c r="A287" s="26"/>
      <c r="B287" s="11" t="str">
        <f>CONCATENATE("          ", "6298", " - ", "VEHICLE MILEAGE")</f>
        <v xml:space="preserve">          6298 - VEHICLE MILEAGE</v>
      </c>
      <c r="C287" s="11"/>
      <c r="D287" s="7"/>
      <c r="E287" s="2"/>
      <c r="F287" s="6">
        <f t="shared" si="125"/>
        <v>0</v>
      </c>
      <c r="G287" s="2"/>
      <c r="H287" s="7"/>
      <c r="I287" s="2"/>
      <c r="J287" s="6">
        <f t="shared" si="126"/>
        <v>0</v>
      </c>
      <c r="K287" s="2"/>
      <c r="L287" s="7">
        <f t="shared" si="127"/>
        <v>0</v>
      </c>
      <c r="M287" s="2"/>
      <c r="N287" s="6">
        <f t="shared" si="128"/>
        <v>0</v>
      </c>
      <c r="O287" s="11"/>
      <c r="P287" s="7">
        <v>451.52</v>
      </c>
      <c r="Q287" s="2"/>
      <c r="R287" s="6">
        <f t="shared" si="129"/>
        <v>3.9385098990602163E-5</v>
      </c>
      <c r="S287" s="2"/>
      <c r="T287" s="7">
        <v>550</v>
      </c>
      <c r="U287" s="2"/>
      <c r="V287" s="6">
        <f t="shared" si="130"/>
        <v>3.9109805785848684E-5</v>
      </c>
      <c r="W287" s="2"/>
      <c r="X287" s="7">
        <f t="shared" si="131"/>
        <v>-98.480000000000018</v>
      </c>
      <c r="Y287" s="2"/>
      <c r="Z287" s="6">
        <f t="shared" si="132"/>
        <v>-0.17905454545454549</v>
      </c>
    </row>
    <row r="288" spans="1:26" s="27" customFormat="1" outlineLevel="1" collapsed="1" x14ac:dyDescent="0.25">
      <c r="A288" s="25"/>
      <c r="B288" s="12" t="str">
        <f>CONCATENATE("     ","Utilities                                         ")</f>
        <v xml:space="preserve">     Utilities                                         </v>
      </c>
      <c r="C288" s="12"/>
      <c r="D288" s="1">
        <f>SUM(OSRRefD22_24x_0)</f>
        <v>6159.43</v>
      </c>
      <c r="E288" s="1"/>
      <c r="F288" s="5">
        <f t="shared" ref="F288:F289" si="133">IF(D$12=0,0,D288/D$12)</f>
        <v>1.7148305813323647E-2</v>
      </c>
      <c r="G288" s="1"/>
      <c r="H288" s="1">
        <f>SUM(OSRRefH22_24x_0)</f>
        <v>5100</v>
      </c>
      <c r="I288" s="1"/>
      <c r="J288" s="5">
        <f t="shared" ref="J288:J289" si="134">IF(H$12=0,0,H288/H$12)</f>
        <v>4.0776263368868179E-3</v>
      </c>
      <c r="K288" s="1"/>
      <c r="L288" s="1">
        <f t="shared" ref="L288:L289" si="135">+D288-H288</f>
        <v>1059.4300000000003</v>
      </c>
      <c r="M288" s="1"/>
      <c r="N288" s="5">
        <f t="shared" ref="N288:N289" si="136">IF(H288=0,0,L288/H288)</f>
        <v>0.20773137254901966</v>
      </c>
      <c r="O288" s="12"/>
      <c r="P288" s="1">
        <f>SUM(OSRRefP22_24x_0)</f>
        <v>65364.780000000006</v>
      </c>
      <c r="Q288" s="1"/>
      <c r="R288" s="5">
        <f t="shared" ref="R288:R289" si="137">IF(P$12=0,0,P288/P$12)</f>
        <v>5.7016263527616337E-3</v>
      </c>
      <c r="S288" s="1"/>
      <c r="T288" s="1">
        <f>SUM(OSRRefT22_24x_0)</f>
        <v>59050</v>
      </c>
      <c r="U288" s="1"/>
      <c r="V288" s="5">
        <f t="shared" ref="V288:V289" si="138">IF(T$12=0,0,T288/T$12)</f>
        <v>4.1989709666443E-3</v>
      </c>
      <c r="W288" s="1"/>
      <c r="X288" s="1">
        <f t="shared" ref="X288:X289" si="139">+P288-T288</f>
        <v>6314.7800000000061</v>
      </c>
      <c r="Y288" s="1"/>
      <c r="Z288" s="5">
        <f t="shared" ref="Z288:Z289" si="140">IF(T288=0,0,X288/T288)</f>
        <v>0.10693954276037267</v>
      </c>
    </row>
    <row r="289" spans="1:26" s="24" customFormat="1" hidden="1" outlineLevel="2" x14ac:dyDescent="0.25">
      <c r="A289" s="26"/>
      <c r="B289" s="11" t="str">
        <f>CONCATENATE("          ", "6274", " - ", "UTILITIES")</f>
        <v xml:space="preserve">          6274 - UTILITIES</v>
      </c>
      <c r="C289" s="11"/>
      <c r="D289" s="7">
        <v>6159.43</v>
      </c>
      <c r="E289" s="2"/>
      <c r="F289" s="6">
        <f t="shared" si="133"/>
        <v>1.7148305813323647E-2</v>
      </c>
      <c r="G289" s="2"/>
      <c r="H289" s="7">
        <v>5100</v>
      </c>
      <c r="I289" s="2"/>
      <c r="J289" s="6">
        <f t="shared" si="134"/>
        <v>4.0776263368868179E-3</v>
      </c>
      <c r="K289" s="2"/>
      <c r="L289" s="7">
        <f t="shared" si="135"/>
        <v>1059.4300000000003</v>
      </c>
      <c r="M289" s="2"/>
      <c r="N289" s="6">
        <f t="shared" si="136"/>
        <v>0.20773137254901966</v>
      </c>
      <c r="O289" s="11"/>
      <c r="P289" s="7">
        <v>65364.780000000006</v>
      </c>
      <c r="Q289" s="2"/>
      <c r="R289" s="6">
        <f t="shared" si="137"/>
        <v>5.7016263527616337E-3</v>
      </c>
      <c r="S289" s="2"/>
      <c r="T289" s="7">
        <v>59050</v>
      </c>
      <c r="U289" s="2"/>
      <c r="V289" s="6">
        <f t="shared" si="138"/>
        <v>4.1989709666443E-3</v>
      </c>
      <c r="W289" s="2"/>
      <c r="X289" s="7">
        <f t="shared" si="139"/>
        <v>6314.7800000000061</v>
      </c>
      <c r="Y289" s="2"/>
      <c r="Z289" s="6">
        <f t="shared" si="140"/>
        <v>0.10693954276037267</v>
      </c>
    </row>
    <row r="290" spans="1:26" s="62" customFormat="1" x14ac:dyDescent="0.25">
      <c r="A290" s="36"/>
      <c r="B290" s="36"/>
      <c r="C290" s="36"/>
      <c r="D290" s="1"/>
      <c r="E290" s="1"/>
      <c r="F290" s="5"/>
      <c r="G290" s="1"/>
      <c r="H290" s="1"/>
      <c r="I290" s="1"/>
      <c r="J290" s="5"/>
      <c r="K290" s="1"/>
      <c r="L290" s="1"/>
      <c r="M290" s="1"/>
      <c r="N290" s="5"/>
      <c r="O290" s="36"/>
      <c r="P290" s="1"/>
      <c r="Q290" s="1"/>
      <c r="R290" s="5"/>
      <c r="S290" s="1"/>
      <c r="T290" s="1"/>
      <c r="U290" s="1"/>
      <c r="V290" s="5"/>
      <c r="W290" s="1"/>
      <c r="X290" s="1"/>
      <c r="Y290" s="1"/>
      <c r="Z290" s="5"/>
    </row>
    <row r="291" spans="1:26" s="23" customFormat="1" collapsed="1" x14ac:dyDescent="0.25">
      <c r="A291" s="10"/>
      <c r="B291" s="28" t="s">
        <v>0</v>
      </c>
      <c r="C291" s="10"/>
      <c r="D291" s="4">
        <f>SUM(OSRRefD25x_0)</f>
        <v>107782.36</v>
      </c>
      <c r="E291" s="4"/>
      <c r="F291" s="13">
        <f t="shared" ref="F291:F303" si="141">IF(D$12=0,0,D291/D$12)</f>
        <v>0.30007401180981713</v>
      </c>
      <c r="G291" s="4"/>
      <c r="H291" s="4">
        <f>SUM(OSRRefH25x_0)</f>
        <v>64200</v>
      </c>
      <c r="I291" s="4"/>
      <c r="J291" s="13">
        <f t="shared" ref="J291:J303" si="142">IF(H$12=0,0,H291/H$12)</f>
        <v>5.1330119770222296E-2</v>
      </c>
      <c r="K291" s="4"/>
      <c r="L291" s="4">
        <f t="shared" ref="L291:L303" si="143">+D291-H291</f>
        <v>43582.36</v>
      </c>
      <c r="M291" s="4"/>
      <c r="N291" s="13">
        <f t="shared" ref="N291:N303" si="144">IF(H291=0,0,L291/H291)</f>
        <v>0.67885295950155766</v>
      </c>
      <c r="O291" s="10"/>
      <c r="P291" s="4">
        <f>SUM(OSRRefP25x_0)</f>
        <v>1182467.73</v>
      </c>
      <c r="Q291" s="4"/>
      <c r="R291" s="13">
        <f t="shared" ref="R291:R303" si="145">IF(P$12=0,0,P291/P$12)</f>
        <v>0.1031440658204346</v>
      </c>
      <c r="S291" s="4"/>
      <c r="T291" s="4">
        <f>SUM(OSRRefT25x_0)</f>
        <v>844975</v>
      </c>
      <c r="U291" s="4"/>
      <c r="V291" s="13">
        <f t="shared" ref="V291:V303" si="146">IF(T$12=0,0,T291/T$12)</f>
        <v>6.0085105716177263E-2</v>
      </c>
      <c r="W291" s="4"/>
      <c r="X291" s="4">
        <f t="shared" ref="X291:X303" si="147">+P291-T291</f>
        <v>337492.73</v>
      </c>
      <c r="Y291" s="4"/>
      <c r="Z291" s="13">
        <f t="shared" ref="Z291:Z303" si="148">IF(T291=0,0,X291/T291)</f>
        <v>0.39941149738157933</v>
      </c>
    </row>
    <row r="292" spans="1:26" s="24" customFormat="1" hidden="1" outlineLevel="1" x14ac:dyDescent="0.25">
      <c r="A292" s="44"/>
      <c r="B292" s="11" t="str">
        <f>CONCATENATE("          ", "4098", " - ", "TAXABLE SALES-GRAD RENTALS")</f>
        <v xml:space="preserve">          4098 - TAXABLE SALES-GRAD RENTALS</v>
      </c>
      <c r="C292" s="11"/>
      <c r="D292" s="2">
        <f>-152</f>
        <v>-152</v>
      </c>
      <c r="E292" s="2"/>
      <c r="F292" s="19">
        <f t="shared" si="141"/>
        <v>-4.2317917138845549E-4</v>
      </c>
      <c r="G292" s="2"/>
      <c r="H292" s="2"/>
      <c r="I292" s="2"/>
      <c r="J292" s="19">
        <f t="shared" si="142"/>
        <v>0</v>
      </c>
      <c r="K292" s="2"/>
      <c r="L292" s="2">
        <f t="shared" si="143"/>
        <v>-152</v>
      </c>
      <c r="M292" s="2"/>
      <c r="N292" s="19">
        <f t="shared" si="144"/>
        <v>0</v>
      </c>
      <c r="O292" s="11"/>
      <c r="P292" s="2">
        <f>--1946.85</f>
        <v>1946.85</v>
      </c>
      <c r="Q292" s="2"/>
      <c r="R292" s="19">
        <f t="shared" si="145"/>
        <v>1.6981945422097321E-4</v>
      </c>
      <c r="S292" s="2"/>
      <c r="T292" s="2"/>
      <c r="U292" s="2"/>
      <c r="V292" s="19">
        <f t="shared" si="146"/>
        <v>0</v>
      </c>
      <c r="W292" s="2"/>
      <c r="X292" s="2">
        <f t="shared" si="147"/>
        <v>1946.85</v>
      </c>
      <c r="Y292" s="2"/>
      <c r="Z292" s="19">
        <f t="shared" si="148"/>
        <v>0</v>
      </c>
    </row>
    <row r="293" spans="1:26" s="24" customFormat="1" hidden="1" outlineLevel="1" x14ac:dyDescent="0.25">
      <c r="A293" s="44"/>
      <c r="B293" s="11" t="str">
        <f>CONCATENATE("          ", "4187", " - ", "NON-TAXABLE SALES-COMPUTER REP")</f>
        <v xml:space="preserve">          4187 - NON-TAXABLE SALES-COMPUTER REP</v>
      </c>
      <c r="C293" s="11"/>
      <c r="D293" s="2">
        <f>--99.99</f>
        <v>99.99</v>
      </c>
      <c r="E293" s="2"/>
      <c r="F293" s="19">
        <f t="shared" si="141"/>
        <v>2.783795088627083E-4</v>
      </c>
      <c r="G293" s="2"/>
      <c r="H293" s="2"/>
      <c r="I293" s="2"/>
      <c r="J293" s="19">
        <f t="shared" si="142"/>
        <v>0</v>
      </c>
      <c r="K293" s="2"/>
      <c r="L293" s="2">
        <f t="shared" si="143"/>
        <v>99.99</v>
      </c>
      <c r="M293" s="2"/>
      <c r="N293" s="19">
        <f t="shared" si="144"/>
        <v>0</v>
      </c>
      <c r="O293" s="11"/>
      <c r="P293" s="2">
        <f>--16283.19</f>
        <v>16283.19</v>
      </c>
      <c r="Q293" s="2"/>
      <c r="R293" s="19">
        <f t="shared" si="145"/>
        <v>1.4203469393001046E-3</v>
      </c>
      <c r="S293" s="2"/>
      <c r="T293" s="2"/>
      <c r="U293" s="2"/>
      <c r="V293" s="19">
        <f t="shared" si="146"/>
        <v>0</v>
      </c>
      <c r="W293" s="2"/>
      <c r="X293" s="2">
        <f t="shared" si="147"/>
        <v>16283.19</v>
      </c>
      <c r="Y293" s="2"/>
      <c r="Z293" s="19">
        <f t="shared" si="148"/>
        <v>0</v>
      </c>
    </row>
    <row r="294" spans="1:26" s="24" customFormat="1" hidden="1" outlineLevel="1" x14ac:dyDescent="0.25">
      <c r="A294" s="44"/>
      <c r="B294" s="11" t="str">
        <f>CONCATENATE("          ", "4197", " - ", "NON-TAXABLE SALES-RETURNED CHE")</f>
        <v xml:space="preserve">          4197 - NON-TAXABLE SALES-RETURNED CHE</v>
      </c>
      <c r="C294" s="11"/>
      <c r="D294" s="2">
        <f>0</f>
        <v>0</v>
      </c>
      <c r="E294" s="2"/>
      <c r="F294" s="19">
        <f t="shared" si="141"/>
        <v>0</v>
      </c>
      <c r="G294" s="2"/>
      <c r="H294" s="2"/>
      <c r="I294" s="2"/>
      <c r="J294" s="19">
        <f t="shared" si="142"/>
        <v>0</v>
      </c>
      <c r="K294" s="2"/>
      <c r="L294" s="2">
        <f t="shared" si="143"/>
        <v>0</v>
      </c>
      <c r="M294" s="2"/>
      <c r="N294" s="19">
        <f t="shared" si="144"/>
        <v>0</v>
      </c>
      <c r="O294" s="11"/>
      <c r="P294" s="2">
        <f>--30</f>
        <v>30</v>
      </c>
      <c r="Q294" s="2"/>
      <c r="R294" s="19">
        <f t="shared" si="145"/>
        <v>2.6168341816930918E-6</v>
      </c>
      <c r="S294" s="2"/>
      <c r="T294" s="2"/>
      <c r="U294" s="2"/>
      <c r="V294" s="19">
        <f t="shared" si="146"/>
        <v>0</v>
      </c>
      <c r="W294" s="2"/>
      <c r="X294" s="2">
        <f t="shared" si="147"/>
        <v>30</v>
      </c>
      <c r="Y294" s="2"/>
      <c r="Z294" s="19">
        <f t="shared" si="148"/>
        <v>0</v>
      </c>
    </row>
    <row r="295" spans="1:26" s="24" customFormat="1" hidden="1" outlineLevel="1" x14ac:dyDescent="0.25">
      <c r="A295" s="44"/>
      <c r="B295" s="11" t="str">
        <f>CONCATENATE("          ", "4198", " - ", "NON-TAXABLE SALES-GRAD RENTALS")</f>
        <v xml:space="preserve">          4198 - NON-TAXABLE SALES-GRAD RENTALS</v>
      </c>
      <c r="C295" s="11"/>
      <c r="D295" s="2">
        <f>-3469.7</f>
        <v>-3469.7</v>
      </c>
      <c r="E295" s="2"/>
      <c r="F295" s="19">
        <f t="shared" si="141"/>
        <v>-9.6598998089902893E-3</v>
      </c>
      <c r="G295" s="2"/>
      <c r="H295" s="2"/>
      <c r="I295" s="2"/>
      <c r="J295" s="19">
        <f t="shared" si="142"/>
        <v>0</v>
      </c>
      <c r="K295" s="2"/>
      <c r="L295" s="2">
        <f t="shared" si="143"/>
        <v>-3469.7</v>
      </c>
      <c r="M295" s="2"/>
      <c r="N295" s="19">
        <f t="shared" si="144"/>
        <v>0</v>
      </c>
      <c r="O295" s="11"/>
      <c r="P295" s="2">
        <f>--163.76</f>
        <v>163.76</v>
      </c>
      <c r="Q295" s="2"/>
      <c r="R295" s="19">
        <f t="shared" si="145"/>
        <v>1.4284425519802024E-5</v>
      </c>
      <c r="S295" s="2"/>
      <c r="T295" s="2"/>
      <c r="U295" s="2"/>
      <c r="V295" s="19">
        <f t="shared" si="146"/>
        <v>0</v>
      </c>
      <c r="W295" s="2"/>
      <c r="X295" s="2">
        <f t="shared" si="147"/>
        <v>163.76</v>
      </c>
      <c r="Y295" s="2"/>
      <c r="Z295" s="19">
        <f t="shared" si="148"/>
        <v>0</v>
      </c>
    </row>
    <row r="296" spans="1:26" s="24" customFormat="1" hidden="1" outlineLevel="1" x14ac:dyDescent="0.25">
      <c r="A296" s="44"/>
      <c r="B296" s="11" t="str">
        <f>CONCATENATE("          ", "4387", " - ", "SALES RETURN NON TAXABLE-COMPU")</f>
        <v xml:space="preserve">          4387 - SALES RETURN NON TAXABLE-COMPU</v>
      </c>
      <c r="C296" s="11"/>
      <c r="D296" s="2">
        <f>0</f>
        <v>0</v>
      </c>
      <c r="E296" s="2"/>
      <c r="F296" s="19">
        <f t="shared" si="141"/>
        <v>0</v>
      </c>
      <c r="G296" s="2"/>
      <c r="H296" s="2"/>
      <c r="I296" s="2"/>
      <c r="J296" s="19">
        <f t="shared" si="142"/>
        <v>0</v>
      </c>
      <c r="K296" s="2"/>
      <c r="L296" s="2">
        <f t="shared" si="143"/>
        <v>0</v>
      </c>
      <c r="M296" s="2"/>
      <c r="N296" s="19">
        <f t="shared" si="144"/>
        <v>0</v>
      </c>
      <c r="O296" s="11"/>
      <c r="P296" s="2">
        <f>-7889</f>
        <v>-7889</v>
      </c>
      <c r="Q296" s="2"/>
      <c r="R296" s="19">
        <f t="shared" si="145"/>
        <v>-6.8814016197922675E-4</v>
      </c>
      <c r="S296" s="2"/>
      <c r="T296" s="2"/>
      <c r="U296" s="2"/>
      <c r="V296" s="19">
        <f t="shared" si="146"/>
        <v>0</v>
      </c>
      <c r="W296" s="2"/>
      <c r="X296" s="2">
        <f t="shared" si="147"/>
        <v>-7889</v>
      </c>
      <c r="Y296" s="2"/>
      <c r="Z296" s="19">
        <f t="shared" si="148"/>
        <v>0</v>
      </c>
    </row>
    <row r="297" spans="1:26" s="24" customFormat="1" hidden="1" outlineLevel="1" x14ac:dyDescent="0.25">
      <c r="A297" s="44"/>
      <c r="B297" s="11" t="str">
        <f>CONCATENATE("          ", "5087", " - ", "PURCHASES @ COST-COMPUTER REPA")</f>
        <v xml:space="preserve">          5087 - PURCHASES @ COST-COMPUTER REPA</v>
      </c>
      <c r="C297" s="11"/>
      <c r="D297" s="2">
        <f>--32.7</f>
        <v>32.700000000000003</v>
      </c>
      <c r="E297" s="2"/>
      <c r="F297" s="19">
        <f t="shared" si="141"/>
        <v>9.1039203318437465E-5</v>
      </c>
      <c r="G297" s="2"/>
      <c r="H297" s="2"/>
      <c r="I297" s="2"/>
      <c r="J297" s="19">
        <f t="shared" si="142"/>
        <v>0</v>
      </c>
      <c r="K297" s="2"/>
      <c r="L297" s="2">
        <f t="shared" si="143"/>
        <v>32.700000000000003</v>
      </c>
      <c r="M297" s="2"/>
      <c r="N297" s="19">
        <f t="shared" si="144"/>
        <v>0</v>
      </c>
      <c r="O297" s="11"/>
      <c r="P297" s="2">
        <f>-72.06</f>
        <v>-72.06</v>
      </c>
      <c r="Q297" s="2"/>
      <c r="R297" s="19">
        <f t="shared" si="145"/>
        <v>-6.2856357044268067E-6</v>
      </c>
      <c r="S297" s="2"/>
      <c r="T297" s="2"/>
      <c r="U297" s="2"/>
      <c r="V297" s="19">
        <f t="shared" si="146"/>
        <v>0</v>
      </c>
      <c r="W297" s="2"/>
      <c r="X297" s="2">
        <f t="shared" si="147"/>
        <v>-72.06</v>
      </c>
      <c r="Y297" s="2"/>
      <c r="Z297" s="19">
        <f t="shared" si="148"/>
        <v>0</v>
      </c>
    </row>
    <row r="298" spans="1:26" s="24" customFormat="1" hidden="1" outlineLevel="1" x14ac:dyDescent="0.25">
      <c r="A298" s="44"/>
      <c r="B298" s="11" t="str">
        <f>CONCATENATE("          ", "9150", " - ", "MISC. INCOME")</f>
        <v xml:space="preserve">          9150 - MISC. INCOME</v>
      </c>
      <c r="C298" s="11"/>
      <c r="D298" s="2">
        <f>--47845.19</f>
        <v>47845.19</v>
      </c>
      <c r="E298" s="2"/>
      <c r="F298" s="19">
        <f t="shared" si="141"/>
        <v>0.13320452538896854</v>
      </c>
      <c r="G298" s="2"/>
      <c r="H298" s="2">
        <v>31250</v>
      </c>
      <c r="I298" s="2"/>
      <c r="J298" s="19">
        <f t="shared" si="142"/>
        <v>2.4985455495630013E-2</v>
      </c>
      <c r="K298" s="2"/>
      <c r="L298" s="2">
        <f t="shared" si="143"/>
        <v>16595.190000000002</v>
      </c>
      <c r="M298" s="2"/>
      <c r="N298" s="19">
        <f t="shared" si="144"/>
        <v>0.53104608000000009</v>
      </c>
      <c r="O298" s="11"/>
      <c r="P298" s="2">
        <f>--481078.56</f>
        <v>481078.56</v>
      </c>
      <c r="Q298" s="2"/>
      <c r="R298" s="19">
        <f t="shared" si="145"/>
        <v>4.19634273295897E-2</v>
      </c>
      <c r="S298" s="2"/>
      <c r="T298" s="2">
        <v>355325</v>
      </c>
      <c r="U298" s="2"/>
      <c r="V298" s="19">
        <f t="shared" si="146"/>
        <v>2.5266712256103063E-2</v>
      </c>
      <c r="W298" s="2"/>
      <c r="X298" s="2">
        <f t="shared" si="147"/>
        <v>125753.56</v>
      </c>
      <c r="Y298" s="2"/>
      <c r="Z298" s="19">
        <f t="shared" si="148"/>
        <v>0.35391137690846408</v>
      </c>
    </row>
    <row r="299" spans="1:26" s="24" customFormat="1" hidden="1" outlineLevel="1" x14ac:dyDescent="0.25">
      <c r="A299" s="44"/>
      <c r="B299" s="11" t="str">
        <f>CONCATENATE("          ", "9151", " - ", "MISC. INCOME")</f>
        <v xml:space="preserve">          9151 - MISC. INCOME</v>
      </c>
      <c r="C299" s="11"/>
      <c r="D299" s="2">
        <f>0</f>
        <v>0</v>
      </c>
      <c r="E299" s="2"/>
      <c r="F299" s="19">
        <f t="shared" si="141"/>
        <v>0</v>
      </c>
      <c r="G299" s="2"/>
      <c r="H299" s="2">
        <v>12850</v>
      </c>
      <c r="I299" s="2"/>
      <c r="J299" s="19">
        <f t="shared" si="142"/>
        <v>1.0274019299803061E-2</v>
      </c>
      <c r="K299" s="2"/>
      <c r="L299" s="2">
        <f t="shared" si="143"/>
        <v>-12850</v>
      </c>
      <c r="M299" s="2"/>
      <c r="N299" s="19">
        <f t="shared" si="144"/>
        <v>-1</v>
      </c>
      <c r="O299" s="11"/>
      <c r="P299" s="2">
        <f>--169392.7</f>
        <v>169392.7</v>
      </c>
      <c r="Q299" s="2"/>
      <c r="R299" s="19">
        <f t="shared" si="145"/>
        <v>1.4775753582976114E-2</v>
      </c>
      <c r="S299" s="2"/>
      <c r="T299" s="2">
        <v>129100</v>
      </c>
      <c r="U299" s="2"/>
      <c r="V299" s="19">
        <f t="shared" si="146"/>
        <v>9.1801380490055731E-3</v>
      </c>
      <c r="W299" s="2"/>
      <c r="X299" s="2">
        <f t="shared" si="147"/>
        <v>40292.700000000012</v>
      </c>
      <c r="Y299" s="2"/>
      <c r="Z299" s="19">
        <f t="shared" si="148"/>
        <v>0.3121045701006972</v>
      </c>
    </row>
    <row r="300" spans="1:26" s="24" customFormat="1" hidden="1" outlineLevel="1" x14ac:dyDescent="0.25">
      <c r="A300" s="44"/>
      <c r="B300" s="11" t="str">
        <f>CONCATENATE("          ", "9152", " - ", "MISC. INCOME")</f>
        <v xml:space="preserve">          9152 - MISC. INCOME</v>
      </c>
      <c r="C300" s="11"/>
      <c r="D300" s="2">
        <f>--5092.84</f>
        <v>5092.84</v>
      </c>
      <c r="E300" s="2"/>
      <c r="F300" s="19">
        <f t="shared" si="141"/>
        <v>1.4178840863249879E-2</v>
      </c>
      <c r="G300" s="2"/>
      <c r="H300" s="2"/>
      <c r="I300" s="2"/>
      <c r="J300" s="19">
        <f t="shared" si="142"/>
        <v>0</v>
      </c>
      <c r="K300" s="2"/>
      <c r="L300" s="2">
        <f t="shared" si="143"/>
        <v>5092.84</v>
      </c>
      <c r="M300" s="2"/>
      <c r="N300" s="19">
        <f t="shared" si="144"/>
        <v>0</v>
      </c>
      <c r="O300" s="11"/>
      <c r="P300" s="2">
        <f>--9874.89</f>
        <v>9874.89</v>
      </c>
      <c r="Q300" s="2"/>
      <c r="R300" s="19">
        <f t="shared" si="145"/>
        <v>8.6136498974864317E-4</v>
      </c>
      <c r="S300" s="2"/>
      <c r="T300" s="2"/>
      <c r="U300" s="2"/>
      <c r="V300" s="19">
        <f t="shared" si="146"/>
        <v>0</v>
      </c>
      <c r="W300" s="2"/>
      <c r="X300" s="2">
        <f t="shared" si="147"/>
        <v>9874.89</v>
      </c>
      <c r="Y300" s="2"/>
      <c r="Z300" s="19">
        <f t="shared" si="148"/>
        <v>0</v>
      </c>
    </row>
    <row r="301" spans="1:26" s="24" customFormat="1" hidden="1" outlineLevel="1" x14ac:dyDescent="0.25">
      <c r="A301" s="44"/>
      <c r="B301" s="11" t="str">
        <f>CONCATENATE("          ", "9153", " - ", "MISC. INCOME")</f>
        <v xml:space="preserve">          9153 - MISC. INCOME</v>
      </c>
      <c r="C301" s="11"/>
      <c r="D301" s="2">
        <f t="shared" ref="D301:D302" si="149">0</f>
        <v>0</v>
      </c>
      <c r="E301" s="2"/>
      <c r="F301" s="19">
        <f t="shared" si="141"/>
        <v>0</v>
      </c>
      <c r="G301" s="2"/>
      <c r="H301" s="2"/>
      <c r="I301" s="2"/>
      <c r="J301" s="19">
        <f t="shared" si="142"/>
        <v>0</v>
      </c>
      <c r="K301" s="2"/>
      <c r="L301" s="2">
        <f t="shared" si="143"/>
        <v>0</v>
      </c>
      <c r="M301" s="2"/>
      <c r="N301" s="19">
        <f t="shared" si="144"/>
        <v>0</v>
      </c>
      <c r="O301" s="11"/>
      <c r="P301" s="2">
        <f>--450</f>
        <v>450</v>
      </c>
      <c r="Q301" s="2"/>
      <c r="R301" s="19">
        <f t="shared" si="145"/>
        <v>3.9252512725396377E-5</v>
      </c>
      <c r="S301" s="2"/>
      <c r="T301" s="2"/>
      <c r="U301" s="2"/>
      <c r="V301" s="19">
        <f t="shared" si="146"/>
        <v>0</v>
      </c>
      <c r="W301" s="2"/>
      <c r="X301" s="2">
        <f t="shared" si="147"/>
        <v>450</v>
      </c>
      <c r="Y301" s="2"/>
      <c r="Z301" s="19">
        <f t="shared" si="148"/>
        <v>0</v>
      </c>
    </row>
    <row r="302" spans="1:26" s="24" customFormat="1" hidden="1" outlineLevel="1" x14ac:dyDescent="0.25">
      <c r="A302" s="44"/>
      <c r="B302" s="11" t="str">
        <f>CONCATENATE("          ", "9160", " - ", "MISC. INCOME")</f>
        <v xml:space="preserve">          9160 - MISC. INCOME</v>
      </c>
      <c r="C302" s="11"/>
      <c r="D302" s="2">
        <f t="shared" si="149"/>
        <v>0</v>
      </c>
      <c r="E302" s="2"/>
      <c r="F302" s="19">
        <f t="shared" si="141"/>
        <v>0</v>
      </c>
      <c r="G302" s="2"/>
      <c r="H302" s="2">
        <v>20100</v>
      </c>
      <c r="I302" s="2"/>
      <c r="J302" s="19">
        <f t="shared" si="142"/>
        <v>1.6070644974789224E-2</v>
      </c>
      <c r="K302" s="2"/>
      <c r="L302" s="2">
        <f t="shared" si="143"/>
        <v>-20100</v>
      </c>
      <c r="M302" s="2"/>
      <c r="N302" s="19">
        <f t="shared" si="144"/>
        <v>-1</v>
      </c>
      <c r="O302" s="11"/>
      <c r="P302" s="2">
        <f>--22475</f>
        <v>22475</v>
      </c>
      <c r="Q302" s="2"/>
      <c r="R302" s="19">
        <f t="shared" si="145"/>
        <v>1.960444941118408E-3</v>
      </c>
      <c r="S302" s="2"/>
      <c r="T302" s="2">
        <v>360550</v>
      </c>
      <c r="U302" s="2"/>
      <c r="V302" s="19">
        <f t="shared" si="146"/>
        <v>2.5638255411068626E-2</v>
      </c>
      <c r="W302" s="2"/>
      <c r="X302" s="2">
        <f t="shared" si="147"/>
        <v>-338075</v>
      </c>
      <c r="Y302" s="2"/>
      <c r="Z302" s="19">
        <f t="shared" si="148"/>
        <v>-0.9376646789626959</v>
      </c>
    </row>
    <row r="303" spans="1:26" s="24" customFormat="1" hidden="1" outlineLevel="1" x14ac:dyDescent="0.25">
      <c r="A303" s="44"/>
      <c r="B303" s="11" t="str">
        <f>CONCATENATE("          ", "9163", " - ", "MISC. INCOME")</f>
        <v xml:space="preserve">          9163 - MISC. INCOME</v>
      </c>
      <c r="C303" s="11"/>
      <c r="D303" s="2">
        <f>--58333.34</f>
        <v>58333.34</v>
      </c>
      <c r="E303" s="2"/>
      <c r="F303" s="19">
        <f t="shared" si="141"/>
        <v>0.16240430582579635</v>
      </c>
      <c r="G303" s="2"/>
      <c r="H303" s="2"/>
      <c r="I303" s="2"/>
      <c r="J303" s="19">
        <f t="shared" si="142"/>
        <v>0</v>
      </c>
      <c r="K303" s="2"/>
      <c r="L303" s="2">
        <f t="shared" si="143"/>
        <v>58333.34</v>
      </c>
      <c r="M303" s="2"/>
      <c r="N303" s="19">
        <f t="shared" si="144"/>
        <v>0</v>
      </c>
      <c r="O303" s="11"/>
      <c r="P303" s="2">
        <f>--488733.84</f>
        <v>488733.84</v>
      </c>
      <c r="Q303" s="2"/>
      <c r="R303" s="19">
        <f t="shared" si="145"/>
        <v>4.2631180608737419E-2</v>
      </c>
      <c r="S303" s="2"/>
      <c r="T303" s="2"/>
      <c r="U303" s="2"/>
      <c r="V303" s="19">
        <f t="shared" si="146"/>
        <v>0</v>
      </c>
      <c r="W303" s="2"/>
      <c r="X303" s="2">
        <f t="shared" si="147"/>
        <v>488733.84</v>
      </c>
      <c r="Y303" s="2"/>
      <c r="Z303" s="19">
        <f t="shared" si="148"/>
        <v>0</v>
      </c>
    </row>
    <row r="304" spans="1:26" x14ac:dyDescent="0.25">
      <c r="A304" s="9"/>
      <c r="B304" s="10"/>
      <c r="C304" s="10"/>
      <c r="D304" s="3"/>
      <c r="E304" s="3"/>
      <c r="F304" s="8"/>
      <c r="G304" s="3"/>
      <c r="H304" s="3"/>
      <c r="I304" s="3"/>
      <c r="J304" s="8"/>
      <c r="K304" s="3"/>
      <c r="L304" s="3"/>
      <c r="M304" s="3"/>
      <c r="N304" s="8"/>
      <c r="O304" s="10"/>
      <c r="P304" s="3"/>
      <c r="Q304" s="3"/>
      <c r="R304" s="8"/>
      <c r="S304" s="3"/>
      <c r="T304" s="3"/>
      <c r="U304" s="3"/>
      <c r="V304" s="8"/>
      <c r="W304" s="3"/>
      <c r="X304" s="3"/>
      <c r="Y304" s="3"/>
      <c r="Z304" s="8"/>
    </row>
    <row r="305" spans="1:26" s="23" customFormat="1" x14ac:dyDescent="0.25">
      <c r="A305" s="10"/>
      <c r="B305" s="29" t="s">
        <v>3</v>
      </c>
      <c r="C305" s="29"/>
      <c r="D305" s="20">
        <f>+D192-D194+D291</f>
        <v>-35661.920000000144</v>
      </c>
      <c r="E305" s="14"/>
      <c r="F305" s="22">
        <f>IF(D$12=0,0,D305/D$12)</f>
        <v>-9.9285406287641112E-2</v>
      </c>
      <c r="G305" s="14"/>
      <c r="H305" s="20">
        <f>+H192-H194+H291</f>
        <v>241663.47568014305</v>
      </c>
      <c r="I305" s="14"/>
      <c r="J305" s="22">
        <f>IF(H$12=0,0,H305/H$12)</f>
        <v>0.19321830452881536</v>
      </c>
      <c r="K305" s="16"/>
      <c r="L305" s="20">
        <f>+D305-H305</f>
        <v>-277325.39568014321</v>
      </c>
      <c r="M305" s="16"/>
      <c r="N305" s="22">
        <f>IF(H305=0,0,L305/H305)</f>
        <v>-1.1475685140240264</v>
      </c>
      <c r="O305" s="28"/>
      <c r="P305" s="20">
        <f>+P192-P194+P291</f>
        <v>1172740.2900000066</v>
      </c>
      <c r="Q305" s="14"/>
      <c r="R305" s="22">
        <f>IF(P$12=0,0,P305/P$12)</f>
        <v>0.10229556257068954</v>
      </c>
      <c r="S305" s="14"/>
      <c r="T305" s="20">
        <f>+T192-T194+T291</f>
        <v>1802048.0553565659</v>
      </c>
      <c r="U305" s="14"/>
      <c r="V305" s="22">
        <f>IF(T$12=0,0,T305/T$12)</f>
        <v>0.12814136265774836</v>
      </c>
      <c r="W305" s="16"/>
      <c r="X305" s="20">
        <f>+P305-T305</f>
        <v>-629307.76535655931</v>
      </c>
      <c r="Y305" s="16"/>
      <c r="Z305" s="22">
        <f>IF(T305=0,0,X305/T305)</f>
        <v>-0.34921808188519149</v>
      </c>
    </row>
    <row r="306" spans="1:26" x14ac:dyDescent="0.25">
      <c r="A306" s="9"/>
      <c r="B306" s="10"/>
      <c r="C306" s="9"/>
      <c r="D306" s="3"/>
      <c r="E306" s="3"/>
      <c r="F306" s="8"/>
      <c r="G306" s="3"/>
      <c r="H306" s="3"/>
      <c r="I306" s="3"/>
      <c r="J306" s="8"/>
      <c r="K306" s="3"/>
      <c r="L306" s="3"/>
      <c r="M306" s="3"/>
      <c r="N306" s="8"/>
      <c r="P306" s="3"/>
      <c r="Q306" s="3"/>
      <c r="R306" s="8"/>
      <c r="S306" s="3"/>
      <c r="T306" s="3"/>
      <c r="U306" s="3"/>
      <c r="V306" s="8"/>
      <c r="W306" s="3"/>
      <c r="X306" s="3"/>
      <c r="Y306" s="3"/>
      <c r="Z306" s="8"/>
    </row>
    <row r="307" spans="1:26" s="23" customFormat="1" x14ac:dyDescent="0.25">
      <c r="A307" s="52"/>
      <c r="B307" s="10" t="s">
        <v>14</v>
      </c>
      <c r="C307" s="10"/>
      <c r="D307" s="4">
        <v>96645.62</v>
      </c>
      <c r="E307" s="4"/>
      <c r="F307" s="13">
        <f>IF(D$12=0,0,D307/D$12)</f>
        <v>0.2690685091442338</v>
      </c>
      <c r="G307" s="4"/>
      <c r="H307" s="4">
        <v>131847</v>
      </c>
      <c r="I307" s="4"/>
      <c r="J307" s="13">
        <f>IF(H$12=0,0,H307/H$12)</f>
        <v>0.10541623522343456</v>
      </c>
      <c r="K307" s="4"/>
      <c r="L307" s="4">
        <f>+D307-H307</f>
        <v>-35201.380000000005</v>
      </c>
      <c r="M307" s="4"/>
      <c r="N307" s="13">
        <f>IF(H307=0,0,L307/H307)</f>
        <v>-0.2669865829332484</v>
      </c>
      <c r="O307" s="10"/>
      <c r="P307" s="4">
        <v>1357544.38</v>
      </c>
      <c r="Q307" s="4"/>
      <c r="R307" s="13">
        <f>IF(P$12=0,0,P307/P$12)</f>
        <v>0.11841561789164519</v>
      </c>
      <c r="S307" s="4"/>
      <c r="T307" s="4">
        <v>1628850</v>
      </c>
      <c r="U307" s="4"/>
      <c r="V307" s="13">
        <f>IF(T$12=0,0,T307/T$12)</f>
        <v>0.11582546755323569</v>
      </c>
      <c r="W307" s="4"/>
      <c r="X307" s="4">
        <f>+P307-T307</f>
        <v>-271305.62000000011</v>
      </c>
      <c r="Y307" s="4"/>
      <c r="Z307" s="13">
        <f>IF(T307=0,0,X307/T307)</f>
        <v>-0.16656267919084022</v>
      </c>
    </row>
    <row r="308" spans="1:26" x14ac:dyDescent="0.25">
      <c r="A308" s="9"/>
      <c r="B308" s="10"/>
      <c r="C308" s="10"/>
      <c r="D308" s="3"/>
      <c r="E308" s="3"/>
      <c r="F308" s="8"/>
      <c r="G308" s="3"/>
      <c r="H308" s="3"/>
      <c r="I308" s="3"/>
      <c r="J308" s="8"/>
      <c r="K308" s="3"/>
      <c r="L308" s="3"/>
      <c r="M308" s="3"/>
      <c r="N308" s="8"/>
      <c r="O308" s="10"/>
      <c r="P308" s="3"/>
      <c r="Q308" s="3"/>
      <c r="R308" s="8"/>
      <c r="S308" s="3"/>
      <c r="T308" s="3"/>
      <c r="U308" s="3"/>
      <c r="V308" s="8"/>
      <c r="W308" s="3"/>
      <c r="X308" s="3"/>
      <c r="Y308" s="3"/>
      <c r="Z308" s="8"/>
    </row>
    <row r="309" spans="1:26" s="23" customFormat="1" ht="15.75" thickBot="1" x14ac:dyDescent="0.3">
      <c r="A309" s="10"/>
      <c r="B309" s="29" t="s">
        <v>4</v>
      </c>
      <c r="C309" s="29"/>
      <c r="D309" s="35">
        <f>+D305-D307</f>
        <v>-132307.54000000015</v>
      </c>
      <c r="E309" s="14"/>
      <c r="F309" s="32">
        <f>IF(D$12=0,0,D309/D$12)</f>
        <v>-0.36835391543187496</v>
      </c>
      <c r="G309" s="14"/>
      <c r="H309" s="35">
        <f>+H305-H307</f>
        <v>109816.47568014305</v>
      </c>
      <c r="I309" s="14"/>
      <c r="J309" s="32">
        <f>IF(H$12=0,0,H309/H$12)</f>
        <v>8.7802069305380787E-2</v>
      </c>
      <c r="K309" s="16"/>
      <c r="L309" s="35">
        <f>D309-H309</f>
        <v>-242124.0156801432</v>
      </c>
      <c r="M309" s="16"/>
      <c r="N309" s="32">
        <f>IF(H309=0,0,L309/H309)</f>
        <v>-2.2048059198818737</v>
      </c>
      <c r="O309" s="28"/>
      <c r="P309" s="35">
        <f>+P305-P307</f>
        <v>-184804.08999999333</v>
      </c>
      <c r="Q309" s="14"/>
      <c r="R309" s="32">
        <f>IF(P$12=0,0,P309/P$12)</f>
        <v>-1.6120055320955635E-2</v>
      </c>
      <c r="S309" s="14"/>
      <c r="T309" s="35">
        <f>+T305-T307</f>
        <v>173198.05535656586</v>
      </c>
      <c r="U309" s="14"/>
      <c r="V309" s="32">
        <f>IF(T$12=0,0,T309/T$12)</f>
        <v>1.2315895104512656E-2</v>
      </c>
      <c r="W309" s="16"/>
      <c r="X309" s="35">
        <f>P309-T309</f>
        <v>-358002.14535655919</v>
      </c>
      <c r="Y309" s="16"/>
      <c r="Z309" s="32">
        <f>IF(T309=0,0,X309/T309)</f>
        <v>-2.0670101902676326</v>
      </c>
    </row>
    <row r="310" spans="1:26" ht="15.75" thickTop="1" x14ac:dyDescent="0.25">
      <c r="A310" s="9"/>
      <c r="B310" s="9"/>
      <c r="C310" s="9"/>
      <c r="D310" s="3"/>
      <c r="E310" s="3"/>
      <c r="F310" s="8"/>
      <c r="G310" s="3"/>
      <c r="H310" s="3"/>
      <c r="I310" s="3"/>
      <c r="J310" s="8"/>
      <c r="K310" s="3"/>
      <c r="L310" s="3"/>
      <c r="M310" s="3"/>
      <c r="N310" s="8"/>
      <c r="P310" s="3"/>
      <c r="Q310" s="3"/>
      <c r="R310" s="8"/>
      <c r="S310" s="3"/>
      <c r="T310" s="3"/>
      <c r="U310" s="3"/>
      <c r="V310" s="8"/>
      <c r="W310" s="3"/>
      <c r="X310" s="3"/>
      <c r="Y310" s="3"/>
      <c r="Z310" s="8"/>
    </row>
    <row r="311" spans="1:26" x14ac:dyDescent="0.25">
      <c r="A311" s="9"/>
      <c r="B311" s="9"/>
      <c r="C311" s="9"/>
      <c r="D311" s="3"/>
      <c r="E311" s="3"/>
      <c r="F311" s="8"/>
      <c r="G311" s="3"/>
      <c r="H311" s="3"/>
      <c r="I311" s="3"/>
      <c r="J311" s="8"/>
      <c r="K311" s="3"/>
      <c r="L311" s="3"/>
      <c r="M311" s="3"/>
      <c r="N311" s="8"/>
      <c r="P311" s="3"/>
      <c r="Q311" s="3"/>
      <c r="R311" s="8"/>
      <c r="S311" s="3"/>
      <c r="T311" s="3"/>
      <c r="U311" s="3"/>
      <c r="V311" s="8"/>
      <c r="W311" s="3"/>
      <c r="X311" s="3"/>
      <c r="Y311" s="3"/>
      <c r="Z311" s="8"/>
    </row>
    <row r="312" spans="1:26" s="23" customFormat="1" ht="15.75" thickBot="1" x14ac:dyDescent="0.3">
      <c r="A312" s="10"/>
      <c r="B312" s="29" t="s">
        <v>5</v>
      </c>
      <c r="C312" s="29"/>
      <c r="D312" s="34">
        <f>SUM(D309:D311)</f>
        <v>-132307.54000000015</v>
      </c>
      <c r="E312" s="14"/>
      <c r="F312" s="31">
        <f>IF(D$12=0,0,D312/D$12)</f>
        <v>-0.36835391543187496</v>
      </c>
      <c r="G312" s="14"/>
      <c r="H312" s="34">
        <f>SUM(H309:H311)</f>
        <v>109816.47568014305</v>
      </c>
      <c r="I312" s="14"/>
      <c r="J312" s="31">
        <f>IF(H$12=0,0,H312/H$12)</f>
        <v>8.7802069305380787E-2</v>
      </c>
      <c r="K312" s="16"/>
      <c r="L312" s="34">
        <f>+D312-H312</f>
        <v>-242124.0156801432</v>
      </c>
      <c r="M312" s="16"/>
      <c r="N312" s="31">
        <f>IF(H312=0,0,L312/H312)</f>
        <v>-2.2048059198818737</v>
      </c>
      <c r="O312" s="28"/>
      <c r="P312" s="34">
        <f>SUM(P309:P311)</f>
        <v>-184804.08999999333</v>
      </c>
      <c r="Q312" s="14"/>
      <c r="R312" s="31">
        <f>IF(P$12=0,0,P312/P$12)</f>
        <v>-1.6120055320955635E-2</v>
      </c>
      <c r="S312" s="14"/>
      <c r="T312" s="34">
        <f>SUM(T309:T311)</f>
        <v>173198.05535656586</v>
      </c>
      <c r="U312" s="14"/>
      <c r="V312" s="31">
        <f>IF(T$12=0,0,T312/T$12)</f>
        <v>1.2315895104512656E-2</v>
      </c>
      <c r="W312" s="16"/>
      <c r="X312" s="34">
        <f>+P312-T312</f>
        <v>-358002.14535655919</v>
      </c>
      <c r="Y312" s="16"/>
      <c r="Z312" s="31">
        <f>IF(T312=0,0,X312/T312)</f>
        <v>-2.0670101902676326</v>
      </c>
    </row>
    <row r="313" spans="1:26" ht="15.75" thickTop="1" x14ac:dyDescent="0.25">
      <c r="A313" s="9"/>
      <c r="C313" s="9"/>
      <c r="D313" s="18"/>
      <c r="E313" s="18"/>
      <c r="G313" s="18"/>
      <c r="H313" s="18"/>
      <c r="I313" s="18"/>
      <c r="J313" s="42"/>
      <c r="K313" s="18"/>
      <c r="L313" s="18"/>
      <c r="M313" s="18"/>
      <c r="P313" s="18"/>
      <c r="Q313" s="18"/>
      <c r="R313" s="42"/>
      <c r="S313" s="18"/>
      <c r="T313" s="18"/>
      <c r="U313" s="18"/>
      <c r="V313" s="42"/>
      <c r="W313" s="18"/>
      <c r="X313" s="18"/>
    </row>
    <row r="314" spans="1:26" x14ac:dyDescent="0.25">
      <c r="A314" s="9"/>
      <c r="B314" s="59">
        <v>43992.371024074077</v>
      </c>
      <c r="D314" s="18"/>
      <c r="E314" s="18"/>
      <c r="G314" s="18"/>
      <c r="H314" s="18"/>
      <c r="I314" s="18"/>
      <c r="J314" s="42"/>
      <c r="K314" s="18"/>
      <c r="L314" s="18"/>
      <c r="M314" s="18"/>
      <c r="P314" s="18"/>
      <c r="Q314" s="18"/>
      <c r="R314" s="42"/>
      <c r="S314" s="18"/>
      <c r="T314" s="18"/>
      <c r="U314" s="18"/>
      <c r="V314" s="42"/>
      <c r="W314" s="18"/>
      <c r="X314" s="18"/>
    </row>
    <row r="315" spans="1:26" x14ac:dyDescent="0.25">
      <c r="A315" s="9"/>
      <c r="B315" s="56" t="s">
        <v>314</v>
      </c>
      <c r="D315" s="18"/>
      <c r="E315" s="18"/>
      <c r="G315" s="18"/>
      <c r="H315" s="18"/>
      <c r="I315" s="18"/>
      <c r="J315" s="42"/>
      <c r="K315" s="18"/>
      <c r="L315" s="18"/>
      <c r="M315" s="18"/>
      <c r="P315" s="18"/>
      <c r="Q315" s="18"/>
      <c r="R315" s="42"/>
      <c r="S315" s="18"/>
      <c r="T315" s="18"/>
      <c r="U315" s="18"/>
      <c r="V315" s="42"/>
      <c r="W315" s="18"/>
      <c r="X315" s="18"/>
    </row>
    <row r="316" spans="1:26" x14ac:dyDescent="0.25">
      <c r="A316" s="9"/>
      <c r="B316" s="54"/>
      <c r="D316" s="18"/>
      <c r="E316" s="18"/>
      <c r="G316" s="18"/>
      <c r="H316" s="18"/>
      <c r="I316" s="18"/>
      <c r="J316" s="42"/>
      <c r="K316" s="18"/>
      <c r="L316" s="18"/>
      <c r="M316" s="18"/>
      <c r="P316" s="18"/>
      <c r="Q316" s="18"/>
      <c r="R316" s="42"/>
      <c r="S316" s="18"/>
      <c r="T316" s="18"/>
      <c r="U316" s="18"/>
      <c r="V316" s="42"/>
      <c r="W316" s="18"/>
      <c r="X316" s="18"/>
    </row>
    <row r="317" spans="1:26" x14ac:dyDescent="0.25">
      <c r="D317" s="18"/>
      <c r="E317" s="18"/>
      <c r="G317" s="18"/>
      <c r="H317" s="18"/>
      <c r="I317" s="18"/>
      <c r="J317" s="42"/>
      <c r="K317" s="18"/>
      <c r="L317" s="18"/>
      <c r="M317" s="18"/>
      <c r="P317" s="18"/>
      <c r="Q317" s="18"/>
      <c r="R317" s="42"/>
      <c r="S317" s="18"/>
      <c r="T317" s="18"/>
      <c r="U317" s="18"/>
      <c r="V317" s="42"/>
      <c r="W317" s="18"/>
      <c r="X317" s="18"/>
    </row>
  </sheetData>
  <pageMargins left="0.25" right="0.25" top="0.75" bottom="0.75" header="0.3" footer="0.3"/>
  <pageSetup scale="55" fitToWidth="2" orientation="landscape"/>
  <drawing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123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63" t="s">
        <v>13</v>
      </c>
    </row>
    <row r="3" spans="1:26" x14ac:dyDescent="0.25">
      <c r="D3" s="63" t="s">
        <v>296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61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63" t="str">
        <f>CONCATENATE("Period ",RIGHT(202011,2),", ",2020)</f>
        <v>Period 11, 2020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61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4">
        <v>43981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61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51"/>
      <c r="C6" s="51"/>
      <c r="D6" s="23" t="str">
        <f>CONCATENATE("Department ","301", " - ", "Bookstore Operations")</f>
        <v>Department 301 - Bookstore Operations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57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5" t="s">
        <v>294</v>
      </c>
      <c r="E9" s="15"/>
      <c r="F9" s="38"/>
      <c r="G9" s="15"/>
      <c r="H9" s="15"/>
      <c r="I9" s="15"/>
      <c r="J9" s="46"/>
      <c r="K9" s="15"/>
      <c r="L9" s="15"/>
      <c r="M9" s="15"/>
      <c r="N9" s="38"/>
      <c r="P9" s="15" t="s">
        <v>295</v>
      </c>
      <c r="Q9" s="15"/>
      <c r="R9" s="38"/>
      <c r="S9" s="15"/>
      <c r="T9" s="15"/>
      <c r="U9" s="15"/>
      <c r="V9" s="46"/>
      <c r="W9" s="15"/>
      <c r="X9" s="15"/>
      <c r="Y9" s="15"/>
      <c r="Z9" s="38"/>
    </row>
    <row r="10" spans="1:26" x14ac:dyDescent="0.25">
      <c r="A10" s="10"/>
      <c r="B10" s="55"/>
      <c r="C10" s="10"/>
      <c r="D10" s="43" t="s">
        <v>10</v>
      </c>
      <c r="E10" s="33"/>
      <c r="F10" s="40" t="s">
        <v>15</v>
      </c>
      <c r="G10" s="33"/>
      <c r="H10" s="47" t="s">
        <v>11</v>
      </c>
      <c r="I10" s="33"/>
      <c r="J10" s="45" t="s">
        <v>16</v>
      </c>
      <c r="K10" s="10"/>
      <c r="L10" s="43" t="s">
        <v>12</v>
      </c>
      <c r="M10" s="10"/>
      <c r="N10" s="40" t="s">
        <v>17</v>
      </c>
      <c r="O10" s="10"/>
      <c r="P10" s="53" t="s">
        <v>10</v>
      </c>
      <c r="Q10" s="33"/>
      <c r="R10" s="40" t="s">
        <v>15</v>
      </c>
      <c r="S10" s="33"/>
      <c r="T10" s="47" t="s">
        <v>11</v>
      </c>
      <c r="U10" s="33"/>
      <c r="V10" s="45" t="s">
        <v>16</v>
      </c>
      <c r="W10" s="10"/>
      <c r="X10" s="43" t="s">
        <v>12</v>
      </c>
      <c r="Y10" s="10"/>
      <c r="Z10" s="40" t="s">
        <v>17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x14ac:dyDescent="0.25">
      <c r="A12" s="10"/>
      <c r="B12" s="28" t="s">
        <v>7</v>
      </c>
      <c r="C12" s="10"/>
      <c r="D12" s="4">
        <f>SUM(0)</f>
        <v>0</v>
      </c>
      <c r="E12" s="4"/>
      <c r="F12" s="13"/>
      <c r="G12" s="4"/>
      <c r="H12" s="4">
        <f>SUM(0)</f>
        <v>0</v>
      </c>
      <c r="I12" s="4"/>
      <c r="J12" s="13"/>
      <c r="K12" s="4"/>
      <c r="L12" s="4">
        <f>+D12-H12</f>
        <v>0</v>
      </c>
      <c r="M12" s="4"/>
      <c r="N12" s="13">
        <f>IF(H12=0,0,L12/H12)</f>
        <v>0</v>
      </c>
      <c r="O12" s="10"/>
      <c r="P12" s="4">
        <f>SUM(0)</f>
        <v>0</v>
      </c>
      <c r="Q12" s="4"/>
      <c r="R12" s="13"/>
      <c r="S12" s="4"/>
      <c r="T12" s="4">
        <f>SUM(0)</f>
        <v>0</v>
      </c>
      <c r="U12" s="4"/>
      <c r="V12" s="13"/>
      <c r="W12" s="4"/>
      <c r="X12" s="4">
        <f>+P12-T12</f>
        <v>0</v>
      </c>
      <c r="Y12" s="4"/>
      <c r="Z12" s="13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8" t="s">
        <v>8</v>
      </c>
      <c r="C14" s="10"/>
      <c r="D14" s="4">
        <f>SUM(0)</f>
        <v>0</v>
      </c>
      <c r="E14" s="4"/>
      <c r="F14" s="13">
        <f>IF(D$12=0,0,D14/D$12)</f>
        <v>0</v>
      </c>
      <c r="G14" s="4"/>
      <c r="H14" s="4">
        <f>SUM(0)</f>
        <v>0</v>
      </c>
      <c r="I14" s="4"/>
      <c r="J14" s="13">
        <f>IF(H$12=0,0,H14/H$12)</f>
        <v>0</v>
      </c>
      <c r="K14" s="4"/>
      <c r="L14" s="4">
        <f>+D14-H14</f>
        <v>0</v>
      </c>
      <c r="M14" s="4"/>
      <c r="N14" s="13">
        <f>IF(H14=0,0,L14/H14)</f>
        <v>0</v>
      </c>
      <c r="O14" s="10"/>
      <c r="P14" s="4">
        <f>SUM(0)</f>
        <v>0</v>
      </c>
      <c r="Q14" s="4"/>
      <c r="R14" s="13">
        <f>IF(P$12=0,0,P14/P$12)</f>
        <v>0</v>
      </c>
      <c r="S14" s="4"/>
      <c r="T14" s="4">
        <f>SUM(0)</f>
        <v>0</v>
      </c>
      <c r="U14" s="4"/>
      <c r="V14" s="13">
        <f>IF(T$12=0,0,T14/T$12)</f>
        <v>0</v>
      </c>
      <c r="W14" s="4"/>
      <c r="X14" s="4">
        <f>+P14-T14</f>
        <v>0</v>
      </c>
      <c r="Y14" s="4"/>
      <c r="Z14" s="13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9" t="s">
        <v>6</v>
      </c>
      <c r="C16" s="29"/>
      <c r="D16" s="20">
        <f>D12-D14</f>
        <v>0</v>
      </c>
      <c r="E16" s="14"/>
      <c r="F16" s="22">
        <f>IF(D$12=0,0,D16/D$12)</f>
        <v>0</v>
      </c>
      <c r="G16" s="14"/>
      <c r="H16" s="20">
        <f>H12-H14</f>
        <v>0</v>
      </c>
      <c r="I16" s="14"/>
      <c r="J16" s="22">
        <f>IF(H$12=0,0,H16/H$12)</f>
        <v>0</v>
      </c>
      <c r="K16" s="16"/>
      <c r="L16" s="20">
        <f>+D16-H16</f>
        <v>0</v>
      </c>
      <c r="M16" s="16"/>
      <c r="N16" s="22">
        <f>IF(H16=0,0,L16/H16)</f>
        <v>0</v>
      </c>
      <c r="O16" s="28"/>
      <c r="P16" s="20">
        <f>P12-P14</f>
        <v>0</v>
      </c>
      <c r="Q16" s="14"/>
      <c r="R16" s="22">
        <f>IF(P$12=0,0,P16/P$12)</f>
        <v>0</v>
      </c>
      <c r="S16" s="14"/>
      <c r="T16" s="20">
        <f>T12-T14</f>
        <v>0</v>
      </c>
      <c r="U16" s="14"/>
      <c r="V16" s="22">
        <f>IF(T$12=0,0,T16/T$12)</f>
        <v>0</v>
      </c>
      <c r="W16" s="16"/>
      <c r="X16" s="20">
        <f>+P16-T16</f>
        <v>0</v>
      </c>
      <c r="Y16" s="16"/>
      <c r="Z16" s="22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8" t="s">
        <v>9</v>
      </c>
      <c r="C18" s="10"/>
      <c r="D18" s="21">
        <f>SUM(OSRRefD22x_0)</f>
        <v>64106.86</v>
      </c>
      <c r="E18" s="21"/>
      <c r="F18" s="30">
        <f t="shared" ref="F18:F28" si="0">IF(D$12=0,0,D18/D$12)</f>
        <v>0</v>
      </c>
      <c r="G18" s="21"/>
      <c r="H18" s="21">
        <f>SUM(OSRRefH22x_0)</f>
        <v>128054.45019911691</v>
      </c>
      <c r="I18" s="21"/>
      <c r="J18" s="30">
        <f t="shared" ref="J18:J28" si="1">IF(H$12=0,0,H18/H$12)</f>
        <v>0</v>
      </c>
      <c r="K18" s="4"/>
      <c r="L18" s="21">
        <f t="shared" ref="L18:L28" si="2">+D18-H18</f>
        <v>-63947.590199116908</v>
      </c>
      <c r="M18" s="4"/>
      <c r="N18" s="30">
        <f t="shared" ref="N18:N28" si="3">IF(H18=0,0,L18/H18)</f>
        <v>-0.499378116884515</v>
      </c>
      <c r="O18" s="10"/>
      <c r="P18" s="21">
        <f>SUM(OSRRefP22x_0)</f>
        <v>1218275.7199999997</v>
      </c>
      <c r="Q18" s="21"/>
      <c r="R18" s="30">
        <f t="shared" ref="R18:R28" si="4">IF(P$12=0,0,P18/P$12)</f>
        <v>0</v>
      </c>
      <c r="S18" s="21"/>
      <c r="T18" s="21">
        <f>SUM(OSRRefT22x_0)</f>
        <v>1592401.954551653</v>
      </c>
      <c r="U18" s="21"/>
      <c r="V18" s="30">
        <f t="shared" ref="V18:V28" si="5">IF(T$12=0,0,T18/T$12)</f>
        <v>0</v>
      </c>
      <c r="W18" s="4"/>
      <c r="X18" s="21">
        <f t="shared" ref="X18:X28" si="6">+P18-T18</f>
        <v>-374126.23455165327</v>
      </c>
      <c r="Y18" s="4"/>
      <c r="Z18" s="30">
        <f t="shared" ref="Z18:Z28" si="7">IF(T18=0,0,X18/T18)</f>
        <v>-0.23494459642068824</v>
      </c>
    </row>
    <row r="19" spans="1:26" s="27" customFormat="1" outlineLevel="1" collapsed="1" x14ac:dyDescent="0.25">
      <c r="A19" s="25"/>
      <c r="B19" s="12" t="str">
        <f>CONCATENATE("     ","*Benefits                                         ")</f>
        <v xml:space="preserve">     *Benefits                                         </v>
      </c>
      <c r="C19" s="12"/>
      <c r="D19" s="1">
        <f>SUM(OSRRefD22_0x_0)</f>
        <v>2146.6800000000003</v>
      </c>
      <c r="E19" s="1"/>
      <c r="F19" s="5">
        <f t="shared" si="0"/>
        <v>0</v>
      </c>
      <c r="G19" s="1"/>
      <c r="H19" s="1">
        <f>SUM(OSRRefH22_0x_0)</f>
        <v>13435.46941988614</v>
      </c>
      <c r="I19" s="1"/>
      <c r="J19" s="5">
        <f t="shared" si="1"/>
        <v>0</v>
      </c>
      <c r="K19" s="1"/>
      <c r="L19" s="1">
        <f t="shared" si="2"/>
        <v>-11288.78941988614</v>
      </c>
      <c r="M19" s="1"/>
      <c r="N19" s="5">
        <f t="shared" si="3"/>
        <v>-0.84022292538415877</v>
      </c>
      <c r="O19" s="12"/>
      <c r="P19" s="1">
        <f>SUM(OSRRefP22_0x_0)</f>
        <v>96063.86</v>
      </c>
      <c r="Q19" s="1"/>
      <c r="R19" s="5">
        <f t="shared" si="4"/>
        <v>0</v>
      </c>
      <c r="S19" s="1"/>
      <c r="T19" s="1">
        <f>SUM(OSRRefT22_0x_0)</f>
        <v>155257.54895088368</v>
      </c>
      <c r="U19" s="1"/>
      <c r="V19" s="5">
        <f t="shared" si="5"/>
        <v>0</v>
      </c>
      <c r="W19" s="1"/>
      <c r="X19" s="1">
        <f t="shared" si="6"/>
        <v>-59193.688950883676</v>
      </c>
      <c r="Y19" s="1"/>
      <c r="Z19" s="5">
        <f t="shared" si="7"/>
        <v>-0.38126126137422039</v>
      </c>
    </row>
    <row r="20" spans="1:26" s="24" customFormat="1" hidden="1" outlineLevel="2" x14ac:dyDescent="0.25">
      <c r="A20" s="26"/>
      <c r="B20" s="11" t="str">
        <f>CONCATENATE("          ", "6111", " - ", "F.I.C.A.")</f>
        <v xml:space="preserve">          6111 - F.I.C.A.</v>
      </c>
      <c r="C20" s="11"/>
      <c r="D20" s="7">
        <v>287.33999999999997</v>
      </c>
      <c r="E20" s="2"/>
      <c r="F20" s="6">
        <f t="shared" si="0"/>
        <v>0</v>
      </c>
      <c r="G20" s="2"/>
      <c r="H20" s="7">
        <v>2035.9376213169201</v>
      </c>
      <c r="I20" s="2"/>
      <c r="J20" s="6">
        <f t="shared" si="1"/>
        <v>0</v>
      </c>
      <c r="K20" s="2"/>
      <c r="L20" s="7">
        <f t="shared" si="2"/>
        <v>-1748.5976213169201</v>
      </c>
      <c r="M20" s="2"/>
      <c r="N20" s="6">
        <f t="shared" si="3"/>
        <v>-0.85886600994477535</v>
      </c>
      <c r="O20" s="11"/>
      <c r="P20" s="7">
        <v>24641.030000000002</v>
      </c>
      <c r="Q20" s="2"/>
      <c r="R20" s="6">
        <f t="shared" si="4"/>
        <v>0</v>
      </c>
      <c r="S20" s="2"/>
      <c r="T20" s="7">
        <v>25452.071733053039</v>
      </c>
      <c r="U20" s="2"/>
      <c r="V20" s="6">
        <f t="shared" si="5"/>
        <v>0</v>
      </c>
      <c r="W20" s="2"/>
      <c r="X20" s="7">
        <f t="shared" si="6"/>
        <v>-811.0417330530363</v>
      </c>
      <c r="Y20" s="2"/>
      <c r="Z20" s="6">
        <f t="shared" si="7"/>
        <v>-3.1865450544042995E-2</v>
      </c>
    </row>
    <row r="21" spans="1:26" s="24" customFormat="1" hidden="1" outlineLevel="2" x14ac:dyDescent="0.25">
      <c r="A21" s="26"/>
      <c r="B21" s="11" t="str">
        <f>CONCATENATE("          ", "6112", " - ", "COMPENSATION INSURANCE")</f>
        <v xml:space="preserve">          6112 - COMPENSATION INSURANCE</v>
      </c>
      <c r="C21" s="11"/>
      <c r="D21" s="7">
        <v>19.16</v>
      </c>
      <c r="E21" s="2"/>
      <c r="F21" s="6">
        <f t="shared" si="0"/>
        <v>0</v>
      </c>
      <c r="G21" s="2"/>
      <c r="H21" s="7">
        <v>919.82669046153899</v>
      </c>
      <c r="I21" s="2"/>
      <c r="J21" s="6">
        <f t="shared" si="1"/>
        <v>0</v>
      </c>
      <c r="K21" s="2"/>
      <c r="L21" s="7">
        <f t="shared" si="2"/>
        <v>-900.66669046153902</v>
      </c>
      <c r="M21" s="2"/>
      <c r="N21" s="6">
        <f t="shared" si="3"/>
        <v>-0.97916998908741593</v>
      </c>
      <c r="O21" s="11"/>
      <c r="P21" s="7">
        <v>6252.19</v>
      </c>
      <c r="Q21" s="2"/>
      <c r="R21" s="6">
        <f t="shared" si="4"/>
        <v>0</v>
      </c>
      <c r="S21" s="2"/>
      <c r="T21" s="7">
        <v>10769.397560538455</v>
      </c>
      <c r="U21" s="2"/>
      <c r="V21" s="6">
        <f t="shared" si="5"/>
        <v>0</v>
      </c>
      <c r="W21" s="2"/>
      <c r="X21" s="7">
        <f t="shared" si="6"/>
        <v>-4517.2075605384553</v>
      </c>
      <c r="Y21" s="2"/>
      <c r="Z21" s="6">
        <f t="shared" si="7"/>
        <v>-0.41944849144491991</v>
      </c>
    </row>
    <row r="22" spans="1:26" s="24" customFormat="1" hidden="1" outlineLevel="2" x14ac:dyDescent="0.25">
      <c r="A22" s="26"/>
      <c r="B22" s="11" t="str">
        <f>CONCATENATE("          ", "6113", " - ", "GROUP INSURANCE")</f>
        <v xml:space="preserve">          6113 - GROUP INSURANCE</v>
      </c>
      <c r="C22" s="11"/>
      <c r="D22" s="7">
        <v>905.2</v>
      </c>
      <c r="E22" s="2"/>
      <c r="F22" s="6">
        <f t="shared" si="0"/>
        <v>0</v>
      </c>
      <c r="G22" s="2"/>
      <c r="H22" s="7">
        <v>5680.25</v>
      </c>
      <c r="I22" s="2"/>
      <c r="J22" s="6">
        <f t="shared" si="1"/>
        <v>0</v>
      </c>
      <c r="K22" s="2"/>
      <c r="L22" s="7">
        <f t="shared" si="2"/>
        <v>-4775.05</v>
      </c>
      <c r="M22" s="2"/>
      <c r="N22" s="6">
        <f t="shared" si="3"/>
        <v>-0.84064081686545489</v>
      </c>
      <c r="O22" s="11"/>
      <c r="P22" s="7">
        <v>38789.5</v>
      </c>
      <c r="Q22" s="2"/>
      <c r="R22" s="6">
        <f t="shared" si="4"/>
        <v>0</v>
      </c>
      <c r="S22" s="2"/>
      <c r="T22" s="7">
        <v>62482.749999999993</v>
      </c>
      <c r="U22" s="2"/>
      <c r="V22" s="6">
        <f t="shared" si="5"/>
        <v>0</v>
      </c>
      <c r="W22" s="2"/>
      <c r="X22" s="7">
        <f t="shared" si="6"/>
        <v>-23693.249999999993</v>
      </c>
      <c r="Y22" s="2"/>
      <c r="Z22" s="6">
        <f t="shared" si="7"/>
        <v>-0.37919665827768456</v>
      </c>
    </row>
    <row r="23" spans="1:26" s="24" customFormat="1" hidden="1" outlineLevel="2" x14ac:dyDescent="0.25">
      <c r="A23" s="26"/>
      <c r="B23" s="11" t="str">
        <f>CONCATENATE("          ", "6114", " - ", "STATE UNEMPLOYMENT INSURANCE")</f>
        <v xml:space="preserve">          6114 - STATE UNEMPLOYMENT INSURANCE</v>
      </c>
      <c r="C23" s="11"/>
      <c r="D23" s="7">
        <v>14.65</v>
      </c>
      <c r="E23" s="2"/>
      <c r="F23" s="6">
        <f t="shared" si="0"/>
        <v>0</v>
      </c>
      <c r="G23" s="2"/>
      <c r="H23" s="7">
        <v>125.8710208</v>
      </c>
      <c r="I23" s="2"/>
      <c r="J23" s="6">
        <f t="shared" si="1"/>
        <v>0</v>
      </c>
      <c r="K23" s="2"/>
      <c r="L23" s="7">
        <f t="shared" si="2"/>
        <v>-111.22102079999999</v>
      </c>
      <c r="M23" s="2"/>
      <c r="N23" s="6">
        <f t="shared" si="3"/>
        <v>-0.88361101779513007</v>
      </c>
      <c r="O23" s="11"/>
      <c r="P23" s="7">
        <v>1316.72</v>
      </c>
      <c r="Q23" s="2"/>
      <c r="R23" s="6">
        <f t="shared" si="4"/>
        <v>0</v>
      </c>
      <c r="S23" s="2"/>
      <c r="T23" s="7">
        <v>1473.7070345999998</v>
      </c>
      <c r="U23" s="2"/>
      <c r="V23" s="6">
        <f t="shared" si="5"/>
        <v>0</v>
      </c>
      <c r="W23" s="2"/>
      <c r="X23" s="7">
        <f t="shared" si="6"/>
        <v>-156.98703459999979</v>
      </c>
      <c r="Y23" s="2"/>
      <c r="Z23" s="6">
        <f t="shared" si="7"/>
        <v>-0.10652526649749616</v>
      </c>
    </row>
    <row r="24" spans="1:26" s="24" customFormat="1" hidden="1" outlineLevel="2" x14ac:dyDescent="0.25">
      <c r="A24" s="26"/>
      <c r="B24" s="11" t="str">
        <f>CONCATENATE("          ", "6115", " - ", "P.E.R.S.")</f>
        <v xml:space="preserve">          6115 - P.E.R.S.</v>
      </c>
      <c r="C24" s="11"/>
      <c r="D24" s="7">
        <v>390.79</v>
      </c>
      <c r="E24" s="2"/>
      <c r="F24" s="6">
        <f t="shared" si="0"/>
        <v>0</v>
      </c>
      <c r="G24" s="2"/>
      <c r="H24" s="7">
        <v>1788.6235346153799</v>
      </c>
      <c r="I24" s="2"/>
      <c r="J24" s="6">
        <f t="shared" si="1"/>
        <v>0</v>
      </c>
      <c r="K24" s="2"/>
      <c r="L24" s="7">
        <f t="shared" si="2"/>
        <v>-1397.8335346153799</v>
      </c>
      <c r="M24" s="2"/>
      <c r="N24" s="6">
        <f t="shared" si="3"/>
        <v>-0.781513553614269</v>
      </c>
      <c r="O24" s="11"/>
      <c r="P24" s="7">
        <v>20851.21</v>
      </c>
      <c r="Q24" s="2"/>
      <c r="R24" s="6">
        <f t="shared" si="4"/>
        <v>0</v>
      </c>
      <c r="S24" s="2"/>
      <c r="T24" s="7">
        <v>21291.75761538458</v>
      </c>
      <c r="U24" s="2"/>
      <c r="V24" s="6">
        <f t="shared" si="5"/>
        <v>0</v>
      </c>
      <c r="W24" s="2"/>
      <c r="X24" s="7">
        <f t="shared" si="6"/>
        <v>-440.54761538458115</v>
      </c>
      <c r="Y24" s="2"/>
      <c r="Z24" s="6">
        <f t="shared" si="7"/>
        <v>-2.0690993357272622E-2</v>
      </c>
    </row>
    <row r="25" spans="1:26" s="24" customFormat="1" hidden="1" outlineLevel="2" x14ac:dyDescent="0.25">
      <c r="A25" s="26"/>
      <c r="B25" s="11" t="str">
        <f>CONCATENATE("          ", "6116", " - ", "EDUCATIONAL BENEFITS")</f>
        <v xml:space="preserve">          6116 - EDUCATIONAL BENEFITS</v>
      </c>
      <c r="C25" s="11"/>
      <c r="D25" s="7"/>
      <c r="E25" s="2"/>
      <c r="F25" s="6">
        <f t="shared" si="0"/>
        <v>0</v>
      </c>
      <c r="G25" s="2"/>
      <c r="H25" s="7">
        <v>0</v>
      </c>
      <c r="I25" s="2"/>
      <c r="J25" s="6">
        <f t="shared" si="1"/>
        <v>0</v>
      </c>
      <c r="K25" s="2"/>
      <c r="L25" s="7">
        <f t="shared" si="2"/>
        <v>0</v>
      </c>
      <c r="M25" s="2"/>
      <c r="N25" s="6">
        <f t="shared" si="3"/>
        <v>0</v>
      </c>
      <c r="O25" s="11"/>
      <c r="P25" s="7"/>
      <c r="Q25" s="2"/>
      <c r="R25" s="6">
        <f t="shared" si="4"/>
        <v>0</v>
      </c>
      <c r="S25" s="2"/>
      <c r="T25" s="7">
        <v>0</v>
      </c>
      <c r="U25" s="2"/>
      <c r="V25" s="6">
        <f t="shared" si="5"/>
        <v>0</v>
      </c>
      <c r="W25" s="2"/>
      <c r="X25" s="7">
        <f t="shared" si="6"/>
        <v>0</v>
      </c>
      <c r="Y25" s="2"/>
      <c r="Z25" s="6">
        <f t="shared" si="7"/>
        <v>0</v>
      </c>
    </row>
    <row r="26" spans="1:26" s="24" customFormat="1" hidden="1" outlineLevel="2" x14ac:dyDescent="0.25">
      <c r="A26" s="26"/>
      <c r="B26" s="11" t="str">
        <f>CONCATENATE("          ", "6118", " - ", "VACATION")</f>
        <v xml:space="preserve">          6118 - VACATION</v>
      </c>
      <c r="C26" s="11"/>
      <c r="D26" s="7">
        <v>353.19</v>
      </c>
      <c r="E26" s="2"/>
      <c r="F26" s="6">
        <f t="shared" si="0"/>
        <v>0</v>
      </c>
      <c r="G26" s="2"/>
      <c r="H26" s="7">
        <v>1254.2404038461502</v>
      </c>
      <c r="I26" s="2"/>
      <c r="J26" s="6">
        <f t="shared" si="1"/>
        <v>0</v>
      </c>
      <c r="K26" s="2"/>
      <c r="L26" s="7">
        <f t="shared" si="2"/>
        <v>-901.05040384615018</v>
      </c>
      <c r="M26" s="2"/>
      <c r="N26" s="6">
        <f t="shared" si="3"/>
        <v>-0.71840326709541746</v>
      </c>
      <c r="O26" s="11"/>
      <c r="P26" s="7">
        <v>15769.710000000001</v>
      </c>
      <c r="Q26" s="2"/>
      <c r="R26" s="6">
        <f t="shared" si="4"/>
        <v>0</v>
      </c>
      <c r="S26" s="2"/>
      <c r="T26" s="7">
        <v>14951.044846153811</v>
      </c>
      <c r="U26" s="2"/>
      <c r="V26" s="6">
        <f t="shared" si="5"/>
        <v>0</v>
      </c>
      <c r="W26" s="2"/>
      <c r="X26" s="7">
        <f t="shared" si="6"/>
        <v>818.66515384619015</v>
      </c>
      <c r="Y26" s="2"/>
      <c r="Z26" s="6">
        <f t="shared" si="7"/>
        <v>5.475638407016039E-2</v>
      </c>
    </row>
    <row r="27" spans="1:26" s="24" customFormat="1" hidden="1" outlineLevel="2" x14ac:dyDescent="0.25">
      <c r="A27" s="26"/>
      <c r="B27" s="11" t="str">
        <f>CONCATENATE("          ", "6119", " - ", "SICK LEAVE")</f>
        <v xml:space="preserve">          6119 - SICK LEAVE</v>
      </c>
      <c r="C27" s="11"/>
      <c r="D27" s="7">
        <v>176.35</v>
      </c>
      <c r="E27" s="2"/>
      <c r="F27" s="6">
        <f t="shared" si="0"/>
        <v>0</v>
      </c>
      <c r="G27" s="2"/>
      <c r="H27" s="7">
        <v>1130.7201488461501</v>
      </c>
      <c r="I27" s="2"/>
      <c r="J27" s="6">
        <f t="shared" si="1"/>
        <v>0</v>
      </c>
      <c r="K27" s="2"/>
      <c r="L27" s="7">
        <f t="shared" si="2"/>
        <v>-954.37014884615007</v>
      </c>
      <c r="M27" s="2"/>
      <c r="N27" s="6">
        <f t="shared" si="3"/>
        <v>-0.84403744801049363</v>
      </c>
      <c r="O27" s="11"/>
      <c r="P27" s="7">
        <v>-14549.11</v>
      </c>
      <c r="Q27" s="2"/>
      <c r="R27" s="6">
        <f t="shared" si="4"/>
        <v>0</v>
      </c>
      <c r="S27" s="2"/>
      <c r="T27" s="7">
        <v>13336.82016115381</v>
      </c>
      <c r="U27" s="2"/>
      <c r="V27" s="6">
        <f t="shared" si="5"/>
        <v>0</v>
      </c>
      <c r="W27" s="2"/>
      <c r="X27" s="7">
        <f t="shared" si="6"/>
        <v>-27885.93016115381</v>
      </c>
      <c r="Y27" s="2"/>
      <c r="Z27" s="6">
        <f t="shared" si="7"/>
        <v>-2.0908979669964531</v>
      </c>
    </row>
    <row r="28" spans="1:26" s="24" customFormat="1" hidden="1" outlineLevel="2" x14ac:dyDescent="0.25">
      <c r="A28" s="26"/>
      <c r="B28" s="11" t="str">
        <f>CONCATENATE("          ", "6156", " - ", "EMPLOYEE MEALS")</f>
        <v xml:space="preserve">          6156 - EMPLOYEE MEALS</v>
      </c>
      <c r="C28" s="11"/>
      <c r="D28" s="7"/>
      <c r="E28" s="2"/>
      <c r="F28" s="6">
        <f t="shared" si="0"/>
        <v>0</v>
      </c>
      <c r="G28" s="2"/>
      <c r="H28" s="7">
        <v>500</v>
      </c>
      <c r="I28" s="2"/>
      <c r="J28" s="6">
        <f t="shared" si="1"/>
        <v>0</v>
      </c>
      <c r="K28" s="2"/>
      <c r="L28" s="7">
        <f t="shared" si="2"/>
        <v>-500</v>
      </c>
      <c r="M28" s="2"/>
      <c r="N28" s="6">
        <f t="shared" si="3"/>
        <v>-1</v>
      </c>
      <c r="O28" s="11"/>
      <c r="P28" s="7">
        <v>2992.61</v>
      </c>
      <c r="Q28" s="2"/>
      <c r="R28" s="6">
        <f t="shared" si="4"/>
        <v>0</v>
      </c>
      <c r="S28" s="2"/>
      <c r="T28" s="7">
        <v>5500</v>
      </c>
      <c r="U28" s="2"/>
      <c r="V28" s="6">
        <f t="shared" si="5"/>
        <v>0</v>
      </c>
      <c r="W28" s="2"/>
      <c r="X28" s="7">
        <f t="shared" si="6"/>
        <v>-2507.39</v>
      </c>
      <c r="Y28" s="2"/>
      <c r="Z28" s="6">
        <f t="shared" si="7"/>
        <v>-0.45588909090909091</v>
      </c>
    </row>
    <row r="29" spans="1:26" s="27" customFormat="1" outlineLevel="1" collapsed="1" x14ac:dyDescent="0.25">
      <c r="A29" s="25"/>
      <c r="B29" s="12" t="str">
        <f>CONCATENATE("     ","*Payroll                                          ")</f>
        <v xml:space="preserve">     *Payroll                                          </v>
      </c>
      <c r="C29" s="12"/>
      <c r="D29" s="1">
        <f>SUM(OSRRefD22_1x_0)</f>
        <v>3823.4</v>
      </c>
      <c r="E29" s="1"/>
      <c r="F29" s="5">
        <f t="shared" ref="F29:F39" si="8">IF(D$12=0,0,D29/D$12)</f>
        <v>0</v>
      </c>
      <c r="G29" s="1"/>
      <c r="H29" s="1">
        <f>SUM(OSRRefH22_1x_0)</f>
        <v>46157.980779230769</v>
      </c>
      <c r="I29" s="1"/>
      <c r="J29" s="5">
        <f t="shared" ref="J29:J39" si="9">IF(H$12=0,0,H29/H$12)</f>
        <v>0</v>
      </c>
      <c r="K29" s="1"/>
      <c r="L29" s="1">
        <f t="shared" ref="L29:L39" si="10">+D29-H29</f>
        <v>-42334.580779230768</v>
      </c>
      <c r="M29" s="1"/>
      <c r="N29" s="5">
        <f t="shared" ref="N29:N39" si="11">IF(H29=0,0,L29/H29)</f>
        <v>-0.91716708713305806</v>
      </c>
      <c r="O29" s="12"/>
      <c r="P29" s="1">
        <f>SUM(OSRRefP22_1x_0)</f>
        <v>389798.35</v>
      </c>
      <c r="Q29" s="1"/>
      <c r="R29" s="5">
        <f t="shared" ref="R29:R39" si="12">IF(P$12=0,0,P29/P$12)</f>
        <v>0</v>
      </c>
      <c r="S29" s="1"/>
      <c r="T29" s="1">
        <f>SUM(OSRRefT22_1x_0)</f>
        <v>540026.40560076945</v>
      </c>
      <c r="U29" s="1"/>
      <c r="V29" s="5">
        <f t="shared" ref="V29:V39" si="13">IF(T$12=0,0,T29/T$12)</f>
        <v>0</v>
      </c>
      <c r="W29" s="1"/>
      <c r="X29" s="1">
        <f t="shared" ref="X29:X39" si="14">+P29-T29</f>
        <v>-150228.05560076947</v>
      </c>
      <c r="Y29" s="1"/>
      <c r="Z29" s="5">
        <f t="shared" ref="Z29:Z39" si="15">IF(T29=0,0,X29/T29)</f>
        <v>-0.27818649985021293</v>
      </c>
    </row>
    <row r="30" spans="1:26" s="24" customFormat="1" hidden="1" outlineLevel="2" x14ac:dyDescent="0.25">
      <c r="A30" s="26"/>
      <c r="B30" s="11" t="str">
        <f>CONCATENATE("          ", "6001", " - ", "ADMINISTRATIVE SALARIES")</f>
        <v xml:space="preserve">          6001 - ADMINISTRATIVE SALARIES</v>
      </c>
      <c r="C30" s="11"/>
      <c r="D30" s="7"/>
      <c r="E30" s="2"/>
      <c r="F30" s="6">
        <f t="shared" si="8"/>
        <v>0</v>
      </c>
      <c r="G30" s="2"/>
      <c r="H30" s="7">
        <v>9645.4350000000013</v>
      </c>
      <c r="I30" s="2"/>
      <c r="J30" s="6">
        <f t="shared" si="9"/>
        <v>0</v>
      </c>
      <c r="K30" s="2"/>
      <c r="L30" s="7">
        <f t="shared" si="10"/>
        <v>-9645.4350000000013</v>
      </c>
      <c r="M30" s="2"/>
      <c r="N30" s="6">
        <f t="shared" si="11"/>
        <v>-1</v>
      </c>
      <c r="O30" s="11"/>
      <c r="P30" s="7">
        <v>93238.31</v>
      </c>
      <c r="Q30" s="2"/>
      <c r="R30" s="6">
        <f t="shared" si="12"/>
        <v>0</v>
      </c>
      <c r="S30" s="2"/>
      <c r="T30" s="7">
        <v>115745.22</v>
      </c>
      <c r="U30" s="2"/>
      <c r="V30" s="6">
        <f t="shared" si="13"/>
        <v>0</v>
      </c>
      <c r="W30" s="2"/>
      <c r="X30" s="7">
        <f t="shared" si="14"/>
        <v>-22506.910000000003</v>
      </c>
      <c r="Y30" s="2"/>
      <c r="Z30" s="6">
        <f t="shared" si="15"/>
        <v>-0.19445217694519051</v>
      </c>
    </row>
    <row r="31" spans="1:26" s="24" customFormat="1" hidden="1" outlineLevel="2" x14ac:dyDescent="0.25">
      <c r="A31" s="26"/>
      <c r="B31" s="11" t="str">
        <f>CONCATENATE("          ", "6002", " - ", "STAFF SALARIES")</f>
        <v xml:space="preserve">          6002 - STAFF SALARIES</v>
      </c>
      <c r="C31" s="11"/>
      <c r="D31" s="7">
        <v>3823.4</v>
      </c>
      <c r="E31" s="2"/>
      <c r="F31" s="6">
        <f t="shared" si="8"/>
        <v>0</v>
      </c>
      <c r="G31" s="2"/>
      <c r="H31" s="7">
        <v>9072.7182692307706</v>
      </c>
      <c r="I31" s="2"/>
      <c r="J31" s="6">
        <f t="shared" si="9"/>
        <v>0</v>
      </c>
      <c r="K31" s="2"/>
      <c r="L31" s="7">
        <f t="shared" si="10"/>
        <v>-5249.318269230771</v>
      </c>
      <c r="M31" s="2"/>
      <c r="N31" s="6">
        <f t="shared" si="11"/>
        <v>-0.57858274813109944</v>
      </c>
      <c r="O31" s="11"/>
      <c r="P31" s="7">
        <v>64833.599999999999</v>
      </c>
      <c r="Q31" s="2"/>
      <c r="R31" s="6">
        <f t="shared" si="12"/>
        <v>0</v>
      </c>
      <c r="S31" s="2"/>
      <c r="T31" s="7">
        <v>107075.49923076939</v>
      </c>
      <c r="U31" s="2"/>
      <c r="V31" s="6">
        <f t="shared" si="13"/>
        <v>0</v>
      </c>
      <c r="W31" s="2"/>
      <c r="X31" s="7">
        <f t="shared" si="14"/>
        <v>-42241.899230769392</v>
      </c>
      <c r="Y31" s="2"/>
      <c r="Z31" s="6">
        <f t="shared" si="15"/>
        <v>-0.39450574159574586</v>
      </c>
    </row>
    <row r="32" spans="1:26" s="24" customFormat="1" hidden="1" outlineLevel="2" x14ac:dyDescent="0.25">
      <c r="A32" s="26"/>
      <c r="B32" s="11" t="str">
        <f>CONCATENATE("          ", "6003", " - ", "STAFF HOURLY-9 MONTH")</f>
        <v xml:space="preserve">          6003 - STAFF HOURLY-9 MONTH</v>
      </c>
      <c r="C32" s="11"/>
      <c r="D32" s="7"/>
      <c r="E32" s="2"/>
      <c r="F32" s="6">
        <f t="shared" si="8"/>
        <v>0</v>
      </c>
      <c r="G32" s="2"/>
      <c r="H32" s="7">
        <v>0</v>
      </c>
      <c r="I32" s="2"/>
      <c r="J32" s="6">
        <f t="shared" si="9"/>
        <v>0</v>
      </c>
      <c r="K32" s="2"/>
      <c r="L32" s="7">
        <f t="shared" si="10"/>
        <v>0</v>
      </c>
      <c r="M32" s="2"/>
      <c r="N32" s="6">
        <f t="shared" si="11"/>
        <v>0</v>
      </c>
      <c r="O32" s="11"/>
      <c r="P32" s="7"/>
      <c r="Q32" s="2"/>
      <c r="R32" s="6">
        <f t="shared" si="12"/>
        <v>0</v>
      </c>
      <c r="S32" s="2"/>
      <c r="T32" s="7">
        <v>0</v>
      </c>
      <c r="U32" s="2"/>
      <c r="V32" s="6">
        <f t="shared" si="13"/>
        <v>0</v>
      </c>
      <c r="W32" s="2"/>
      <c r="X32" s="7">
        <f t="shared" si="14"/>
        <v>0</v>
      </c>
      <c r="Y32" s="2"/>
      <c r="Z32" s="6">
        <f t="shared" si="15"/>
        <v>0</v>
      </c>
    </row>
    <row r="33" spans="1:26" s="24" customFormat="1" hidden="1" outlineLevel="2" x14ac:dyDescent="0.25">
      <c r="A33" s="26"/>
      <c r="B33" s="11" t="str">
        <f>CONCATENATE("          ", "6004", " - ", "STAFF HOURLY")</f>
        <v xml:space="preserve">          6004 - STAFF HOURLY</v>
      </c>
      <c r="C33" s="11"/>
      <c r="D33" s="7"/>
      <c r="E33" s="2"/>
      <c r="F33" s="6">
        <f t="shared" si="8"/>
        <v>0</v>
      </c>
      <c r="G33" s="2"/>
      <c r="H33" s="7">
        <v>5631.0275099999999</v>
      </c>
      <c r="I33" s="2"/>
      <c r="J33" s="6">
        <f t="shared" si="9"/>
        <v>0</v>
      </c>
      <c r="K33" s="2"/>
      <c r="L33" s="7">
        <f t="shared" si="10"/>
        <v>-5631.0275099999999</v>
      </c>
      <c r="M33" s="2"/>
      <c r="N33" s="6">
        <f t="shared" si="11"/>
        <v>-1</v>
      </c>
      <c r="O33" s="11"/>
      <c r="P33" s="7">
        <v>-1647.01</v>
      </c>
      <c r="Q33" s="2"/>
      <c r="R33" s="6">
        <f t="shared" si="12"/>
        <v>0</v>
      </c>
      <c r="S33" s="2"/>
      <c r="T33" s="7">
        <v>65511.686370000003</v>
      </c>
      <c r="U33" s="2"/>
      <c r="V33" s="6">
        <f t="shared" si="13"/>
        <v>0</v>
      </c>
      <c r="W33" s="2"/>
      <c r="X33" s="7">
        <f t="shared" si="14"/>
        <v>-67158.696370000005</v>
      </c>
      <c r="Y33" s="2"/>
      <c r="Z33" s="6">
        <f t="shared" si="15"/>
        <v>-1.0251407052887929</v>
      </c>
    </row>
    <row r="34" spans="1:26" s="24" customFormat="1" hidden="1" outlineLevel="2" x14ac:dyDescent="0.25">
      <c r="A34" s="26"/>
      <c r="B34" s="11" t="str">
        <f>CONCATENATE("          ", "6005", " - ", "TEMPORARY WAGES-HOURLY")</f>
        <v xml:space="preserve">          6005 - TEMPORARY WAGES-HOURLY</v>
      </c>
      <c r="C34" s="11"/>
      <c r="D34" s="7"/>
      <c r="E34" s="2"/>
      <c r="F34" s="6">
        <f t="shared" si="8"/>
        <v>0</v>
      </c>
      <c r="G34" s="2"/>
      <c r="H34" s="7">
        <v>0</v>
      </c>
      <c r="I34" s="2"/>
      <c r="J34" s="6">
        <f t="shared" si="9"/>
        <v>0</v>
      </c>
      <c r="K34" s="2"/>
      <c r="L34" s="7">
        <f t="shared" si="10"/>
        <v>0</v>
      </c>
      <c r="M34" s="2"/>
      <c r="N34" s="6">
        <f t="shared" si="11"/>
        <v>0</v>
      </c>
      <c r="O34" s="11"/>
      <c r="P34" s="7">
        <v>59852.88</v>
      </c>
      <c r="Q34" s="2"/>
      <c r="R34" s="6">
        <f t="shared" si="12"/>
        <v>0</v>
      </c>
      <c r="S34" s="2"/>
      <c r="T34" s="7">
        <v>0</v>
      </c>
      <c r="U34" s="2"/>
      <c r="V34" s="6">
        <f t="shared" si="13"/>
        <v>0</v>
      </c>
      <c r="W34" s="2"/>
      <c r="X34" s="7">
        <f t="shared" si="14"/>
        <v>59852.88</v>
      </c>
      <c r="Y34" s="2"/>
      <c r="Z34" s="6">
        <f t="shared" si="15"/>
        <v>0</v>
      </c>
    </row>
    <row r="35" spans="1:26" s="24" customFormat="1" hidden="1" outlineLevel="2" x14ac:dyDescent="0.25">
      <c r="A35" s="26"/>
      <c r="B35" s="11" t="str">
        <f>CONCATENATE("          ", "6006", " - ", "TEMPORARY PART TIME")</f>
        <v xml:space="preserve">          6006 - TEMPORARY PART TIME</v>
      </c>
      <c r="C35" s="11"/>
      <c r="D35" s="7"/>
      <c r="E35" s="2"/>
      <c r="F35" s="6">
        <f t="shared" si="8"/>
        <v>0</v>
      </c>
      <c r="G35" s="2"/>
      <c r="H35" s="7">
        <v>0</v>
      </c>
      <c r="I35" s="2"/>
      <c r="J35" s="6">
        <f t="shared" si="9"/>
        <v>0</v>
      </c>
      <c r="K35" s="2"/>
      <c r="L35" s="7">
        <f t="shared" si="10"/>
        <v>0</v>
      </c>
      <c r="M35" s="2"/>
      <c r="N35" s="6">
        <f t="shared" si="11"/>
        <v>0</v>
      </c>
      <c r="O35" s="11"/>
      <c r="P35" s="7">
        <v>11923.01</v>
      </c>
      <c r="Q35" s="2"/>
      <c r="R35" s="6">
        <f t="shared" si="12"/>
        <v>0</v>
      </c>
      <c r="S35" s="2"/>
      <c r="T35" s="7">
        <v>0</v>
      </c>
      <c r="U35" s="2"/>
      <c r="V35" s="6">
        <f t="shared" si="13"/>
        <v>0</v>
      </c>
      <c r="W35" s="2"/>
      <c r="X35" s="7">
        <f t="shared" si="14"/>
        <v>11923.01</v>
      </c>
      <c r="Y35" s="2"/>
      <c r="Z35" s="6">
        <f t="shared" si="15"/>
        <v>0</v>
      </c>
    </row>
    <row r="36" spans="1:26" s="24" customFormat="1" hidden="1" outlineLevel="2" x14ac:dyDescent="0.25">
      <c r="A36" s="26"/>
      <c r="B36" s="11" t="str">
        <f>CONCATENATE("          ", "6007", " - ", "STUDENT HOURLY")</f>
        <v xml:space="preserve">          6007 - STUDENT HOURLY</v>
      </c>
      <c r="C36" s="11"/>
      <c r="D36" s="7"/>
      <c r="E36" s="2"/>
      <c r="F36" s="6">
        <f t="shared" si="8"/>
        <v>0</v>
      </c>
      <c r="G36" s="2"/>
      <c r="H36" s="7">
        <v>0</v>
      </c>
      <c r="I36" s="2"/>
      <c r="J36" s="6">
        <f t="shared" si="9"/>
        <v>0</v>
      </c>
      <c r="K36" s="2"/>
      <c r="L36" s="7">
        <f t="shared" si="10"/>
        <v>0</v>
      </c>
      <c r="M36" s="2"/>
      <c r="N36" s="6">
        <f t="shared" si="11"/>
        <v>0</v>
      </c>
      <c r="O36" s="11"/>
      <c r="P36" s="7">
        <v>159329.81999999998</v>
      </c>
      <c r="Q36" s="2"/>
      <c r="R36" s="6">
        <f t="shared" si="12"/>
        <v>0</v>
      </c>
      <c r="S36" s="2"/>
      <c r="T36" s="7">
        <v>17460</v>
      </c>
      <c r="U36" s="2"/>
      <c r="V36" s="6">
        <f t="shared" si="13"/>
        <v>0</v>
      </c>
      <c r="W36" s="2"/>
      <c r="X36" s="7">
        <f t="shared" si="14"/>
        <v>141869.81999999998</v>
      </c>
      <c r="Y36" s="2"/>
      <c r="Z36" s="6">
        <f t="shared" si="15"/>
        <v>8.1254192439862525</v>
      </c>
    </row>
    <row r="37" spans="1:26" s="24" customFormat="1" hidden="1" outlineLevel="2" x14ac:dyDescent="0.25">
      <c r="A37" s="26"/>
      <c r="B37" s="11" t="str">
        <f>CONCATENATE("          ", "6008", " - ", "STUDENT HOURLY-FICA EXEMPT")</f>
        <v xml:space="preserve">          6008 - STUDENT HOURLY-FICA EXEMPT</v>
      </c>
      <c r="C37" s="11"/>
      <c r="D37" s="7"/>
      <c r="E37" s="2"/>
      <c r="F37" s="6">
        <f t="shared" si="8"/>
        <v>0</v>
      </c>
      <c r="G37" s="2"/>
      <c r="H37" s="7">
        <v>21808.799999999999</v>
      </c>
      <c r="I37" s="2"/>
      <c r="J37" s="6">
        <f t="shared" si="9"/>
        <v>0</v>
      </c>
      <c r="K37" s="2"/>
      <c r="L37" s="7">
        <f t="shared" si="10"/>
        <v>-21808.799999999999</v>
      </c>
      <c r="M37" s="2"/>
      <c r="N37" s="6">
        <f t="shared" si="11"/>
        <v>-1</v>
      </c>
      <c r="O37" s="11"/>
      <c r="P37" s="7">
        <v>2267.7399999999998</v>
      </c>
      <c r="Q37" s="2"/>
      <c r="R37" s="6">
        <f t="shared" si="12"/>
        <v>0</v>
      </c>
      <c r="S37" s="2"/>
      <c r="T37" s="7">
        <v>234234</v>
      </c>
      <c r="U37" s="2"/>
      <c r="V37" s="6">
        <f t="shared" si="13"/>
        <v>0</v>
      </c>
      <c r="W37" s="2"/>
      <c r="X37" s="7">
        <f t="shared" si="14"/>
        <v>-231966.26</v>
      </c>
      <c r="Y37" s="2"/>
      <c r="Z37" s="6">
        <f t="shared" si="15"/>
        <v>-0.99031848493386954</v>
      </c>
    </row>
    <row r="38" spans="1:26" s="24" customFormat="1" hidden="1" outlineLevel="2" x14ac:dyDescent="0.25">
      <c r="A38" s="26"/>
      <c r="B38" s="11" t="str">
        <f>CONCATENATE("          ", "6009", " - ", "TEMPORARY-SEASONAL")</f>
        <v xml:space="preserve">          6009 - TEMPORARY-SEASONAL</v>
      </c>
      <c r="C38" s="11"/>
      <c r="D38" s="7"/>
      <c r="E38" s="2"/>
      <c r="F38" s="6">
        <f t="shared" si="8"/>
        <v>0</v>
      </c>
      <c r="G38" s="2"/>
      <c r="H38" s="7">
        <v>0</v>
      </c>
      <c r="I38" s="2"/>
      <c r="J38" s="6">
        <f t="shared" si="9"/>
        <v>0</v>
      </c>
      <c r="K38" s="2"/>
      <c r="L38" s="7">
        <f t="shared" si="10"/>
        <v>0</v>
      </c>
      <c r="M38" s="2"/>
      <c r="N38" s="6">
        <f t="shared" si="11"/>
        <v>0</v>
      </c>
      <c r="O38" s="11"/>
      <c r="P38" s="7"/>
      <c r="Q38" s="2"/>
      <c r="R38" s="6">
        <f t="shared" si="12"/>
        <v>0</v>
      </c>
      <c r="S38" s="2"/>
      <c r="T38" s="7">
        <v>0</v>
      </c>
      <c r="U38" s="2"/>
      <c r="V38" s="6">
        <f t="shared" si="13"/>
        <v>0</v>
      </c>
      <c r="W38" s="2"/>
      <c r="X38" s="7">
        <f t="shared" si="14"/>
        <v>0</v>
      </c>
      <c r="Y38" s="2"/>
      <c r="Z38" s="6">
        <f t="shared" si="15"/>
        <v>0</v>
      </c>
    </row>
    <row r="39" spans="1:26" s="24" customFormat="1" hidden="1" outlineLevel="2" x14ac:dyDescent="0.25">
      <c r="A39" s="26"/>
      <c r="B39" s="11" t="str">
        <f>CONCATENATE("          ", "6010", " - ", "GRATUITY")</f>
        <v xml:space="preserve">          6010 - GRATUITY</v>
      </c>
      <c r="C39" s="11"/>
      <c r="D39" s="7"/>
      <c r="E39" s="2"/>
      <c r="F39" s="6">
        <f t="shared" si="8"/>
        <v>0</v>
      </c>
      <c r="G39" s="2"/>
      <c r="H39" s="7">
        <v>0</v>
      </c>
      <c r="I39" s="2"/>
      <c r="J39" s="6">
        <f t="shared" si="9"/>
        <v>0</v>
      </c>
      <c r="K39" s="2"/>
      <c r="L39" s="7">
        <f t="shared" si="10"/>
        <v>0</v>
      </c>
      <c r="M39" s="2"/>
      <c r="N39" s="6">
        <f t="shared" si="11"/>
        <v>0</v>
      </c>
      <c r="O39" s="11"/>
      <c r="P39" s="7"/>
      <c r="Q39" s="2"/>
      <c r="R39" s="6">
        <f t="shared" si="12"/>
        <v>0</v>
      </c>
      <c r="S39" s="2"/>
      <c r="T39" s="7">
        <v>0</v>
      </c>
      <c r="U39" s="2"/>
      <c r="V39" s="6">
        <f t="shared" si="13"/>
        <v>0</v>
      </c>
      <c r="W39" s="2"/>
      <c r="X39" s="7">
        <f t="shared" si="14"/>
        <v>0</v>
      </c>
      <c r="Y39" s="2"/>
      <c r="Z39" s="6">
        <f t="shared" si="15"/>
        <v>0</v>
      </c>
    </row>
    <row r="40" spans="1:26" s="27" customFormat="1" outlineLevel="1" collapsed="1" x14ac:dyDescent="0.25">
      <c r="A40" s="25"/>
      <c r="B40" s="12" t="str">
        <f>CONCATENATE("     ","Advertising/Promo                                 ")</f>
        <v xml:space="preserve">     Advertising/Promo                                 </v>
      </c>
      <c r="C40" s="12"/>
      <c r="D40" s="1">
        <f>SUM(OSRRefD22_2x_0)</f>
        <v>0</v>
      </c>
      <c r="E40" s="1"/>
      <c r="F40" s="5">
        <f t="shared" ref="F40:F44" si="16">IF(D$12=0,0,D40/D$12)</f>
        <v>0</v>
      </c>
      <c r="G40" s="1"/>
      <c r="H40" s="1">
        <f>SUM(OSRRefH22_2x_0)</f>
        <v>300</v>
      </c>
      <c r="I40" s="1"/>
      <c r="J40" s="5">
        <f t="shared" ref="J40:J44" si="17">IF(H$12=0,0,H40/H$12)</f>
        <v>0</v>
      </c>
      <c r="K40" s="1"/>
      <c r="L40" s="1">
        <f t="shared" ref="L40:L44" si="18">+D40-H40</f>
        <v>-300</v>
      </c>
      <c r="M40" s="1"/>
      <c r="N40" s="5">
        <f t="shared" ref="N40:N44" si="19">IF(H40=0,0,L40/H40)</f>
        <v>-1</v>
      </c>
      <c r="O40" s="12"/>
      <c r="P40" s="1">
        <f>SUM(OSRRefP22_2x_0)</f>
        <v>14215.07</v>
      </c>
      <c r="Q40" s="1"/>
      <c r="R40" s="5">
        <f t="shared" ref="R40:R44" si="20">IF(P$12=0,0,P40/P$12)</f>
        <v>0</v>
      </c>
      <c r="S40" s="1"/>
      <c r="T40" s="1">
        <f>SUM(OSRRefT22_2x_0)</f>
        <v>42300</v>
      </c>
      <c r="U40" s="1"/>
      <c r="V40" s="5">
        <f t="shared" ref="V40:V44" si="21">IF(T$12=0,0,T40/T$12)</f>
        <v>0</v>
      </c>
      <c r="W40" s="1"/>
      <c r="X40" s="1">
        <f t="shared" ref="X40:X44" si="22">+P40-T40</f>
        <v>-28084.93</v>
      </c>
      <c r="Y40" s="1"/>
      <c r="Z40" s="5">
        <f t="shared" ref="Z40:Z44" si="23">IF(T40=0,0,X40/T40)</f>
        <v>-0.66394633569739958</v>
      </c>
    </row>
    <row r="41" spans="1:26" s="24" customFormat="1" hidden="1" outlineLevel="2" x14ac:dyDescent="0.25">
      <c r="A41" s="26"/>
      <c r="B41" s="11" t="str">
        <f>CONCATENATE("          ", "6362", " - ", "ADVERTISING EXPENSE")</f>
        <v xml:space="preserve">          6362 - ADVERTISING EXPENSE</v>
      </c>
      <c r="C41" s="11"/>
      <c r="D41" s="7"/>
      <c r="E41" s="2"/>
      <c r="F41" s="6">
        <f t="shared" si="16"/>
        <v>0</v>
      </c>
      <c r="G41" s="2"/>
      <c r="H41" s="7">
        <v>300</v>
      </c>
      <c r="I41" s="2"/>
      <c r="J41" s="6">
        <f t="shared" si="17"/>
        <v>0</v>
      </c>
      <c r="K41" s="2"/>
      <c r="L41" s="7">
        <f t="shared" si="18"/>
        <v>-300</v>
      </c>
      <c r="M41" s="2"/>
      <c r="N41" s="6">
        <f t="shared" si="19"/>
        <v>-1</v>
      </c>
      <c r="O41" s="11"/>
      <c r="P41" s="7">
        <v>14215.07</v>
      </c>
      <c r="Q41" s="2"/>
      <c r="R41" s="6">
        <f t="shared" si="20"/>
        <v>0</v>
      </c>
      <c r="S41" s="2"/>
      <c r="T41" s="7">
        <v>42300</v>
      </c>
      <c r="U41" s="2"/>
      <c r="V41" s="6">
        <f t="shared" si="21"/>
        <v>0</v>
      </c>
      <c r="W41" s="2"/>
      <c r="X41" s="7">
        <f t="shared" si="22"/>
        <v>-28084.93</v>
      </c>
      <c r="Y41" s="2"/>
      <c r="Z41" s="6">
        <f t="shared" si="23"/>
        <v>-0.66394633569739958</v>
      </c>
    </row>
    <row r="42" spans="1:26" s="27" customFormat="1" outlineLevel="1" collapsed="1" x14ac:dyDescent="0.25">
      <c r="A42" s="25"/>
      <c r="B42" s="12" t="str">
        <f>CONCATENATE("     ","Bad Debts/Over/Short                              ")</f>
        <v xml:space="preserve">     Bad Debts/Over/Short                              </v>
      </c>
      <c r="C42" s="12"/>
      <c r="D42" s="1">
        <f>SUM(OSRRefD22_3x_0)</f>
        <v>-4.55</v>
      </c>
      <c r="E42" s="1"/>
      <c r="F42" s="5">
        <f t="shared" si="16"/>
        <v>0</v>
      </c>
      <c r="G42" s="1"/>
      <c r="H42" s="1">
        <f>SUM(OSRRefH22_3x_0)</f>
        <v>125</v>
      </c>
      <c r="I42" s="1"/>
      <c r="J42" s="5">
        <f t="shared" si="17"/>
        <v>0</v>
      </c>
      <c r="K42" s="1"/>
      <c r="L42" s="1">
        <f t="shared" si="18"/>
        <v>-129.55000000000001</v>
      </c>
      <c r="M42" s="1"/>
      <c r="N42" s="5">
        <f t="shared" si="19"/>
        <v>-1.0364</v>
      </c>
      <c r="O42" s="12"/>
      <c r="P42" s="1">
        <f>SUM(OSRRefP22_3x_0)</f>
        <v>-19.53</v>
      </c>
      <c r="Q42" s="1"/>
      <c r="R42" s="5">
        <f t="shared" si="20"/>
        <v>0</v>
      </c>
      <c r="S42" s="1"/>
      <c r="T42" s="1">
        <f>SUM(OSRRefT22_3x_0)</f>
        <v>1375</v>
      </c>
      <c r="U42" s="1"/>
      <c r="V42" s="5">
        <f t="shared" si="21"/>
        <v>0</v>
      </c>
      <c r="W42" s="1"/>
      <c r="X42" s="1">
        <f t="shared" si="22"/>
        <v>-1394.53</v>
      </c>
      <c r="Y42" s="1"/>
      <c r="Z42" s="5">
        <f t="shared" si="23"/>
        <v>-1.0142036363636364</v>
      </c>
    </row>
    <row r="43" spans="1:26" s="24" customFormat="1" hidden="1" outlineLevel="2" x14ac:dyDescent="0.25">
      <c r="A43" s="26"/>
      <c r="B43" s="11" t="str">
        <f>CONCATENATE("          ", "6272", " - ", "CASH (OVER/SHORT)")</f>
        <v xml:space="preserve">          6272 - CASH (OVER/SHORT)</v>
      </c>
      <c r="C43" s="11"/>
      <c r="D43" s="7">
        <v>-4.55</v>
      </c>
      <c r="E43" s="2"/>
      <c r="F43" s="6">
        <f t="shared" si="16"/>
        <v>0</v>
      </c>
      <c r="G43" s="2"/>
      <c r="H43" s="7">
        <v>125</v>
      </c>
      <c r="I43" s="2"/>
      <c r="J43" s="6">
        <f t="shared" si="17"/>
        <v>0</v>
      </c>
      <c r="K43" s="2"/>
      <c r="L43" s="7">
        <f t="shared" si="18"/>
        <v>-129.55000000000001</v>
      </c>
      <c r="M43" s="2"/>
      <c r="N43" s="6">
        <f t="shared" si="19"/>
        <v>-1.0364</v>
      </c>
      <c r="O43" s="11"/>
      <c r="P43" s="7">
        <v>-64.33</v>
      </c>
      <c r="Q43" s="2"/>
      <c r="R43" s="6">
        <f t="shared" si="20"/>
        <v>0</v>
      </c>
      <c r="S43" s="2"/>
      <c r="T43" s="7">
        <v>1375</v>
      </c>
      <c r="U43" s="2"/>
      <c r="V43" s="6">
        <f t="shared" si="21"/>
        <v>0</v>
      </c>
      <c r="W43" s="2"/>
      <c r="X43" s="7">
        <f t="shared" si="22"/>
        <v>-1439.33</v>
      </c>
      <c r="Y43" s="2"/>
      <c r="Z43" s="6">
        <f t="shared" si="23"/>
        <v>-1.0467854545454545</v>
      </c>
    </row>
    <row r="44" spans="1:26" s="24" customFormat="1" hidden="1" outlineLevel="2" x14ac:dyDescent="0.25">
      <c r="A44" s="26"/>
      <c r="B44" s="11" t="str">
        <f>CONCATENATE("          ", "6342", " - ", "BAD DEBT")</f>
        <v xml:space="preserve">          6342 - BAD DEBT</v>
      </c>
      <c r="C44" s="11"/>
      <c r="D44" s="7"/>
      <c r="E44" s="2"/>
      <c r="F44" s="6">
        <f t="shared" si="16"/>
        <v>0</v>
      </c>
      <c r="G44" s="2"/>
      <c r="H44" s="7"/>
      <c r="I44" s="2"/>
      <c r="J44" s="6">
        <f t="shared" si="17"/>
        <v>0</v>
      </c>
      <c r="K44" s="2"/>
      <c r="L44" s="7">
        <f t="shared" si="18"/>
        <v>0</v>
      </c>
      <c r="M44" s="2"/>
      <c r="N44" s="6">
        <f t="shared" si="19"/>
        <v>0</v>
      </c>
      <c r="O44" s="11"/>
      <c r="P44" s="7">
        <v>44.8</v>
      </c>
      <c r="Q44" s="2"/>
      <c r="R44" s="6">
        <f t="shared" si="20"/>
        <v>0</v>
      </c>
      <c r="S44" s="2"/>
      <c r="T44" s="7"/>
      <c r="U44" s="2"/>
      <c r="V44" s="6">
        <f t="shared" si="21"/>
        <v>0</v>
      </c>
      <c r="W44" s="2"/>
      <c r="X44" s="7">
        <f t="shared" si="22"/>
        <v>44.8</v>
      </c>
      <c r="Y44" s="2"/>
      <c r="Z44" s="6">
        <f t="shared" si="23"/>
        <v>0</v>
      </c>
    </row>
    <row r="45" spans="1:26" s="27" customFormat="1" outlineLevel="1" collapsed="1" x14ac:dyDescent="0.25">
      <c r="A45" s="25"/>
      <c r="B45" s="12" t="str">
        <f>CONCATENATE("     ","Bank/card Fees                                    ")</f>
        <v xml:space="preserve">     Bank/card Fees                                    </v>
      </c>
      <c r="C45" s="12"/>
      <c r="D45" s="1">
        <f>SUM(OSRRefD22_4x_0)</f>
        <v>5394.34</v>
      </c>
      <c r="E45" s="1"/>
      <c r="F45" s="5">
        <f t="shared" ref="F45:F51" si="24">IF(D$12=0,0,D45/D$12)</f>
        <v>0</v>
      </c>
      <c r="G45" s="1"/>
      <c r="H45" s="1">
        <f>SUM(OSRRefH22_4x_0)</f>
        <v>10000</v>
      </c>
      <c r="I45" s="1"/>
      <c r="J45" s="5">
        <f t="shared" ref="J45:J51" si="25">IF(H$12=0,0,H45/H$12)</f>
        <v>0</v>
      </c>
      <c r="K45" s="1"/>
      <c r="L45" s="1">
        <f t="shared" ref="L45:L51" si="26">+D45-H45</f>
        <v>-4605.66</v>
      </c>
      <c r="M45" s="1"/>
      <c r="N45" s="5">
        <f t="shared" ref="N45:N51" si="27">IF(H45=0,0,L45/H45)</f>
        <v>-0.46056599999999998</v>
      </c>
      <c r="O45" s="12"/>
      <c r="P45" s="1">
        <f>SUM(OSRRefP22_4x_0)</f>
        <v>139065.10999999999</v>
      </c>
      <c r="Q45" s="1"/>
      <c r="R45" s="5">
        <f t="shared" ref="R45:R51" si="28">IF(P$12=0,0,P45/P$12)</f>
        <v>0</v>
      </c>
      <c r="S45" s="1"/>
      <c r="T45" s="1">
        <f>SUM(OSRRefT22_4x_0)</f>
        <v>173400</v>
      </c>
      <c r="U45" s="1"/>
      <c r="V45" s="5">
        <f t="shared" ref="V45:V51" si="29">IF(T$12=0,0,T45/T$12)</f>
        <v>0</v>
      </c>
      <c r="W45" s="1"/>
      <c r="X45" s="1">
        <f t="shared" ref="X45:X51" si="30">+P45-T45</f>
        <v>-34334.890000000014</v>
      </c>
      <c r="Y45" s="1"/>
      <c r="Z45" s="5">
        <f t="shared" ref="Z45:Z51" si="31">IF(T45=0,0,X45/T45)</f>
        <v>-0.19800974625144183</v>
      </c>
    </row>
    <row r="46" spans="1:26" s="24" customFormat="1" hidden="1" outlineLevel="2" x14ac:dyDescent="0.25">
      <c r="A46" s="26"/>
      <c r="B46" s="11" t="str">
        <f>CONCATENATE("          ", "6381", " - ", "BANK/CREDIT CARD FEES")</f>
        <v xml:space="preserve">          6381 - BANK/CREDIT CARD FEES</v>
      </c>
      <c r="C46" s="11"/>
      <c r="D46" s="7">
        <v>5394.34</v>
      </c>
      <c r="E46" s="2"/>
      <c r="F46" s="6">
        <f t="shared" si="24"/>
        <v>0</v>
      </c>
      <c r="G46" s="2"/>
      <c r="H46" s="7">
        <v>10000</v>
      </c>
      <c r="I46" s="2"/>
      <c r="J46" s="6">
        <f t="shared" si="25"/>
        <v>0</v>
      </c>
      <c r="K46" s="2"/>
      <c r="L46" s="7">
        <f t="shared" si="26"/>
        <v>-4605.66</v>
      </c>
      <c r="M46" s="2"/>
      <c r="N46" s="6">
        <f t="shared" si="27"/>
        <v>-0.46056599999999998</v>
      </c>
      <c r="O46" s="11"/>
      <c r="P46" s="7">
        <v>139065.10999999999</v>
      </c>
      <c r="Q46" s="2"/>
      <c r="R46" s="6">
        <f t="shared" si="28"/>
        <v>0</v>
      </c>
      <c r="S46" s="2"/>
      <c r="T46" s="7">
        <v>173400</v>
      </c>
      <c r="U46" s="2"/>
      <c r="V46" s="6">
        <f t="shared" si="29"/>
        <v>0</v>
      </c>
      <c r="W46" s="2"/>
      <c r="X46" s="7">
        <f t="shared" si="30"/>
        <v>-34334.890000000014</v>
      </c>
      <c r="Y46" s="2"/>
      <c r="Z46" s="6">
        <f t="shared" si="31"/>
        <v>-0.19800974625144183</v>
      </c>
    </row>
    <row r="47" spans="1:26" s="27" customFormat="1" outlineLevel="1" collapsed="1" x14ac:dyDescent="0.25">
      <c r="A47" s="25"/>
      <c r="B47" s="12" t="str">
        <f>CONCATENATE("     ","Depreciation                                      ")</f>
        <v xml:space="preserve">     Depreciation                                      </v>
      </c>
      <c r="C47" s="12"/>
      <c r="D47" s="1">
        <f>SUM(OSRRefD22_5x_0)</f>
        <v>30179.599999999999</v>
      </c>
      <c r="E47" s="1"/>
      <c r="F47" s="5">
        <f t="shared" si="24"/>
        <v>0</v>
      </c>
      <c r="G47" s="1"/>
      <c r="H47" s="1">
        <f>SUM(OSRRefH22_5x_0)</f>
        <v>31271</v>
      </c>
      <c r="I47" s="1"/>
      <c r="J47" s="5">
        <f t="shared" si="25"/>
        <v>0</v>
      </c>
      <c r="K47" s="1"/>
      <c r="L47" s="1">
        <f t="shared" si="26"/>
        <v>-1091.4000000000015</v>
      </c>
      <c r="M47" s="1"/>
      <c r="N47" s="5">
        <f t="shared" si="27"/>
        <v>-3.4901346295289612E-2</v>
      </c>
      <c r="O47" s="12"/>
      <c r="P47" s="1">
        <f>SUM(OSRRefP22_5x_0)</f>
        <v>328013.14</v>
      </c>
      <c r="Q47" s="1"/>
      <c r="R47" s="5">
        <f t="shared" si="28"/>
        <v>0</v>
      </c>
      <c r="S47" s="1"/>
      <c r="T47" s="1">
        <f>SUM(OSRRefT22_5x_0)</f>
        <v>338398</v>
      </c>
      <c r="U47" s="1"/>
      <c r="V47" s="5">
        <f t="shared" si="29"/>
        <v>0</v>
      </c>
      <c r="W47" s="1"/>
      <c r="X47" s="1">
        <f t="shared" si="30"/>
        <v>-10384.859999999986</v>
      </c>
      <c r="Y47" s="1"/>
      <c r="Z47" s="5">
        <f t="shared" si="31"/>
        <v>-3.0688301940318755E-2</v>
      </c>
    </row>
    <row r="48" spans="1:26" s="24" customFormat="1" hidden="1" outlineLevel="2" x14ac:dyDescent="0.25">
      <c r="A48" s="26"/>
      <c r="B48" s="11" t="str">
        <f>CONCATENATE("          ", "6321", " - ", "BUILDING DEPRECIATION")</f>
        <v xml:space="preserve">          6321 - BUILDING DEPRECIATION</v>
      </c>
      <c r="C48" s="11"/>
      <c r="D48" s="7">
        <v>16396.52</v>
      </c>
      <c r="E48" s="2"/>
      <c r="F48" s="6">
        <f t="shared" si="24"/>
        <v>0</v>
      </c>
      <c r="G48" s="2"/>
      <c r="H48" s="7">
        <v>16397</v>
      </c>
      <c r="I48" s="2"/>
      <c r="J48" s="6">
        <f t="shared" si="25"/>
        <v>0</v>
      </c>
      <c r="K48" s="2"/>
      <c r="L48" s="7">
        <f t="shared" si="26"/>
        <v>-0.47999999999956344</v>
      </c>
      <c r="M48" s="2"/>
      <c r="N48" s="6">
        <f t="shared" si="27"/>
        <v>-2.927364761844017E-5</v>
      </c>
      <c r="O48" s="11"/>
      <c r="P48" s="7">
        <v>180361.72</v>
      </c>
      <c r="Q48" s="2"/>
      <c r="R48" s="6">
        <f t="shared" si="28"/>
        <v>0</v>
      </c>
      <c r="S48" s="2"/>
      <c r="T48" s="7">
        <v>180535</v>
      </c>
      <c r="U48" s="2"/>
      <c r="V48" s="6">
        <f t="shared" si="29"/>
        <v>0</v>
      </c>
      <c r="W48" s="2"/>
      <c r="X48" s="7">
        <f t="shared" si="30"/>
        <v>-173.27999999999884</v>
      </c>
      <c r="Y48" s="2"/>
      <c r="Z48" s="6">
        <f t="shared" si="31"/>
        <v>-9.5981388650399554E-4</v>
      </c>
    </row>
    <row r="49" spans="1:26" s="24" customFormat="1" hidden="1" outlineLevel="2" x14ac:dyDescent="0.25">
      <c r="A49" s="26"/>
      <c r="B49" s="11" t="str">
        <f>CONCATENATE("          ", "6322", " - ", "EQUIPMENT DEPRECIATION EXPENSE")</f>
        <v xml:space="preserve">          6322 - EQUIPMENT DEPRECIATION EXPENSE</v>
      </c>
      <c r="C49" s="11"/>
      <c r="D49" s="7">
        <v>13783.08</v>
      </c>
      <c r="E49" s="2"/>
      <c r="F49" s="6">
        <f t="shared" si="24"/>
        <v>0</v>
      </c>
      <c r="G49" s="2"/>
      <c r="H49" s="7">
        <v>13049</v>
      </c>
      <c r="I49" s="2"/>
      <c r="J49" s="6">
        <f t="shared" si="25"/>
        <v>0</v>
      </c>
      <c r="K49" s="2"/>
      <c r="L49" s="7">
        <f t="shared" si="26"/>
        <v>734.07999999999993</v>
      </c>
      <c r="M49" s="2"/>
      <c r="N49" s="6">
        <f t="shared" si="27"/>
        <v>5.6255651774082302E-2</v>
      </c>
      <c r="O49" s="11"/>
      <c r="P49" s="7">
        <v>147651.41999999998</v>
      </c>
      <c r="Q49" s="2"/>
      <c r="R49" s="6">
        <f t="shared" si="28"/>
        <v>0</v>
      </c>
      <c r="S49" s="2"/>
      <c r="T49" s="7">
        <v>143539</v>
      </c>
      <c r="U49" s="2"/>
      <c r="V49" s="6">
        <f t="shared" si="29"/>
        <v>0</v>
      </c>
      <c r="W49" s="2"/>
      <c r="X49" s="7">
        <f t="shared" si="30"/>
        <v>4112.4199999999837</v>
      </c>
      <c r="Y49" s="2"/>
      <c r="Z49" s="6">
        <f t="shared" si="31"/>
        <v>2.8650192630574157E-2</v>
      </c>
    </row>
    <row r="50" spans="1:26" s="24" customFormat="1" hidden="1" outlineLevel="2" x14ac:dyDescent="0.25">
      <c r="A50" s="26"/>
      <c r="B50" s="11" t="str">
        <f>CONCATENATE("          ", "6324", " - ", "FURNITURE + FIXT DEPRECIATION")</f>
        <v xml:space="preserve">          6324 - FURNITURE + FIXT DEPRECIATION</v>
      </c>
      <c r="C50" s="11"/>
      <c r="D50" s="7"/>
      <c r="E50" s="2"/>
      <c r="F50" s="6">
        <f t="shared" si="24"/>
        <v>0</v>
      </c>
      <c r="G50" s="2"/>
      <c r="H50" s="7">
        <v>1492</v>
      </c>
      <c r="I50" s="2"/>
      <c r="J50" s="6">
        <f t="shared" si="25"/>
        <v>0</v>
      </c>
      <c r="K50" s="2"/>
      <c r="L50" s="7">
        <f t="shared" si="26"/>
        <v>-1492</v>
      </c>
      <c r="M50" s="2"/>
      <c r="N50" s="6">
        <f t="shared" si="27"/>
        <v>-1</v>
      </c>
      <c r="O50" s="11"/>
      <c r="P50" s="7"/>
      <c r="Q50" s="2"/>
      <c r="R50" s="6">
        <f t="shared" si="28"/>
        <v>0</v>
      </c>
      <c r="S50" s="2"/>
      <c r="T50" s="7">
        <v>11660</v>
      </c>
      <c r="U50" s="2"/>
      <c r="V50" s="6">
        <f t="shared" si="29"/>
        <v>0</v>
      </c>
      <c r="W50" s="2"/>
      <c r="X50" s="7">
        <f t="shared" si="30"/>
        <v>-11660</v>
      </c>
      <c r="Y50" s="2"/>
      <c r="Z50" s="6">
        <f t="shared" si="31"/>
        <v>-1</v>
      </c>
    </row>
    <row r="51" spans="1:26" s="24" customFormat="1" hidden="1" outlineLevel="2" x14ac:dyDescent="0.25">
      <c r="A51" s="26"/>
      <c r="B51" s="11" t="str">
        <f>CONCATENATE("          ", "6326", " - ", "VEHICLES DEPRECIATION EXPENSE")</f>
        <v xml:space="preserve">          6326 - VEHICLES DEPRECIATION EXPENSE</v>
      </c>
      <c r="C51" s="11"/>
      <c r="D51" s="7"/>
      <c r="E51" s="2"/>
      <c r="F51" s="6">
        <f t="shared" si="24"/>
        <v>0</v>
      </c>
      <c r="G51" s="2"/>
      <c r="H51" s="7">
        <v>333</v>
      </c>
      <c r="I51" s="2"/>
      <c r="J51" s="6">
        <f t="shared" si="25"/>
        <v>0</v>
      </c>
      <c r="K51" s="2"/>
      <c r="L51" s="7">
        <f t="shared" si="26"/>
        <v>-333</v>
      </c>
      <c r="M51" s="2"/>
      <c r="N51" s="6">
        <f t="shared" si="27"/>
        <v>-1</v>
      </c>
      <c r="O51" s="11"/>
      <c r="P51" s="7"/>
      <c r="Q51" s="2"/>
      <c r="R51" s="6">
        <f t="shared" si="28"/>
        <v>0</v>
      </c>
      <c r="S51" s="2"/>
      <c r="T51" s="7">
        <v>2664</v>
      </c>
      <c r="U51" s="2"/>
      <c r="V51" s="6">
        <f t="shared" si="29"/>
        <v>0</v>
      </c>
      <c r="W51" s="2"/>
      <c r="X51" s="7">
        <f t="shared" si="30"/>
        <v>-2664</v>
      </c>
      <c r="Y51" s="2"/>
      <c r="Z51" s="6">
        <f t="shared" si="31"/>
        <v>-1</v>
      </c>
    </row>
    <row r="52" spans="1:26" s="27" customFormat="1" outlineLevel="1" collapsed="1" x14ac:dyDescent="0.25">
      <c r="A52" s="25"/>
      <c r="B52" s="12" t="str">
        <f>CONCATENATE("     ","Discounts and Markdowns                           ")</f>
        <v xml:space="preserve">     Discounts and Markdowns                           </v>
      </c>
      <c r="C52" s="12"/>
      <c r="D52" s="1">
        <f>SUM(OSRRefD22_6x_0)</f>
        <v>0</v>
      </c>
      <c r="E52" s="1"/>
      <c r="F52" s="5">
        <f t="shared" ref="F52:F54" si="32">IF(D$12=0,0,D52/D$12)</f>
        <v>0</v>
      </c>
      <c r="G52" s="1"/>
      <c r="H52" s="1">
        <f>SUM(OSRRefH22_6x_0)</f>
        <v>-400</v>
      </c>
      <c r="I52" s="1"/>
      <c r="J52" s="5">
        <f t="shared" ref="J52:J54" si="33">IF(H$12=0,0,H52/H$12)</f>
        <v>0</v>
      </c>
      <c r="K52" s="1"/>
      <c r="L52" s="1">
        <f t="shared" ref="L52:L54" si="34">+D52-H52</f>
        <v>400</v>
      </c>
      <c r="M52" s="1"/>
      <c r="N52" s="5">
        <f t="shared" ref="N52:N54" si="35">IF(H52=0,0,L52/H52)</f>
        <v>-1</v>
      </c>
      <c r="O52" s="12"/>
      <c r="P52" s="1">
        <f>SUM(OSRRefP22_6x_0)</f>
        <v>-2402.56</v>
      </c>
      <c r="Q52" s="1"/>
      <c r="R52" s="5">
        <f t="shared" ref="R52:R54" si="36">IF(P$12=0,0,P52/P$12)</f>
        <v>0</v>
      </c>
      <c r="S52" s="1"/>
      <c r="T52" s="1">
        <f>SUM(OSRRefT22_6x_0)</f>
        <v>-4400</v>
      </c>
      <c r="U52" s="1"/>
      <c r="V52" s="5">
        <f t="shared" ref="V52:V54" si="37">IF(T$12=0,0,T52/T$12)</f>
        <v>0</v>
      </c>
      <c r="W52" s="1"/>
      <c r="X52" s="1">
        <f t="shared" ref="X52:X54" si="38">+P52-T52</f>
        <v>1997.44</v>
      </c>
      <c r="Y52" s="1"/>
      <c r="Z52" s="5">
        <f t="shared" ref="Z52:Z54" si="39">IF(T52=0,0,X52/T52)</f>
        <v>-0.4539636363636364</v>
      </c>
    </row>
    <row r="53" spans="1:26" s="24" customFormat="1" hidden="1" outlineLevel="2" x14ac:dyDescent="0.25">
      <c r="A53" s="26"/>
      <c r="B53" s="11" t="str">
        <f>CONCATENATE("          ", "6382", " - ", "DISCOUNTS/MARK DOWNS")</f>
        <v xml:space="preserve">          6382 - DISCOUNTS/MARK DOWNS</v>
      </c>
      <c r="C53" s="11"/>
      <c r="D53" s="7"/>
      <c r="E53" s="2"/>
      <c r="F53" s="6">
        <f t="shared" si="32"/>
        <v>0</v>
      </c>
      <c r="G53" s="2"/>
      <c r="H53" s="7">
        <v>-400</v>
      </c>
      <c r="I53" s="2"/>
      <c r="J53" s="6">
        <f t="shared" si="33"/>
        <v>0</v>
      </c>
      <c r="K53" s="2"/>
      <c r="L53" s="7">
        <f t="shared" si="34"/>
        <v>400</v>
      </c>
      <c r="M53" s="2"/>
      <c r="N53" s="6">
        <f t="shared" si="35"/>
        <v>-1</v>
      </c>
      <c r="O53" s="11"/>
      <c r="P53" s="7">
        <v>357.4</v>
      </c>
      <c r="Q53" s="2"/>
      <c r="R53" s="6">
        <f t="shared" si="36"/>
        <v>0</v>
      </c>
      <c r="S53" s="2"/>
      <c r="T53" s="7">
        <v>-4400</v>
      </c>
      <c r="U53" s="2"/>
      <c r="V53" s="6">
        <f t="shared" si="37"/>
        <v>0</v>
      </c>
      <c r="W53" s="2"/>
      <c r="X53" s="7">
        <f t="shared" si="38"/>
        <v>4757.3999999999996</v>
      </c>
      <c r="Y53" s="2"/>
      <c r="Z53" s="6">
        <f t="shared" si="39"/>
        <v>-1.0812272727272727</v>
      </c>
    </row>
    <row r="54" spans="1:26" s="24" customFormat="1" hidden="1" outlineLevel="2" x14ac:dyDescent="0.25">
      <c r="A54" s="26"/>
      <c r="B54" s="11" t="str">
        <f>CONCATENATE("          ", "9175", " - ", "EARNED DISCOUNTS")</f>
        <v xml:space="preserve">          9175 - EARNED DISCOUNTS</v>
      </c>
      <c r="C54" s="11"/>
      <c r="D54" s="7"/>
      <c r="E54" s="2"/>
      <c r="F54" s="6">
        <f t="shared" si="32"/>
        <v>0</v>
      </c>
      <c r="G54" s="2"/>
      <c r="H54" s="7"/>
      <c r="I54" s="2"/>
      <c r="J54" s="6">
        <f t="shared" si="33"/>
        <v>0</v>
      </c>
      <c r="K54" s="2"/>
      <c r="L54" s="7">
        <f t="shared" si="34"/>
        <v>0</v>
      </c>
      <c r="M54" s="2"/>
      <c r="N54" s="6">
        <f t="shared" si="35"/>
        <v>0</v>
      </c>
      <c r="O54" s="11"/>
      <c r="P54" s="7">
        <v>-2759.96</v>
      </c>
      <c r="Q54" s="2"/>
      <c r="R54" s="6">
        <f t="shared" si="36"/>
        <v>0</v>
      </c>
      <c r="S54" s="2"/>
      <c r="T54" s="7"/>
      <c r="U54" s="2"/>
      <c r="V54" s="6">
        <f t="shared" si="37"/>
        <v>0</v>
      </c>
      <c r="W54" s="2"/>
      <c r="X54" s="7">
        <f t="shared" si="38"/>
        <v>-2759.96</v>
      </c>
      <c r="Y54" s="2"/>
      <c r="Z54" s="6">
        <f t="shared" si="39"/>
        <v>0</v>
      </c>
    </row>
    <row r="55" spans="1:26" s="27" customFormat="1" outlineLevel="1" collapsed="1" x14ac:dyDescent="0.25">
      <c r="A55" s="25"/>
      <c r="B55" s="12" t="str">
        <f>CONCATENATE("     ","Donations                                         ")</f>
        <v xml:space="preserve">     Donations                                         </v>
      </c>
      <c r="C55" s="12"/>
      <c r="D55" s="1">
        <f>SUM(OSRRefD22_7x_0)</f>
        <v>-1385.81</v>
      </c>
      <c r="E55" s="1"/>
      <c r="F55" s="5">
        <f t="shared" ref="F55:F57" si="40">IF(D$12=0,0,D55/D$12)</f>
        <v>0</v>
      </c>
      <c r="G55" s="1"/>
      <c r="H55" s="1">
        <f>SUM(OSRRefH22_7x_0)</f>
        <v>1000</v>
      </c>
      <c r="I55" s="1"/>
      <c r="J55" s="5">
        <f t="shared" ref="J55:J57" si="41">IF(H$12=0,0,H55/H$12)</f>
        <v>0</v>
      </c>
      <c r="K55" s="1"/>
      <c r="L55" s="1">
        <f t="shared" ref="L55:L57" si="42">+D55-H55</f>
        <v>-2385.81</v>
      </c>
      <c r="M55" s="1"/>
      <c r="N55" s="5">
        <f t="shared" ref="N55:N57" si="43">IF(H55=0,0,L55/H55)</f>
        <v>-2.3858099999999998</v>
      </c>
      <c r="O55" s="12"/>
      <c r="P55" s="1">
        <f>SUM(OSRRefP22_7x_0)</f>
        <v>10985.64</v>
      </c>
      <c r="Q55" s="1"/>
      <c r="R55" s="5">
        <f t="shared" ref="R55:R57" si="44">IF(P$12=0,0,P55/P$12)</f>
        <v>0</v>
      </c>
      <c r="S55" s="1"/>
      <c r="T55" s="1">
        <f>SUM(OSRRefT22_7x_0)</f>
        <v>11000</v>
      </c>
      <c r="U55" s="1"/>
      <c r="V55" s="5">
        <f t="shared" ref="V55:V57" si="45">IF(T$12=0,0,T55/T$12)</f>
        <v>0</v>
      </c>
      <c r="W55" s="1"/>
      <c r="X55" s="1">
        <f t="shared" ref="X55:X57" si="46">+P55-T55</f>
        <v>-14.360000000000582</v>
      </c>
      <c r="Y55" s="1"/>
      <c r="Z55" s="5">
        <f t="shared" ref="Z55:Z57" si="47">IF(T55=0,0,X55/T55)</f>
        <v>-1.3054545454545983E-3</v>
      </c>
    </row>
    <row r="56" spans="1:26" s="24" customFormat="1" hidden="1" outlineLevel="2" x14ac:dyDescent="0.25">
      <c r="A56" s="26"/>
      <c r="B56" s="11" t="str">
        <f>CONCATENATE("          ", "6395", " - ", "DONATION-OFF CAMPUS")</f>
        <v xml:space="preserve">          6395 - DONATION-OFF CAMPUS</v>
      </c>
      <c r="C56" s="11"/>
      <c r="D56" s="7"/>
      <c r="E56" s="2"/>
      <c r="F56" s="6">
        <f t="shared" si="40"/>
        <v>0</v>
      </c>
      <c r="G56" s="2"/>
      <c r="H56" s="7">
        <v>1000</v>
      </c>
      <c r="I56" s="2"/>
      <c r="J56" s="6">
        <f t="shared" si="41"/>
        <v>0</v>
      </c>
      <c r="K56" s="2"/>
      <c r="L56" s="7">
        <f t="shared" si="42"/>
        <v>-1000</v>
      </c>
      <c r="M56" s="2"/>
      <c r="N56" s="6">
        <f t="shared" si="43"/>
        <v>-1</v>
      </c>
      <c r="O56" s="11"/>
      <c r="P56" s="7"/>
      <c r="Q56" s="2"/>
      <c r="R56" s="6">
        <f t="shared" si="44"/>
        <v>0</v>
      </c>
      <c r="S56" s="2"/>
      <c r="T56" s="7">
        <v>11000</v>
      </c>
      <c r="U56" s="2"/>
      <c r="V56" s="6">
        <f t="shared" si="45"/>
        <v>0</v>
      </c>
      <c r="W56" s="2"/>
      <c r="X56" s="7">
        <f t="shared" si="46"/>
        <v>-11000</v>
      </c>
      <c r="Y56" s="2"/>
      <c r="Z56" s="6">
        <f t="shared" si="47"/>
        <v>-1</v>
      </c>
    </row>
    <row r="57" spans="1:26" s="24" customFormat="1" hidden="1" outlineLevel="2" x14ac:dyDescent="0.25">
      <c r="A57" s="26"/>
      <c r="B57" s="11" t="str">
        <f>CONCATENATE("          ", "6399", " - ", "DONATION-ON CAMPUS")</f>
        <v xml:space="preserve">          6399 - DONATION-ON CAMPUS</v>
      </c>
      <c r="C57" s="11"/>
      <c r="D57" s="7">
        <v>-1385.81</v>
      </c>
      <c r="E57" s="2"/>
      <c r="F57" s="6">
        <f t="shared" si="40"/>
        <v>0</v>
      </c>
      <c r="G57" s="2"/>
      <c r="H57" s="7"/>
      <c r="I57" s="2"/>
      <c r="J57" s="6">
        <f t="shared" si="41"/>
        <v>0</v>
      </c>
      <c r="K57" s="2"/>
      <c r="L57" s="7">
        <f t="shared" si="42"/>
        <v>-1385.81</v>
      </c>
      <c r="M57" s="2"/>
      <c r="N57" s="6">
        <f t="shared" si="43"/>
        <v>0</v>
      </c>
      <c r="O57" s="11"/>
      <c r="P57" s="7">
        <v>10985.64</v>
      </c>
      <c r="Q57" s="2"/>
      <c r="R57" s="6">
        <f t="shared" si="44"/>
        <v>0</v>
      </c>
      <c r="S57" s="2"/>
      <c r="T57" s="7"/>
      <c r="U57" s="2"/>
      <c r="V57" s="6">
        <f t="shared" si="45"/>
        <v>0</v>
      </c>
      <c r="W57" s="2"/>
      <c r="X57" s="7">
        <f t="shared" si="46"/>
        <v>10985.64</v>
      </c>
      <c r="Y57" s="2"/>
      <c r="Z57" s="6">
        <f t="shared" si="47"/>
        <v>0</v>
      </c>
    </row>
    <row r="58" spans="1:26" s="27" customFormat="1" outlineLevel="1" collapsed="1" x14ac:dyDescent="0.25">
      <c r="A58" s="25"/>
      <c r="B58" s="12" t="str">
        <f>CONCATENATE("     ","Employees' Appreciation                           ")</f>
        <v xml:space="preserve">     Employees' Appreciation                           </v>
      </c>
      <c r="C58" s="12"/>
      <c r="D58" s="1">
        <f>SUM(OSRRefD22_8x_0)</f>
        <v>0</v>
      </c>
      <c r="E58" s="1"/>
      <c r="F58" s="5">
        <f t="shared" ref="F58:F78" si="48">IF(D$12=0,0,D58/D$12)</f>
        <v>0</v>
      </c>
      <c r="G58" s="1"/>
      <c r="H58" s="1">
        <f>SUM(OSRRefH22_8x_0)</f>
        <v>200</v>
      </c>
      <c r="I58" s="1"/>
      <c r="J58" s="5">
        <f t="shared" ref="J58:J78" si="49">IF(H$12=0,0,H58/H$12)</f>
        <v>0</v>
      </c>
      <c r="K58" s="1"/>
      <c r="L58" s="1">
        <f t="shared" ref="L58:L78" si="50">+D58-H58</f>
        <v>-200</v>
      </c>
      <c r="M58" s="1"/>
      <c r="N58" s="5">
        <f t="shared" ref="N58:N78" si="51">IF(H58=0,0,L58/H58)</f>
        <v>-1</v>
      </c>
      <c r="O58" s="12"/>
      <c r="P58" s="1">
        <f>SUM(OSRRefP22_8x_0)</f>
        <v>1057.72</v>
      </c>
      <c r="Q58" s="1"/>
      <c r="R58" s="5">
        <f t="shared" ref="R58:R78" si="52">IF(P$12=0,0,P58/P$12)</f>
        <v>0</v>
      </c>
      <c r="S58" s="1"/>
      <c r="T58" s="1">
        <f>SUM(OSRRefT22_8x_0)</f>
        <v>2200</v>
      </c>
      <c r="U58" s="1"/>
      <c r="V58" s="5">
        <f t="shared" ref="V58:V78" si="53">IF(T$12=0,0,T58/T$12)</f>
        <v>0</v>
      </c>
      <c r="W58" s="1"/>
      <c r="X58" s="1">
        <f t="shared" ref="X58:X78" si="54">+P58-T58</f>
        <v>-1142.28</v>
      </c>
      <c r="Y58" s="1"/>
      <c r="Z58" s="5">
        <f t="shared" ref="Z58:Z78" si="55">IF(T58=0,0,X58/T58)</f>
        <v>-0.5192181818181818</v>
      </c>
    </row>
    <row r="59" spans="1:26" s="24" customFormat="1" hidden="1" outlineLevel="2" x14ac:dyDescent="0.25">
      <c r="A59" s="26"/>
      <c r="B59" s="11" t="str">
        <f>CONCATENATE("          ", "6277", " - ", "EMPLOYEE APPRECIATION")</f>
        <v xml:space="preserve">          6277 - EMPLOYEE APPRECIATION</v>
      </c>
      <c r="C59" s="11"/>
      <c r="D59" s="7"/>
      <c r="E59" s="2"/>
      <c r="F59" s="6">
        <f t="shared" si="48"/>
        <v>0</v>
      </c>
      <c r="G59" s="2"/>
      <c r="H59" s="7">
        <v>200</v>
      </c>
      <c r="I59" s="2"/>
      <c r="J59" s="6">
        <f t="shared" si="49"/>
        <v>0</v>
      </c>
      <c r="K59" s="2"/>
      <c r="L59" s="7">
        <f t="shared" si="50"/>
        <v>-200</v>
      </c>
      <c r="M59" s="2"/>
      <c r="N59" s="6">
        <f t="shared" si="51"/>
        <v>-1</v>
      </c>
      <c r="O59" s="11"/>
      <c r="P59" s="7">
        <v>1057.72</v>
      </c>
      <c r="Q59" s="2"/>
      <c r="R59" s="6">
        <f t="shared" si="52"/>
        <v>0</v>
      </c>
      <c r="S59" s="2"/>
      <c r="T59" s="7">
        <v>2200</v>
      </c>
      <c r="U59" s="2"/>
      <c r="V59" s="6">
        <f t="shared" si="53"/>
        <v>0</v>
      </c>
      <c r="W59" s="2"/>
      <c r="X59" s="7">
        <f t="shared" si="54"/>
        <v>-1142.28</v>
      </c>
      <c r="Y59" s="2"/>
      <c r="Z59" s="6">
        <f t="shared" si="55"/>
        <v>-0.5192181818181818</v>
      </c>
    </row>
    <row r="60" spans="1:26" s="27" customFormat="1" outlineLevel="1" collapsed="1" x14ac:dyDescent="0.25">
      <c r="A60" s="25"/>
      <c r="B60" s="12" t="str">
        <f>CONCATENATE("     ","Equipment Rental                                  ")</f>
        <v xml:space="preserve">     Equipment Rental                                  </v>
      </c>
      <c r="C60" s="12"/>
      <c r="D60" s="1">
        <f>SUM(OSRRefD22_9x_0)</f>
        <v>299.33999999999997</v>
      </c>
      <c r="E60" s="1"/>
      <c r="F60" s="5">
        <f t="shared" si="48"/>
        <v>0</v>
      </c>
      <c r="G60" s="1"/>
      <c r="H60" s="1">
        <f>SUM(OSRRefH22_9x_0)</f>
        <v>0</v>
      </c>
      <c r="I60" s="1"/>
      <c r="J60" s="5">
        <f t="shared" si="49"/>
        <v>0</v>
      </c>
      <c r="K60" s="1"/>
      <c r="L60" s="1">
        <f t="shared" si="50"/>
        <v>299.33999999999997</v>
      </c>
      <c r="M60" s="1"/>
      <c r="N60" s="5">
        <f t="shared" si="51"/>
        <v>0</v>
      </c>
      <c r="O60" s="12"/>
      <c r="P60" s="1">
        <f>SUM(OSRRefP22_9x_0)</f>
        <v>299.33999999999997</v>
      </c>
      <c r="Q60" s="1"/>
      <c r="R60" s="5">
        <f t="shared" si="52"/>
        <v>0</v>
      </c>
      <c r="S60" s="1"/>
      <c r="T60" s="1">
        <f>SUM(OSRRefT22_9x_0)</f>
        <v>0</v>
      </c>
      <c r="U60" s="1"/>
      <c r="V60" s="5">
        <f t="shared" si="53"/>
        <v>0</v>
      </c>
      <c r="W60" s="1"/>
      <c r="X60" s="1">
        <f t="shared" si="54"/>
        <v>299.33999999999997</v>
      </c>
      <c r="Y60" s="1"/>
      <c r="Z60" s="5">
        <f t="shared" si="55"/>
        <v>0</v>
      </c>
    </row>
    <row r="61" spans="1:26" s="24" customFormat="1" hidden="1" outlineLevel="2" x14ac:dyDescent="0.25">
      <c r="A61" s="26"/>
      <c r="B61" s="11" t="str">
        <f>CONCATENATE("          ", "6351", " - ", "EQUIPMENT RENTAL")</f>
        <v xml:space="preserve">          6351 - EQUIPMENT RENTAL</v>
      </c>
      <c r="C61" s="11"/>
      <c r="D61" s="7">
        <v>299.33999999999997</v>
      </c>
      <c r="E61" s="2"/>
      <c r="F61" s="6">
        <f t="shared" si="48"/>
        <v>0</v>
      </c>
      <c r="G61" s="2"/>
      <c r="H61" s="7"/>
      <c r="I61" s="2"/>
      <c r="J61" s="6">
        <f t="shared" si="49"/>
        <v>0</v>
      </c>
      <c r="K61" s="2"/>
      <c r="L61" s="7">
        <f t="shared" si="50"/>
        <v>299.33999999999997</v>
      </c>
      <c r="M61" s="2"/>
      <c r="N61" s="6">
        <f t="shared" si="51"/>
        <v>0</v>
      </c>
      <c r="O61" s="11"/>
      <c r="P61" s="7">
        <v>299.33999999999997</v>
      </c>
      <c r="Q61" s="2"/>
      <c r="R61" s="6">
        <f t="shared" si="52"/>
        <v>0</v>
      </c>
      <c r="S61" s="2"/>
      <c r="T61" s="7"/>
      <c r="U61" s="2"/>
      <c r="V61" s="6">
        <f t="shared" si="53"/>
        <v>0</v>
      </c>
      <c r="W61" s="2"/>
      <c r="X61" s="7">
        <f t="shared" si="54"/>
        <v>299.33999999999997</v>
      </c>
      <c r="Y61" s="2"/>
      <c r="Z61" s="6">
        <f t="shared" si="55"/>
        <v>0</v>
      </c>
    </row>
    <row r="62" spans="1:26" s="27" customFormat="1" outlineLevel="1" collapsed="1" x14ac:dyDescent="0.25">
      <c r="A62" s="25"/>
      <c r="B62" s="12" t="str">
        <f>CONCATENATE("     ","Freight out/Postage                               ")</f>
        <v xml:space="preserve">     Freight out/Postage                               </v>
      </c>
      <c r="C62" s="12"/>
      <c r="D62" s="1">
        <f>SUM(OSRRefD22_10x_0)</f>
        <v>0</v>
      </c>
      <c r="E62" s="1"/>
      <c r="F62" s="5">
        <f t="shared" si="48"/>
        <v>0</v>
      </c>
      <c r="G62" s="1"/>
      <c r="H62" s="1">
        <f>SUM(OSRRefH22_10x_0)</f>
        <v>30</v>
      </c>
      <c r="I62" s="1"/>
      <c r="J62" s="5">
        <f t="shared" si="49"/>
        <v>0</v>
      </c>
      <c r="K62" s="1"/>
      <c r="L62" s="1">
        <f t="shared" si="50"/>
        <v>-30</v>
      </c>
      <c r="M62" s="1"/>
      <c r="N62" s="5">
        <f t="shared" si="51"/>
        <v>-1</v>
      </c>
      <c r="O62" s="12"/>
      <c r="P62" s="1">
        <f>SUM(OSRRefP22_10x_0)</f>
        <v>29</v>
      </c>
      <c r="Q62" s="1"/>
      <c r="R62" s="5">
        <f t="shared" si="52"/>
        <v>0</v>
      </c>
      <c r="S62" s="1"/>
      <c r="T62" s="1">
        <f>SUM(OSRRefT22_10x_0)</f>
        <v>330</v>
      </c>
      <c r="U62" s="1"/>
      <c r="V62" s="5">
        <f t="shared" si="53"/>
        <v>0</v>
      </c>
      <c r="W62" s="1"/>
      <c r="X62" s="1">
        <f t="shared" si="54"/>
        <v>-301</v>
      </c>
      <c r="Y62" s="1"/>
      <c r="Z62" s="5">
        <f t="shared" si="55"/>
        <v>-0.91212121212121211</v>
      </c>
    </row>
    <row r="63" spans="1:26" s="24" customFormat="1" hidden="1" outlineLevel="2" x14ac:dyDescent="0.25">
      <c r="A63" s="26"/>
      <c r="B63" s="11" t="str">
        <f>CONCATENATE("          ", "6307", " - ", "POSTAGE")</f>
        <v xml:space="preserve">          6307 - POSTAGE</v>
      </c>
      <c r="C63" s="11"/>
      <c r="D63" s="7"/>
      <c r="E63" s="2"/>
      <c r="F63" s="6">
        <f t="shared" si="48"/>
        <v>0</v>
      </c>
      <c r="G63" s="2"/>
      <c r="H63" s="7">
        <v>30</v>
      </c>
      <c r="I63" s="2"/>
      <c r="J63" s="6">
        <f t="shared" si="49"/>
        <v>0</v>
      </c>
      <c r="K63" s="2"/>
      <c r="L63" s="7">
        <f t="shared" si="50"/>
        <v>-30</v>
      </c>
      <c r="M63" s="2"/>
      <c r="N63" s="6">
        <f t="shared" si="51"/>
        <v>-1</v>
      </c>
      <c r="O63" s="11"/>
      <c r="P63" s="7">
        <v>29</v>
      </c>
      <c r="Q63" s="2"/>
      <c r="R63" s="6">
        <f t="shared" si="52"/>
        <v>0</v>
      </c>
      <c r="S63" s="2"/>
      <c r="T63" s="7">
        <v>330</v>
      </c>
      <c r="U63" s="2"/>
      <c r="V63" s="6">
        <f t="shared" si="53"/>
        <v>0</v>
      </c>
      <c r="W63" s="2"/>
      <c r="X63" s="7">
        <f t="shared" si="54"/>
        <v>-301</v>
      </c>
      <c r="Y63" s="2"/>
      <c r="Z63" s="6">
        <f t="shared" si="55"/>
        <v>-0.91212121212121211</v>
      </c>
    </row>
    <row r="64" spans="1:26" s="27" customFormat="1" outlineLevel="1" collapsed="1" x14ac:dyDescent="0.25">
      <c r="A64" s="25"/>
      <c r="B64" s="12" t="str">
        <f>CONCATENATE("     ","General                                           ")</f>
        <v xml:space="preserve">     General                                           </v>
      </c>
      <c r="C64" s="12"/>
      <c r="D64" s="1">
        <f>SUM(OSRRefD22_11x_0)</f>
        <v>0</v>
      </c>
      <c r="E64" s="1"/>
      <c r="F64" s="5">
        <f t="shared" si="48"/>
        <v>0</v>
      </c>
      <c r="G64" s="1"/>
      <c r="H64" s="1">
        <f>SUM(OSRRefH22_11x_0)</f>
        <v>100</v>
      </c>
      <c r="I64" s="1"/>
      <c r="J64" s="5">
        <f t="shared" si="49"/>
        <v>0</v>
      </c>
      <c r="K64" s="1"/>
      <c r="L64" s="1">
        <f t="shared" si="50"/>
        <v>-100</v>
      </c>
      <c r="M64" s="1"/>
      <c r="N64" s="5">
        <f t="shared" si="51"/>
        <v>-1</v>
      </c>
      <c r="O64" s="12"/>
      <c r="P64" s="1">
        <f>SUM(OSRRefP22_11x_0)</f>
        <v>-11754.76</v>
      </c>
      <c r="Q64" s="1"/>
      <c r="R64" s="5">
        <f t="shared" si="52"/>
        <v>0</v>
      </c>
      <c r="S64" s="1"/>
      <c r="T64" s="1">
        <f>SUM(OSRRefT22_11x_0)</f>
        <v>1100</v>
      </c>
      <c r="U64" s="1"/>
      <c r="V64" s="5">
        <f t="shared" si="53"/>
        <v>0</v>
      </c>
      <c r="W64" s="1"/>
      <c r="X64" s="1">
        <f t="shared" si="54"/>
        <v>-12854.76</v>
      </c>
      <c r="Y64" s="1"/>
      <c r="Z64" s="5">
        <f t="shared" si="55"/>
        <v>-11.686145454545455</v>
      </c>
    </row>
    <row r="65" spans="1:26" s="24" customFormat="1" hidden="1" outlineLevel="2" x14ac:dyDescent="0.25">
      <c r="A65" s="26"/>
      <c r="B65" s="11" t="str">
        <f>CONCATENATE("          ", "6279", " - ", "GENERAL EXPENSE")</f>
        <v xml:space="preserve">          6279 - GENERAL EXPENSE</v>
      </c>
      <c r="C65" s="11"/>
      <c r="D65" s="7"/>
      <c r="E65" s="2"/>
      <c r="F65" s="6">
        <f t="shared" si="48"/>
        <v>0</v>
      </c>
      <c r="G65" s="2"/>
      <c r="H65" s="7">
        <v>100</v>
      </c>
      <c r="I65" s="2"/>
      <c r="J65" s="6">
        <f t="shared" si="49"/>
        <v>0</v>
      </c>
      <c r="K65" s="2"/>
      <c r="L65" s="7">
        <f t="shared" si="50"/>
        <v>-100</v>
      </c>
      <c r="M65" s="2"/>
      <c r="N65" s="6">
        <f t="shared" si="51"/>
        <v>-1</v>
      </c>
      <c r="O65" s="11"/>
      <c r="P65" s="7">
        <v>-11754.76</v>
      </c>
      <c r="Q65" s="2"/>
      <c r="R65" s="6">
        <f t="shared" si="52"/>
        <v>0</v>
      </c>
      <c r="S65" s="2"/>
      <c r="T65" s="7">
        <v>1100</v>
      </c>
      <c r="U65" s="2"/>
      <c r="V65" s="6">
        <f t="shared" si="53"/>
        <v>0</v>
      </c>
      <c r="W65" s="2"/>
      <c r="X65" s="7">
        <f t="shared" si="54"/>
        <v>-12854.76</v>
      </c>
      <c r="Y65" s="2"/>
      <c r="Z65" s="6">
        <f t="shared" si="55"/>
        <v>-11.686145454545455</v>
      </c>
    </row>
    <row r="66" spans="1:26" s="27" customFormat="1" outlineLevel="1" collapsed="1" x14ac:dyDescent="0.25">
      <c r="A66" s="25"/>
      <c r="B66" s="12" t="str">
        <f>CONCATENATE("     ","Insurance                                         ")</f>
        <v xml:space="preserve">     Insurance                                         </v>
      </c>
      <c r="C66" s="12"/>
      <c r="D66" s="1">
        <f>SUM(OSRRefD22_12x_0)</f>
        <v>3883.56</v>
      </c>
      <c r="E66" s="1"/>
      <c r="F66" s="5">
        <f t="shared" si="48"/>
        <v>0</v>
      </c>
      <c r="G66" s="1"/>
      <c r="H66" s="1">
        <f>SUM(OSRRefH22_12x_0)</f>
        <v>3660</v>
      </c>
      <c r="I66" s="1"/>
      <c r="J66" s="5">
        <f t="shared" si="49"/>
        <v>0</v>
      </c>
      <c r="K66" s="1"/>
      <c r="L66" s="1">
        <f t="shared" si="50"/>
        <v>223.55999999999995</v>
      </c>
      <c r="M66" s="1"/>
      <c r="N66" s="5">
        <f t="shared" si="51"/>
        <v>6.1081967213114742E-2</v>
      </c>
      <c r="O66" s="12"/>
      <c r="P66" s="1">
        <f>SUM(OSRRefP22_12x_0)</f>
        <v>42719.16</v>
      </c>
      <c r="Q66" s="1"/>
      <c r="R66" s="5">
        <f t="shared" si="52"/>
        <v>0</v>
      </c>
      <c r="S66" s="1"/>
      <c r="T66" s="1">
        <f>SUM(OSRRefT22_12x_0)</f>
        <v>40260</v>
      </c>
      <c r="U66" s="1"/>
      <c r="V66" s="5">
        <f t="shared" si="53"/>
        <v>0</v>
      </c>
      <c r="W66" s="1"/>
      <c r="X66" s="1">
        <f t="shared" si="54"/>
        <v>2459.1600000000035</v>
      </c>
      <c r="Y66" s="1"/>
      <c r="Z66" s="5">
        <f t="shared" si="55"/>
        <v>6.1081967213114839E-2</v>
      </c>
    </row>
    <row r="67" spans="1:26" s="24" customFormat="1" hidden="1" outlineLevel="2" x14ac:dyDescent="0.25">
      <c r="A67" s="26"/>
      <c r="B67" s="11" t="str">
        <f>CONCATENATE("          ", "6314", " - ", "LIABILITY INSURANCE")</f>
        <v xml:space="preserve">          6314 - LIABILITY INSURANCE</v>
      </c>
      <c r="C67" s="11"/>
      <c r="D67" s="7">
        <v>3883.56</v>
      </c>
      <c r="E67" s="2"/>
      <c r="F67" s="6">
        <f t="shared" si="48"/>
        <v>0</v>
      </c>
      <c r="G67" s="2"/>
      <c r="H67" s="7">
        <v>3660</v>
      </c>
      <c r="I67" s="2"/>
      <c r="J67" s="6">
        <f t="shared" si="49"/>
        <v>0</v>
      </c>
      <c r="K67" s="2"/>
      <c r="L67" s="7">
        <f t="shared" si="50"/>
        <v>223.55999999999995</v>
      </c>
      <c r="M67" s="2"/>
      <c r="N67" s="6">
        <f t="shared" si="51"/>
        <v>6.1081967213114742E-2</v>
      </c>
      <c r="O67" s="11"/>
      <c r="P67" s="7">
        <v>42719.16</v>
      </c>
      <c r="Q67" s="2"/>
      <c r="R67" s="6">
        <f t="shared" si="52"/>
        <v>0</v>
      </c>
      <c r="S67" s="2"/>
      <c r="T67" s="7">
        <v>40260</v>
      </c>
      <c r="U67" s="2"/>
      <c r="V67" s="6">
        <f t="shared" si="53"/>
        <v>0</v>
      </c>
      <c r="W67" s="2"/>
      <c r="X67" s="7">
        <f t="shared" si="54"/>
        <v>2459.1600000000035</v>
      </c>
      <c r="Y67" s="2"/>
      <c r="Z67" s="6">
        <f t="shared" si="55"/>
        <v>6.1081967213114839E-2</v>
      </c>
    </row>
    <row r="68" spans="1:26" s="27" customFormat="1" outlineLevel="1" collapsed="1" x14ac:dyDescent="0.25">
      <c r="A68" s="25"/>
      <c r="B68" s="12" t="str">
        <f>CONCATENATE("     ","Inventory Adjustment                              ")</f>
        <v xml:space="preserve">     Inventory Adjustment                              </v>
      </c>
      <c r="C68" s="12"/>
      <c r="D68" s="1">
        <f>SUM(OSRRefD22_13x_0)</f>
        <v>0</v>
      </c>
      <c r="E68" s="1"/>
      <c r="F68" s="5">
        <f t="shared" si="48"/>
        <v>0</v>
      </c>
      <c r="G68" s="1"/>
      <c r="H68" s="1">
        <f>SUM(OSRRefH22_13x_0)</f>
        <v>0</v>
      </c>
      <c r="I68" s="1"/>
      <c r="J68" s="5">
        <f t="shared" si="49"/>
        <v>0</v>
      </c>
      <c r="K68" s="1"/>
      <c r="L68" s="1">
        <f t="shared" si="50"/>
        <v>0</v>
      </c>
      <c r="M68" s="1"/>
      <c r="N68" s="5">
        <f t="shared" si="51"/>
        <v>0</v>
      </c>
      <c r="O68" s="12"/>
      <c r="P68" s="1">
        <f>SUM(OSRRefP22_13x_0)</f>
        <v>0</v>
      </c>
      <c r="Q68" s="1"/>
      <c r="R68" s="5">
        <f t="shared" si="52"/>
        <v>0</v>
      </c>
      <c r="S68" s="1"/>
      <c r="T68" s="1">
        <f>SUM(OSRRefT22_13x_0)</f>
        <v>0</v>
      </c>
      <c r="U68" s="1"/>
      <c r="V68" s="5">
        <f t="shared" si="53"/>
        <v>0</v>
      </c>
      <c r="W68" s="1"/>
      <c r="X68" s="1">
        <f t="shared" si="54"/>
        <v>0</v>
      </c>
      <c r="Y68" s="1"/>
      <c r="Z68" s="5">
        <f t="shared" si="55"/>
        <v>0</v>
      </c>
    </row>
    <row r="69" spans="1:26" s="24" customFormat="1" hidden="1" outlineLevel="2" x14ac:dyDescent="0.25">
      <c r="A69" s="26"/>
      <c r="B69" s="11" t="str">
        <f>CONCATENATE("          ", "6408", " - ", "INVENTORY ADJUSTMENT")</f>
        <v xml:space="preserve">          6408 - INVENTORY ADJUSTMENT</v>
      </c>
      <c r="C69" s="11"/>
      <c r="D69" s="7"/>
      <c r="E69" s="2"/>
      <c r="F69" s="6">
        <f t="shared" si="48"/>
        <v>0</v>
      </c>
      <c r="G69" s="2"/>
      <c r="H69" s="7">
        <v>0</v>
      </c>
      <c r="I69" s="2"/>
      <c r="J69" s="6">
        <f t="shared" si="49"/>
        <v>0</v>
      </c>
      <c r="K69" s="2"/>
      <c r="L69" s="7">
        <f t="shared" si="50"/>
        <v>0</v>
      </c>
      <c r="M69" s="2"/>
      <c r="N69" s="6">
        <f t="shared" si="51"/>
        <v>0</v>
      </c>
      <c r="O69" s="11"/>
      <c r="P69" s="7"/>
      <c r="Q69" s="2"/>
      <c r="R69" s="6">
        <f t="shared" si="52"/>
        <v>0</v>
      </c>
      <c r="S69" s="2"/>
      <c r="T69" s="7">
        <v>0</v>
      </c>
      <c r="U69" s="2"/>
      <c r="V69" s="6">
        <f t="shared" si="53"/>
        <v>0</v>
      </c>
      <c r="W69" s="2"/>
      <c r="X69" s="7">
        <f t="shared" si="54"/>
        <v>0</v>
      </c>
      <c r="Y69" s="2"/>
      <c r="Z69" s="6">
        <f t="shared" si="55"/>
        <v>0</v>
      </c>
    </row>
    <row r="70" spans="1:26" s="27" customFormat="1" outlineLevel="1" collapsed="1" x14ac:dyDescent="0.25">
      <c r="A70" s="25"/>
      <c r="B70" s="12" t="str">
        <f>CONCATENATE("     ","Professional Services                             ")</f>
        <v xml:space="preserve">     Professional Services                             </v>
      </c>
      <c r="C70" s="12"/>
      <c r="D70" s="1">
        <f>SUM(OSRRefD22_14x_0)</f>
        <v>0</v>
      </c>
      <c r="E70" s="1"/>
      <c r="F70" s="5">
        <f t="shared" si="48"/>
        <v>0</v>
      </c>
      <c r="G70" s="1"/>
      <c r="H70" s="1">
        <f>SUM(OSRRefH22_14x_0)</f>
        <v>900</v>
      </c>
      <c r="I70" s="1"/>
      <c r="J70" s="5">
        <f t="shared" si="49"/>
        <v>0</v>
      </c>
      <c r="K70" s="1"/>
      <c r="L70" s="1">
        <f t="shared" si="50"/>
        <v>-900</v>
      </c>
      <c r="M70" s="1"/>
      <c r="N70" s="5">
        <f t="shared" si="51"/>
        <v>-1</v>
      </c>
      <c r="O70" s="12"/>
      <c r="P70" s="1">
        <f>SUM(OSRRefP22_14x_0)</f>
        <v>4658.41</v>
      </c>
      <c r="Q70" s="1"/>
      <c r="R70" s="5">
        <f t="shared" si="52"/>
        <v>0</v>
      </c>
      <c r="S70" s="1"/>
      <c r="T70" s="1">
        <f>SUM(OSRRefT22_14x_0)</f>
        <v>9900</v>
      </c>
      <c r="U70" s="1"/>
      <c r="V70" s="5">
        <f t="shared" si="53"/>
        <v>0</v>
      </c>
      <c r="W70" s="1"/>
      <c r="X70" s="1">
        <f t="shared" si="54"/>
        <v>-5241.59</v>
      </c>
      <c r="Y70" s="1"/>
      <c r="Z70" s="5">
        <f t="shared" si="55"/>
        <v>-0.52945353535353534</v>
      </c>
    </row>
    <row r="71" spans="1:26" s="24" customFormat="1" hidden="1" outlineLevel="2" x14ac:dyDescent="0.25">
      <c r="A71" s="26"/>
      <c r="B71" s="11" t="str">
        <f>CONCATENATE("          ", "6336", " - ", "PROFESSIONAL SERVICES")</f>
        <v xml:space="preserve">          6336 - PROFESSIONAL SERVICES</v>
      </c>
      <c r="C71" s="11"/>
      <c r="D71" s="7"/>
      <c r="E71" s="2"/>
      <c r="F71" s="6">
        <f t="shared" si="48"/>
        <v>0</v>
      </c>
      <c r="G71" s="2"/>
      <c r="H71" s="7">
        <v>900</v>
      </c>
      <c r="I71" s="2"/>
      <c r="J71" s="6">
        <f t="shared" si="49"/>
        <v>0</v>
      </c>
      <c r="K71" s="2"/>
      <c r="L71" s="7">
        <f t="shared" si="50"/>
        <v>-900</v>
      </c>
      <c r="M71" s="2"/>
      <c r="N71" s="6">
        <f t="shared" si="51"/>
        <v>-1</v>
      </c>
      <c r="O71" s="11"/>
      <c r="P71" s="7">
        <v>4658.41</v>
      </c>
      <c r="Q71" s="2"/>
      <c r="R71" s="6">
        <f t="shared" si="52"/>
        <v>0</v>
      </c>
      <c r="S71" s="2"/>
      <c r="T71" s="7">
        <v>9900</v>
      </c>
      <c r="U71" s="2"/>
      <c r="V71" s="6">
        <f t="shared" si="53"/>
        <v>0</v>
      </c>
      <c r="W71" s="2"/>
      <c r="X71" s="7">
        <f t="shared" si="54"/>
        <v>-5241.59</v>
      </c>
      <c r="Y71" s="2"/>
      <c r="Z71" s="6">
        <f t="shared" si="55"/>
        <v>-0.52945353535353534</v>
      </c>
    </row>
    <row r="72" spans="1:26" s="27" customFormat="1" outlineLevel="1" collapsed="1" x14ac:dyDescent="0.25">
      <c r="A72" s="25"/>
      <c r="B72" s="12" t="str">
        <f>CONCATENATE("     ","Rent                                              ")</f>
        <v xml:space="preserve">     Rent                                              </v>
      </c>
      <c r="C72" s="12"/>
      <c r="D72" s="1">
        <f>SUM(OSRRefD22_15x_0)</f>
        <v>-800</v>
      </c>
      <c r="E72" s="1"/>
      <c r="F72" s="5">
        <f t="shared" si="48"/>
        <v>0</v>
      </c>
      <c r="G72" s="1"/>
      <c r="H72" s="1">
        <f>SUM(OSRRefH22_15x_0)</f>
        <v>-800</v>
      </c>
      <c r="I72" s="1"/>
      <c r="J72" s="5">
        <f t="shared" si="49"/>
        <v>0</v>
      </c>
      <c r="K72" s="1"/>
      <c r="L72" s="1">
        <f t="shared" si="50"/>
        <v>0</v>
      </c>
      <c r="M72" s="1"/>
      <c r="N72" s="5">
        <f t="shared" si="51"/>
        <v>0</v>
      </c>
      <c r="O72" s="12"/>
      <c r="P72" s="1">
        <f>SUM(OSRRefP22_15x_0)</f>
        <v>-7200</v>
      </c>
      <c r="Q72" s="1"/>
      <c r="R72" s="5">
        <f t="shared" si="52"/>
        <v>0</v>
      </c>
      <c r="S72" s="1"/>
      <c r="T72" s="1">
        <f>SUM(OSRRefT22_15x_0)</f>
        <v>-8800</v>
      </c>
      <c r="U72" s="1"/>
      <c r="V72" s="5">
        <f t="shared" si="53"/>
        <v>0</v>
      </c>
      <c r="W72" s="1"/>
      <c r="X72" s="1">
        <f t="shared" si="54"/>
        <v>1600</v>
      </c>
      <c r="Y72" s="1"/>
      <c r="Z72" s="5">
        <f t="shared" si="55"/>
        <v>-0.18181818181818182</v>
      </c>
    </row>
    <row r="73" spans="1:26" s="24" customFormat="1" hidden="1" outlineLevel="2" x14ac:dyDescent="0.25">
      <c r="A73" s="26"/>
      <c r="B73" s="11" t="str">
        <f>CONCATENATE("          ", "6273", " - ", "RENT")</f>
        <v xml:space="preserve">          6273 - RENT</v>
      </c>
      <c r="C73" s="11"/>
      <c r="D73" s="7">
        <v>-800</v>
      </c>
      <c r="E73" s="2"/>
      <c r="F73" s="6">
        <f t="shared" si="48"/>
        <v>0</v>
      </c>
      <c r="G73" s="2"/>
      <c r="H73" s="7">
        <v>-800</v>
      </c>
      <c r="I73" s="2"/>
      <c r="J73" s="6">
        <f t="shared" si="49"/>
        <v>0</v>
      </c>
      <c r="K73" s="2"/>
      <c r="L73" s="7">
        <f t="shared" si="50"/>
        <v>0</v>
      </c>
      <c r="M73" s="2"/>
      <c r="N73" s="6">
        <f t="shared" si="51"/>
        <v>0</v>
      </c>
      <c r="O73" s="11"/>
      <c r="P73" s="7">
        <v>-7200</v>
      </c>
      <c r="Q73" s="2"/>
      <c r="R73" s="6">
        <f t="shared" si="52"/>
        <v>0</v>
      </c>
      <c r="S73" s="2"/>
      <c r="T73" s="7">
        <v>-8800</v>
      </c>
      <c r="U73" s="2"/>
      <c r="V73" s="6">
        <f t="shared" si="53"/>
        <v>0</v>
      </c>
      <c r="W73" s="2"/>
      <c r="X73" s="7">
        <f t="shared" si="54"/>
        <v>1600</v>
      </c>
      <c r="Y73" s="2"/>
      <c r="Z73" s="6">
        <f t="shared" si="55"/>
        <v>-0.18181818181818182</v>
      </c>
    </row>
    <row r="74" spans="1:26" s="27" customFormat="1" outlineLevel="1" collapsed="1" x14ac:dyDescent="0.25">
      <c r="A74" s="25"/>
      <c r="B74" s="12" t="str">
        <f>CONCATENATE("     ","Repair and Maintenance                            ")</f>
        <v xml:space="preserve">     Repair and Maintenance                            </v>
      </c>
      <c r="C74" s="12"/>
      <c r="D74" s="1">
        <f>SUM(OSRRefD22_16x_0)</f>
        <v>4859.6400000000003</v>
      </c>
      <c r="E74" s="1"/>
      <c r="F74" s="5">
        <f t="shared" si="48"/>
        <v>0</v>
      </c>
      <c r="G74" s="1"/>
      <c r="H74" s="1">
        <f>SUM(OSRRefH22_16x_0)</f>
        <v>7000</v>
      </c>
      <c r="I74" s="1"/>
      <c r="J74" s="5">
        <f t="shared" si="49"/>
        <v>0</v>
      </c>
      <c r="K74" s="1"/>
      <c r="L74" s="1">
        <f t="shared" si="50"/>
        <v>-2140.3599999999997</v>
      </c>
      <c r="M74" s="1"/>
      <c r="N74" s="5">
        <f t="shared" si="51"/>
        <v>-0.30576571428571425</v>
      </c>
      <c r="O74" s="12"/>
      <c r="P74" s="1">
        <f>SUM(OSRRefP22_16x_0)</f>
        <v>65754.17</v>
      </c>
      <c r="Q74" s="1"/>
      <c r="R74" s="5">
        <f t="shared" si="52"/>
        <v>0</v>
      </c>
      <c r="S74" s="1"/>
      <c r="T74" s="1">
        <f>SUM(OSRRefT22_16x_0)</f>
        <v>119285</v>
      </c>
      <c r="U74" s="1"/>
      <c r="V74" s="5">
        <f t="shared" si="53"/>
        <v>0</v>
      </c>
      <c r="W74" s="1"/>
      <c r="X74" s="1">
        <f t="shared" si="54"/>
        <v>-53530.83</v>
      </c>
      <c r="Y74" s="1"/>
      <c r="Z74" s="5">
        <f t="shared" si="55"/>
        <v>-0.44876413631219347</v>
      </c>
    </row>
    <row r="75" spans="1:26" s="24" customFormat="1" hidden="1" outlineLevel="2" x14ac:dyDescent="0.25">
      <c r="A75" s="26"/>
      <c r="B75" s="11" t="str">
        <f>CONCATENATE("          ", "6371", " - ", "COMPUTER SOFTWARE MAINTENANCE")</f>
        <v xml:space="preserve">          6371 - COMPUTER SOFTWARE MAINTENANCE</v>
      </c>
      <c r="C75" s="11"/>
      <c r="D75" s="7"/>
      <c r="E75" s="2"/>
      <c r="F75" s="6">
        <f t="shared" si="48"/>
        <v>0</v>
      </c>
      <c r="G75" s="2"/>
      <c r="H75" s="7"/>
      <c r="I75" s="2"/>
      <c r="J75" s="6">
        <f t="shared" si="49"/>
        <v>0</v>
      </c>
      <c r="K75" s="2"/>
      <c r="L75" s="7">
        <f t="shared" si="50"/>
        <v>0</v>
      </c>
      <c r="M75" s="2"/>
      <c r="N75" s="6">
        <f t="shared" si="51"/>
        <v>0</v>
      </c>
      <c r="O75" s="11"/>
      <c r="P75" s="7">
        <v>16417.5</v>
      </c>
      <c r="Q75" s="2"/>
      <c r="R75" s="6">
        <f t="shared" si="52"/>
        <v>0</v>
      </c>
      <c r="S75" s="2"/>
      <c r="T75" s="7">
        <v>48535</v>
      </c>
      <c r="U75" s="2"/>
      <c r="V75" s="6">
        <f t="shared" si="53"/>
        <v>0</v>
      </c>
      <c r="W75" s="2"/>
      <c r="X75" s="7">
        <f t="shared" si="54"/>
        <v>-32117.5</v>
      </c>
      <c r="Y75" s="2"/>
      <c r="Z75" s="6">
        <f t="shared" si="55"/>
        <v>-0.66173895127227778</v>
      </c>
    </row>
    <row r="76" spans="1:26" s="24" customFormat="1" hidden="1" outlineLevel="2" x14ac:dyDescent="0.25">
      <c r="A76" s="26"/>
      <c r="B76" s="11" t="str">
        <f>CONCATENATE("          ", "6372", " - ", "COMPUTER HARDWARE MAINTENANCE")</f>
        <v xml:space="preserve">          6372 - COMPUTER HARDWARE MAINTENANCE</v>
      </c>
      <c r="C76" s="11"/>
      <c r="D76" s="7"/>
      <c r="E76" s="2"/>
      <c r="F76" s="6">
        <f t="shared" si="48"/>
        <v>0</v>
      </c>
      <c r="G76" s="2"/>
      <c r="H76" s="7"/>
      <c r="I76" s="2"/>
      <c r="J76" s="6">
        <f t="shared" si="49"/>
        <v>0</v>
      </c>
      <c r="K76" s="2"/>
      <c r="L76" s="7">
        <f t="shared" si="50"/>
        <v>0</v>
      </c>
      <c r="M76" s="2"/>
      <c r="N76" s="6">
        <f t="shared" si="51"/>
        <v>0</v>
      </c>
      <c r="O76" s="11"/>
      <c r="P76" s="7">
        <v>52.32</v>
      </c>
      <c r="Q76" s="2"/>
      <c r="R76" s="6">
        <f t="shared" si="52"/>
        <v>0</v>
      </c>
      <c r="S76" s="2"/>
      <c r="T76" s="7"/>
      <c r="U76" s="2"/>
      <c r="V76" s="6">
        <f t="shared" si="53"/>
        <v>0</v>
      </c>
      <c r="W76" s="2"/>
      <c r="X76" s="7">
        <f t="shared" si="54"/>
        <v>52.32</v>
      </c>
      <c r="Y76" s="2"/>
      <c r="Z76" s="6">
        <f t="shared" si="55"/>
        <v>0</v>
      </c>
    </row>
    <row r="77" spans="1:26" s="24" customFormat="1" hidden="1" outlineLevel="2" x14ac:dyDescent="0.25">
      <c r="A77" s="26"/>
      <c r="B77" s="11" t="str">
        <f>CONCATENATE("          ", "6373", " - ", "MAINTENANCE CONTRACTS")</f>
        <v xml:space="preserve">          6373 - MAINTENANCE CONTRACTS</v>
      </c>
      <c r="C77" s="11"/>
      <c r="D77" s="7">
        <v>3318</v>
      </c>
      <c r="E77" s="2"/>
      <c r="F77" s="6">
        <f t="shared" si="48"/>
        <v>0</v>
      </c>
      <c r="G77" s="2"/>
      <c r="H77" s="7"/>
      <c r="I77" s="2"/>
      <c r="J77" s="6">
        <f t="shared" si="49"/>
        <v>0</v>
      </c>
      <c r="K77" s="2"/>
      <c r="L77" s="7">
        <f t="shared" si="50"/>
        <v>3318</v>
      </c>
      <c r="M77" s="2"/>
      <c r="N77" s="6">
        <f t="shared" si="51"/>
        <v>0</v>
      </c>
      <c r="O77" s="11"/>
      <c r="P77" s="7">
        <v>12695.05</v>
      </c>
      <c r="Q77" s="2"/>
      <c r="R77" s="6">
        <f t="shared" si="52"/>
        <v>0</v>
      </c>
      <c r="S77" s="2"/>
      <c r="T77" s="7"/>
      <c r="U77" s="2"/>
      <c r="V77" s="6">
        <f t="shared" si="53"/>
        <v>0</v>
      </c>
      <c r="W77" s="2"/>
      <c r="X77" s="7">
        <f t="shared" si="54"/>
        <v>12695.05</v>
      </c>
      <c r="Y77" s="2"/>
      <c r="Z77" s="6">
        <f t="shared" si="55"/>
        <v>0</v>
      </c>
    </row>
    <row r="78" spans="1:26" s="24" customFormat="1" hidden="1" outlineLevel="2" x14ac:dyDescent="0.25">
      <c r="A78" s="26"/>
      <c r="B78" s="11" t="str">
        <f>CONCATENATE("          ", "6375", " - ", "OUTSIDE REPAIRS &amp; MAINTENANCE")</f>
        <v xml:space="preserve">          6375 - OUTSIDE REPAIRS &amp; MAINTENANCE</v>
      </c>
      <c r="C78" s="11"/>
      <c r="D78" s="7">
        <v>1541.64</v>
      </c>
      <c r="E78" s="2"/>
      <c r="F78" s="6">
        <f t="shared" si="48"/>
        <v>0</v>
      </c>
      <c r="G78" s="2"/>
      <c r="H78" s="7">
        <v>7000</v>
      </c>
      <c r="I78" s="2"/>
      <c r="J78" s="6">
        <f t="shared" si="49"/>
        <v>0</v>
      </c>
      <c r="K78" s="2"/>
      <c r="L78" s="7">
        <f t="shared" si="50"/>
        <v>-5458.36</v>
      </c>
      <c r="M78" s="2"/>
      <c r="N78" s="6">
        <f t="shared" si="51"/>
        <v>-0.77976571428571428</v>
      </c>
      <c r="O78" s="11"/>
      <c r="P78" s="7">
        <v>36589.299999999996</v>
      </c>
      <c r="Q78" s="2"/>
      <c r="R78" s="6">
        <f t="shared" si="52"/>
        <v>0</v>
      </c>
      <c r="S78" s="2"/>
      <c r="T78" s="7">
        <v>70750</v>
      </c>
      <c r="U78" s="2"/>
      <c r="V78" s="6">
        <f t="shared" si="53"/>
        <v>0</v>
      </c>
      <c r="W78" s="2"/>
      <c r="X78" s="7">
        <f t="shared" si="54"/>
        <v>-34160.700000000004</v>
      </c>
      <c r="Y78" s="2"/>
      <c r="Z78" s="6">
        <f t="shared" si="55"/>
        <v>-0.48283674911660784</v>
      </c>
    </row>
    <row r="79" spans="1:26" s="27" customFormat="1" outlineLevel="1" collapsed="1" x14ac:dyDescent="0.25">
      <c r="A79" s="25"/>
      <c r="B79" s="12" t="str">
        <f>CONCATENATE("     ","Services                                          ")</f>
        <v xml:space="preserve">     Services                                          </v>
      </c>
      <c r="C79" s="12"/>
      <c r="D79" s="1">
        <f>SUM(OSRRefD22_17x_0)</f>
        <v>4108.18</v>
      </c>
      <c r="E79" s="1"/>
      <c r="F79" s="5">
        <f t="shared" ref="F79:F82" si="56">IF(D$12=0,0,D79/D$12)</f>
        <v>0</v>
      </c>
      <c r="G79" s="1"/>
      <c r="H79" s="1">
        <f>SUM(OSRRefH22_17x_0)</f>
        <v>4100</v>
      </c>
      <c r="I79" s="1"/>
      <c r="J79" s="5">
        <f t="shared" ref="J79:J82" si="57">IF(H$12=0,0,H79/H$12)</f>
        <v>0</v>
      </c>
      <c r="K79" s="1"/>
      <c r="L79" s="1">
        <f t="shared" ref="L79:L82" si="58">+D79-H79</f>
        <v>8.180000000000291</v>
      </c>
      <c r="M79" s="1"/>
      <c r="N79" s="5">
        <f t="shared" ref="N79:N82" si="59">IF(H79=0,0,L79/H79)</f>
        <v>1.995121951219583E-3</v>
      </c>
      <c r="O79" s="12"/>
      <c r="P79" s="1">
        <f>SUM(OSRRefP22_17x_0)</f>
        <v>45589.810000000005</v>
      </c>
      <c r="Q79" s="1"/>
      <c r="R79" s="5">
        <f t="shared" ref="R79:R82" si="60">IF(P$12=0,0,P79/P$12)</f>
        <v>0</v>
      </c>
      <c r="S79" s="1"/>
      <c r="T79" s="1">
        <f>SUM(OSRRefT22_17x_0)</f>
        <v>45100</v>
      </c>
      <c r="U79" s="1"/>
      <c r="V79" s="5">
        <f t="shared" ref="V79:V82" si="61">IF(T$12=0,0,T79/T$12)</f>
        <v>0</v>
      </c>
      <c r="W79" s="1"/>
      <c r="X79" s="1">
        <f t="shared" ref="X79:X82" si="62">+P79-T79</f>
        <v>489.81000000000495</v>
      </c>
      <c r="Y79" s="1"/>
      <c r="Z79" s="5">
        <f t="shared" ref="Z79:Z82" si="63">IF(T79=0,0,X79/T79)</f>
        <v>1.0860532150776163E-2</v>
      </c>
    </row>
    <row r="80" spans="1:26" s="24" customFormat="1" hidden="1" outlineLevel="2" x14ac:dyDescent="0.25">
      <c r="A80" s="26"/>
      <c r="B80" s="11" t="str">
        <f>CONCATENATE("          ", "6282", " - ", "JANITORIAL/EXTERMINATOR EXPENS")</f>
        <v xml:space="preserve">          6282 - JANITORIAL/EXTERMINATOR EXPENS</v>
      </c>
      <c r="C80" s="11"/>
      <c r="D80" s="7"/>
      <c r="E80" s="2"/>
      <c r="F80" s="6">
        <f t="shared" si="56"/>
        <v>0</v>
      </c>
      <c r="G80" s="2"/>
      <c r="H80" s="7"/>
      <c r="I80" s="2"/>
      <c r="J80" s="6">
        <f t="shared" si="57"/>
        <v>0</v>
      </c>
      <c r="K80" s="2"/>
      <c r="L80" s="7">
        <f t="shared" si="58"/>
        <v>0</v>
      </c>
      <c r="M80" s="2"/>
      <c r="N80" s="6">
        <f t="shared" si="59"/>
        <v>0</v>
      </c>
      <c r="O80" s="11"/>
      <c r="P80" s="7">
        <v>2225</v>
      </c>
      <c r="Q80" s="2"/>
      <c r="R80" s="6">
        <f t="shared" si="60"/>
        <v>0</v>
      </c>
      <c r="S80" s="2"/>
      <c r="T80" s="7"/>
      <c r="U80" s="2"/>
      <c r="V80" s="6">
        <f t="shared" si="61"/>
        <v>0</v>
      </c>
      <c r="W80" s="2"/>
      <c r="X80" s="7">
        <f t="shared" si="62"/>
        <v>2225</v>
      </c>
      <c r="Y80" s="2"/>
      <c r="Z80" s="6">
        <f t="shared" si="63"/>
        <v>0</v>
      </c>
    </row>
    <row r="81" spans="1:26" s="24" customFormat="1" hidden="1" outlineLevel="2" x14ac:dyDescent="0.25">
      <c r="A81" s="26"/>
      <c r="B81" s="11" t="str">
        <f>CONCATENATE("          ", "6283", " - ", "PLANT SERVICE")</f>
        <v xml:space="preserve">          6283 - PLANT SERVICE</v>
      </c>
      <c r="C81" s="11"/>
      <c r="D81" s="7"/>
      <c r="E81" s="2"/>
      <c r="F81" s="6">
        <f t="shared" si="56"/>
        <v>0</v>
      </c>
      <c r="G81" s="2"/>
      <c r="H81" s="7"/>
      <c r="I81" s="2"/>
      <c r="J81" s="6">
        <f t="shared" si="57"/>
        <v>0</v>
      </c>
      <c r="K81" s="2"/>
      <c r="L81" s="7">
        <f t="shared" si="58"/>
        <v>0</v>
      </c>
      <c r="M81" s="2"/>
      <c r="N81" s="6">
        <f t="shared" si="59"/>
        <v>0</v>
      </c>
      <c r="O81" s="11"/>
      <c r="P81" s="7">
        <v>363.33</v>
      </c>
      <c r="Q81" s="2"/>
      <c r="R81" s="6">
        <f t="shared" si="60"/>
        <v>0</v>
      </c>
      <c r="S81" s="2"/>
      <c r="T81" s="7"/>
      <c r="U81" s="2"/>
      <c r="V81" s="6">
        <f t="shared" si="61"/>
        <v>0</v>
      </c>
      <c r="W81" s="2"/>
      <c r="X81" s="7">
        <f t="shared" si="62"/>
        <v>363.33</v>
      </c>
      <c r="Y81" s="2"/>
      <c r="Z81" s="6">
        <f t="shared" si="63"/>
        <v>0</v>
      </c>
    </row>
    <row r="82" spans="1:26" s="24" customFormat="1" hidden="1" outlineLevel="2" x14ac:dyDescent="0.25">
      <c r="A82" s="26"/>
      <c r="B82" s="11" t="str">
        <f>CONCATENATE("          ", "6285", " - ", "JANITORIAL SERVICES")</f>
        <v xml:space="preserve">          6285 - JANITORIAL SERVICES</v>
      </c>
      <c r="C82" s="11"/>
      <c r="D82" s="7">
        <v>4108.18</v>
      </c>
      <c r="E82" s="2"/>
      <c r="F82" s="6">
        <f t="shared" si="56"/>
        <v>0</v>
      </c>
      <c r="G82" s="2"/>
      <c r="H82" s="7">
        <v>4100</v>
      </c>
      <c r="I82" s="2"/>
      <c r="J82" s="6">
        <f t="shared" si="57"/>
        <v>0</v>
      </c>
      <c r="K82" s="2"/>
      <c r="L82" s="7">
        <f t="shared" si="58"/>
        <v>8.180000000000291</v>
      </c>
      <c r="M82" s="2"/>
      <c r="N82" s="6">
        <f t="shared" si="59"/>
        <v>1.995121951219583E-3</v>
      </c>
      <c r="O82" s="11"/>
      <c r="P82" s="7">
        <v>43001.48</v>
      </c>
      <c r="Q82" s="2"/>
      <c r="R82" s="6">
        <f t="shared" si="60"/>
        <v>0</v>
      </c>
      <c r="S82" s="2"/>
      <c r="T82" s="7">
        <v>45100</v>
      </c>
      <c r="U82" s="2"/>
      <c r="V82" s="6">
        <f t="shared" si="61"/>
        <v>0</v>
      </c>
      <c r="W82" s="2"/>
      <c r="X82" s="7">
        <f t="shared" si="62"/>
        <v>-2098.5199999999968</v>
      </c>
      <c r="Y82" s="2"/>
      <c r="Z82" s="6">
        <f t="shared" si="63"/>
        <v>-4.653037694013297E-2</v>
      </c>
    </row>
    <row r="83" spans="1:26" s="27" customFormat="1" outlineLevel="1" collapsed="1" x14ac:dyDescent="0.25">
      <c r="A83" s="25"/>
      <c r="B83" s="12" t="str">
        <f>CONCATENATE("     ","Subscriptions &amp; Dues                              ")</f>
        <v xml:space="preserve">     Subscriptions &amp; Dues                              </v>
      </c>
      <c r="C83" s="12"/>
      <c r="D83" s="1">
        <f>SUM(OSRRefD22_18x_0)</f>
        <v>0</v>
      </c>
      <c r="E83" s="1"/>
      <c r="F83" s="5">
        <f t="shared" ref="F83:F85" si="64">IF(D$12=0,0,D83/D$12)</f>
        <v>0</v>
      </c>
      <c r="G83" s="1"/>
      <c r="H83" s="1">
        <f>SUM(OSRRefH22_18x_0)</f>
        <v>100</v>
      </c>
      <c r="I83" s="1"/>
      <c r="J83" s="5">
        <f t="shared" ref="J83:J85" si="65">IF(H$12=0,0,H83/H$12)</f>
        <v>0</v>
      </c>
      <c r="K83" s="1"/>
      <c r="L83" s="1">
        <f t="shared" ref="L83:L85" si="66">+D83-H83</f>
        <v>-100</v>
      </c>
      <c r="M83" s="1"/>
      <c r="N83" s="5">
        <f t="shared" ref="N83:N85" si="67">IF(H83=0,0,L83/H83)</f>
        <v>-1</v>
      </c>
      <c r="O83" s="12"/>
      <c r="P83" s="1">
        <f>SUM(OSRRefP22_18x_0)</f>
        <v>1280.3</v>
      </c>
      <c r="Q83" s="1"/>
      <c r="R83" s="5">
        <f t="shared" ref="R83:R85" si="68">IF(P$12=0,0,P83/P$12)</f>
        <v>0</v>
      </c>
      <c r="S83" s="1"/>
      <c r="T83" s="1">
        <f>SUM(OSRRefT22_18x_0)</f>
        <v>5945</v>
      </c>
      <c r="U83" s="1"/>
      <c r="V83" s="5">
        <f t="shared" ref="V83:V85" si="69">IF(T$12=0,0,T83/T$12)</f>
        <v>0</v>
      </c>
      <c r="W83" s="1"/>
      <c r="X83" s="1">
        <f t="shared" ref="X83:X85" si="70">+P83-T83</f>
        <v>-4664.7</v>
      </c>
      <c r="Y83" s="1"/>
      <c r="Z83" s="5">
        <f t="shared" ref="Z83:Z85" si="71">IF(T83=0,0,X83/T83)</f>
        <v>-0.78464255677039529</v>
      </c>
    </row>
    <row r="84" spans="1:26" s="24" customFormat="1" hidden="1" outlineLevel="2" x14ac:dyDescent="0.25">
      <c r="A84" s="26"/>
      <c r="B84" s="11" t="str">
        <f>CONCATENATE("          ", "6258", " - ", "MEMBERSHIP DUES")</f>
        <v xml:space="preserve">          6258 - MEMBERSHIP DUES</v>
      </c>
      <c r="C84" s="11"/>
      <c r="D84" s="7"/>
      <c r="E84" s="2"/>
      <c r="F84" s="6">
        <f t="shared" si="64"/>
        <v>0</v>
      </c>
      <c r="G84" s="2"/>
      <c r="H84" s="7">
        <v>100</v>
      </c>
      <c r="I84" s="2"/>
      <c r="J84" s="6">
        <f t="shared" si="65"/>
        <v>0</v>
      </c>
      <c r="K84" s="2"/>
      <c r="L84" s="7">
        <f t="shared" si="66"/>
        <v>-100</v>
      </c>
      <c r="M84" s="2"/>
      <c r="N84" s="6">
        <f t="shared" si="67"/>
        <v>-1</v>
      </c>
      <c r="O84" s="11"/>
      <c r="P84" s="7">
        <v>875</v>
      </c>
      <c r="Q84" s="2"/>
      <c r="R84" s="6">
        <f t="shared" si="68"/>
        <v>0</v>
      </c>
      <c r="S84" s="2"/>
      <c r="T84" s="7">
        <v>5945</v>
      </c>
      <c r="U84" s="2"/>
      <c r="V84" s="6">
        <f t="shared" si="69"/>
        <v>0</v>
      </c>
      <c r="W84" s="2"/>
      <c r="X84" s="7">
        <f t="shared" si="70"/>
        <v>-5070</v>
      </c>
      <c r="Y84" s="2"/>
      <c r="Z84" s="6">
        <f t="shared" si="71"/>
        <v>-0.8528174936921783</v>
      </c>
    </row>
    <row r="85" spans="1:26" s="24" customFormat="1" hidden="1" outlineLevel="2" x14ac:dyDescent="0.25">
      <c r="A85" s="26"/>
      <c r="B85" s="11" t="str">
        <f>CONCATENATE("          ", "6275", " - ", "SUBSCRIPTIONS")</f>
        <v xml:space="preserve">          6275 - SUBSCRIPTIONS</v>
      </c>
      <c r="C85" s="11"/>
      <c r="D85" s="7"/>
      <c r="E85" s="2"/>
      <c r="F85" s="6">
        <f t="shared" si="64"/>
        <v>0</v>
      </c>
      <c r="G85" s="2"/>
      <c r="H85" s="7"/>
      <c r="I85" s="2"/>
      <c r="J85" s="6">
        <f t="shared" si="65"/>
        <v>0</v>
      </c>
      <c r="K85" s="2"/>
      <c r="L85" s="7">
        <f t="shared" si="66"/>
        <v>0</v>
      </c>
      <c r="M85" s="2"/>
      <c r="N85" s="6">
        <f t="shared" si="67"/>
        <v>0</v>
      </c>
      <c r="O85" s="11"/>
      <c r="P85" s="7">
        <v>405.3</v>
      </c>
      <c r="Q85" s="2"/>
      <c r="R85" s="6">
        <f t="shared" si="68"/>
        <v>0</v>
      </c>
      <c r="S85" s="2"/>
      <c r="T85" s="7"/>
      <c r="U85" s="2"/>
      <c r="V85" s="6">
        <f t="shared" si="69"/>
        <v>0</v>
      </c>
      <c r="W85" s="2"/>
      <c r="X85" s="7">
        <f t="shared" si="70"/>
        <v>405.3</v>
      </c>
      <c r="Y85" s="2"/>
      <c r="Z85" s="6">
        <f t="shared" si="71"/>
        <v>0</v>
      </c>
    </row>
    <row r="86" spans="1:26" s="27" customFormat="1" outlineLevel="1" collapsed="1" x14ac:dyDescent="0.25">
      <c r="A86" s="25"/>
      <c r="B86" s="12" t="str">
        <f>CONCATENATE("     ","Supplies                                          ")</f>
        <v xml:space="preserve">     Supplies                                          </v>
      </c>
      <c r="C86" s="12"/>
      <c r="D86" s="1">
        <f>SUM(OSRRefD22_19x_0)</f>
        <v>2944.3</v>
      </c>
      <c r="E86" s="1"/>
      <c r="F86" s="5">
        <f t="shared" ref="F86:F93" si="72">IF(D$12=0,0,D86/D$12)</f>
        <v>0</v>
      </c>
      <c r="G86" s="1"/>
      <c r="H86" s="1">
        <f>SUM(OSRRefH22_19x_0)</f>
        <v>4250</v>
      </c>
      <c r="I86" s="1"/>
      <c r="J86" s="5">
        <f t="shared" ref="J86:J93" si="73">IF(H$12=0,0,H86/H$12)</f>
        <v>0</v>
      </c>
      <c r="K86" s="1"/>
      <c r="L86" s="1">
        <f t="shared" ref="L86:L93" si="74">+D86-H86</f>
        <v>-1305.6999999999998</v>
      </c>
      <c r="M86" s="1"/>
      <c r="N86" s="5">
        <f t="shared" ref="N86:N93" si="75">IF(H86=0,0,L86/H86)</f>
        <v>-0.30722352941176467</v>
      </c>
      <c r="O86" s="12"/>
      <c r="P86" s="1">
        <f>SUM(OSRRefP22_19x_0)</f>
        <v>17065.370000000003</v>
      </c>
      <c r="Q86" s="1"/>
      <c r="R86" s="5">
        <f t="shared" ref="R86:R93" si="76">IF(P$12=0,0,P86/P$12)</f>
        <v>0</v>
      </c>
      <c r="S86" s="1"/>
      <c r="T86" s="1">
        <f>SUM(OSRRefT22_19x_0)</f>
        <v>46850</v>
      </c>
      <c r="U86" s="1"/>
      <c r="V86" s="5">
        <f t="shared" ref="V86:V93" si="77">IF(T$12=0,0,T86/T$12)</f>
        <v>0</v>
      </c>
      <c r="W86" s="1"/>
      <c r="X86" s="1">
        <f t="shared" ref="X86:X93" si="78">+P86-T86</f>
        <v>-29784.629999999997</v>
      </c>
      <c r="Y86" s="1"/>
      <c r="Z86" s="5">
        <f t="shared" ref="Z86:Z93" si="79">IF(T86=0,0,X86/T86)</f>
        <v>-0.63574450373532543</v>
      </c>
    </row>
    <row r="87" spans="1:26" s="24" customFormat="1" hidden="1" outlineLevel="2" x14ac:dyDescent="0.25">
      <c r="A87" s="26"/>
      <c r="B87" s="11" t="str">
        <f>CONCATENATE("          ", "6234", " - ", "EXPENDABLE SUPPLIES &amp; EQUIPMEN")</f>
        <v xml:space="preserve">          6234 - EXPENDABLE SUPPLIES &amp; EQUIPMEN</v>
      </c>
      <c r="C87" s="11"/>
      <c r="D87" s="7">
        <v>700.76</v>
      </c>
      <c r="E87" s="2"/>
      <c r="F87" s="6">
        <f t="shared" si="72"/>
        <v>0</v>
      </c>
      <c r="G87" s="2"/>
      <c r="H87" s="7"/>
      <c r="I87" s="2"/>
      <c r="J87" s="6">
        <f t="shared" si="73"/>
        <v>0</v>
      </c>
      <c r="K87" s="2"/>
      <c r="L87" s="7">
        <f t="shared" si="74"/>
        <v>700.76</v>
      </c>
      <c r="M87" s="2"/>
      <c r="N87" s="6">
        <f t="shared" si="75"/>
        <v>0</v>
      </c>
      <c r="O87" s="11"/>
      <c r="P87" s="7">
        <v>2149.0500000000002</v>
      </c>
      <c r="Q87" s="2"/>
      <c r="R87" s="6">
        <f t="shared" si="76"/>
        <v>0</v>
      </c>
      <c r="S87" s="2"/>
      <c r="T87" s="7"/>
      <c r="U87" s="2"/>
      <c r="V87" s="6">
        <f t="shared" si="77"/>
        <v>0</v>
      </c>
      <c r="W87" s="2"/>
      <c r="X87" s="7">
        <f t="shared" si="78"/>
        <v>2149.0500000000002</v>
      </c>
      <c r="Y87" s="2"/>
      <c r="Z87" s="6">
        <f t="shared" si="79"/>
        <v>0</v>
      </c>
    </row>
    <row r="88" spans="1:26" s="24" customFormat="1" hidden="1" outlineLevel="2" x14ac:dyDescent="0.25">
      <c r="A88" s="26"/>
      <c r="B88" s="11" t="str">
        <f>CONCATENATE("          ", "6235", " - ", "COVID-19 EXPENSES")</f>
        <v xml:space="preserve">          6235 - COVID-19 EXPENSES</v>
      </c>
      <c r="C88" s="11"/>
      <c r="D88" s="7">
        <v>1550</v>
      </c>
      <c r="E88" s="2"/>
      <c r="F88" s="6">
        <f t="shared" si="72"/>
        <v>0</v>
      </c>
      <c r="G88" s="2"/>
      <c r="H88" s="7"/>
      <c r="I88" s="2"/>
      <c r="J88" s="6">
        <f t="shared" si="73"/>
        <v>0</v>
      </c>
      <c r="K88" s="2"/>
      <c r="L88" s="7">
        <f t="shared" si="74"/>
        <v>1550</v>
      </c>
      <c r="M88" s="2"/>
      <c r="N88" s="6">
        <f t="shared" si="75"/>
        <v>0</v>
      </c>
      <c r="O88" s="11"/>
      <c r="P88" s="7">
        <v>1550</v>
      </c>
      <c r="Q88" s="2"/>
      <c r="R88" s="6">
        <f t="shared" si="76"/>
        <v>0</v>
      </c>
      <c r="S88" s="2"/>
      <c r="T88" s="7"/>
      <c r="U88" s="2"/>
      <c r="V88" s="6">
        <f t="shared" si="77"/>
        <v>0</v>
      </c>
      <c r="W88" s="2"/>
      <c r="X88" s="7">
        <f t="shared" si="78"/>
        <v>1550</v>
      </c>
      <c r="Y88" s="2"/>
      <c r="Z88" s="6">
        <f t="shared" si="79"/>
        <v>0</v>
      </c>
    </row>
    <row r="89" spans="1:26" s="24" customFormat="1" hidden="1" outlineLevel="2" x14ac:dyDescent="0.25">
      <c r="A89" s="26"/>
      <c r="B89" s="11" t="str">
        <f>CONCATENATE("          ", "6237", " - ", "JANITORIAL SUPPLIES")</f>
        <v xml:space="preserve">          6237 - JANITORIAL SUPPLIES</v>
      </c>
      <c r="C89" s="11"/>
      <c r="D89" s="7"/>
      <c r="E89" s="2"/>
      <c r="F89" s="6">
        <f t="shared" si="72"/>
        <v>0</v>
      </c>
      <c r="G89" s="2"/>
      <c r="H89" s="7"/>
      <c r="I89" s="2"/>
      <c r="J89" s="6">
        <f t="shared" si="73"/>
        <v>0</v>
      </c>
      <c r="K89" s="2"/>
      <c r="L89" s="7">
        <f t="shared" si="74"/>
        <v>0</v>
      </c>
      <c r="M89" s="2"/>
      <c r="N89" s="6">
        <f t="shared" si="75"/>
        <v>0</v>
      </c>
      <c r="O89" s="11"/>
      <c r="P89" s="7">
        <v>4407.67</v>
      </c>
      <c r="Q89" s="2"/>
      <c r="R89" s="6">
        <f t="shared" si="76"/>
        <v>0</v>
      </c>
      <c r="S89" s="2"/>
      <c r="T89" s="7"/>
      <c r="U89" s="2"/>
      <c r="V89" s="6">
        <f t="shared" si="77"/>
        <v>0</v>
      </c>
      <c r="W89" s="2"/>
      <c r="X89" s="7">
        <f t="shared" si="78"/>
        <v>4407.67</v>
      </c>
      <c r="Y89" s="2"/>
      <c r="Z89" s="6">
        <f t="shared" si="79"/>
        <v>0</v>
      </c>
    </row>
    <row r="90" spans="1:26" s="24" customFormat="1" hidden="1" outlineLevel="2" x14ac:dyDescent="0.25">
      <c r="A90" s="26"/>
      <c r="B90" s="11" t="str">
        <f>CONCATENATE("          ", "6241", " - ", "OFFICE EXPENSE")</f>
        <v xml:space="preserve">          6241 - OFFICE EXPENSE</v>
      </c>
      <c r="C90" s="11"/>
      <c r="D90" s="7">
        <v>693.74</v>
      </c>
      <c r="E90" s="2"/>
      <c r="F90" s="6">
        <f t="shared" si="72"/>
        <v>0</v>
      </c>
      <c r="G90" s="2"/>
      <c r="H90" s="7"/>
      <c r="I90" s="2"/>
      <c r="J90" s="6">
        <f t="shared" si="73"/>
        <v>0</v>
      </c>
      <c r="K90" s="2"/>
      <c r="L90" s="7">
        <f t="shared" si="74"/>
        <v>693.74</v>
      </c>
      <c r="M90" s="2"/>
      <c r="N90" s="6">
        <f t="shared" si="75"/>
        <v>0</v>
      </c>
      <c r="O90" s="11"/>
      <c r="P90" s="7">
        <v>9348.86</v>
      </c>
      <c r="Q90" s="2"/>
      <c r="R90" s="6">
        <f t="shared" si="76"/>
        <v>0</v>
      </c>
      <c r="S90" s="2"/>
      <c r="T90" s="7"/>
      <c r="U90" s="2"/>
      <c r="V90" s="6">
        <f t="shared" si="77"/>
        <v>0</v>
      </c>
      <c r="W90" s="2"/>
      <c r="X90" s="7">
        <f t="shared" si="78"/>
        <v>9348.86</v>
      </c>
      <c r="Y90" s="2"/>
      <c r="Z90" s="6">
        <f t="shared" si="79"/>
        <v>0</v>
      </c>
    </row>
    <row r="91" spans="1:26" s="24" customFormat="1" hidden="1" outlineLevel="2" x14ac:dyDescent="0.25">
      <c r="A91" s="26"/>
      <c r="B91" s="11" t="str">
        <f>CONCATENATE("          ", "6245", " - ", "PRINTING")</f>
        <v xml:space="preserve">          6245 - PRINTING</v>
      </c>
      <c r="C91" s="11"/>
      <c r="D91" s="7"/>
      <c r="E91" s="2"/>
      <c r="F91" s="6">
        <f t="shared" si="72"/>
        <v>0</v>
      </c>
      <c r="G91" s="2"/>
      <c r="H91" s="7"/>
      <c r="I91" s="2"/>
      <c r="J91" s="6">
        <f t="shared" si="73"/>
        <v>0</v>
      </c>
      <c r="K91" s="2"/>
      <c r="L91" s="7">
        <f t="shared" si="74"/>
        <v>0</v>
      </c>
      <c r="M91" s="2"/>
      <c r="N91" s="6">
        <f t="shared" si="75"/>
        <v>0</v>
      </c>
      <c r="O91" s="11"/>
      <c r="P91" s="7">
        <v>19.73</v>
      </c>
      <c r="Q91" s="2"/>
      <c r="R91" s="6">
        <f t="shared" si="76"/>
        <v>0</v>
      </c>
      <c r="S91" s="2"/>
      <c r="T91" s="7"/>
      <c r="U91" s="2"/>
      <c r="V91" s="6">
        <f t="shared" si="77"/>
        <v>0</v>
      </c>
      <c r="W91" s="2"/>
      <c r="X91" s="7">
        <f t="shared" si="78"/>
        <v>19.73</v>
      </c>
      <c r="Y91" s="2"/>
      <c r="Z91" s="6">
        <f t="shared" si="79"/>
        <v>0</v>
      </c>
    </row>
    <row r="92" spans="1:26" s="24" customFormat="1" hidden="1" outlineLevel="2" x14ac:dyDescent="0.25">
      <c r="A92" s="26"/>
      <c r="B92" s="11" t="str">
        <f>CONCATENATE("          ", "6247", " - ", "STORE SUPPLIES")</f>
        <v xml:space="preserve">          6247 - STORE SUPPLIES</v>
      </c>
      <c r="C92" s="11"/>
      <c r="D92" s="7">
        <v>-0.2</v>
      </c>
      <c r="E92" s="2"/>
      <c r="F92" s="6">
        <f t="shared" si="72"/>
        <v>0</v>
      </c>
      <c r="G92" s="2"/>
      <c r="H92" s="7">
        <v>3250</v>
      </c>
      <c r="I92" s="2"/>
      <c r="J92" s="6">
        <f t="shared" si="73"/>
        <v>0</v>
      </c>
      <c r="K92" s="2"/>
      <c r="L92" s="7">
        <f t="shared" si="74"/>
        <v>-3250.2</v>
      </c>
      <c r="M92" s="2"/>
      <c r="N92" s="6">
        <f t="shared" si="75"/>
        <v>-1.0000615384615383</v>
      </c>
      <c r="O92" s="11"/>
      <c r="P92" s="7">
        <v>-453.85</v>
      </c>
      <c r="Q92" s="2"/>
      <c r="R92" s="6">
        <f t="shared" si="76"/>
        <v>0</v>
      </c>
      <c r="S92" s="2"/>
      <c r="T92" s="7">
        <v>35850</v>
      </c>
      <c r="U92" s="2"/>
      <c r="V92" s="6">
        <f t="shared" si="77"/>
        <v>0</v>
      </c>
      <c r="W92" s="2"/>
      <c r="X92" s="7">
        <f t="shared" si="78"/>
        <v>-36303.85</v>
      </c>
      <c r="Y92" s="2"/>
      <c r="Z92" s="6">
        <f t="shared" si="79"/>
        <v>-1.0126596931659693</v>
      </c>
    </row>
    <row r="93" spans="1:26" s="24" customFormat="1" hidden="1" outlineLevel="2" x14ac:dyDescent="0.25">
      <c r="A93" s="26"/>
      <c r="B93" s="11" t="str">
        <f>CONCATENATE("          ", "6248", " - ", "UNIFORMS")</f>
        <v xml:space="preserve">          6248 - UNIFORMS</v>
      </c>
      <c r="C93" s="11"/>
      <c r="D93" s="7"/>
      <c r="E93" s="2"/>
      <c r="F93" s="6">
        <f t="shared" si="72"/>
        <v>0</v>
      </c>
      <c r="G93" s="2"/>
      <c r="H93" s="7">
        <v>1000</v>
      </c>
      <c r="I93" s="2"/>
      <c r="J93" s="6">
        <f t="shared" si="73"/>
        <v>0</v>
      </c>
      <c r="K93" s="2"/>
      <c r="L93" s="7">
        <f t="shared" si="74"/>
        <v>-1000</v>
      </c>
      <c r="M93" s="2"/>
      <c r="N93" s="6">
        <f t="shared" si="75"/>
        <v>-1</v>
      </c>
      <c r="O93" s="11"/>
      <c r="P93" s="7">
        <v>43.91</v>
      </c>
      <c r="Q93" s="2"/>
      <c r="R93" s="6">
        <f t="shared" si="76"/>
        <v>0</v>
      </c>
      <c r="S93" s="2"/>
      <c r="T93" s="7">
        <v>11000</v>
      </c>
      <c r="U93" s="2"/>
      <c r="V93" s="6">
        <f t="shared" si="77"/>
        <v>0</v>
      </c>
      <c r="W93" s="2"/>
      <c r="X93" s="7">
        <f t="shared" si="78"/>
        <v>-10956.09</v>
      </c>
      <c r="Y93" s="2"/>
      <c r="Z93" s="6">
        <f t="shared" si="79"/>
        <v>-0.99600818181818185</v>
      </c>
    </row>
    <row r="94" spans="1:26" s="27" customFormat="1" outlineLevel="1" collapsed="1" x14ac:dyDescent="0.25">
      <c r="A94" s="25"/>
      <c r="B94" s="12" t="str">
        <f>CONCATENATE("     ","Telephone/Data Lines                              ")</f>
        <v xml:space="preserve">     Telephone/Data Lines                              </v>
      </c>
      <c r="C94" s="12"/>
      <c r="D94" s="1">
        <f>SUM(OSRRefD22_20x_0)</f>
        <v>385.05</v>
      </c>
      <c r="E94" s="1"/>
      <c r="F94" s="5">
        <f t="shared" ref="F94:F101" si="80">IF(D$12=0,0,D94/D$12)</f>
        <v>0</v>
      </c>
      <c r="G94" s="1"/>
      <c r="H94" s="1">
        <f>SUM(OSRRefH22_20x_0)</f>
        <v>500</v>
      </c>
      <c r="I94" s="1"/>
      <c r="J94" s="5">
        <f t="shared" ref="J94:J101" si="81">IF(H$12=0,0,H94/H$12)</f>
        <v>0</v>
      </c>
      <c r="K94" s="1"/>
      <c r="L94" s="1">
        <f t="shared" ref="L94:L101" si="82">+D94-H94</f>
        <v>-114.94999999999999</v>
      </c>
      <c r="M94" s="1"/>
      <c r="N94" s="5">
        <f t="shared" ref="N94:N101" si="83">IF(H94=0,0,L94/H94)</f>
        <v>-0.22989999999999997</v>
      </c>
      <c r="O94" s="12"/>
      <c r="P94" s="1">
        <f>SUM(OSRRefP22_20x_0)</f>
        <v>5766.42</v>
      </c>
      <c r="Q94" s="1"/>
      <c r="R94" s="5">
        <f t="shared" ref="R94:R101" si="84">IF(P$12=0,0,P94/P$12)</f>
        <v>0</v>
      </c>
      <c r="S94" s="1"/>
      <c r="T94" s="1">
        <f>SUM(OSRRefT22_20x_0)</f>
        <v>5500</v>
      </c>
      <c r="U94" s="1"/>
      <c r="V94" s="5">
        <f t="shared" ref="V94:V101" si="85">IF(T$12=0,0,T94/T$12)</f>
        <v>0</v>
      </c>
      <c r="W94" s="1"/>
      <c r="X94" s="1">
        <f t="shared" ref="X94:X101" si="86">+P94-T94</f>
        <v>266.42000000000007</v>
      </c>
      <c r="Y94" s="1"/>
      <c r="Z94" s="5">
        <f t="shared" ref="Z94:Z101" si="87">IF(T94=0,0,X94/T94)</f>
        <v>4.8440000000000011E-2</v>
      </c>
    </row>
    <row r="95" spans="1:26" s="24" customFormat="1" hidden="1" outlineLevel="2" x14ac:dyDescent="0.25">
      <c r="A95" s="26"/>
      <c r="B95" s="11" t="str">
        <f>CONCATENATE("          ", "6309", " - ", "TELEPHONE")</f>
        <v xml:space="preserve">          6309 - TELEPHONE</v>
      </c>
      <c r="C95" s="11"/>
      <c r="D95" s="7">
        <v>385.05</v>
      </c>
      <c r="E95" s="2"/>
      <c r="F95" s="6">
        <f t="shared" si="80"/>
        <v>0</v>
      </c>
      <c r="G95" s="2"/>
      <c r="H95" s="7">
        <v>500</v>
      </c>
      <c r="I95" s="2"/>
      <c r="J95" s="6">
        <f t="shared" si="81"/>
        <v>0</v>
      </c>
      <c r="K95" s="2"/>
      <c r="L95" s="7">
        <f t="shared" si="82"/>
        <v>-114.94999999999999</v>
      </c>
      <c r="M95" s="2"/>
      <c r="N95" s="6">
        <f t="shared" si="83"/>
        <v>-0.22989999999999997</v>
      </c>
      <c r="O95" s="11"/>
      <c r="P95" s="7">
        <v>5766.42</v>
      </c>
      <c r="Q95" s="2"/>
      <c r="R95" s="6">
        <f t="shared" si="84"/>
        <v>0</v>
      </c>
      <c r="S95" s="2"/>
      <c r="T95" s="7">
        <v>5500</v>
      </c>
      <c r="U95" s="2"/>
      <c r="V95" s="6">
        <f t="shared" si="85"/>
        <v>0</v>
      </c>
      <c r="W95" s="2"/>
      <c r="X95" s="7">
        <f t="shared" si="86"/>
        <v>266.42000000000007</v>
      </c>
      <c r="Y95" s="2"/>
      <c r="Z95" s="6">
        <f t="shared" si="87"/>
        <v>4.8440000000000011E-2</v>
      </c>
    </row>
    <row r="96" spans="1:26" s="27" customFormat="1" outlineLevel="1" collapsed="1" x14ac:dyDescent="0.25">
      <c r="A96" s="25"/>
      <c r="B96" s="12" t="str">
        <f>CONCATENATE("     ","Training                                          ")</f>
        <v xml:space="preserve">     Training                                          </v>
      </c>
      <c r="C96" s="12"/>
      <c r="D96" s="1">
        <f>SUM(OSRRefD22_21x_0)</f>
        <v>2140.13</v>
      </c>
      <c r="E96" s="1"/>
      <c r="F96" s="5">
        <f t="shared" si="80"/>
        <v>0</v>
      </c>
      <c r="G96" s="1"/>
      <c r="H96" s="1">
        <f>SUM(OSRRefH22_21x_0)</f>
        <v>1125</v>
      </c>
      <c r="I96" s="1"/>
      <c r="J96" s="5">
        <f t="shared" si="81"/>
        <v>0</v>
      </c>
      <c r="K96" s="1"/>
      <c r="L96" s="1">
        <f t="shared" si="82"/>
        <v>1015.1300000000001</v>
      </c>
      <c r="M96" s="1"/>
      <c r="N96" s="5">
        <f t="shared" si="83"/>
        <v>0.90233777777777791</v>
      </c>
      <c r="O96" s="12"/>
      <c r="P96" s="1">
        <f>SUM(OSRRefP22_21x_0)</f>
        <v>13942.81</v>
      </c>
      <c r="Q96" s="1"/>
      <c r="R96" s="5">
        <f t="shared" si="84"/>
        <v>0</v>
      </c>
      <c r="S96" s="1"/>
      <c r="T96" s="1">
        <f>SUM(OSRRefT22_21x_0)</f>
        <v>12375</v>
      </c>
      <c r="U96" s="1"/>
      <c r="V96" s="5">
        <f t="shared" si="85"/>
        <v>0</v>
      </c>
      <c r="W96" s="1"/>
      <c r="X96" s="1">
        <f t="shared" si="86"/>
        <v>1567.8099999999995</v>
      </c>
      <c r="Y96" s="1"/>
      <c r="Z96" s="5">
        <f t="shared" si="87"/>
        <v>0.12669171717171712</v>
      </c>
    </row>
    <row r="97" spans="1:26" s="24" customFormat="1" hidden="1" outlineLevel="2" x14ac:dyDescent="0.25">
      <c r="A97" s="26"/>
      <c r="B97" s="11" t="str">
        <f>CONCATENATE("          ", "6376", " - ", "TRAINING")</f>
        <v xml:space="preserve">          6376 - TRAINING</v>
      </c>
      <c r="C97" s="11"/>
      <c r="D97" s="7">
        <v>2140.13</v>
      </c>
      <c r="E97" s="2"/>
      <c r="F97" s="6">
        <f t="shared" si="80"/>
        <v>0</v>
      </c>
      <c r="G97" s="2"/>
      <c r="H97" s="7">
        <v>1125</v>
      </c>
      <c r="I97" s="2"/>
      <c r="J97" s="6">
        <f t="shared" si="81"/>
        <v>0</v>
      </c>
      <c r="K97" s="2"/>
      <c r="L97" s="7">
        <f t="shared" si="82"/>
        <v>1015.1300000000001</v>
      </c>
      <c r="M97" s="2"/>
      <c r="N97" s="6">
        <f t="shared" si="83"/>
        <v>0.90233777777777791</v>
      </c>
      <c r="O97" s="11"/>
      <c r="P97" s="7">
        <v>13942.81</v>
      </c>
      <c r="Q97" s="2"/>
      <c r="R97" s="6">
        <f t="shared" si="84"/>
        <v>0</v>
      </c>
      <c r="S97" s="2"/>
      <c r="T97" s="7">
        <v>12375</v>
      </c>
      <c r="U97" s="2"/>
      <c r="V97" s="6">
        <f t="shared" si="85"/>
        <v>0</v>
      </c>
      <c r="W97" s="2"/>
      <c r="X97" s="7">
        <f t="shared" si="86"/>
        <v>1567.8099999999995</v>
      </c>
      <c r="Y97" s="2"/>
      <c r="Z97" s="6">
        <f t="shared" si="87"/>
        <v>0.12669171717171712</v>
      </c>
    </row>
    <row r="98" spans="1:26" s="27" customFormat="1" outlineLevel="1" collapsed="1" x14ac:dyDescent="0.25">
      <c r="A98" s="25"/>
      <c r="B98" s="12" t="str">
        <f>CONCATENATE("     ","Travel                                            ")</f>
        <v xml:space="preserve">     Travel                                            </v>
      </c>
      <c r="C98" s="12"/>
      <c r="D98" s="1">
        <f>SUM(OSRRefD22_22x_0)</f>
        <v>0</v>
      </c>
      <c r="E98" s="1"/>
      <c r="F98" s="5">
        <f t="shared" si="80"/>
        <v>0</v>
      </c>
      <c r="G98" s="1"/>
      <c r="H98" s="1">
        <f>SUM(OSRRefH22_22x_0)</f>
        <v>0</v>
      </c>
      <c r="I98" s="1"/>
      <c r="J98" s="5">
        <f t="shared" si="81"/>
        <v>0</v>
      </c>
      <c r="K98" s="1"/>
      <c r="L98" s="1">
        <f t="shared" si="82"/>
        <v>0</v>
      </c>
      <c r="M98" s="1"/>
      <c r="N98" s="5">
        <f t="shared" si="83"/>
        <v>0</v>
      </c>
      <c r="O98" s="12"/>
      <c r="P98" s="1">
        <f>SUM(OSRRefP22_22x_0)</f>
        <v>943.89</v>
      </c>
      <c r="Q98" s="1"/>
      <c r="R98" s="5">
        <f t="shared" si="84"/>
        <v>0</v>
      </c>
      <c r="S98" s="1"/>
      <c r="T98" s="1">
        <f>SUM(OSRRefT22_22x_0)</f>
        <v>0</v>
      </c>
      <c r="U98" s="1"/>
      <c r="V98" s="5">
        <f t="shared" si="85"/>
        <v>0</v>
      </c>
      <c r="W98" s="1"/>
      <c r="X98" s="1">
        <f t="shared" si="86"/>
        <v>943.89</v>
      </c>
      <c r="Y98" s="1"/>
      <c r="Z98" s="5">
        <f t="shared" si="87"/>
        <v>0</v>
      </c>
    </row>
    <row r="99" spans="1:26" s="24" customFormat="1" hidden="1" outlineLevel="2" x14ac:dyDescent="0.25">
      <c r="A99" s="26"/>
      <c r="B99" s="11" t="str">
        <f>CONCATENATE("          ", "6292", " - ", "TRAVEL/CONFERENCE")</f>
        <v xml:space="preserve">          6292 - TRAVEL/CONFERENCE</v>
      </c>
      <c r="C99" s="11"/>
      <c r="D99" s="7"/>
      <c r="E99" s="2"/>
      <c r="F99" s="6">
        <f t="shared" si="80"/>
        <v>0</v>
      </c>
      <c r="G99" s="2"/>
      <c r="H99" s="7"/>
      <c r="I99" s="2"/>
      <c r="J99" s="6">
        <f t="shared" si="81"/>
        <v>0</v>
      </c>
      <c r="K99" s="2"/>
      <c r="L99" s="7">
        <f t="shared" si="82"/>
        <v>0</v>
      </c>
      <c r="M99" s="2"/>
      <c r="N99" s="6">
        <f t="shared" si="83"/>
        <v>0</v>
      </c>
      <c r="O99" s="11"/>
      <c r="P99" s="7">
        <v>636.70000000000005</v>
      </c>
      <c r="Q99" s="2"/>
      <c r="R99" s="6">
        <f t="shared" si="84"/>
        <v>0</v>
      </c>
      <c r="S99" s="2"/>
      <c r="T99" s="7"/>
      <c r="U99" s="2"/>
      <c r="V99" s="6">
        <f t="shared" si="85"/>
        <v>0</v>
      </c>
      <c r="W99" s="2"/>
      <c r="X99" s="7">
        <f t="shared" si="86"/>
        <v>636.70000000000005</v>
      </c>
      <c r="Y99" s="2"/>
      <c r="Z99" s="6">
        <f t="shared" si="87"/>
        <v>0</v>
      </c>
    </row>
    <row r="100" spans="1:26" s="24" customFormat="1" hidden="1" outlineLevel="2" x14ac:dyDescent="0.25">
      <c r="A100" s="26"/>
      <c r="B100" s="11" t="str">
        <f>CONCATENATE("          ", "6294", " - ", "TRAVEL OPERATIONAL")</f>
        <v xml:space="preserve">          6294 - TRAVEL OPERATIONAL</v>
      </c>
      <c r="C100" s="11"/>
      <c r="D100" s="7"/>
      <c r="E100" s="2"/>
      <c r="F100" s="6">
        <f t="shared" si="80"/>
        <v>0</v>
      </c>
      <c r="G100" s="2"/>
      <c r="H100" s="7"/>
      <c r="I100" s="2"/>
      <c r="J100" s="6">
        <f t="shared" si="81"/>
        <v>0</v>
      </c>
      <c r="K100" s="2"/>
      <c r="L100" s="7">
        <f t="shared" si="82"/>
        <v>0</v>
      </c>
      <c r="M100" s="2"/>
      <c r="N100" s="6">
        <f t="shared" si="83"/>
        <v>0</v>
      </c>
      <c r="O100" s="11"/>
      <c r="P100" s="7">
        <v>-144.33000000000001</v>
      </c>
      <c r="Q100" s="2"/>
      <c r="R100" s="6">
        <f t="shared" si="84"/>
        <v>0</v>
      </c>
      <c r="S100" s="2"/>
      <c r="T100" s="7"/>
      <c r="U100" s="2"/>
      <c r="V100" s="6">
        <f t="shared" si="85"/>
        <v>0</v>
      </c>
      <c r="W100" s="2"/>
      <c r="X100" s="7">
        <f t="shared" si="86"/>
        <v>-144.33000000000001</v>
      </c>
      <c r="Y100" s="2"/>
      <c r="Z100" s="6">
        <f t="shared" si="87"/>
        <v>0</v>
      </c>
    </row>
    <row r="101" spans="1:26" s="24" customFormat="1" hidden="1" outlineLevel="2" x14ac:dyDescent="0.25">
      <c r="A101" s="26"/>
      <c r="B101" s="11" t="str">
        <f>CONCATENATE("          ", "6298", " - ", "VEHICLE MILEAGE")</f>
        <v xml:space="preserve">          6298 - VEHICLE MILEAGE</v>
      </c>
      <c r="C101" s="11"/>
      <c r="D101" s="7"/>
      <c r="E101" s="2"/>
      <c r="F101" s="6">
        <f t="shared" si="80"/>
        <v>0</v>
      </c>
      <c r="G101" s="2"/>
      <c r="H101" s="7"/>
      <c r="I101" s="2"/>
      <c r="J101" s="6">
        <f t="shared" si="81"/>
        <v>0</v>
      </c>
      <c r="K101" s="2"/>
      <c r="L101" s="7">
        <f t="shared" si="82"/>
        <v>0</v>
      </c>
      <c r="M101" s="2"/>
      <c r="N101" s="6">
        <f t="shared" si="83"/>
        <v>0</v>
      </c>
      <c r="O101" s="11"/>
      <c r="P101" s="7">
        <v>451.52</v>
      </c>
      <c r="Q101" s="2"/>
      <c r="R101" s="6">
        <f t="shared" si="84"/>
        <v>0</v>
      </c>
      <c r="S101" s="2"/>
      <c r="T101" s="7"/>
      <c r="U101" s="2"/>
      <c r="V101" s="6">
        <f t="shared" si="85"/>
        <v>0</v>
      </c>
      <c r="W101" s="2"/>
      <c r="X101" s="7">
        <f t="shared" si="86"/>
        <v>451.52</v>
      </c>
      <c r="Y101" s="2"/>
      <c r="Z101" s="6">
        <f t="shared" si="87"/>
        <v>0</v>
      </c>
    </row>
    <row r="102" spans="1:26" s="27" customFormat="1" outlineLevel="1" collapsed="1" x14ac:dyDescent="0.25">
      <c r="A102" s="25"/>
      <c r="B102" s="12" t="str">
        <f>CONCATENATE("     ","Utilities                                         ")</f>
        <v xml:space="preserve">     Utilities                                         </v>
      </c>
      <c r="C102" s="12"/>
      <c r="D102" s="1">
        <f>SUM(OSRRefD22_23x_0)</f>
        <v>6133</v>
      </c>
      <c r="E102" s="1"/>
      <c r="F102" s="5">
        <f t="shared" ref="F102:F103" si="88">IF(D$12=0,0,D102/D$12)</f>
        <v>0</v>
      </c>
      <c r="G102" s="1"/>
      <c r="H102" s="1">
        <f>SUM(OSRRefH22_23x_0)</f>
        <v>5000</v>
      </c>
      <c r="I102" s="1"/>
      <c r="J102" s="5">
        <f t="shared" ref="J102:J103" si="89">IF(H$12=0,0,H102/H$12)</f>
        <v>0</v>
      </c>
      <c r="K102" s="1"/>
      <c r="L102" s="1">
        <f t="shared" ref="L102:L103" si="90">+D102-H102</f>
        <v>1133</v>
      </c>
      <c r="M102" s="1"/>
      <c r="N102" s="5">
        <f t="shared" ref="N102:N103" si="91">IF(H102=0,0,L102/H102)</f>
        <v>0.2266</v>
      </c>
      <c r="O102" s="12"/>
      <c r="P102" s="1">
        <f>SUM(OSRRefP22_23x_0)</f>
        <v>62404.999999999993</v>
      </c>
      <c r="Q102" s="1"/>
      <c r="R102" s="5">
        <f t="shared" ref="R102:R103" si="92">IF(P$12=0,0,P102/P$12)</f>
        <v>0</v>
      </c>
      <c r="S102" s="1"/>
      <c r="T102" s="1">
        <f>SUM(OSRRefT22_23x_0)</f>
        <v>55000</v>
      </c>
      <c r="U102" s="1"/>
      <c r="V102" s="5">
        <f t="shared" ref="V102:V103" si="93">IF(T$12=0,0,T102/T$12)</f>
        <v>0</v>
      </c>
      <c r="W102" s="1"/>
      <c r="X102" s="1">
        <f t="shared" ref="X102:X103" si="94">+P102-T102</f>
        <v>7404.9999999999927</v>
      </c>
      <c r="Y102" s="1"/>
      <c r="Z102" s="5">
        <f t="shared" ref="Z102:Z103" si="95">IF(T102=0,0,X102/T102)</f>
        <v>0.1346363636363635</v>
      </c>
    </row>
    <row r="103" spans="1:26" s="24" customFormat="1" hidden="1" outlineLevel="2" x14ac:dyDescent="0.25">
      <c r="A103" s="26"/>
      <c r="B103" s="11" t="str">
        <f>CONCATENATE("          ", "6274", " - ", "UTILITIES")</f>
        <v xml:space="preserve">          6274 - UTILITIES</v>
      </c>
      <c r="C103" s="11"/>
      <c r="D103" s="7">
        <v>6133</v>
      </c>
      <c r="E103" s="2"/>
      <c r="F103" s="6">
        <f t="shared" si="88"/>
        <v>0</v>
      </c>
      <c r="G103" s="2"/>
      <c r="H103" s="7">
        <v>5000</v>
      </c>
      <c r="I103" s="2"/>
      <c r="J103" s="6">
        <f t="shared" si="89"/>
        <v>0</v>
      </c>
      <c r="K103" s="2"/>
      <c r="L103" s="7">
        <f t="shared" si="90"/>
        <v>1133</v>
      </c>
      <c r="M103" s="2"/>
      <c r="N103" s="6">
        <f t="shared" si="91"/>
        <v>0.2266</v>
      </c>
      <c r="O103" s="11"/>
      <c r="P103" s="7">
        <v>62404.999999999993</v>
      </c>
      <c r="Q103" s="2"/>
      <c r="R103" s="6">
        <f t="shared" si="92"/>
        <v>0</v>
      </c>
      <c r="S103" s="2"/>
      <c r="T103" s="7">
        <v>55000</v>
      </c>
      <c r="U103" s="2"/>
      <c r="V103" s="6">
        <f t="shared" si="93"/>
        <v>0</v>
      </c>
      <c r="W103" s="2"/>
      <c r="X103" s="7">
        <f t="shared" si="94"/>
        <v>7404.9999999999927</v>
      </c>
      <c r="Y103" s="2"/>
      <c r="Z103" s="6">
        <f t="shared" si="95"/>
        <v>0.1346363636363635</v>
      </c>
    </row>
    <row r="104" spans="1:26" s="62" customFormat="1" x14ac:dyDescent="0.25">
      <c r="A104" s="36"/>
      <c r="B104" s="36"/>
      <c r="C104" s="36"/>
      <c r="D104" s="1"/>
      <c r="E104" s="1"/>
      <c r="F104" s="5"/>
      <c r="G104" s="1"/>
      <c r="H104" s="1"/>
      <c r="I104" s="1"/>
      <c r="J104" s="5"/>
      <c r="K104" s="1"/>
      <c r="L104" s="1"/>
      <c r="M104" s="1"/>
      <c r="N104" s="5"/>
      <c r="O104" s="36"/>
      <c r="P104" s="1"/>
      <c r="Q104" s="1"/>
      <c r="R104" s="5"/>
      <c r="S104" s="1"/>
      <c r="T104" s="1"/>
      <c r="U104" s="1"/>
      <c r="V104" s="5"/>
      <c r="W104" s="1"/>
      <c r="X104" s="1"/>
      <c r="Y104" s="1"/>
      <c r="Z104" s="5"/>
    </row>
    <row r="105" spans="1:26" s="23" customFormat="1" collapsed="1" x14ac:dyDescent="0.25">
      <c r="A105" s="10"/>
      <c r="B105" s="28" t="s">
        <v>0</v>
      </c>
      <c r="C105" s="10"/>
      <c r="D105" s="4">
        <f>SUM(OSRRefD25x_0)</f>
        <v>34229.360000000001</v>
      </c>
      <c r="E105" s="4"/>
      <c r="F105" s="13">
        <f t="shared" ref="F105:F109" si="96">IF(D$12=0,0,D105/D$12)</f>
        <v>0</v>
      </c>
      <c r="G105" s="4"/>
      <c r="H105" s="4">
        <f>SUM(OSRRefH25x_0)</f>
        <v>24000</v>
      </c>
      <c r="I105" s="4"/>
      <c r="J105" s="13">
        <f t="shared" ref="J105:J109" si="97">IF(H$12=0,0,H105/H$12)</f>
        <v>0</v>
      </c>
      <c r="K105" s="4"/>
      <c r="L105" s="4">
        <f t="shared" ref="L105:L109" si="98">+D105-H105</f>
        <v>10229.36</v>
      </c>
      <c r="M105" s="4"/>
      <c r="N105" s="13">
        <f t="shared" ref="N105:N109" si="99">IF(H105=0,0,L105/H105)</f>
        <v>0.42622333333333334</v>
      </c>
      <c r="O105" s="10"/>
      <c r="P105" s="4">
        <f>SUM(OSRRefP25x_0)</f>
        <v>220240.06</v>
      </c>
      <c r="Q105" s="4"/>
      <c r="R105" s="13">
        <f t="shared" ref="R105:R109" si="100">IF(P$12=0,0,P105/P$12)</f>
        <v>0</v>
      </c>
      <c r="S105" s="4"/>
      <c r="T105" s="4">
        <f>SUM(OSRRefT25x_0)</f>
        <v>264000</v>
      </c>
      <c r="U105" s="4"/>
      <c r="V105" s="13">
        <f t="shared" ref="V105:V109" si="101">IF(T$12=0,0,T105/T$12)</f>
        <v>0</v>
      </c>
      <c r="W105" s="4"/>
      <c r="X105" s="4">
        <f t="shared" ref="X105:X109" si="102">+P105-T105</f>
        <v>-43759.94</v>
      </c>
      <c r="Y105" s="4"/>
      <c r="Z105" s="13">
        <f t="shared" ref="Z105:Z109" si="103">IF(T105=0,0,X105/T105)</f>
        <v>-0.16575734848484849</v>
      </c>
    </row>
    <row r="106" spans="1:26" s="24" customFormat="1" hidden="1" outlineLevel="1" x14ac:dyDescent="0.25">
      <c r="A106" s="44"/>
      <c r="B106" s="11" t="str">
        <f>CONCATENATE("          ", "9150", " - ", "MISC. INCOME")</f>
        <v xml:space="preserve">          9150 - MISC. INCOME</v>
      </c>
      <c r="C106" s="11"/>
      <c r="D106" s="2">
        <f>--34229.36</f>
        <v>34229.360000000001</v>
      </c>
      <c r="E106" s="2"/>
      <c r="F106" s="19">
        <f t="shared" si="96"/>
        <v>0</v>
      </c>
      <c r="G106" s="2"/>
      <c r="H106" s="2">
        <v>21500</v>
      </c>
      <c r="I106" s="2"/>
      <c r="J106" s="19">
        <f t="shared" si="97"/>
        <v>0</v>
      </c>
      <c r="K106" s="2"/>
      <c r="L106" s="2">
        <f t="shared" si="98"/>
        <v>12729.36</v>
      </c>
      <c r="M106" s="2"/>
      <c r="N106" s="19">
        <f t="shared" si="99"/>
        <v>0.59206325581395347</v>
      </c>
      <c r="O106" s="11"/>
      <c r="P106" s="2">
        <f>--213141.66</f>
        <v>213141.66</v>
      </c>
      <c r="Q106" s="2"/>
      <c r="R106" s="19">
        <f t="shared" si="100"/>
        <v>0</v>
      </c>
      <c r="S106" s="2"/>
      <c r="T106" s="2">
        <v>236499.99999999997</v>
      </c>
      <c r="U106" s="2"/>
      <c r="V106" s="19">
        <f t="shared" si="101"/>
        <v>0</v>
      </c>
      <c r="W106" s="2"/>
      <c r="X106" s="2">
        <f t="shared" si="102"/>
        <v>-23358.339999999967</v>
      </c>
      <c r="Y106" s="2"/>
      <c r="Z106" s="19">
        <f t="shared" si="103"/>
        <v>-9.8766765327695433E-2</v>
      </c>
    </row>
    <row r="107" spans="1:26" s="24" customFormat="1" hidden="1" outlineLevel="1" x14ac:dyDescent="0.25">
      <c r="A107" s="44"/>
      <c r="B107" s="11" t="str">
        <f>CONCATENATE("          ", "9151", " - ", "MISC. INCOME")</f>
        <v xml:space="preserve">          9151 - MISC. INCOME</v>
      </c>
      <c r="C107" s="11"/>
      <c r="D107" s="2">
        <f t="shared" ref="D107:D109" si="104">0</f>
        <v>0</v>
      </c>
      <c r="E107" s="2"/>
      <c r="F107" s="19">
        <f t="shared" si="96"/>
        <v>0</v>
      </c>
      <c r="G107" s="2"/>
      <c r="H107" s="2">
        <v>500</v>
      </c>
      <c r="I107" s="2"/>
      <c r="J107" s="19">
        <f t="shared" si="97"/>
        <v>0</v>
      </c>
      <c r="K107" s="2"/>
      <c r="L107" s="2">
        <f t="shared" si="98"/>
        <v>-500</v>
      </c>
      <c r="M107" s="2"/>
      <c r="N107" s="19">
        <f t="shared" si="99"/>
        <v>-1</v>
      </c>
      <c r="O107" s="11"/>
      <c r="P107" s="2">
        <f>--6648.4</f>
        <v>6648.4</v>
      </c>
      <c r="Q107" s="2"/>
      <c r="R107" s="19">
        <f t="shared" si="100"/>
        <v>0</v>
      </c>
      <c r="S107" s="2"/>
      <c r="T107" s="2">
        <v>5500</v>
      </c>
      <c r="U107" s="2"/>
      <c r="V107" s="19">
        <f t="shared" si="101"/>
        <v>0</v>
      </c>
      <c r="W107" s="2"/>
      <c r="X107" s="2">
        <f t="shared" si="102"/>
        <v>1148.3999999999996</v>
      </c>
      <c r="Y107" s="2"/>
      <c r="Z107" s="19">
        <f t="shared" si="103"/>
        <v>0.20879999999999993</v>
      </c>
    </row>
    <row r="108" spans="1:26" s="24" customFormat="1" hidden="1" outlineLevel="1" x14ac:dyDescent="0.25">
      <c r="A108" s="44"/>
      <c r="B108" s="11" t="str">
        <f>CONCATENATE("          ", "9153", " - ", "MISC. INCOME")</f>
        <v xml:space="preserve">          9153 - MISC. INCOME</v>
      </c>
      <c r="C108" s="11"/>
      <c r="D108" s="2">
        <f t="shared" si="104"/>
        <v>0</v>
      </c>
      <c r="E108" s="2"/>
      <c r="F108" s="19">
        <f t="shared" si="96"/>
        <v>0</v>
      </c>
      <c r="G108" s="2"/>
      <c r="H108" s="2"/>
      <c r="I108" s="2"/>
      <c r="J108" s="19">
        <f t="shared" si="97"/>
        <v>0</v>
      </c>
      <c r="K108" s="2"/>
      <c r="L108" s="2">
        <f t="shared" si="98"/>
        <v>0</v>
      </c>
      <c r="M108" s="2"/>
      <c r="N108" s="19">
        <f t="shared" si="99"/>
        <v>0</v>
      </c>
      <c r="O108" s="11"/>
      <c r="P108" s="2">
        <f>--450</f>
        <v>450</v>
      </c>
      <c r="Q108" s="2"/>
      <c r="R108" s="19">
        <f t="shared" si="100"/>
        <v>0</v>
      </c>
      <c r="S108" s="2"/>
      <c r="T108" s="2"/>
      <c r="U108" s="2"/>
      <c r="V108" s="19">
        <f t="shared" si="101"/>
        <v>0</v>
      </c>
      <c r="W108" s="2"/>
      <c r="X108" s="2">
        <f t="shared" si="102"/>
        <v>450</v>
      </c>
      <c r="Y108" s="2"/>
      <c r="Z108" s="19">
        <f t="shared" si="103"/>
        <v>0</v>
      </c>
    </row>
    <row r="109" spans="1:26" s="24" customFormat="1" hidden="1" outlineLevel="1" x14ac:dyDescent="0.25">
      <c r="A109" s="44"/>
      <c r="B109" s="11" t="str">
        <f>CONCATENATE("          ", "9160", " - ", "MISC. INCOME")</f>
        <v xml:space="preserve">          9160 - MISC. INCOME</v>
      </c>
      <c r="C109" s="11"/>
      <c r="D109" s="2">
        <f t="shared" si="104"/>
        <v>0</v>
      </c>
      <c r="E109" s="2"/>
      <c r="F109" s="19">
        <f t="shared" si="96"/>
        <v>0</v>
      </c>
      <c r="G109" s="2"/>
      <c r="H109" s="2">
        <v>2000</v>
      </c>
      <c r="I109" s="2"/>
      <c r="J109" s="19">
        <f t="shared" si="97"/>
        <v>0</v>
      </c>
      <c r="K109" s="2"/>
      <c r="L109" s="2">
        <f t="shared" si="98"/>
        <v>-2000</v>
      </c>
      <c r="M109" s="2"/>
      <c r="N109" s="19">
        <f t="shared" si="99"/>
        <v>-1</v>
      </c>
      <c r="O109" s="11"/>
      <c r="P109" s="2">
        <f>0</f>
        <v>0</v>
      </c>
      <c r="Q109" s="2"/>
      <c r="R109" s="19">
        <f t="shared" si="100"/>
        <v>0</v>
      </c>
      <c r="S109" s="2"/>
      <c r="T109" s="2">
        <v>22000</v>
      </c>
      <c r="U109" s="2"/>
      <c r="V109" s="19">
        <f t="shared" si="101"/>
        <v>0</v>
      </c>
      <c r="W109" s="2"/>
      <c r="X109" s="2">
        <f t="shared" si="102"/>
        <v>-22000</v>
      </c>
      <c r="Y109" s="2"/>
      <c r="Z109" s="19">
        <f t="shared" si="103"/>
        <v>-1</v>
      </c>
    </row>
    <row r="110" spans="1:26" x14ac:dyDescent="0.25">
      <c r="A110" s="9"/>
      <c r="B110" s="10"/>
      <c r="C110" s="10"/>
      <c r="D110" s="3"/>
      <c r="E110" s="3"/>
      <c r="F110" s="8"/>
      <c r="G110" s="3"/>
      <c r="H110" s="3"/>
      <c r="I110" s="3"/>
      <c r="J110" s="8"/>
      <c r="K110" s="3"/>
      <c r="L110" s="3"/>
      <c r="M110" s="3"/>
      <c r="N110" s="8"/>
      <c r="O110" s="10"/>
      <c r="P110" s="3"/>
      <c r="Q110" s="3"/>
      <c r="R110" s="8"/>
      <c r="S110" s="3"/>
      <c r="T110" s="3"/>
      <c r="U110" s="3"/>
      <c r="V110" s="8"/>
      <c r="W110" s="3"/>
      <c r="X110" s="3"/>
      <c r="Y110" s="3"/>
      <c r="Z110" s="8"/>
    </row>
    <row r="111" spans="1:26" s="23" customFormat="1" x14ac:dyDescent="0.25">
      <c r="A111" s="10"/>
      <c r="B111" s="29" t="s">
        <v>3</v>
      </c>
      <c r="C111" s="29"/>
      <c r="D111" s="20">
        <f>+D16-D18+D105</f>
        <v>-29877.5</v>
      </c>
      <c r="E111" s="14"/>
      <c r="F111" s="22">
        <f>IF(D$12=0,0,D111/D$12)</f>
        <v>0</v>
      </c>
      <c r="G111" s="14"/>
      <c r="H111" s="20">
        <f>+H16-H18+H105</f>
        <v>-104054.45019911691</v>
      </c>
      <c r="I111" s="14"/>
      <c r="J111" s="22">
        <f>IF(H$12=0,0,H111/H$12)</f>
        <v>0</v>
      </c>
      <c r="K111" s="16"/>
      <c r="L111" s="20">
        <f>+D111-H111</f>
        <v>74176.950199116909</v>
      </c>
      <c r="M111" s="16"/>
      <c r="N111" s="22">
        <f>IF(H111=0,0,L111/H111)</f>
        <v>-0.71286667756326716</v>
      </c>
      <c r="O111" s="28"/>
      <c r="P111" s="20">
        <f>+P16-P18+P105</f>
        <v>-998035.65999999968</v>
      </c>
      <c r="Q111" s="14"/>
      <c r="R111" s="22">
        <f>IF(P$12=0,0,P111/P$12)</f>
        <v>0</v>
      </c>
      <c r="S111" s="14"/>
      <c r="T111" s="20">
        <f>+T16-T18+T105</f>
        <v>-1328401.954551653</v>
      </c>
      <c r="U111" s="14"/>
      <c r="V111" s="22">
        <f>IF(T$12=0,0,T111/T$12)</f>
        <v>0</v>
      </c>
      <c r="W111" s="16"/>
      <c r="X111" s="20">
        <f>+P111-T111</f>
        <v>330366.29455165332</v>
      </c>
      <c r="Y111" s="16"/>
      <c r="Z111" s="22">
        <f>IF(T111=0,0,X111/T111)</f>
        <v>-0.2486945260955708</v>
      </c>
    </row>
    <row r="112" spans="1:26" x14ac:dyDescent="0.25">
      <c r="A112" s="9"/>
      <c r="B112" s="10"/>
      <c r="C112" s="9"/>
      <c r="D112" s="3"/>
      <c r="E112" s="3"/>
      <c r="F112" s="8"/>
      <c r="G112" s="3"/>
      <c r="H112" s="3"/>
      <c r="I112" s="3"/>
      <c r="J112" s="8"/>
      <c r="K112" s="3"/>
      <c r="L112" s="3"/>
      <c r="M112" s="3"/>
      <c r="N112" s="8"/>
      <c r="P112" s="3"/>
      <c r="Q112" s="3"/>
      <c r="R112" s="8"/>
      <c r="S112" s="3"/>
      <c r="T112" s="3"/>
      <c r="U112" s="3"/>
      <c r="V112" s="8"/>
      <c r="W112" s="3"/>
      <c r="X112" s="3"/>
      <c r="Y112" s="3"/>
      <c r="Z112" s="8"/>
    </row>
    <row r="113" spans="1:26" s="23" customFormat="1" x14ac:dyDescent="0.25">
      <c r="A113" s="52"/>
      <c r="B113" s="10" t="s">
        <v>14</v>
      </c>
      <c r="C113" s="10"/>
      <c r="D113" s="4"/>
      <c r="E113" s="4"/>
      <c r="F113" s="13">
        <f>IF(D$12=0,0,D113/D$12)</f>
        <v>0</v>
      </c>
      <c r="G113" s="4"/>
      <c r="H113" s="4"/>
      <c r="I113" s="4"/>
      <c r="J113" s="13">
        <f>IF(H$12=0,0,H113/H$12)</f>
        <v>0</v>
      </c>
      <c r="K113" s="4"/>
      <c r="L113" s="4">
        <f>+D113-H113</f>
        <v>0</v>
      </c>
      <c r="M113" s="4"/>
      <c r="N113" s="13">
        <f>IF(H113=0,0,L113/H113)</f>
        <v>0</v>
      </c>
      <c r="O113" s="10"/>
      <c r="P113" s="4"/>
      <c r="Q113" s="4"/>
      <c r="R113" s="13">
        <f>IF(P$12=0,0,P113/P$12)</f>
        <v>0</v>
      </c>
      <c r="S113" s="4"/>
      <c r="T113" s="4"/>
      <c r="U113" s="4"/>
      <c r="V113" s="13">
        <f>IF(T$12=0,0,T113/T$12)</f>
        <v>0</v>
      </c>
      <c r="W113" s="4"/>
      <c r="X113" s="4">
        <f>+P113-T113</f>
        <v>0</v>
      </c>
      <c r="Y113" s="4"/>
      <c r="Z113" s="13">
        <f>IF(T113=0,0,X113/T113)</f>
        <v>0</v>
      </c>
    </row>
    <row r="114" spans="1:26" x14ac:dyDescent="0.25">
      <c r="A114" s="9"/>
      <c r="B114" s="10"/>
      <c r="C114" s="10"/>
      <c r="D114" s="3"/>
      <c r="E114" s="3"/>
      <c r="F114" s="8"/>
      <c r="G114" s="3"/>
      <c r="H114" s="3"/>
      <c r="I114" s="3"/>
      <c r="J114" s="8"/>
      <c r="K114" s="3"/>
      <c r="L114" s="3"/>
      <c r="M114" s="3"/>
      <c r="N114" s="8"/>
      <c r="O114" s="10"/>
      <c r="P114" s="3"/>
      <c r="Q114" s="3"/>
      <c r="R114" s="8"/>
      <c r="S114" s="3"/>
      <c r="T114" s="3"/>
      <c r="U114" s="3"/>
      <c r="V114" s="8"/>
      <c r="W114" s="3"/>
      <c r="X114" s="3"/>
      <c r="Y114" s="3"/>
      <c r="Z114" s="8"/>
    </row>
    <row r="115" spans="1:26" s="23" customFormat="1" ht="15.75" thickBot="1" x14ac:dyDescent="0.3">
      <c r="A115" s="10"/>
      <c r="B115" s="29" t="s">
        <v>4</v>
      </c>
      <c r="C115" s="29"/>
      <c r="D115" s="35">
        <f>+D111-D113</f>
        <v>-29877.5</v>
      </c>
      <c r="E115" s="14"/>
      <c r="F115" s="32">
        <f>IF(D$12=0,0,D115/D$12)</f>
        <v>0</v>
      </c>
      <c r="G115" s="14"/>
      <c r="H115" s="35">
        <f>+H111-H113</f>
        <v>-104054.45019911691</v>
      </c>
      <c r="I115" s="14"/>
      <c r="J115" s="32">
        <f>IF(H$12=0,0,H115/H$12)</f>
        <v>0</v>
      </c>
      <c r="K115" s="16"/>
      <c r="L115" s="35">
        <f>D115-H115</f>
        <v>74176.950199116909</v>
      </c>
      <c r="M115" s="16"/>
      <c r="N115" s="32">
        <f>IF(H115=0,0,L115/H115)</f>
        <v>-0.71286667756326716</v>
      </c>
      <c r="O115" s="28"/>
      <c r="P115" s="35">
        <f>+P111-P113</f>
        <v>-998035.65999999968</v>
      </c>
      <c r="Q115" s="14"/>
      <c r="R115" s="32">
        <f>IF(P$12=0,0,P115/P$12)</f>
        <v>0</v>
      </c>
      <c r="S115" s="14"/>
      <c r="T115" s="35">
        <f>+T111-T113</f>
        <v>-1328401.954551653</v>
      </c>
      <c r="U115" s="14"/>
      <c r="V115" s="32">
        <f>IF(T$12=0,0,T115/T$12)</f>
        <v>0</v>
      </c>
      <c r="W115" s="16"/>
      <c r="X115" s="35">
        <f>P115-T115</f>
        <v>330366.29455165332</v>
      </c>
      <c r="Y115" s="16"/>
      <c r="Z115" s="32">
        <f>IF(T115=0,0,X115/T115)</f>
        <v>-0.2486945260955708</v>
      </c>
    </row>
    <row r="116" spans="1:26" ht="15.75" thickTop="1" x14ac:dyDescent="0.25">
      <c r="A116" s="9"/>
      <c r="B116" s="9"/>
      <c r="C116" s="9"/>
      <c r="D116" s="3"/>
      <c r="E116" s="3"/>
      <c r="F116" s="8"/>
      <c r="G116" s="3"/>
      <c r="H116" s="3"/>
      <c r="I116" s="3"/>
      <c r="J116" s="8"/>
      <c r="K116" s="3"/>
      <c r="L116" s="3"/>
      <c r="M116" s="3"/>
      <c r="N116" s="8"/>
      <c r="P116" s="3"/>
      <c r="Q116" s="3"/>
      <c r="R116" s="8"/>
      <c r="S116" s="3"/>
      <c r="T116" s="3"/>
      <c r="U116" s="3"/>
      <c r="V116" s="8"/>
      <c r="W116" s="3"/>
      <c r="X116" s="3"/>
      <c r="Y116" s="3"/>
      <c r="Z116" s="8"/>
    </row>
    <row r="117" spans="1:26" x14ac:dyDescent="0.25">
      <c r="A117" s="9"/>
      <c r="B117" s="9"/>
      <c r="C117" s="9"/>
      <c r="D117" s="3"/>
      <c r="E117" s="3"/>
      <c r="F117" s="8"/>
      <c r="G117" s="3"/>
      <c r="H117" s="3"/>
      <c r="I117" s="3"/>
      <c r="J117" s="8"/>
      <c r="K117" s="3"/>
      <c r="L117" s="3"/>
      <c r="M117" s="3"/>
      <c r="N117" s="8"/>
      <c r="P117" s="3"/>
      <c r="Q117" s="3"/>
      <c r="R117" s="8"/>
      <c r="S117" s="3"/>
      <c r="T117" s="3"/>
      <c r="U117" s="3"/>
      <c r="V117" s="8"/>
      <c r="W117" s="3"/>
      <c r="X117" s="3"/>
      <c r="Y117" s="3"/>
      <c r="Z117" s="8"/>
    </row>
    <row r="118" spans="1:26" s="23" customFormat="1" ht="15.75" thickBot="1" x14ac:dyDescent="0.3">
      <c r="A118" s="10"/>
      <c r="B118" s="29" t="s">
        <v>5</v>
      </c>
      <c r="C118" s="29"/>
      <c r="D118" s="34">
        <f>SUM(D115:D117)</f>
        <v>-29877.5</v>
      </c>
      <c r="E118" s="14"/>
      <c r="F118" s="31">
        <f>IF(D$12=0,0,D118/D$12)</f>
        <v>0</v>
      </c>
      <c r="G118" s="14"/>
      <c r="H118" s="34">
        <f>SUM(H115:H117)</f>
        <v>-104054.45019911691</v>
      </c>
      <c r="I118" s="14"/>
      <c r="J118" s="31">
        <f>IF(H$12=0,0,H118/H$12)</f>
        <v>0</v>
      </c>
      <c r="K118" s="16"/>
      <c r="L118" s="34">
        <f>+D118-H118</f>
        <v>74176.950199116909</v>
      </c>
      <c r="M118" s="16"/>
      <c r="N118" s="31">
        <f>IF(H118=0,0,L118/H118)</f>
        <v>-0.71286667756326716</v>
      </c>
      <c r="O118" s="28"/>
      <c r="P118" s="34">
        <f>SUM(P115:P117)</f>
        <v>-998035.65999999968</v>
      </c>
      <c r="Q118" s="14"/>
      <c r="R118" s="31">
        <f>IF(P$12=0,0,P118/P$12)</f>
        <v>0</v>
      </c>
      <c r="S118" s="14"/>
      <c r="T118" s="34">
        <f>SUM(T115:T117)</f>
        <v>-1328401.954551653</v>
      </c>
      <c r="U118" s="14"/>
      <c r="V118" s="31">
        <f>IF(T$12=0,0,T118/T$12)</f>
        <v>0</v>
      </c>
      <c r="W118" s="16"/>
      <c r="X118" s="34">
        <f>+P118-T118</f>
        <v>330366.29455165332</v>
      </c>
      <c r="Y118" s="16"/>
      <c r="Z118" s="31">
        <f>IF(T118=0,0,X118/T118)</f>
        <v>-0.2486945260955708</v>
      </c>
    </row>
    <row r="119" spans="1:26" ht="15.75" thickTop="1" x14ac:dyDescent="0.25">
      <c r="A119" s="9"/>
      <c r="C119" s="9"/>
      <c r="D119" s="18"/>
      <c r="E119" s="18"/>
      <c r="G119" s="18"/>
      <c r="H119" s="18"/>
      <c r="I119" s="18"/>
      <c r="J119" s="42"/>
      <c r="K119" s="18"/>
      <c r="L119" s="18"/>
      <c r="M119" s="18"/>
      <c r="P119" s="18"/>
      <c r="Q119" s="18"/>
      <c r="R119" s="42"/>
      <c r="S119" s="18"/>
      <c r="T119" s="18"/>
      <c r="U119" s="18"/>
      <c r="V119" s="42"/>
      <c r="W119" s="18"/>
      <c r="X119" s="18"/>
    </row>
    <row r="120" spans="1:26" x14ac:dyDescent="0.25">
      <c r="A120" s="9"/>
      <c r="B120" s="59">
        <v>43992.371436921298</v>
      </c>
      <c r="D120" s="18"/>
      <c r="E120" s="18"/>
      <c r="G120" s="18"/>
      <c r="H120" s="18"/>
      <c r="I120" s="18"/>
      <c r="J120" s="42"/>
      <c r="K120" s="18"/>
      <c r="L120" s="18"/>
      <c r="M120" s="18"/>
      <c r="P120" s="18"/>
      <c r="Q120" s="18"/>
      <c r="R120" s="42"/>
      <c r="S120" s="18"/>
      <c r="T120" s="18"/>
      <c r="U120" s="18"/>
      <c r="V120" s="42"/>
      <c r="W120" s="18"/>
      <c r="X120" s="18"/>
    </row>
    <row r="121" spans="1:26" x14ac:dyDescent="0.25">
      <c r="A121" s="9"/>
      <c r="B121" s="56" t="s">
        <v>314</v>
      </c>
      <c r="D121" s="18"/>
      <c r="E121" s="18"/>
      <c r="G121" s="18"/>
      <c r="H121" s="18"/>
      <c r="I121" s="18"/>
      <c r="J121" s="42"/>
      <c r="K121" s="18"/>
      <c r="L121" s="18"/>
      <c r="M121" s="18"/>
      <c r="P121" s="18"/>
      <c r="Q121" s="18"/>
      <c r="R121" s="42"/>
      <c r="S121" s="18"/>
      <c r="T121" s="18"/>
      <c r="U121" s="18"/>
      <c r="V121" s="42"/>
      <c r="W121" s="18"/>
      <c r="X121" s="18"/>
    </row>
    <row r="122" spans="1:26" x14ac:dyDescent="0.25">
      <c r="A122" s="9"/>
      <c r="B122" s="54"/>
      <c r="D122" s="18"/>
      <c r="E122" s="18"/>
      <c r="G122" s="18"/>
      <c r="H122" s="18"/>
      <c r="I122" s="18"/>
      <c r="J122" s="42"/>
      <c r="K122" s="18"/>
      <c r="L122" s="18"/>
      <c r="M122" s="18"/>
      <c r="P122" s="18"/>
      <c r="Q122" s="18"/>
      <c r="R122" s="42"/>
      <c r="S122" s="18"/>
      <c r="T122" s="18"/>
      <c r="U122" s="18"/>
      <c r="V122" s="42"/>
      <c r="W122" s="18"/>
      <c r="X122" s="18"/>
    </row>
    <row r="123" spans="1:26" x14ac:dyDescent="0.25">
      <c r="D123" s="18"/>
      <c r="E123" s="18"/>
      <c r="G123" s="18"/>
      <c r="H123" s="18"/>
      <c r="I123" s="18"/>
      <c r="J123" s="42"/>
      <c r="K123" s="18"/>
      <c r="L123" s="18"/>
      <c r="M123" s="18"/>
      <c r="P123" s="18"/>
      <c r="Q123" s="18"/>
      <c r="R123" s="42"/>
      <c r="S123" s="18"/>
      <c r="T123" s="18"/>
      <c r="U123" s="18"/>
      <c r="V123" s="42"/>
      <c r="W123" s="18"/>
      <c r="X123" s="18"/>
    </row>
  </sheetData>
  <pageMargins left="0.25" right="0.25" top="0.75" bottom="0.75" header="0.3" footer="0.3"/>
  <pageSetup scale="55" fitToWidth="2" orientation="landscape"/>
  <drawing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77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63" t="s">
        <v>13</v>
      </c>
    </row>
    <row r="3" spans="1:26" x14ac:dyDescent="0.25">
      <c r="D3" s="63" t="s">
        <v>296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61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63" t="str">
        <f>CONCATENATE("Period ",RIGHT(202011,2),", ",2020)</f>
        <v>Period 11, 2020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61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4">
        <v>43981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61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51"/>
      <c r="C6" s="51"/>
      <c r="D6" s="23" t="str">
        <f>CONCATENATE("Department ","306", " - ", "Warehouse")</f>
        <v>Department 306 - Warehouse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57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5" t="s">
        <v>294</v>
      </c>
      <c r="E9" s="15"/>
      <c r="F9" s="38"/>
      <c r="G9" s="15"/>
      <c r="H9" s="15"/>
      <c r="I9" s="15"/>
      <c r="J9" s="46"/>
      <c r="K9" s="15"/>
      <c r="L9" s="15"/>
      <c r="M9" s="15"/>
      <c r="N9" s="38"/>
      <c r="P9" s="15" t="s">
        <v>295</v>
      </c>
      <c r="Q9" s="15"/>
      <c r="R9" s="38"/>
      <c r="S9" s="15"/>
      <c r="T9" s="15"/>
      <c r="U9" s="15"/>
      <c r="V9" s="46"/>
      <c r="W9" s="15"/>
      <c r="X9" s="15"/>
      <c r="Y9" s="15"/>
      <c r="Z9" s="38"/>
    </row>
    <row r="10" spans="1:26" x14ac:dyDescent="0.25">
      <c r="A10" s="10"/>
      <c r="B10" s="55"/>
      <c r="C10" s="10"/>
      <c r="D10" s="43" t="s">
        <v>10</v>
      </c>
      <c r="E10" s="33"/>
      <c r="F10" s="40" t="s">
        <v>15</v>
      </c>
      <c r="G10" s="33"/>
      <c r="H10" s="47" t="s">
        <v>11</v>
      </c>
      <c r="I10" s="33"/>
      <c r="J10" s="45" t="s">
        <v>16</v>
      </c>
      <c r="K10" s="10"/>
      <c r="L10" s="43" t="s">
        <v>12</v>
      </c>
      <c r="M10" s="10"/>
      <c r="N10" s="40" t="s">
        <v>17</v>
      </c>
      <c r="O10" s="10"/>
      <c r="P10" s="53" t="s">
        <v>10</v>
      </c>
      <c r="Q10" s="33"/>
      <c r="R10" s="40" t="s">
        <v>15</v>
      </c>
      <c r="S10" s="33"/>
      <c r="T10" s="47" t="s">
        <v>11</v>
      </c>
      <c r="U10" s="33"/>
      <c r="V10" s="45" t="s">
        <v>16</v>
      </c>
      <c r="W10" s="10"/>
      <c r="X10" s="43" t="s">
        <v>12</v>
      </c>
      <c r="Y10" s="10"/>
      <c r="Z10" s="40" t="s">
        <v>17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x14ac:dyDescent="0.25">
      <c r="A12" s="10"/>
      <c r="B12" s="28" t="s">
        <v>7</v>
      </c>
      <c r="C12" s="10"/>
      <c r="D12" s="4">
        <f>SUM(0)</f>
        <v>0</v>
      </c>
      <c r="E12" s="4"/>
      <c r="F12" s="13"/>
      <c r="G12" s="4"/>
      <c r="H12" s="4">
        <f>SUM(0)</f>
        <v>0</v>
      </c>
      <c r="I12" s="4"/>
      <c r="J12" s="13"/>
      <c r="K12" s="4"/>
      <c r="L12" s="4">
        <f>+D12-H12</f>
        <v>0</v>
      </c>
      <c r="M12" s="4"/>
      <c r="N12" s="13">
        <f>IF(H12=0,0,L12/H12)</f>
        <v>0</v>
      </c>
      <c r="O12" s="10"/>
      <c r="P12" s="4">
        <f>SUM(0)</f>
        <v>0</v>
      </c>
      <c r="Q12" s="4"/>
      <c r="R12" s="13"/>
      <c r="S12" s="4"/>
      <c r="T12" s="4">
        <f>SUM(0)</f>
        <v>0</v>
      </c>
      <c r="U12" s="4"/>
      <c r="V12" s="13"/>
      <c r="W12" s="4"/>
      <c r="X12" s="4">
        <f>+P12-T12</f>
        <v>0</v>
      </c>
      <c r="Y12" s="4"/>
      <c r="Z12" s="13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8" t="s">
        <v>8</v>
      </c>
      <c r="C14" s="10"/>
      <c r="D14" s="4">
        <f>SUM(0)</f>
        <v>0</v>
      </c>
      <c r="E14" s="4"/>
      <c r="F14" s="13">
        <f>IF(D$12=0,0,D14/D$12)</f>
        <v>0</v>
      </c>
      <c r="G14" s="4"/>
      <c r="H14" s="4">
        <f>SUM(0)</f>
        <v>0</v>
      </c>
      <c r="I14" s="4"/>
      <c r="J14" s="13">
        <f>IF(H$12=0,0,H14/H$12)</f>
        <v>0</v>
      </c>
      <c r="K14" s="4"/>
      <c r="L14" s="4">
        <f>+D14-H14</f>
        <v>0</v>
      </c>
      <c r="M14" s="4"/>
      <c r="N14" s="13">
        <f>IF(H14=0,0,L14/H14)</f>
        <v>0</v>
      </c>
      <c r="O14" s="10"/>
      <c r="P14" s="4">
        <f>SUM(0)</f>
        <v>0</v>
      </c>
      <c r="Q14" s="4"/>
      <c r="R14" s="13">
        <f>IF(P$12=0,0,P14/P$12)</f>
        <v>0</v>
      </c>
      <c r="S14" s="4"/>
      <c r="T14" s="4">
        <f>SUM(0)</f>
        <v>0</v>
      </c>
      <c r="U14" s="4"/>
      <c r="V14" s="13">
        <f>IF(T$12=0,0,T14/T$12)</f>
        <v>0</v>
      </c>
      <c r="W14" s="4"/>
      <c r="X14" s="4">
        <f>+P14-T14</f>
        <v>0</v>
      </c>
      <c r="Y14" s="4"/>
      <c r="Z14" s="13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9" t="s">
        <v>6</v>
      </c>
      <c r="C16" s="29"/>
      <c r="D16" s="20">
        <f>D12-D14</f>
        <v>0</v>
      </c>
      <c r="E16" s="14"/>
      <c r="F16" s="22">
        <f>IF(D$12=0,0,D16/D$12)</f>
        <v>0</v>
      </c>
      <c r="G16" s="14"/>
      <c r="H16" s="20">
        <f>H12-H14</f>
        <v>0</v>
      </c>
      <c r="I16" s="14"/>
      <c r="J16" s="22">
        <f>IF(H$12=0,0,H16/H$12)</f>
        <v>0</v>
      </c>
      <c r="K16" s="16"/>
      <c r="L16" s="20">
        <f>+D16-H16</f>
        <v>0</v>
      </c>
      <c r="M16" s="16"/>
      <c r="N16" s="22">
        <f>IF(H16=0,0,L16/H16)</f>
        <v>0</v>
      </c>
      <c r="O16" s="28"/>
      <c r="P16" s="20">
        <f>P12-P14</f>
        <v>0</v>
      </c>
      <c r="Q16" s="14"/>
      <c r="R16" s="22">
        <f>IF(P$12=0,0,P16/P$12)</f>
        <v>0</v>
      </c>
      <c r="S16" s="14"/>
      <c r="T16" s="20">
        <f>T12-T14</f>
        <v>0</v>
      </c>
      <c r="U16" s="14"/>
      <c r="V16" s="22">
        <f>IF(T$12=0,0,T16/T$12)</f>
        <v>0</v>
      </c>
      <c r="W16" s="16"/>
      <c r="X16" s="20">
        <f>+P16-T16</f>
        <v>0</v>
      </c>
      <c r="Y16" s="16"/>
      <c r="Z16" s="22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8" t="s">
        <v>9</v>
      </c>
      <c r="C18" s="10"/>
      <c r="D18" s="21">
        <f>SUM(OSRRefD22x_0)</f>
        <v>33773.869999999988</v>
      </c>
      <c r="E18" s="21"/>
      <c r="F18" s="30">
        <f t="shared" ref="F18:F28" si="0">IF(D$12=0,0,D18/D$12)</f>
        <v>0</v>
      </c>
      <c r="G18" s="21"/>
      <c r="H18" s="21">
        <f>SUM(OSRRefH22x_0)</f>
        <v>32407.034233635997</v>
      </c>
      <c r="I18" s="21"/>
      <c r="J18" s="30">
        <f t="shared" ref="J18:J28" si="1">IF(H$12=0,0,H18/H$12)</f>
        <v>0</v>
      </c>
      <c r="K18" s="4"/>
      <c r="L18" s="21">
        <f t="shared" ref="L18:L28" si="2">+D18-H18</f>
        <v>1366.8357663639908</v>
      </c>
      <c r="M18" s="4"/>
      <c r="N18" s="30">
        <f t="shared" ref="N18:N28" si="3">IF(H18=0,0,L18/H18)</f>
        <v>4.2177132177844308E-2</v>
      </c>
      <c r="O18" s="10"/>
      <c r="P18" s="21">
        <f>SUM(OSRRefP22x_0)</f>
        <v>472896.58999999997</v>
      </c>
      <c r="Q18" s="21"/>
      <c r="R18" s="30">
        <f t="shared" ref="R18:R28" si="4">IF(P$12=0,0,P18/P$12)</f>
        <v>0</v>
      </c>
      <c r="S18" s="21"/>
      <c r="T18" s="21">
        <f>SUM(OSRRefT22x_0)</f>
        <v>471046.155346132</v>
      </c>
      <c r="U18" s="21"/>
      <c r="V18" s="30">
        <f t="shared" ref="V18:V28" si="5">IF(T$12=0,0,T18/T$12)</f>
        <v>0</v>
      </c>
      <c r="W18" s="4"/>
      <c r="X18" s="21">
        <f t="shared" ref="X18:X28" si="6">+P18-T18</f>
        <v>1850.4346538679674</v>
      </c>
      <c r="Y18" s="4"/>
      <c r="Z18" s="30">
        <f t="shared" ref="Z18:Z28" si="7">IF(T18=0,0,X18/T18)</f>
        <v>3.9283510392059979E-3</v>
      </c>
    </row>
    <row r="19" spans="1:26" s="27" customFormat="1" outlineLevel="1" collapsed="1" x14ac:dyDescent="0.25">
      <c r="A19" s="25"/>
      <c r="B19" s="12" t="str">
        <f>CONCATENATE("     ","*Benefits                                         ")</f>
        <v xml:space="preserve">     *Benefits                                         </v>
      </c>
      <c r="C19" s="12"/>
      <c r="D19" s="1">
        <f>SUM(OSRRefD22_0x_0)</f>
        <v>4248.41</v>
      </c>
      <c r="E19" s="1"/>
      <c r="F19" s="5">
        <f t="shared" si="0"/>
        <v>0</v>
      </c>
      <c r="G19" s="1"/>
      <c r="H19" s="1">
        <f>SUM(OSRRefH22_0x_0)</f>
        <v>4094.4981256359997</v>
      </c>
      <c r="I19" s="1"/>
      <c r="J19" s="5">
        <f t="shared" si="1"/>
        <v>0</v>
      </c>
      <c r="K19" s="1"/>
      <c r="L19" s="1">
        <f t="shared" si="2"/>
        <v>153.91187436400014</v>
      </c>
      <c r="M19" s="1"/>
      <c r="N19" s="5">
        <f t="shared" si="3"/>
        <v>3.7589924245011827E-2</v>
      </c>
      <c r="O19" s="12"/>
      <c r="P19" s="1">
        <f>SUM(OSRRefP22_0x_0)</f>
        <v>48452.070000000007</v>
      </c>
      <c r="Q19" s="1"/>
      <c r="R19" s="5">
        <f t="shared" si="4"/>
        <v>0</v>
      </c>
      <c r="S19" s="1"/>
      <c r="T19" s="1">
        <f>SUM(OSRRefT22_0x_0)</f>
        <v>53808.016050131992</v>
      </c>
      <c r="U19" s="1"/>
      <c r="V19" s="5">
        <f t="shared" si="5"/>
        <v>0</v>
      </c>
      <c r="W19" s="1"/>
      <c r="X19" s="1">
        <f t="shared" si="6"/>
        <v>-5355.9460501319845</v>
      </c>
      <c r="Y19" s="1"/>
      <c r="Z19" s="5">
        <f t="shared" si="7"/>
        <v>-9.9538069664972278E-2</v>
      </c>
    </row>
    <row r="20" spans="1:26" s="24" customFormat="1" hidden="1" outlineLevel="2" x14ac:dyDescent="0.25">
      <c r="A20" s="26"/>
      <c r="B20" s="11" t="str">
        <f>CONCATENATE("          ", "6111", " - ", "F.I.C.A.")</f>
        <v xml:space="preserve">          6111 - F.I.C.A.</v>
      </c>
      <c r="C20" s="11"/>
      <c r="D20" s="7">
        <v>1682.99</v>
      </c>
      <c r="E20" s="2"/>
      <c r="F20" s="6">
        <f t="shared" si="0"/>
        <v>0</v>
      </c>
      <c r="G20" s="2"/>
      <c r="H20" s="7">
        <v>909.62312091599995</v>
      </c>
      <c r="I20" s="2"/>
      <c r="J20" s="6">
        <f t="shared" si="1"/>
        <v>0</v>
      </c>
      <c r="K20" s="2"/>
      <c r="L20" s="7">
        <f t="shared" si="2"/>
        <v>773.36687908400006</v>
      </c>
      <c r="M20" s="2"/>
      <c r="N20" s="6">
        <f t="shared" si="3"/>
        <v>0.85020582843717907</v>
      </c>
      <c r="O20" s="11"/>
      <c r="P20" s="7">
        <v>16437.14</v>
      </c>
      <c r="Q20" s="2"/>
      <c r="R20" s="6">
        <f t="shared" si="4"/>
        <v>0</v>
      </c>
      <c r="S20" s="2"/>
      <c r="T20" s="7">
        <v>14293.699149492</v>
      </c>
      <c r="U20" s="2"/>
      <c r="V20" s="6">
        <f t="shared" si="5"/>
        <v>0</v>
      </c>
      <c r="W20" s="2"/>
      <c r="X20" s="7">
        <f t="shared" si="6"/>
        <v>2143.4408505079991</v>
      </c>
      <c r="Y20" s="2"/>
      <c r="Z20" s="6">
        <f t="shared" si="7"/>
        <v>0.14995704247659203</v>
      </c>
    </row>
    <row r="21" spans="1:26" s="24" customFormat="1" hidden="1" outlineLevel="2" x14ac:dyDescent="0.25">
      <c r="A21" s="26"/>
      <c r="B21" s="11" t="str">
        <f>CONCATENATE("          ", "6112", " - ", "COMPENSATION INSURANCE")</f>
        <v xml:space="preserve">          6112 - COMPENSATION INSURANCE</v>
      </c>
      <c r="C21" s="11"/>
      <c r="D21" s="7">
        <v>744.81</v>
      </c>
      <c r="E21" s="2"/>
      <c r="F21" s="6">
        <f t="shared" si="0"/>
        <v>0</v>
      </c>
      <c r="G21" s="2"/>
      <c r="H21" s="7">
        <v>538.7594818</v>
      </c>
      <c r="I21" s="2"/>
      <c r="J21" s="6">
        <f t="shared" si="1"/>
        <v>0</v>
      </c>
      <c r="K21" s="2"/>
      <c r="L21" s="7">
        <f t="shared" si="2"/>
        <v>206.05051819999994</v>
      </c>
      <c r="M21" s="2"/>
      <c r="N21" s="6">
        <f t="shared" si="3"/>
        <v>0.38245362756602153</v>
      </c>
      <c r="O21" s="11"/>
      <c r="P21" s="7">
        <v>7450.56</v>
      </c>
      <c r="Q21" s="2"/>
      <c r="R21" s="6">
        <f t="shared" si="4"/>
        <v>0</v>
      </c>
      <c r="S21" s="2"/>
      <c r="T21" s="7">
        <v>7878.2024916</v>
      </c>
      <c r="U21" s="2"/>
      <c r="V21" s="6">
        <f t="shared" si="5"/>
        <v>0</v>
      </c>
      <c r="W21" s="2"/>
      <c r="X21" s="7">
        <f t="shared" si="6"/>
        <v>-427.64249159999963</v>
      </c>
      <c r="Y21" s="2"/>
      <c r="Z21" s="6">
        <f t="shared" si="7"/>
        <v>-5.4281733943239742E-2</v>
      </c>
    </row>
    <row r="22" spans="1:26" s="24" customFormat="1" hidden="1" outlineLevel="2" x14ac:dyDescent="0.25">
      <c r="A22" s="26"/>
      <c r="B22" s="11" t="str">
        <f>CONCATENATE("          ", "6113", " - ", "GROUP INSURANCE")</f>
        <v xml:space="preserve">          6113 - GROUP INSURANCE</v>
      </c>
      <c r="C22" s="11"/>
      <c r="D22" s="7">
        <v>696.78</v>
      </c>
      <c r="E22" s="2"/>
      <c r="F22" s="6">
        <f t="shared" si="0"/>
        <v>0</v>
      </c>
      <c r="G22" s="2"/>
      <c r="H22" s="7">
        <v>663</v>
      </c>
      <c r="I22" s="2"/>
      <c r="J22" s="6">
        <f t="shared" si="1"/>
        <v>0</v>
      </c>
      <c r="K22" s="2"/>
      <c r="L22" s="7">
        <f t="shared" si="2"/>
        <v>33.779999999999973</v>
      </c>
      <c r="M22" s="2"/>
      <c r="N22" s="6">
        <f t="shared" si="3"/>
        <v>5.0950226244343852E-2</v>
      </c>
      <c r="O22" s="11"/>
      <c r="P22" s="7">
        <v>19282.230000000003</v>
      </c>
      <c r="Q22" s="2"/>
      <c r="R22" s="6">
        <f t="shared" si="4"/>
        <v>0</v>
      </c>
      <c r="S22" s="2"/>
      <c r="T22" s="7">
        <v>7293</v>
      </c>
      <c r="U22" s="2"/>
      <c r="V22" s="6">
        <f t="shared" si="5"/>
        <v>0</v>
      </c>
      <c r="W22" s="2"/>
      <c r="X22" s="7">
        <f t="shared" si="6"/>
        <v>11989.230000000003</v>
      </c>
      <c r="Y22" s="2"/>
      <c r="Z22" s="6">
        <f t="shared" si="7"/>
        <v>1.6439366515837108</v>
      </c>
    </row>
    <row r="23" spans="1:26" s="24" customFormat="1" hidden="1" outlineLevel="2" x14ac:dyDescent="0.25">
      <c r="A23" s="26"/>
      <c r="B23" s="11" t="str">
        <f>CONCATENATE("          ", "6114", " - ", "STATE UNEMPLOYMENT INSURANCE")</f>
        <v xml:space="preserve">          6114 - STATE UNEMPLOYMENT INSURANCE</v>
      </c>
      <c r="C23" s="11"/>
      <c r="D23" s="7">
        <v>103.32</v>
      </c>
      <c r="E23" s="2"/>
      <c r="F23" s="6">
        <f t="shared" si="0"/>
        <v>0</v>
      </c>
      <c r="G23" s="2"/>
      <c r="H23" s="7">
        <v>73.724981720000002</v>
      </c>
      <c r="I23" s="2"/>
      <c r="J23" s="6">
        <f t="shared" si="1"/>
        <v>0</v>
      </c>
      <c r="K23" s="2"/>
      <c r="L23" s="7">
        <f t="shared" si="2"/>
        <v>29.595018279999991</v>
      </c>
      <c r="M23" s="2"/>
      <c r="N23" s="6">
        <f t="shared" si="3"/>
        <v>0.40142455907820862</v>
      </c>
      <c r="O23" s="11"/>
      <c r="P23" s="7">
        <v>1120.3</v>
      </c>
      <c r="Q23" s="2"/>
      <c r="R23" s="6">
        <f t="shared" si="4"/>
        <v>0</v>
      </c>
      <c r="S23" s="2"/>
      <c r="T23" s="7">
        <v>1078.06981464</v>
      </c>
      <c r="U23" s="2"/>
      <c r="V23" s="6">
        <f t="shared" si="5"/>
        <v>0</v>
      </c>
      <c r="W23" s="2"/>
      <c r="X23" s="7">
        <f t="shared" si="6"/>
        <v>42.23018535999995</v>
      </c>
      <c r="Y23" s="2"/>
      <c r="Z23" s="6">
        <f t="shared" si="7"/>
        <v>3.9172032076699857E-2</v>
      </c>
    </row>
    <row r="24" spans="1:26" s="24" customFormat="1" hidden="1" outlineLevel="2" x14ac:dyDescent="0.25">
      <c r="A24" s="26"/>
      <c r="B24" s="11" t="str">
        <f>CONCATENATE("          ", "6115", " - ", "P.E.R.S.")</f>
        <v xml:space="preserve">          6115 - P.E.R.S.</v>
      </c>
      <c r="C24" s="11"/>
      <c r="D24" s="7">
        <v>298.81</v>
      </c>
      <c r="E24" s="2"/>
      <c r="F24" s="6">
        <f t="shared" si="0"/>
        <v>0</v>
      </c>
      <c r="G24" s="2"/>
      <c r="H24" s="7">
        <v>724.55319919999999</v>
      </c>
      <c r="I24" s="2"/>
      <c r="J24" s="6">
        <f t="shared" si="1"/>
        <v>0</v>
      </c>
      <c r="K24" s="2"/>
      <c r="L24" s="7">
        <f t="shared" si="2"/>
        <v>-425.74319919999999</v>
      </c>
      <c r="M24" s="2"/>
      <c r="N24" s="6">
        <f t="shared" si="3"/>
        <v>-0.58759411961754537</v>
      </c>
      <c r="O24" s="11"/>
      <c r="P24" s="7">
        <v>7578.09</v>
      </c>
      <c r="Q24" s="2"/>
      <c r="R24" s="6">
        <f t="shared" si="4"/>
        <v>0</v>
      </c>
      <c r="S24" s="2"/>
      <c r="T24" s="7">
        <v>8522.9135903999995</v>
      </c>
      <c r="U24" s="2"/>
      <c r="V24" s="6">
        <f t="shared" si="5"/>
        <v>0</v>
      </c>
      <c r="W24" s="2"/>
      <c r="X24" s="7">
        <f t="shared" si="6"/>
        <v>-944.82359039999938</v>
      </c>
      <c r="Y24" s="2"/>
      <c r="Z24" s="6">
        <f t="shared" si="7"/>
        <v>-0.11085687780106389</v>
      </c>
    </row>
    <row r="25" spans="1:26" s="24" customFormat="1" hidden="1" outlineLevel="2" x14ac:dyDescent="0.25">
      <c r="A25" s="26"/>
      <c r="B25" s="11" t="str">
        <f>CONCATENATE("          ", "6116", " - ", "EDUCATIONAL BENEFITS")</f>
        <v xml:space="preserve">          6116 - EDUCATIONAL BENEFITS</v>
      </c>
      <c r="C25" s="11"/>
      <c r="D25" s="7"/>
      <c r="E25" s="2"/>
      <c r="F25" s="6">
        <f t="shared" si="0"/>
        <v>0</v>
      </c>
      <c r="G25" s="2"/>
      <c r="H25" s="7">
        <v>0</v>
      </c>
      <c r="I25" s="2"/>
      <c r="J25" s="6">
        <f t="shared" si="1"/>
        <v>0</v>
      </c>
      <c r="K25" s="2"/>
      <c r="L25" s="7">
        <f t="shared" si="2"/>
        <v>0</v>
      </c>
      <c r="M25" s="2"/>
      <c r="N25" s="6">
        <f t="shared" si="3"/>
        <v>0</v>
      </c>
      <c r="O25" s="11"/>
      <c r="P25" s="7"/>
      <c r="Q25" s="2"/>
      <c r="R25" s="6">
        <f t="shared" si="4"/>
        <v>0</v>
      </c>
      <c r="S25" s="2"/>
      <c r="T25" s="7">
        <v>0</v>
      </c>
      <c r="U25" s="2"/>
      <c r="V25" s="6">
        <f t="shared" si="5"/>
        <v>0</v>
      </c>
      <c r="W25" s="2"/>
      <c r="X25" s="7">
        <f t="shared" si="6"/>
        <v>0</v>
      </c>
      <c r="Y25" s="2"/>
      <c r="Z25" s="6">
        <f t="shared" si="7"/>
        <v>0</v>
      </c>
    </row>
    <row r="26" spans="1:26" s="24" customFormat="1" hidden="1" outlineLevel="2" x14ac:dyDescent="0.25">
      <c r="A26" s="26"/>
      <c r="B26" s="11" t="str">
        <f>CONCATENATE("          ", "6118", " - ", "VACATION")</f>
        <v xml:space="preserve">          6118 - VACATION</v>
      </c>
      <c r="C26" s="11"/>
      <c r="D26" s="7">
        <v>409.07</v>
      </c>
      <c r="E26" s="2"/>
      <c r="F26" s="6">
        <f t="shared" si="0"/>
        <v>0</v>
      </c>
      <c r="G26" s="2"/>
      <c r="H26" s="7">
        <v>631.224604</v>
      </c>
      <c r="I26" s="2"/>
      <c r="J26" s="6">
        <f t="shared" si="1"/>
        <v>0</v>
      </c>
      <c r="K26" s="2"/>
      <c r="L26" s="7">
        <f t="shared" si="2"/>
        <v>-222.15460400000001</v>
      </c>
      <c r="M26" s="2"/>
      <c r="N26" s="6">
        <f t="shared" si="3"/>
        <v>-0.35194224463405105</v>
      </c>
      <c r="O26" s="11"/>
      <c r="P26" s="7">
        <v>3708.22</v>
      </c>
      <c r="Q26" s="2"/>
      <c r="R26" s="6">
        <f t="shared" si="4"/>
        <v>0</v>
      </c>
      <c r="S26" s="2"/>
      <c r="T26" s="7">
        <v>7414.9512480000003</v>
      </c>
      <c r="U26" s="2"/>
      <c r="V26" s="6">
        <f t="shared" si="5"/>
        <v>0</v>
      </c>
      <c r="W26" s="2"/>
      <c r="X26" s="7">
        <f t="shared" si="6"/>
        <v>-3706.7312480000005</v>
      </c>
      <c r="Y26" s="2"/>
      <c r="Z26" s="6">
        <f t="shared" si="7"/>
        <v>-0.49989961147752654</v>
      </c>
    </row>
    <row r="27" spans="1:26" s="24" customFormat="1" hidden="1" outlineLevel="2" x14ac:dyDescent="0.25">
      <c r="A27" s="26"/>
      <c r="B27" s="11" t="str">
        <f>CONCATENATE("          ", "6119", " - ", "SICK LEAVE")</f>
        <v xml:space="preserve">          6119 - SICK LEAVE</v>
      </c>
      <c r="C27" s="11"/>
      <c r="D27" s="7">
        <v>312.63</v>
      </c>
      <c r="E27" s="2"/>
      <c r="F27" s="6">
        <f t="shared" si="0"/>
        <v>0</v>
      </c>
      <c r="G27" s="2"/>
      <c r="H27" s="7">
        <v>553.61273800000004</v>
      </c>
      <c r="I27" s="2"/>
      <c r="J27" s="6">
        <f t="shared" si="1"/>
        <v>0</v>
      </c>
      <c r="K27" s="2"/>
      <c r="L27" s="7">
        <f t="shared" si="2"/>
        <v>-240.98273800000004</v>
      </c>
      <c r="M27" s="2"/>
      <c r="N27" s="6">
        <f t="shared" si="3"/>
        <v>-0.43529117279812307</v>
      </c>
      <c r="O27" s="11"/>
      <c r="P27" s="7">
        <v>-9929.94</v>
      </c>
      <c r="Q27" s="2"/>
      <c r="R27" s="6">
        <f t="shared" si="4"/>
        <v>0</v>
      </c>
      <c r="S27" s="2"/>
      <c r="T27" s="7">
        <v>7327.1797560000005</v>
      </c>
      <c r="U27" s="2"/>
      <c r="V27" s="6">
        <f t="shared" si="5"/>
        <v>0</v>
      </c>
      <c r="W27" s="2"/>
      <c r="X27" s="7">
        <f t="shared" si="6"/>
        <v>-17257.119756</v>
      </c>
      <c r="Y27" s="2"/>
      <c r="Z27" s="6">
        <f t="shared" si="7"/>
        <v>-2.3552199250835466</v>
      </c>
    </row>
    <row r="28" spans="1:26" s="24" customFormat="1" hidden="1" outlineLevel="2" x14ac:dyDescent="0.25">
      <c r="A28" s="26"/>
      <c r="B28" s="11" t="str">
        <f>CONCATENATE("          ", "6156", " - ", "EMPLOYEE MEALS")</f>
        <v xml:space="preserve">          6156 - EMPLOYEE MEALS</v>
      </c>
      <c r="C28" s="11"/>
      <c r="D28" s="7"/>
      <c r="E28" s="2"/>
      <c r="F28" s="6">
        <f t="shared" si="0"/>
        <v>0</v>
      </c>
      <c r="G28" s="2"/>
      <c r="H28" s="7"/>
      <c r="I28" s="2"/>
      <c r="J28" s="6">
        <f t="shared" si="1"/>
        <v>0</v>
      </c>
      <c r="K28" s="2"/>
      <c r="L28" s="7">
        <f t="shared" si="2"/>
        <v>0</v>
      </c>
      <c r="M28" s="2"/>
      <c r="N28" s="6">
        <f t="shared" si="3"/>
        <v>0</v>
      </c>
      <c r="O28" s="11"/>
      <c r="P28" s="7">
        <v>2805.47</v>
      </c>
      <c r="Q28" s="2"/>
      <c r="R28" s="6">
        <f t="shared" si="4"/>
        <v>0</v>
      </c>
      <c r="S28" s="2"/>
      <c r="T28" s="7"/>
      <c r="U28" s="2"/>
      <c r="V28" s="6">
        <f t="shared" si="5"/>
        <v>0</v>
      </c>
      <c r="W28" s="2"/>
      <c r="X28" s="7">
        <f t="shared" si="6"/>
        <v>2805.47</v>
      </c>
      <c r="Y28" s="2"/>
      <c r="Z28" s="6">
        <f t="shared" si="7"/>
        <v>0</v>
      </c>
    </row>
    <row r="29" spans="1:26" s="27" customFormat="1" outlineLevel="1" collapsed="1" x14ac:dyDescent="0.25">
      <c r="A29" s="25"/>
      <c r="B29" s="12" t="str">
        <f>CONCATENATE("     ","*Payroll                                          ")</f>
        <v xml:space="preserve">     *Payroll                                          </v>
      </c>
      <c r="C29" s="12"/>
      <c r="D29" s="1">
        <f>SUM(OSRRefD22_1x_0)</f>
        <v>28730.480000000003</v>
      </c>
      <c r="E29" s="1"/>
      <c r="F29" s="5">
        <f t="shared" ref="F29:F39" si="8">IF(D$12=0,0,D29/D$12)</f>
        <v>0</v>
      </c>
      <c r="G29" s="1"/>
      <c r="H29" s="1">
        <f>SUM(OSRRefH22_1x_0)</f>
        <v>27387.536108</v>
      </c>
      <c r="I29" s="1"/>
      <c r="J29" s="5">
        <f t="shared" ref="J29:J39" si="9">IF(H$12=0,0,H29/H$12)</f>
        <v>0</v>
      </c>
      <c r="K29" s="1"/>
      <c r="L29" s="1">
        <f t="shared" ref="L29:L39" si="10">+D29-H29</f>
        <v>1342.943892000003</v>
      </c>
      <c r="M29" s="1"/>
      <c r="N29" s="5">
        <f t="shared" ref="N29:N39" si="11">IF(H29=0,0,L29/H29)</f>
        <v>4.9034856100389553E-2</v>
      </c>
      <c r="O29" s="12"/>
      <c r="P29" s="1">
        <f>SUM(OSRRefP22_1x_0)</f>
        <v>412301.66</v>
      </c>
      <c r="Q29" s="1"/>
      <c r="R29" s="5">
        <f t="shared" ref="R29:R39" si="12">IF(P$12=0,0,P29/P$12)</f>
        <v>0</v>
      </c>
      <c r="S29" s="1"/>
      <c r="T29" s="1">
        <f>SUM(OSRRefT22_1x_0)</f>
        <v>403263.13929600001</v>
      </c>
      <c r="U29" s="1"/>
      <c r="V29" s="5">
        <f t="shared" ref="V29:V39" si="13">IF(T$12=0,0,T29/T$12)</f>
        <v>0</v>
      </c>
      <c r="W29" s="1"/>
      <c r="X29" s="1">
        <f t="shared" ref="X29:X39" si="14">+P29-T29</f>
        <v>9038.5207039999659</v>
      </c>
      <c r="Y29" s="1"/>
      <c r="Z29" s="5">
        <f t="shared" ref="Z29:Z39" si="15">IF(T29=0,0,X29/T29)</f>
        <v>2.2413456185901442E-2</v>
      </c>
    </row>
    <row r="30" spans="1:26" s="24" customFormat="1" hidden="1" outlineLevel="2" x14ac:dyDescent="0.25">
      <c r="A30" s="26"/>
      <c r="B30" s="11" t="str">
        <f>CONCATENATE("          ", "6001", " - ", "ADMINISTRATIVE SALARIES")</f>
        <v xml:space="preserve">          6001 - ADMINISTRATIVE SALARIES</v>
      </c>
      <c r="C30" s="11"/>
      <c r="D30" s="7"/>
      <c r="E30" s="2"/>
      <c r="F30" s="6">
        <f t="shared" si="8"/>
        <v>0</v>
      </c>
      <c r="G30" s="2"/>
      <c r="H30" s="7">
        <v>3807.2751079999994</v>
      </c>
      <c r="I30" s="2"/>
      <c r="J30" s="6">
        <f t="shared" si="9"/>
        <v>0</v>
      </c>
      <c r="K30" s="2"/>
      <c r="L30" s="7">
        <f t="shared" si="10"/>
        <v>-3807.2751079999994</v>
      </c>
      <c r="M30" s="2"/>
      <c r="N30" s="6">
        <f t="shared" si="11"/>
        <v>-1</v>
      </c>
      <c r="O30" s="11"/>
      <c r="P30" s="7"/>
      <c r="Q30" s="2"/>
      <c r="R30" s="6">
        <f t="shared" si="12"/>
        <v>0</v>
      </c>
      <c r="S30" s="2"/>
      <c r="T30" s="7">
        <v>45687.301296000005</v>
      </c>
      <c r="U30" s="2"/>
      <c r="V30" s="6">
        <f t="shared" si="13"/>
        <v>0</v>
      </c>
      <c r="W30" s="2"/>
      <c r="X30" s="7">
        <f t="shared" si="14"/>
        <v>-45687.301296000005</v>
      </c>
      <c r="Y30" s="2"/>
      <c r="Z30" s="6">
        <f t="shared" si="15"/>
        <v>-1</v>
      </c>
    </row>
    <row r="31" spans="1:26" s="24" customFormat="1" hidden="1" outlineLevel="2" x14ac:dyDescent="0.25">
      <c r="A31" s="26"/>
      <c r="B31" s="11" t="str">
        <f>CONCATENATE("          ", "6002", " - ", "STAFF SALARIES")</f>
        <v xml:space="preserve">          6002 - STAFF SALARIES</v>
      </c>
      <c r="C31" s="11"/>
      <c r="D31" s="7">
        <v>4277.84</v>
      </c>
      <c r="E31" s="2"/>
      <c r="F31" s="6">
        <f t="shared" si="8"/>
        <v>0</v>
      </c>
      <c r="G31" s="2"/>
      <c r="H31" s="7">
        <v>3649.5360000000001</v>
      </c>
      <c r="I31" s="2"/>
      <c r="J31" s="6">
        <f t="shared" si="9"/>
        <v>0</v>
      </c>
      <c r="K31" s="2"/>
      <c r="L31" s="7">
        <f t="shared" si="10"/>
        <v>628.30400000000009</v>
      </c>
      <c r="M31" s="2"/>
      <c r="N31" s="6">
        <f t="shared" si="11"/>
        <v>0.17215996773288442</v>
      </c>
      <c r="O31" s="11"/>
      <c r="P31" s="7">
        <v>90376.56</v>
      </c>
      <c r="Q31" s="2"/>
      <c r="R31" s="6">
        <f t="shared" si="12"/>
        <v>0</v>
      </c>
      <c r="S31" s="2"/>
      <c r="T31" s="7">
        <v>42037.248</v>
      </c>
      <c r="U31" s="2"/>
      <c r="V31" s="6">
        <f t="shared" si="13"/>
        <v>0</v>
      </c>
      <c r="W31" s="2"/>
      <c r="X31" s="7">
        <f t="shared" si="14"/>
        <v>48339.311999999998</v>
      </c>
      <c r="Y31" s="2"/>
      <c r="Z31" s="6">
        <f t="shared" si="15"/>
        <v>1.1499161886144402</v>
      </c>
    </row>
    <row r="32" spans="1:26" s="24" customFormat="1" hidden="1" outlineLevel="2" x14ac:dyDescent="0.25">
      <c r="A32" s="26"/>
      <c r="B32" s="11" t="str">
        <f>CONCATENATE("          ", "6003", " - ", "STAFF HOURLY-9 MONTH")</f>
        <v xml:space="preserve">          6003 - STAFF HOURLY-9 MONTH</v>
      </c>
      <c r="C32" s="11"/>
      <c r="D32" s="7"/>
      <c r="E32" s="2"/>
      <c r="F32" s="6">
        <f t="shared" si="8"/>
        <v>0</v>
      </c>
      <c r="G32" s="2"/>
      <c r="H32" s="7">
        <v>0</v>
      </c>
      <c r="I32" s="2"/>
      <c r="J32" s="6">
        <f t="shared" si="9"/>
        <v>0</v>
      </c>
      <c r="K32" s="2"/>
      <c r="L32" s="7">
        <f t="shared" si="10"/>
        <v>0</v>
      </c>
      <c r="M32" s="2"/>
      <c r="N32" s="6">
        <f t="shared" si="11"/>
        <v>0</v>
      </c>
      <c r="O32" s="11"/>
      <c r="P32" s="7"/>
      <c r="Q32" s="2"/>
      <c r="R32" s="6">
        <f t="shared" si="12"/>
        <v>0</v>
      </c>
      <c r="S32" s="2"/>
      <c r="T32" s="7">
        <v>0</v>
      </c>
      <c r="U32" s="2"/>
      <c r="V32" s="6">
        <f t="shared" si="13"/>
        <v>0</v>
      </c>
      <c r="W32" s="2"/>
      <c r="X32" s="7">
        <f t="shared" si="14"/>
        <v>0</v>
      </c>
      <c r="Y32" s="2"/>
      <c r="Z32" s="6">
        <f t="shared" si="15"/>
        <v>0</v>
      </c>
    </row>
    <row r="33" spans="1:26" s="24" customFormat="1" hidden="1" outlineLevel="2" x14ac:dyDescent="0.25">
      <c r="A33" s="26"/>
      <c r="B33" s="11" t="str">
        <f>CONCATENATE("          ", "6004", " - ", "STAFF HOURLY")</f>
        <v xml:space="preserve">          6004 - STAFF HOURLY</v>
      </c>
      <c r="C33" s="11"/>
      <c r="D33" s="7">
        <v>1750</v>
      </c>
      <c r="E33" s="2"/>
      <c r="F33" s="6">
        <f t="shared" si="8"/>
        <v>0</v>
      </c>
      <c r="G33" s="2"/>
      <c r="H33" s="7">
        <v>3460.8</v>
      </c>
      <c r="I33" s="2"/>
      <c r="J33" s="6">
        <f t="shared" si="9"/>
        <v>0</v>
      </c>
      <c r="K33" s="2"/>
      <c r="L33" s="7">
        <f t="shared" si="10"/>
        <v>-1710.8000000000002</v>
      </c>
      <c r="M33" s="2"/>
      <c r="N33" s="6">
        <f t="shared" si="11"/>
        <v>-0.49433656957928807</v>
      </c>
      <c r="O33" s="11"/>
      <c r="P33" s="7">
        <v>1750</v>
      </c>
      <c r="Q33" s="2"/>
      <c r="R33" s="6">
        <f t="shared" si="12"/>
        <v>0</v>
      </c>
      <c r="S33" s="2"/>
      <c r="T33" s="7">
        <v>41529.599999999999</v>
      </c>
      <c r="U33" s="2"/>
      <c r="V33" s="6">
        <f t="shared" si="13"/>
        <v>0</v>
      </c>
      <c r="W33" s="2"/>
      <c r="X33" s="7">
        <f t="shared" si="14"/>
        <v>-39779.599999999999</v>
      </c>
      <c r="Y33" s="2"/>
      <c r="Z33" s="6">
        <f t="shared" si="15"/>
        <v>-0.95786138079827399</v>
      </c>
    </row>
    <row r="34" spans="1:26" s="24" customFormat="1" hidden="1" outlineLevel="2" x14ac:dyDescent="0.25">
      <c r="A34" s="26"/>
      <c r="B34" s="11" t="str">
        <f>CONCATENATE("          ", "6005", " - ", "TEMPORARY WAGES-HOURLY")</f>
        <v xml:space="preserve">          6005 - TEMPORARY WAGES-HOURLY</v>
      </c>
      <c r="C34" s="11"/>
      <c r="D34" s="7">
        <v>7833.58</v>
      </c>
      <c r="E34" s="2"/>
      <c r="F34" s="6">
        <f t="shared" si="8"/>
        <v>0</v>
      </c>
      <c r="G34" s="2"/>
      <c r="H34" s="7">
        <v>0</v>
      </c>
      <c r="I34" s="2"/>
      <c r="J34" s="6">
        <f t="shared" si="9"/>
        <v>0</v>
      </c>
      <c r="K34" s="2"/>
      <c r="L34" s="7">
        <f t="shared" si="10"/>
        <v>7833.58</v>
      </c>
      <c r="M34" s="2"/>
      <c r="N34" s="6">
        <f t="shared" si="11"/>
        <v>0</v>
      </c>
      <c r="O34" s="11"/>
      <c r="P34" s="7">
        <v>36398.36</v>
      </c>
      <c r="Q34" s="2"/>
      <c r="R34" s="6">
        <f t="shared" si="12"/>
        <v>0</v>
      </c>
      <c r="S34" s="2"/>
      <c r="T34" s="7">
        <v>0</v>
      </c>
      <c r="U34" s="2"/>
      <c r="V34" s="6">
        <f t="shared" si="13"/>
        <v>0</v>
      </c>
      <c r="W34" s="2"/>
      <c r="X34" s="7">
        <f t="shared" si="14"/>
        <v>36398.36</v>
      </c>
      <c r="Y34" s="2"/>
      <c r="Z34" s="6">
        <f t="shared" si="15"/>
        <v>0</v>
      </c>
    </row>
    <row r="35" spans="1:26" s="24" customFormat="1" hidden="1" outlineLevel="2" x14ac:dyDescent="0.25">
      <c r="A35" s="26"/>
      <c r="B35" s="11" t="str">
        <f>CONCATENATE("          ", "6006", " - ", "TEMPORARY PART TIME")</f>
        <v xml:space="preserve">          6006 - TEMPORARY PART TIME</v>
      </c>
      <c r="C35" s="11"/>
      <c r="D35" s="7">
        <v>774.02</v>
      </c>
      <c r="E35" s="2"/>
      <c r="F35" s="6">
        <f t="shared" si="8"/>
        <v>0</v>
      </c>
      <c r="G35" s="2"/>
      <c r="H35" s="7">
        <v>0</v>
      </c>
      <c r="I35" s="2"/>
      <c r="J35" s="6">
        <f t="shared" si="9"/>
        <v>0</v>
      </c>
      <c r="K35" s="2"/>
      <c r="L35" s="7">
        <f t="shared" si="10"/>
        <v>774.02</v>
      </c>
      <c r="M35" s="2"/>
      <c r="N35" s="6">
        <f t="shared" si="11"/>
        <v>0</v>
      </c>
      <c r="O35" s="11"/>
      <c r="P35" s="7">
        <v>14055.51</v>
      </c>
      <c r="Q35" s="2"/>
      <c r="R35" s="6">
        <f t="shared" si="12"/>
        <v>0</v>
      </c>
      <c r="S35" s="2"/>
      <c r="T35" s="7">
        <v>0</v>
      </c>
      <c r="U35" s="2"/>
      <c r="V35" s="6">
        <f t="shared" si="13"/>
        <v>0</v>
      </c>
      <c r="W35" s="2"/>
      <c r="X35" s="7">
        <f t="shared" si="14"/>
        <v>14055.51</v>
      </c>
      <c r="Y35" s="2"/>
      <c r="Z35" s="6">
        <f t="shared" si="15"/>
        <v>0</v>
      </c>
    </row>
    <row r="36" spans="1:26" s="24" customFormat="1" hidden="1" outlineLevel="2" x14ac:dyDescent="0.25">
      <c r="A36" s="26"/>
      <c r="B36" s="11" t="str">
        <f>CONCATENATE("          ", "6007", " - ", "STUDENT HOURLY")</f>
        <v xml:space="preserve">          6007 - STUDENT HOURLY</v>
      </c>
      <c r="C36" s="11"/>
      <c r="D36" s="7">
        <v>14095.04</v>
      </c>
      <c r="E36" s="2"/>
      <c r="F36" s="6">
        <f t="shared" si="8"/>
        <v>0</v>
      </c>
      <c r="G36" s="2"/>
      <c r="H36" s="7">
        <v>0</v>
      </c>
      <c r="I36" s="2"/>
      <c r="J36" s="6">
        <f t="shared" si="9"/>
        <v>0</v>
      </c>
      <c r="K36" s="2"/>
      <c r="L36" s="7">
        <f t="shared" si="10"/>
        <v>14095.04</v>
      </c>
      <c r="M36" s="2"/>
      <c r="N36" s="6">
        <f t="shared" si="11"/>
        <v>0</v>
      </c>
      <c r="O36" s="11"/>
      <c r="P36" s="7">
        <v>256704.05</v>
      </c>
      <c r="Q36" s="2"/>
      <c r="R36" s="6">
        <f t="shared" si="12"/>
        <v>0</v>
      </c>
      <c r="S36" s="2"/>
      <c r="T36" s="7">
        <v>46139.25</v>
      </c>
      <c r="U36" s="2"/>
      <c r="V36" s="6">
        <f t="shared" si="13"/>
        <v>0</v>
      </c>
      <c r="W36" s="2"/>
      <c r="X36" s="7">
        <f t="shared" si="14"/>
        <v>210564.8</v>
      </c>
      <c r="Y36" s="2"/>
      <c r="Z36" s="6">
        <f t="shared" si="15"/>
        <v>4.5636805973222359</v>
      </c>
    </row>
    <row r="37" spans="1:26" s="24" customFormat="1" hidden="1" outlineLevel="2" x14ac:dyDescent="0.25">
      <c r="A37" s="26"/>
      <c r="B37" s="11" t="str">
        <f>CONCATENATE("          ", "6008", " - ", "STUDENT HOURLY-FICA EXEMPT")</f>
        <v xml:space="preserve">          6008 - STUDENT HOURLY-FICA EXEMPT</v>
      </c>
      <c r="C37" s="11"/>
      <c r="D37" s="7"/>
      <c r="E37" s="2"/>
      <c r="F37" s="6">
        <f t="shared" si="8"/>
        <v>0</v>
      </c>
      <c r="G37" s="2"/>
      <c r="H37" s="7">
        <v>16469.924999999999</v>
      </c>
      <c r="I37" s="2"/>
      <c r="J37" s="6">
        <f t="shared" si="9"/>
        <v>0</v>
      </c>
      <c r="K37" s="2"/>
      <c r="L37" s="7">
        <f t="shared" si="10"/>
        <v>-16469.924999999999</v>
      </c>
      <c r="M37" s="2"/>
      <c r="N37" s="6">
        <f t="shared" si="11"/>
        <v>-1</v>
      </c>
      <c r="O37" s="11"/>
      <c r="P37" s="7">
        <v>13017.18</v>
      </c>
      <c r="Q37" s="2"/>
      <c r="R37" s="6">
        <f t="shared" si="12"/>
        <v>0</v>
      </c>
      <c r="S37" s="2"/>
      <c r="T37" s="7">
        <v>227869.74</v>
      </c>
      <c r="U37" s="2"/>
      <c r="V37" s="6">
        <f t="shared" si="13"/>
        <v>0</v>
      </c>
      <c r="W37" s="2"/>
      <c r="X37" s="7">
        <f t="shared" si="14"/>
        <v>-214852.56</v>
      </c>
      <c r="Y37" s="2"/>
      <c r="Z37" s="6">
        <f t="shared" si="15"/>
        <v>-0.94287446854505563</v>
      </c>
    </row>
    <row r="38" spans="1:26" s="24" customFormat="1" hidden="1" outlineLevel="2" x14ac:dyDescent="0.25">
      <c r="A38" s="26"/>
      <c r="B38" s="11" t="str">
        <f>CONCATENATE("          ", "6009", " - ", "TEMPORARY-SEASONAL")</f>
        <v xml:space="preserve">          6009 - TEMPORARY-SEASONAL</v>
      </c>
      <c r="C38" s="11"/>
      <c r="D38" s="7"/>
      <c r="E38" s="2"/>
      <c r="F38" s="6">
        <f t="shared" si="8"/>
        <v>0</v>
      </c>
      <c r="G38" s="2"/>
      <c r="H38" s="7">
        <v>0</v>
      </c>
      <c r="I38" s="2"/>
      <c r="J38" s="6">
        <f t="shared" si="9"/>
        <v>0</v>
      </c>
      <c r="K38" s="2"/>
      <c r="L38" s="7">
        <f t="shared" si="10"/>
        <v>0</v>
      </c>
      <c r="M38" s="2"/>
      <c r="N38" s="6">
        <f t="shared" si="11"/>
        <v>0</v>
      </c>
      <c r="O38" s="11"/>
      <c r="P38" s="7"/>
      <c r="Q38" s="2"/>
      <c r="R38" s="6">
        <f t="shared" si="12"/>
        <v>0</v>
      </c>
      <c r="S38" s="2"/>
      <c r="T38" s="7">
        <v>0</v>
      </c>
      <c r="U38" s="2"/>
      <c r="V38" s="6">
        <f t="shared" si="13"/>
        <v>0</v>
      </c>
      <c r="W38" s="2"/>
      <c r="X38" s="7">
        <f t="shared" si="14"/>
        <v>0</v>
      </c>
      <c r="Y38" s="2"/>
      <c r="Z38" s="6">
        <f t="shared" si="15"/>
        <v>0</v>
      </c>
    </row>
    <row r="39" spans="1:26" s="24" customFormat="1" hidden="1" outlineLevel="2" x14ac:dyDescent="0.25">
      <c r="A39" s="26"/>
      <c r="B39" s="11" t="str">
        <f>CONCATENATE("          ", "6010", " - ", "GRATUITY")</f>
        <v xml:space="preserve">          6010 - GRATUITY</v>
      </c>
      <c r="C39" s="11"/>
      <c r="D39" s="7"/>
      <c r="E39" s="2"/>
      <c r="F39" s="6">
        <f t="shared" si="8"/>
        <v>0</v>
      </c>
      <c r="G39" s="2"/>
      <c r="H39" s="7">
        <v>0</v>
      </c>
      <c r="I39" s="2"/>
      <c r="J39" s="6">
        <f t="shared" si="9"/>
        <v>0</v>
      </c>
      <c r="K39" s="2"/>
      <c r="L39" s="7">
        <f t="shared" si="10"/>
        <v>0</v>
      </c>
      <c r="M39" s="2"/>
      <c r="N39" s="6">
        <f t="shared" si="11"/>
        <v>0</v>
      </c>
      <c r="O39" s="11"/>
      <c r="P39" s="7"/>
      <c r="Q39" s="2"/>
      <c r="R39" s="6">
        <f t="shared" si="12"/>
        <v>0</v>
      </c>
      <c r="S39" s="2"/>
      <c r="T39" s="7">
        <v>0</v>
      </c>
      <c r="U39" s="2"/>
      <c r="V39" s="6">
        <f t="shared" si="13"/>
        <v>0</v>
      </c>
      <c r="W39" s="2"/>
      <c r="X39" s="7">
        <f t="shared" si="14"/>
        <v>0</v>
      </c>
      <c r="Y39" s="2"/>
      <c r="Z39" s="6">
        <f t="shared" si="15"/>
        <v>0</v>
      </c>
    </row>
    <row r="40" spans="1:26" s="27" customFormat="1" outlineLevel="1" collapsed="1" x14ac:dyDescent="0.25">
      <c r="A40" s="25"/>
      <c r="B40" s="12" t="str">
        <f>CONCATENATE("     ","Advertising/Promo                                 ")</f>
        <v xml:space="preserve">     Advertising/Promo                                 </v>
      </c>
      <c r="C40" s="12"/>
      <c r="D40" s="1">
        <f>SUM(OSRRefD22_2x_0)</f>
        <v>0</v>
      </c>
      <c r="E40" s="1"/>
      <c r="F40" s="5">
        <f t="shared" ref="F40:F52" si="16">IF(D$12=0,0,D40/D$12)</f>
        <v>0</v>
      </c>
      <c r="G40" s="1"/>
      <c r="H40" s="1">
        <f>SUM(OSRRefH22_2x_0)</f>
        <v>0</v>
      </c>
      <c r="I40" s="1"/>
      <c r="J40" s="5">
        <f t="shared" ref="J40:J52" si="17">IF(H$12=0,0,H40/H$12)</f>
        <v>0</v>
      </c>
      <c r="K40" s="1"/>
      <c r="L40" s="1">
        <f t="shared" ref="L40:L52" si="18">+D40-H40</f>
        <v>0</v>
      </c>
      <c r="M40" s="1"/>
      <c r="N40" s="5">
        <f t="shared" ref="N40:N52" si="19">IF(H40=0,0,L40/H40)</f>
        <v>0</v>
      </c>
      <c r="O40" s="12"/>
      <c r="P40" s="1">
        <f>SUM(OSRRefP22_2x_0)</f>
        <v>360</v>
      </c>
      <c r="Q40" s="1"/>
      <c r="R40" s="5">
        <f t="shared" ref="R40:R52" si="20">IF(P$12=0,0,P40/P$12)</f>
        <v>0</v>
      </c>
      <c r="S40" s="1"/>
      <c r="T40" s="1">
        <f>SUM(OSRRefT22_2x_0)</f>
        <v>800</v>
      </c>
      <c r="U40" s="1"/>
      <c r="V40" s="5">
        <f t="shared" ref="V40:V52" si="21">IF(T$12=0,0,T40/T$12)</f>
        <v>0</v>
      </c>
      <c r="W40" s="1"/>
      <c r="X40" s="1">
        <f t="shared" ref="X40:X52" si="22">+P40-T40</f>
        <v>-440</v>
      </c>
      <c r="Y40" s="1"/>
      <c r="Z40" s="5">
        <f t="shared" ref="Z40:Z52" si="23">IF(T40=0,0,X40/T40)</f>
        <v>-0.55000000000000004</v>
      </c>
    </row>
    <row r="41" spans="1:26" s="24" customFormat="1" hidden="1" outlineLevel="2" x14ac:dyDescent="0.25">
      <c r="A41" s="26"/>
      <c r="B41" s="11" t="str">
        <f>CONCATENATE("          ", "6362", " - ", "ADVERTISING EXPENSE")</f>
        <v xml:space="preserve">          6362 - ADVERTISING EXPENSE</v>
      </c>
      <c r="C41" s="11"/>
      <c r="D41" s="7"/>
      <c r="E41" s="2"/>
      <c r="F41" s="6">
        <f t="shared" si="16"/>
        <v>0</v>
      </c>
      <c r="G41" s="2"/>
      <c r="H41" s="7"/>
      <c r="I41" s="2"/>
      <c r="J41" s="6">
        <f t="shared" si="17"/>
        <v>0</v>
      </c>
      <c r="K41" s="2"/>
      <c r="L41" s="7">
        <f t="shared" si="18"/>
        <v>0</v>
      </c>
      <c r="M41" s="2"/>
      <c r="N41" s="6">
        <f t="shared" si="19"/>
        <v>0</v>
      </c>
      <c r="O41" s="11"/>
      <c r="P41" s="7">
        <v>360</v>
      </c>
      <c r="Q41" s="2"/>
      <c r="R41" s="6">
        <f t="shared" si="20"/>
        <v>0</v>
      </c>
      <c r="S41" s="2"/>
      <c r="T41" s="7">
        <v>800</v>
      </c>
      <c r="U41" s="2"/>
      <c r="V41" s="6">
        <f t="shared" si="21"/>
        <v>0</v>
      </c>
      <c r="W41" s="2"/>
      <c r="X41" s="7">
        <f t="shared" si="22"/>
        <v>-440</v>
      </c>
      <c r="Y41" s="2"/>
      <c r="Z41" s="6">
        <f t="shared" si="23"/>
        <v>-0.55000000000000004</v>
      </c>
    </row>
    <row r="42" spans="1:26" s="27" customFormat="1" outlineLevel="1" collapsed="1" x14ac:dyDescent="0.25">
      <c r="A42" s="25"/>
      <c r="B42" s="12" t="str">
        <f>CONCATENATE("     ","Employees' Appreciation                           ")</f>
        <v xml:space="preserve">     Employees' Appreciation                           </v>
      </c>
      <c r="C42" s="12"/>
      <c r="D42" s="1">
        <f>SUM(OSRRefD22_3x_0)</f>
        <v>0</v>
      </c>
      <c r="E42" s="1"/>
      <c r="F42" s="5">
        <f t="shared" si="16"/>
        <v>0</v>
      </c>
      <c r="G42" s="1"/>
      <c r="H42" s="1">
        <f>SUM(OSRRefH22_3x_0)</f>
        <v>50</v>
      </c>
      <c r="I42" s="1"/>
      <c r="J42" s="5">
        <f t="shared" si="17"/>
        <v>0</v>
      </c>
      <c r="K42" s="1"/>
      <c r="L42" s="1">
        <f t="shared" si="18"/>
        <v>-50</v>
      </c>
      <c r="M42" s="1"/>
      <c r="N42" s="5">
        <f t="shared" si="19"/>
        <v>-1</v>
      </c>
      <c r="O42" s="12"/>
      <c r="P42" s="1">
        <f>SUM(OSRRefP22_3x_0)</f>
        <v>0</v>
      </c>
      <c r="Q42" s="1"/>
      <c r="R42" s="5">
        <f t="shared" si="20"/>
        <v>0</v>
      </c>
      <c r="S42" s="1"/>
      <c r="T42" s="1">
        <f>SUM(OSRRefT22_3x_0)</f>
        <v>550</v>
      </c>
      <c r="U42" s="1"/>
      <c r="V42" s="5">
        <f t="shared" si="21"/>
        <v>0</v>
      </c>
      <c r="W42" s="1"/>
      <c r="X42" s="1">
        <f t="shared" si="22"/>
        <v>-550</v>
      </c>
      <c r="Y42" s="1"/>
      <c r="Z42" s="5">
        <f t="shared" si="23"/>
        <v>-1</v>
      </c>
    </row>
    <row r="43" spans="1:26" s="24" customFormat="1" hidden="1" outlineLevel="2" x14ac:dyDescent="0.25">
      <c r="A43" s="26"/>
      <c r="B43" s="11" t="str">
        <f>CONCATENATE("          ", "6277", " - ", "EMPLOYEE APPRECIATION")</f>
        <v xml:space="preserve">          6277 - EMPLOYEE APPRECIATION</v>
      </c>
      <c r="C43" s="11"/>
      <c r="D43" s="7"/>
      <c r="E43" s="2"/>
      <c r="F43" s="6">
        <f t="shared" si="16"/>
        <v>0</v>
      </c>
      <c r="G43" s="2"/>
      <c r="H43" s="7">
        <v>50</v>
      </c>
      <c r="I43" s="2"/>
      <c r="J43" s="6">
        <f t="shared" si="17"/>
        <v>0</v>
      </c>
      <c r="K43" s="2"/>
      <c r="L43" s="7">
        <f t="shared" si="18"/>
        <v>-50</v>
      </c>
      <c r="M43" s="2"/>
      <c r="N43" s="6">
        <f t="shared" si="19"/>
        <v>-1</v>
      </c>
      <c r="O43" s="11"/>
      <c r="P43" s="7"/>
      <c r="Q43" s="2"/>
      <c r="R43" s="6">
        <f t="shared" si="20"/>
        <v>0</v>
      </c>
      <c r="S43" s="2"/>
      <c r="T43" s="7">
        <v>550</v>
      </c>
      <c r="U43" s="2"/>
      <c r="V43" s="6">
        <f t="shared" si="21"/>
        <v>0</v>
      </c>
      <c r="W43" s="2"/>
      <c r="X43" s="7">
        <f t="shared" si="22"/>
        <v>-550</v>
      </c>
      <c r="Y43" s="2"/>
      <c r="Z43" s="6">
        <f t="shared" si="23"/>
        <v>-1</v>
      </c>
    </row>
    <row r="44" spans="1:26" s="27" customFormat="1" outlineLevel="1" collapsed="1" x14ac:dyDescent="0.25">
      <c r="A44" s="25"/>
      <c r="B44" s="12" t="str">
        <f>CONCATENATE("     ","Equipment Rental                                  ")</f>
        <v xml:space="preserve">     Equipment Rental                                  </v>
      </c>
      <c r="C44" s="12"/>
      <c r="D44" s="1">
        <f>SUM(OSRRefD22_4x_0)</f>
        <v>91.26</v>
      </c>
      <c r="E44" s="1"/>
      <c r="F44" s="5">
        <f t="shared" si="16"/>
        <v>0</v>
      </c>
      <c r="G44" s="1"/>
      <c r="H44" s="1">
        <f>SUM(OSRRefH22_4x_0)</f>
        <v>125</v>
      </c>
      <c r="I44" s="1"/>
      <c r="J44" s="5">
        <f t="shared" si="17"/>
        <v>0</v>
      </c>
      <c r="K44" s="1"/>
      <c r="L44" s="1">
        <f t="shared" si="18"/>
        <v>-33.739999999999995</v>
      </c>
      <c r="M44" s="1"/>
      <c r="N44" s="5">
        <f t="shared" si="19"/>
        <v>-0.26991999999999994</v>
      </c>
      <c r="O44" s="12"/>
      <c r="P44" s="1">
        <f>SUM(OSRRefP22_4x_0)</f>
        <v>1066.72</v>
      </c>
      <c r="Q44" s="1"/>
      <c r="R44" s="5">
        <f t="shared" si="20"/>
        <v>0</v>
      </c>
      <c r="S44" s="1"/>
      <c r="T44" s="1">
        <f>SUM(OSRRefT22_4x_0)</f>
        <v>1375</v>
      </c>
      <c r="U44" s="1"/>
      <c r="V44" s="5">
        <f t="shared" si="21"/>
        <v>0</v>
      </c>
      <c r="W44" s="1"/>
      <c r="X44" s="1">
        <f t="shared" si="22"/>
        <v>-308.27999999999997</v>
      </c>
      <c r="Y44" s="1"/>
      <c r="Z44" s="5">
        <f t="shared" si="23"/>
        <v>-0.22420363636363635</v>
      </c>
    </row>
    <row r="45" spans="1:26" s="24" customFormat="1" hidden="1" outlineLevel="2" x14ac:dyDescent="0.25">
      <c r="A45" s="26"/>
      <c r="B45" s="11" t="str">
        <f>CONCATENATE("          ", "6351", " - ", "EQUIPMENT RENTAL")</f>
        <v xml:space="preserve">          6351 - EQUIPMENT RENTAL</v>
      </c>
      <c r="C45" s="11"/>
      <c r="D45" s="7">
        <v>91.26</v>
      </c>
      <c r="E45" s="2"/>
      <c r="F45" s="6">
        <f t="shared" si="16"/>
        <v>0</v>
      </c>
      <c r="G45" s="2"/>
      <c r="H45" s="7">
        <v>125</v>
      </c>
      <c r="I45" s="2"/>
      <c r="J45" s="6">
        <f t="shared" si="17"/>
        <v>0</v>
      </c>
      <c r="K45" s="2"/>
      <c r="L45" s="7">
        <f t="shared" si="18"/>
        <v>-33.739999999999995</v>
      </c>
      <c r="M45" s="2"/>
      <c r="N45" s="6">
        <f t="shared" si="19"/>
        <v>-0.26991999999999994</v>
      </c>
      <c r="O45" s="11"/>
      <c r="P45" s="7">
        <v>1066.72</v>
      </c>
      <c r="Q45" s="2"/>
      <c r="R45" s="6">
        <f t="shared" si="20"/>
        <v>0</v>
      </c>
      <c r="S45" s="2"/>
      <c r="T45" s="7">
        <v>1375</v>
      </c>
      <c r="U45" s="2"/>
      <c r="V45" s="6">
        <f t="shared" si="21"/>
        <v>0</v>
      </c>
      <c r="W45" s="2"/>
      <c r="X45" s="7">
        <f t="shared" si="22"/>
        <v>-308.27999999999997</v>
      </c>
      <c r="Y45" s="2"/>
      <c r="Z45" s="6">
        <f t="shared" si="23"/>
        <v>-0.22420363636363635</v>
      </c>
    </row>
    <row r="46" spans="1:26" s="27" customFormat="1" outlineLevel="1" collapsed="1" x14ac:dyDescent="0.25">
      <c r="A46" s="25"/>
      <c r="B46" s="12" t="str">
        <f>CONCATENATE("     ","Freight out/Postage                               ")</f>
        <v xml:space="preserve">     Freight out/Postage                               </v>
      </c>
      <c r="C46" s="12"/>
      <c r="D46" s="1">
        <f>SUM(OSRRefD22_5x_0)</f>
        <v>15.95</v>
      </c>
      <c r="E46" s="1"/>
      <c r="F46" s="5">
        <f t="shared" si="16"/>
        <v>0</v>
      </c>
      <c r="G46" s="1"/>
      <c r="H46" s="1">
        <f>SUM(OSRRefH22_5x_0)</f>
        <v>10</v>
      </c>
      <c r="I46" s="1"/>
      <c r="J46" s="5">
        <f t="shared" si="17"/>
        <v>0</v>
      </c>
      <c r="K46" s="1"/>
      <c r="L46" s="1">
        <f t="shared" si="18"/>
        <v>5.9499999999999993</v>
      </c>
      <c r="M46" s="1"/>
      <c r="N46" s="5">
        <f t="shared" si="19"/>
        <v>0.59499999999999997</v>
      </c>
      <c r="O46" s="12"/>
      <c r="P46" s="1">
        <f>SUM(OSRRefP22_5x_0)</f>
        <v>4229.75</v>
      </c>
      <c r="Q46" s="1"/>
      <c r="R46" s="5">
        <f t="shared" si="20"/>
        <v>0</v>
      </c>
      <c r="S46" s="1"/>
      <c r="T46" s="1">
        <f>SUM(OSRRefT22_5x_0)</f>
        <v>110</v>
      </c>
      <c r="U46" s="1"/>
      <c r="V46" s="5">
        <f t="shared" si="21"/>
        <v>0</v>
      </c>
      <c r="W46" s="1"/>
      <c r="X46" s="1">
        <f t="shared" si="22"/>
        <v>4119.75</v>
      </c>
      <c r="Y46" s="1"/>
      <c r="Z46" s="5">
        <f t="shared" si="23"/>
        <v>37.452272727272728</v>
      </c>
    </row>
    <row r="47" spans="1:26" s="24" customFormat="1" hidden="1" outlineLevel="2" x14ac:dyDescent="0.25">
      <c r="A47" s="26"/>
      <c r="B47" s="11" t="str">
        <f>CONCATENATE("          ", "6307", " - ", "POSTAGE")</f>
        <v xml:space="preserve">          6307 - POSTAGE</v>
      </c>
      <c r="C47" s="11"/>
      <c r="D47" s="7">
        <v>15.95</v>
      </c>
      <c r="E47" s="2"/>
      <c r="F47" s="6">
        <f t="shared" si="16"/>
        <v>0</v>
      </c>
      <c r="G47" s="2"/>
      <c r="H47" s="7">
        <v>10</v>
      </c>
      <c r="I47" s="2"/>
      <c r="J47" s="6">
        <f t="shared" si="17"/>
        <v>0</v>
      </c>
      <c r="K47" s="2"/>
      <c r="L47" s="7">
        <f t="shared" si="18"/>
        <v>5.9499999999999993</v>
      </c>
      <c r="M47" s="2"/>
      <c r="N47" s="6">
        <f t="shared" si="19"/>
        <v>0.59499999999999997</v>
      </c>
      <c r="O47" s="11"/>
      <c r="P47" s="7">
        <v>4229.75</v>
      </c>
      <c r="Q47" s="2"/>
      <c r="R47" s="6">
        <f t="shared" si="20"/>
        <v>0</v>
      </c>
      <c r="S47" s="2"/>
      <c r="T47" s="7">
        <v>110</v>
      </c>
      <c r="U47" s="2"/>
      <c r="V47" s="6">
        <f t="shared" si="21"/>
        <v>0</v>
      </c>
      <c r="W47" s="2"/>
      <c r="X47" s="7">
        <f t="shared" si="22"/>
        <v>4119.75</v>
      </c>
      <c r="Y47" s="2"/>
      <c r="Z47" s="6">
        <f t="shared" si="23"/>
        <v>37.452272727272728</v>
      </c>
    </row>
    <row r="48" spans="1:26" s="27" customFormat="1" outlineLevel="1" collapsed="1" x14ac:dyDescent="0.25">
      <c r="A48" s="25"/>
      <c r="B48" s="12" t="str">
        <f>CONCATENATE("     ","General                                           ")</f>
        <v xml:space="preserve">     General                                           </v>
      </c>
      <c r="C48" s="12"/>
      <c r="D48" s="1">
        <f>SUM(OSRRefD22_6x_0)</f>
        <v>0</v>
      </c>
      <c r="E48" s="1"/>
      <c r="F48" s="5">
        <f t="shared" si="16"/>
        <v>0</v>
      </c>
      <c r="G48" s="1"/>
      <c r="H48" s="1">
        <f>SUM(OSRRefH22_6x_0)</f>
        <v>0</v>
      </c>
      <c r="I48" s="1"/>
      <c r="J48" s="5">
        <f t="shared" si="17"/>
        <v>0</v>
      </c>
      <c r="K48" s="1"/>
      <c r="L48" s="1">
        <f t="shared" si="18"/>
        <v>0</v>
      </c>
      <c r="M48" s="1"/>
      <c r="N48" s="5">
        <f t="shared" si="19"/>
        <v>0</v>
      </c>
      <c r="O48" s="12"/>
      <c r="P48" s="1">
        <f>SUM(OSRRefP22_6x_0)</f>
        <v>89.45</v>
      </c>
      <c r="Q48" s="1"/>
      <c r="R48" s="5">
        <f t="shared" si="20"/>
        <v>0</v>
      </c>
      <c r="S48" s="1"/>
      <c r="T48" s="1">
        <f>SUM(OSRRefT22_6x_0)</f>
        <v>0</v>
      </c>
      <c r="U48" s="1"/>
      <c r="V48" s="5">
        <f t="shared" si="21"/>
        <v>0</v>
      </c>
      <c r="W48" s="1"/>
      <c r="X48" s="1">
        <f t="shared" si="22"/>
        <v>89.45</v>
      </c>
      <c r="Y48" s="1"/>
      <c r="Z48" s="5">
        <f t="shared" si="23"/>
        <v>0</v>
      </c>
    </row>
    <row r="49" spans="1:26" s="24" customFormat="1" hidden="1" outlineLevel="2" x14ac:dyDescent="0.25">
      <c r="A49" s="26"/>
      <c r="B49" s="11" t="str">
        <f>CONCATENATE("          ", "6279", " - ", "GENERAL EXPENSE")</f>
        <v xml:space="preserve">          6279 - GENERAL EXPENSE</v>
      </c>
      <c r="C49" s="11"/>
      <c r="D49" s="7"/>
      <c r="E49" s="2"/>
      <c r="F49" s="6">
        <f t="shared" si="16"/>
        <v>0</v>
      </c>
      <c r="G49" s="2"/>
      <c r="H49" s="7"/>
      <c r="I49" s="2"/>
      <c r="J49" s="6">
        <f t="shared" si="17"/>
        <v>0</v>
      </c>
      <c r="K49" s="2"/>
      <c r="L49" s="7">
        <f t="shared" si="18"/>
        <v>0</v>
      </c>
      <c r="M49" s="2"/>
      <c r="N49" s="6">
        <f t="shared" si="19"/>
        <v>0</v>
      </c>
      <c r="O49" s="11"/>
      <c r="P49" s="7">
        <v>89.45</v>
      </c>
      <c r="Q49" s="2"/>
      <c r="R49" s="6">
        <f t="shared" si="20"/>
        <v>0</v>
      </c>
      <c r="S49" s="2"/>
      <c r="T49" s="7"/>
      <c r="U49" s="2"/>
      <c r="V49" s="6">
        <f t="shared" si="21"/>
        <v>0</v>
      </c>
      <c r="W49" s="2"/>
      <c r="X49" s="7">
        <f t="shared" si="22"/>
        <v>89.45</v>
      </c>
      <c r="Y49" s="2"/>
      <c r="Z49" s="6">
        <f t="shared" si="23"/>
        <v>0</v>
      </c>
    </row>
    <row r="50" spans="1:26" s="27" customFormat="1" outlineLevel="1" collapsed="1" x14ac:dyDescent="0.25">
      <c r="A50" s="25"/>
      <c r="B50" s="12" t="str">
        <f>CONCATENATE("     ","Repair and Maintenance                            ")</f>
        <v xml:space="preserve">     Repair and Maintenance                            </v>
      </c>
      <c r="C50" s="12"/>
      <c r="D50" s="1">
        <f>SUM(OSRRefD22_7x_0)</f>
        <v>26.84</v>
      </c>
      <c r="E50" s="1"/>
      <c r="F50" s="5">
        <f t="shared" si="16"/>
        <v>0</v>
      </c>
      <c r="G50" s="1"/>
      <c r="H50" s="1">
        <f>SUM(OSRRefH22_7x_0)</f>
        <v>125</v>
      </c>
      <c r="I50" s="1"/>
      <c r="J50" s="5">
        <f t="shared" si="17"/>
        <v>0</v>
      </c>
      <c r="K50" s="1"/>
      <c r="L50" s="1">
        <f t="shared" si="18"/>
        <v>-98.16</v>
      </c>
      <c r="M50" s="1"/>
      <c r="N50" s="5">
        <f t="shared" si="19"/>
        <v>-0.78527999999999998</v>
      </c>
      <c r="O50" s="12"/>
      <c r="P50" s="1">
        <f>SUM(OSRRefP22_7x_0)</f>
        <v>505.16999999999996</v>
      </c>
      <c r="Q50" s="1"/>
      <c r="R50" s="5">
        <f t="shared" si="20"/>
        <v>0</v>
      </c>
      <c r="S50" s="1"/>
      <c r="T50" s="1">
        <f>SUM(OSRRefT22_7x_0)</f>
        <v>1375</v>
      </c>
      <c r="U50" s="1"/>
      <c r="V50" s="5">
        <f t="shared" si="21"/>
        <v>0</v>
      </c>
      <c r="W50" s="1"/>
      <c r="X50" s="1">
        <f t="shared" si="22"/>
        <v>-869.83</v>
      </c>
      <c r="Y50" s="1"/>
      <c r="Z50" s="5">
        <f t="shared" si="23"/>
        <v>-0.63260363636363637</v>
      </c>
    </row>
    <row r="51" spans="1:26" s="24" customFormat="1" hidden="1" outlineLevel="2" x14ac:dyDescent="0.25">
      <c r="A51" s="26"/>
      <c r="B51" s="11" t="str">
        <f>CONCATENATE("          ", "6373", " - ", "MAINTENANCE CONTRACTS")</f>
        <v xml:space="preserve">          6373 - MAINTENANCE CONTRACTS</v>
      </c>
      <c r="C51" s="11"/>
      <c r="D51" s="7">
        <v>26.84</v>
      </c>
      <c r="E51" s="2"/>
      <c r="F51" s="6">
        <f t="shared" si="16"/>
        <v>0</v>
      </c>
      <c r="G51" s="2"/>
      <c r="H51" s="7"/>
      <c r="I51" s="2"/>
      <c r="J51" s="6">
        <f t="shared" si="17"/>
        <v>0</v>
      </c>
      <c r="K51" s="2"/>
      <c r="L51" s="7">
        <f t="shared" si="18"/>
        <v>26.84</v>
      </c>
      <c r="M51" s="2"/>
      <c r="N51" s="6">
        <f t="shared" si="19"/>
        <v>0</v>
      </c>
      <c r="O51" s="11"/>
      <c r="P51" s="7">
        <v>192.84</v>
      </c>
      <c r="Q51" s="2"/>
      <c r="R51" s="6">
        <f t="shared" si="20"/>
        <v>0</v>
      </c>
      <c r="S51" s="2"/>
      <c r="T51" s="7"/>
      <c r="U51" s="2"/>
      <c r="V51" s="6">
        <f t="shared" si="21"/>
        <v>0</v>
      </c>
      <c r="W51" s="2"/>
      <c r="X51" s="7">
        <f t="shared" si="22"/>
        <v>192.84</v>
      </c>
      <c r="Y51" s="2"/>
      <c r="Z51" s="6">
        <f t="shared" si="23"/>
        <v>0</v>
      </c>
    </row>
    <row r="52" spans="1:26" s="24" customFormat="1" hidden="1" outlineLevel="2" x14ac:dyDescent="0.25">
      <c r="A52" s="26"/>
      <c r="B52" s="11" t="str">
        <f>CONCATENATE("          ", "6375", " - ", "OUTSIDE REPAIRS &amp; MAINTENANCE")</f>
        <v xml:space="preserve">          6375 - OUTSIDE REPAIRS &amp; MAINTENANCE</v>
      </c>
      <c r="C52" s="11"/>
      <c r="D52" s="7"/>
      <c r="E52" s="2"/>
      <c r="F52" s="6">
        <f t="shared" si="16"/>
        <v>0</v>
      </c>
      <c r="G52" s="2"/>
      <c r="H52" s="7">
        <v>125</v>
      </c>
      <c r="I52" s="2"/>
      <c r="J52" s="6">
        <f t="shared" si="17"/>
        <v>0</v>
      </c>
      <c r="K52" s="2"/>
      <c r="L52" s="7">
        <f t="shared" si="18"/>
        <v>-125</v>
      </c>
      <c r="M52" s="2"/>
      <c r="N52" s="6">
        <f t="shared" si="19"/>
        <v>-1</v>
      </c>
      <c r="O52" s="11"/>
      <c r="P52" s="7">
        <v>312.33</v>
      </c>
      <c r="Q52" s="2"/>
      <c r="R52" s="6">
        <f t="shared" si="20"/>
        <v>0</v>
      </c>
      <c r="S52" s="2"/>
      <c r="T52" s="7">
        <v>1375</v>
      </c>
      <c r="U52" s="2"/>
      <c r="V52" s="6">
        <f t="shared" si="21"/>
        <v>0</v>
      </c>
      <c r="W52" s="2"/>
      <c r="X52" s="7">
        <f t="shared" si="22"/>
        <v>-1062.67</v>
      </c>
      <c r="Y52" s="2"/>
      <c r="Z52" s="6">
        <f t="shared" si="23"/>
        <v>-0.77285090909090914</v>
      </c>
    </row>
    <row r="53" spans="1:26" s="27" customFormat="1" outlineLevel="1" collapsed="1" x14ac:dyDescent="0.25">
      <c r="A53" s="25"/>
      <c r="B53" s="12" t="str">
        <f>CONCATENATE("     ","Supplies                                          ")</f>
        <v xml:space="preserve">     Supplies                                          </v>
      </c>
      <c r="C53" s="12"/>
      <c r="D53" s="1">
        <f>SUM(OSRRefD22_8x_0)</f>
        <v>515.57999999999993</v>
      </c>
      <c r="E53" s="1"/>
      <c r="F53" s="5">
        <f t="shared" ref="F53:F57" si="24">IF(D$12=0,0,D53/D$12)</f>
        <v>0</v>
      </c>
      <c r="G53" s="1"/>
      <c r="H53" s="1">
        <f>SUM(OSRRefH22_8x_0)</f>
        <v>450</v>
      </c>
      <c r="I53" s="1"/>
      <c r="J53" s="5">
        <f t="shared" ref="J53:J57" si="25">IF(H$12=0,0,H53/H$12)</f>
        <v>0</v>
      </c>
      <c r="K53" s="1"/>
      <c r="L53" s="1">
        <f t="shared" ref="L53:L57" si="26">+D53-H53</f>
        <v>65.579999999999927</v>
      </c>
      <c r="M53" s="1"/>
      <c r="N53" s="5">
        <f t="shared" ref="N53:N57" si="27">IF(H53=0,0,L53/H53)</f>
        <v>0.14573333333333316</v>
      </c>
      <c r="O53" s="12"/>
      <c r="P53" s="1">
        <f>SUM(OSRRefP22_8x_0)</f>
        <v>4119.7699999999995</v>
      </c>
      <c r="Q53" s="1"/>
      <c r="R53" s="5">
        <f t="shared" ref="R53:R57" si="28">IF(P$12=0,0,P53/P$12)</f>
        <v>0</v>
      </c>
      <c r="S53" s="1"/>
      <c r="T53" s="1">
        <f>SUM(OSRRefT22_8x_0)</f>
        <v>6450</v>
      </c>
      <c r="U53" s="1"/>
      <c r="V53" s="5">
        <f t="shared" ref="V53:V57" si="29">IF(T$12=0,0,T53/T$12)</f>
        <v>0</v>
      </c>
      <c r="W53" s="1"/>
      <c r="X53" s="1">
        <f t="shared" ref="X53:X57" si="30">+P53-T53</f>
        <v>-2330.2300000000005</v>
      </c>
      <c r="Y53" s="1"/>
      <c r="Z53" s="5">
        <f t="shared" ref="Z53:Z57" si="31">IF(T53=0,0,X53/T53)</f>
        <v>-0.36127596899224812</v>
      </c>
    </row>
    <row r="54" spans="1:26" s="24" customFormat="1" hidden="1" outlineLevel="2" x14ac:dyDescent="0.25">
      <c r="A54" s="26"/>
      <c r="B54" s="11" t="str">
        <f>CONCATENATE("          ", "6237", " - ", "JANITORIAL SUPPLIES")</f>
        <v xml:space="preserve">          6237 - JANITORIAL SUPPLIES</v>
      </c>
      <c r="C54" s="11"/>
      <c r="D54" s="7"/>
      <c r="E54" s="2"/>
      <c r="F54" s="6">
        <f t="shared" si="24"/>
        <v>0</v>
      </c>
      <c r="G54" s="2"/>
      <c r="H54" s="7"/>
      <c r="I54" s="2"/>
      <c r="J54" s="6">
        <f t="shared" si="25"/>
        <v>0</v>
      </c>
      <c r="K54" s="2"/>
      <c r="L54" s="7">
        <f t="shared" si="26"/>
        <v>0</v>
      </c>
      <c r="M54" s="2"/>
      <c r="N54" s="6">
        <f t="shared" si="27"/>
        <v>0</v>
      </c>
      <c r="O54" s="11"/>
      <c r="P54" s="7">
        <v>226.95</v>
      </c>
      <c r="Q54" s="2"/>
      <c r="R54" s="6">
        <f t="shared" si="28"/>
        <v>0</v>
      </c>
      <c r="S54" s="2"/>
      <c r="T54" s="7"/>
      <c r="U54" s="2"/>
      <c r="V54" s="6">
        <f t="shared" si="29"/>
        <v>0</v>
      </c>
      <c r="W54" s="2"/>
      <c r="X54" s="7">
        <f t="shared" si="30"/>
        <v>226.95</v>
      </c>
      <c r="Y54" s="2"/>
      <c r="Z54" s="6">
        <f t="shared" si="31"/>
        <v>0</v>
      </c>
    </row>
    <row r="55" spans="1:26" s="24" customFormat="1" hidden="1" outlineLevel="2" x14ac:dyDescent="0.25">
      <c r="A55" s="26"/>
      <c r="B55" s="11" t="str">
        <f>CONCATENATE("          ", "6241", " - ", "OFFICE EXPENSE")</f>
        <v xml:space="preserve">          6241 - OFFICE EXPENSE</v>
      </c>
      <c r="C55" s="11"/>
      <c r="D55" s="7">
        <v>286.58999999999997</v>
      </c>
      <c r="E55" s="2"/>
      <c r="F55" s="6">
        <f t="shared" si="24"/>
        <v>0</v>
      </c>
      <c r="G55" s="2"/>
      <c r="H55" s="7">
        <v>150</v>
      </c>
      <c r="I55" s="2"/>
      <c r="J55" s="6">
        <f t="shared" si="25"/>
        <v>0</v>
      </c>
      <c r="K55" s="2"/>
      <c r="L55" s="7">
        <f t="shared" si="26"/>
        <v>136.58999999999997</v>
      </c>
      <c r="M55" s="2"/>
      <c r="N55" s="6">
        <f t="shared" si="27"/>
        <v>0.91059999999999985</v>
      </c>
      <c r="O55" s="11"/>
      <c r="P55" s="7">
        <v>2309.6</v>
      </c>
      <c r="Q55" s="2"/>
      <c r="R55" s="6">
        <f t="shared" si="28"/>
        <v>0</v>
      </c>
      <c r="S55" s="2"/>
      <c r="T55" s="7">
        <v>2150</v>
      </c>
      <c r="U55" s="2"/>
      <c r="V55" s="6">
        <f t="shared" si="29"/>
        <v>0</v>
      </c>
      <c r="W55" s="2"/>
      <c r="X55" s="7">
        <f t="shared" si="30"/>
        <v>159.59999999999991</v>
      </c>
      <c r="Y55" s="2"/>
      <c r="Z55" s="6">
        <f t="shared" si="31"/>
        <v>7.4232558139534846E-2</v>
      </c>
    </row>
    <row r="56" spans="1:26" s="24" customFormat="1" hidden="1" outlineLevel="2" x14ac:dyDescent="0.25">
      <c r="A56" s="26"/>
      <c r="B56" s="11" t="str">
        <f>CONCATENATE("          ", "6243", " - ", "PAPER SUPPLIES")</f>
        <v xml:space="preserve">          6243 - PAPER SUPPLIES</v>
      </c>
      <c r="C56" s="11"/>
      <c r="D56" s="7"/>
      <c r="E56" s="2"/>
      <c r="F56" s="6">
        <f t="shared" si="24"/>
        <v>0</v>
      </c>
      <c r="G56" s="2"/>
      <c r="H56" s="7"/>
      <c r="I56" s="2"/>
      <c r="J56" s="6">
        <f t="shared" si="25"/>
        <v>0</v>
      </c>
      <c r="K56" s="2"/>
      <c r="L56" s="7">
        <f t="shared" si="26"/>
        <v>0</v>
      </c>
      <c r="M56" s="2"/>
      <c r="N56" s="6">
        <f t="shared" si="27"/>
        <v>0</v>
      </c>
      <c r="O56" s="11"/>
      <c r="P56" s="7"/>
      <c r="Q56" s="2"/>
      <c r="R56" s="6">
        <f t="shared" si="28"/>
        <v>0</v>
      </c>
      <c r="S56" s="2"/>
      <c r="T56" s="7">
        <v>1000</v>
      </c>
      <c r="U56" s="2"/>
      <c r="V56" s="6">
        <f t="shared" si="29"/>
        <v>0</v>
      </c>
      <c r="W56" s="2"/>
      <c r="X56" s="7">
        <f t="shared" si="30"/>
        <v>-1000</v>
      </c>
      <c r="Y56" s="2"/>
      <c r="Z56" s="6">
        <f t="shared" si="31"/>
        <v>-1</v>
      </c>
    </row>
    <row r="57" spans="1:26" s="24" customFormat="1" hidden="1" outlineLevel="2" x14ac:dyDescent="0.25">
      <c r="A57" s="26"/>
      <c r="B57" s="11" t="str">
        <f>CONCATENATE("          ", "6247", " - ", "STORE SUPPLIES")</f>
        <v xml:space="preserve">          6247 - STORE SUPPLIES</v>
      </c>
      <c r="C57" s="11"/>
      <c r="D57" s="7">
        <v>228.99</v>
      </c>
      <c r="E57" s="2"/>
      <c r="F57" s="6">
        <f t="shared" si="24"/>
        <v>0</v>
      </c>
      <c r="G57" s="2"/>
      <c r="H57" s="7">
        <v>300</v>
      </c>
      <c r="I57" s="2"/>
      <c r="J57" s="6">
        <f t="shared" si="25"/>
        <v>0</v>
      </c>
      <c r="K57" s="2"/>
      <c r="L57" s="7">
        <f t="shared" si="26"/>
        <v>-71.009999999999991</v>
      </c>
      <c r="M57" s="2"/>
      <c r="N57" s="6">
        <f t="shared" si="27"/>
        <v>-0.23669999999999997</v>
      </c>
      <c r="O57" s="11"/>
      <c r="P57" s="7">
        <v>1583.22</v>
      </c>
      <c r="Q57" s="2"/>
      <c r="R57" s="6">
        <f t="shared" si="28"/>
        <v>0</v>
      </c>
      <c r="S57" s="2"/>
      <c r="T57" s="7">
        <v>3300</v>
      </c>
      <c r="U57" s="2"/>
      <c r="V57" s="6">
        <f t="shared" si="29"/>
        <v>0</v>
      </c>
      <c r="W57" s="2"/>
      <c r="X57" s="7">
        <f t="shared" si="30"/>
        <v>-1716.78</v>
      </c>
      <c r="Y57" s="2"/>
      <c r="Z57" s="6">
        <f t="shared" si="31"/>
        <v>-0.52023636363636361</v>
      </c>
    </row>
    <row r="58" spans="1:26" s="27" customFormat="1" outlineLevel="1" collapsed="1" x14ac:dyDescent="0.25">
      <c r="A58" s="25"/>
      <c r="B58" s="12" t="str">
        <f>CONCATENATE("     ","Telephone/Data Lines                              ")</f>
        <v xml:space="preserve">     Telephone/Data Lines                              </v>
      </c>
      <c r="C58" s="12"/>
      <c r="D58" s="1">
        <f>SUM(OSRRefD22_9x_0)</f>
        <v>145.35</v>
      </c>
      <c r="E58" s="1"/>
      <c r="F58" s="5">
        <f t="shared" ref="F58:F61" si="32">IF(D$12=0,0,D58/D$12)</f>
        <v>0</v>
      </c>
      <c r="G58" s="1"/>
      <c r="H58" s="1">
        <f>SUM(OSRRefH22_9x_0)</f>
        <v>165</v>
      </c>
      <c r="I58" s="1"/>
      <c r="J58" s="5">
        <f t="shared" ref="J58:J61" si="33">IF(H$12=0,0,H58/H$12)</f>
        <v>0</v>
      </c>
      <c r="K58" s="1"/>
      <c r="L58" s="1">
        <f t="shared" ref="L58:L61" si="34">+D58-H58</f>
        <v>-19.650000000000006</v>
      </c>
      <c r="M58" s="1"/>
      <c r="N58" s="5">
        <f t="shared" ref="N58:N61" si="35">IF(H58=0,0,L58/H58)</f>
        <v>-0.11909090909090912</v>
      </c>
      <c r="O58" s="12"/>
      <c r="P58" s="1">
        <f>SUM(OSRRefP22_9x_0)</f>
        <v>1692</v>
      </c>
      <c r="Q58" s="1"/>
      <c r="R58" s="5">
        <f t="shared" ref="R58:R61" si="36">IF(P$12=0,0,P58/P$12)</f>
        <v>0</v>
      </c>
      <c r="S58" s="1"/>
      <c r="T58" s="1">
        <f>SUM(OSRRefT22_9x_0)</f>
        <v>1815</v>
      </c>
      <c r="U58" s="1"/>
      <c r="V58" s="5">
        <f t="shared" ref="V58:V61" si="37">IF(T$12=0,0,T58/T$12)</f>
        <v>0</v>
      </c>
      <c r="W58" s="1"/>
      <c r="X58" s="1">
        <f t="shared" ref="X58:X61" si="38">+P58-T58</f>
        <v>-123</v>
      </c>
      <c r="Y58" s="1"/>
      <c r="Z58" s="5">
        <f t="shared" ref="Z58:Z61" si="39">IF(T58=0,0,X58/T58)</f>
        <v>-6.7768595041322308E-2</v>
      </c>
    </row>
    <row r="59" spans="1:26" s="24" customFormat="1" hidden="1" outlineLevel="2" x14ac:dyDescent="0.25">
      <c r="A59" s="26"/>
      <c r="B59" s="11" t="str">
        <f>CONCATENATE("          ", "6309", " - ", "TELEPHONE")</f>
        <v xml:space="preserve">          6309 - TELEPHONE</v>
      </c>
      <c r="C59" s="11"/>
      <c r="D59" s="7">
        <v>145.35</v>
      </c>
      <c r="E59" s="2"/>
      <c r="F59" s="6">
        <f t="shared" si="32"/>
        <v>0</v>
      </c>
      <c r="G59" s="2"/>
      <c r="H59" s="7">
        <v>165</v>
      </c>
      <c r="I59" s="2"/>
      <c r="J59" s="6">
        <f t="shared" si="33"/>
        <v>0</v>
      </c>
      <c r="K59" s="2"/>
      <c r="L59" s="7">
        <f t="shared" si="34"/>
        <v>-19.650000000000006</v>
      </c>
      <c r="M59" s="2"/>
      <c r="N59" s="6">
        <f t="shared" si="35"/>
        <v>-0.11909090909090912</v>
      </c>
      <c r="O59" s="11"/>
      <c r="P59" s="7">
        <v>1692</v>
      </c>
      <c r="Q59" s="2"/>
      <c r="R59" s="6">
        <f t="shared" si="36"/>
        <v>0</v>
      </c>
      <c r="S59" s="2"/>
      <c r="T59" s="7">
        <v>1815</v>
      </c>
      <c r="U59" s="2"/>
      <c r="V59" s="6">
        <f t="shared" si="37"/>
        <v>0</v>
      </c>
      <c r="W59" s="2"/>
      <c r="X59" s="7">
        <f t="shared" si="38"/>
        <v>-123</v>
      </c>
      <c r="Y59" s="2"/>
      <c r="Z59" s="6">
        <f t="shared" si="39"/>
        <v>-6.7768595041322308E-2</v>
      </c>
    </row>
    <row r="60" spans="1:26" s="27" customFormat="1" outlineLevel="1" collapsed="1" x14ac:dyDescent="0.25">
      <c r="A60" s="25"/>
      <c r="B60" s="12" t="str">
        <f>CONCATENATE("     ","Training                                          ")</f>
        <v xml:space="preserve">     Training                                          </v>
      </c>
      <c r="C60" s="12"/>
      <c r="D60" s="1">
        <f>SUM(OSRRefD22_10x_0)</f>
        <v>0</v>
      </c>
      <c r="E60" s="1"/>
      <c r="F60" s="5">
        <f t="shared" si="32"/>
        <v>0</v>
      </c>
      <c r="G60" s="1"/>
      <c r="H60" s="1">
        <f>SUM(OSRRefH22_10x_0)</f>
        <v>0</v>
      </c>
      <c r="I60" s="1"/>
      <c r="J60" s="5">
        <f t="shared" si="33"/>
        <v>0</v>
      </c>
      <c r="K60" s="1"/>
      <c r="L60" s="1">
        <f t="shared" si="34"/>
        <v>0</v>
      </c>
      <c r="M60" s="1"/>
      <c r="N60" s="5">
        <f t="shared" si="35"/>
        <v>0</v>
      </c>
      <c r="O60" s="12"/>
      <c r="P60" s="1">
        <f>SUM(OSRRefP22_10x_0)</f>
        <v>80</v>
      </c>
      <c r="Q60" s="1"/>
      <c r="R60" s="5">
        <f t="shared" si="36"/>
        <v>0</v>
      </c>
      <c r="S60" s="1"/>
      <c r="T60" s="1">
        <f>SUM(OSRRefT22_10x_0)</f>
        <v>1500</v>
      </c>
      <c r="U60" s="1"/>
      <c r="V60" s="5">
        <f t="shared" si="37"/>
        <v>0</v>
      </c>
      <c r="W60" s="1"/>
      <c r="X60" s="1">
        <f t="shared" si="38"/>
        <v>-1420</v>
      </c>
      <c r="Y60" s="1"/>
      <c r="Z60" s="5">
        <f t="shared" si="39"/>
        <v>-0.94666666666666666</v>
      </c>
    </row>
    <row r="61" spans="1:26" s="24" customFormat="1" hidden="1" outlineLevel="2" x14ac:dyDescent="0.25">
      <c r="A61" s="26"/>
      <c r="B61" s="11" t="str">
        <f>CONCATENATE("          ", "6376", " - ", "TRAINING")</f>
        <v xml:space="preserve">          6376 - TRAINING</v>
      </c>
      <c r="C61" s="11"/>
      <c r="D61" s="7"/>
      <c r="E61" s="2"/>
      <c r="F61" s="6">
        <f t="shared" si="32"/>
        <v>0</v>
      </c>
      <c r="G61" s="2"/>
      <c r="H61" s="7"/>
      <c r="I61" s="2"/>
      <c r="J61" s="6">
        <f t="shared" si="33"/>
        <v>0</v>
      </c>
      <c r="K61" s="2"/>
      <c r="L61" s="7">
        <f t="shared" si="34"/>
        <v>0</v>
      </c>
      <c r="M61" s="2"/>
      <c r="N61" s="6">
        <f t="shared" si="35"/>
        <v>0</v>
      </c>
      <c r="O61" s="11"/>
      <c r="P61" s="7">
        <v>80</v>
      </c>
      <c r="Q61" s="2"/>
      <c r="R61" s="6">
        <f t="shared" si="36"/>
        <v>0</v>
      </c>
      <c r="S61" s="2"/>
      <c r="T61" s="7">
        <v>1500</v>
      </c>
      <c r="U61" s="2"/>
      <c r="V61" s="6">
        <f t="shared" si="37"/>
        <v>0</v>
      </c>
      <c r="W61" s="2"/>
      <c r="X61" s="7">
        <f t="shared" si="38"/>
        <v>-1420</v>
      </c>
      <c r="Y61" s="2"/>
      <c r="Z61" s="6">
        <f t="shared" si="39"/>
        <v>-0.94666666666666666</v>
      </c>
    </row>
    <row r="62" spans="1:26" s="62" customFormat="1" x14ac:dyDescent="0.25">
      <c r="A62" s="36"/>
      <c r="B62" s="36"/>
      <c r="C62" s="36"/>
      <c r="D62" s="1"/>
      <c r="E62" s="1"/>
      <c r="F62" s="5"/>
      <c r="G62" s="1"/>
      <c r="H62" s="1"/>
      <c r="I62" s="1"/>
      <c r="J62" s="5"/>
      <c r="K62" s="1"/>
      <c r="L62" s="1"/>
      <c r="M62" s="1"/>
      <c r="N62" s="5"/>
      <c r="O62" s="36"/>
      <c r="P62" s="1"/>
      <c r="Q62" s="1"/>
      <c r="R62" s="5"/>
      <c r="S62" s="1"/>
      <c r="T62" s="1"/>
      <c r="U62" s="1"/>
      <c r="V62" s="5"/>
      <c r="W62" s="1"/>
      <c r="X62" s="1"/>
      <c r="Y62" s="1"/>
      <c r="Z62" s="5"/>
    </row>
    <row r="63" spans="1:26" s="23" customFormat="1" x14ac:dyDescent="0.25">
      <c r="A63" s="10"/>
      <c r="B63" s="28" t="s">
        <v>0</v>
      </c>
      <c r="C63" s="10"/>
      <c r="D63" s="4">
        <f>SUM(0)</f>
        <v>0</v>
      </c>
      <c r="E63" s="4"/>
      <c r="F63" s="13">
        <f>IF(D$12=0,0,D63/D$12)</f>
        <v>0</v>
      </c>
      <c r="G63" s="4"/>
      <c r="H63" s="4">
        <f>SUM(0)</f>
        <v>0</v>
      </c>
      <c r="I63" s="4"/>
      <c r="J63" s="13">
        <f>IF(H$12=0,0,H63/H$12)</f>
        <v>0</v>
      </c>
      <c r="K63" s="4"/>
      <c r="L63" s="4">
        <f>+D63-H63</f>
        <v>0</v>
      </c>
      <c r="M63" s="4"/>
      <c r="N63" s="13">
        <f>IF(H63=0,0,L63/H63)</f>
        <v>0</v>
      </c>
      <c r="O63" s="10"/>
      <c r="P63" s="4">
        <f>SUM(0)</f>
        <v>0</v>
      </c>
      <c r="Q63" s="4"/>
      <c r="R63" s="13">
        <f>IF(P$12=0,0,P63/P$12)</f>
        <v>0</v>
      </c>
      <c r="S63" s="4"/>
      <c r="T63" s="4">
        <f>SUM(0)</f>
        <v>0</v>
      </c>
      <c r="U63" s="4"/>
      <c r="V63" s="13">
        <f>IF(T$12=0,0,T63/T$12)</f>
        <v>0</v>
      </c>
      <c r="W63" s="4"/>
      <c r="X63" s="4">
        <f>+P63-T63</f>
        <v>0</v>
      </c>
      <c r="Y63" s="4"/>
      <c r="Z63" s="13">
        <f>IF(T63=0,0,X63/T63)</f>
        <v>0</v>
      </c>
    </row>
    <row r="64" spans="1:26" x14ac:dyDescent="0.25">
      <c r="A64" s="9"/>
      <c r="B64" s="10"/>
      <c r="C64" s="10"/>
      <c r="D64" s="3"/>
      <c r="E64" s="3"/>
      <c r="F64" s="8"/>
      <c r="G64" s="3"/>
      <c r="H64" s="3"/>
      <c r="I64" s="3"/>
      <c r="J64" s="8"/>
      <c r="K64" s="3"/>
      <c r="L64" s="3"/>
      <c r="M64" s="3"/>
      <c r="N64" s="8"/>
      <c r="O64" s="10"/>
      <c r="P64" s="3"/>
      <c r="Q64" s="3"/>
      <c r="R64" s="8"/>
      <c r="S64" s="3"/>
      <c r="T64" s="3"/>
      <c r="U64" s="3"/>
      <c r="V64" s="8"/>
      <c r="W64" s="3"/>
      <c r="X64" s="3"/>
      <c r="Y64" s="3"/>
      <c r="Z64" s="8"/>
    </row>
    <row r="65" spans="1:26" s="23" customFormat="1" x14ac:dyDescent="0.25">
      <c r="A65" s="10"/>
      <c r="B65" s="29" t="s">
        <v>3</v>
      </c>
      <c r="C65" s="29"/>
      <c r="D65" s="20">
        <f>+D16-D18+D63</f>
        <v>-33773.869999999988</v>
      </c>
      <c r="E65" s="14"/>
      <c r="F65" s="22">
        <f>IF(D$12=0,0,D65/D$12)</f>
        <v>0</v>
      </c>
      <c r="G65" s="14"/>
      <c r="H65" s="20">
        <f>+H16-H18+H63</f>
        <v>-32407.034233635997</v>
      </c>
      <c r="I65" s="14"/>
      <c r="J65" s="22">
        <f>IF(H$12=0,0,H65/H$12)</f>
        <v>0</v>
      </c>
      <c r="K65" s="16"/>
      <c r="L65" s="20">
        <f>+D65-H65</f>
        <v>-1366.8357663639908</v>
      </c>
      <c r="M65" s="16"/>
      <c r="N65" s="22">
        <f>IF(H65=0,0,L65/H65)</f>
        <v>4.2177132177844308E-2</v>
      </c>
      <c r="O65" s="28"/>
      <c r="P65" s="20">
        <f>+P16-P18+P63</f>
        <v>-472896.58999999997</v>
      </c>
      <c r="Q65" s="14"/>
      <c r="R65" s="22">
        <f>IF(P$12=0,0,P65/P$12)</f>
        <v>0</v>
      </c>
      <c r="S65" s="14"/>
      <c r="T65" s="20">
        <f>+T16-T18+T63</f>
        <v>-471046.155346132</v>
      </c>
      <c r="U65" s="14"/>
      <c r="V65" s="22">
        <f>IF(T$12=0,0,T65/T$12)</f>
        <v>0</v>
      </c>
      <c r="W65" s="16"/>
      <c r="X65" s="20">
        <f>+P65-T65</f>
        <v>-1850.4346538679674</v>
      </c>
      <c r="Y65" s="16"/>
      <c r="Z65" s="22">
        <f>IF(T65=0,0,X65/T65)</f>
        <v>3.9283510392059979E-3</v>
      </c>
    </row>
    <row r="66" spans="1:26" x14ac:dyDescent="0.25">
      <c r="A66" s="9"/>
      <c r="B66" s="10"/>
      <c r="C66" s="9"/>
      <c r="D66" s="3"/>
      <c r="E66" s="3"/>
      <c r="F66" s="8"/>
      <c r="G66" s="3"/>
      <c r="H66" s="3"/>
      <c r="I66" s="3"/>
      <c r="J66" s="8"/>
      <c r="K66" s="3"/>
      <c r="L66" s="3"/>
      <c r="M66" s="3"/>
      <c r="N66" s="8"/>
      <c r="P66" s="3"/>
      <c r="Q66" s="3"/>
      <c r="R66" s="8"/>
      <c r="S66" s="3"/>
      <c r="T66" s="3"/>
      <c r="U66" s="3"/>
      <c r="V66" s="8"/>
      <c r="W66" s="3"/>
      <c r="X66" s="3"/>
      <c r="Y66" s="3"/>
      <c r="Z66" s="8"/>
    </row>
    <row r="67" spans="1:26" s="23" customFormat="1" x14ac:dyDescent="0.25">
      <c r="A67" s="52"/>
      <c r="B67" s="10" t="s">
        <v>14</v>
      </c>
      <c r="C67" s="10"/>
      <c r="D67" s="4"/>
      <c r="E67" s="4"/>
      <c r="F67" s="13">
        <f>IF(D$12=0,0,D67/D$12)</f>
        <v>0</v>
      </c>
      <c r="G67" s="4"/>
      <c r="H67" s="4"/>
      <c r="I67" s="4"/>
      <c r="J67" s="13">
        <f>IF(H$12=0,0,H67/H$12)</f>
        <v>0</v>
      </c>
      <c r="K67" s="4"/>
      <c r="L67" s="4">
        <f>+D67-H67</f>
        <v>0</v>
      </c>
      <c r="M67" s="4"/>
      <c r="N67" s="13">
        <f>IF(H67=0,0,L67/H67)</f>
        <v>0</v>
      </c>
      <c r="O67" s="10"/>
      <c r="P67" s="4"/>
      <c r="Q67" s="4"/>
      <c r="R67" s="13">
        <f>IF(P$12=0,0,P67/P$12)</f>
        <v>0</v>
      </c>
      <c r="S67" s="4"/>
      <c r="T67" s="4"/>
      <c r="U67" s="4"/>
      <c r="V67" s="13">
        <f>IF(T$12=0,0,T67/T$12)</f>
        <v>0</v>
      </c>
      <c r="W67" s="4"/>
      <c r="X67" s="4">
        <f>+P67-T67</f>
        <v>0</v>
      </c>
      <c r="Y67" s="4"/>
      <c r="Z67" s="13">
        <f>IF(T67=0,0,X67/T67)</f>
        <v>0</v>
      </c>
    </row>
    <row r="68" spans="1:26" x14ac:dyDescent="0.25">
      <c r="A68" s="9"/>
      <c r="B68" s="10"/>
      <c r="C68" s="10"/>
      <c r="D68" s="3"/>
      <c r="E68" s="3"/>
      <c r="F68" s="8"/>
      <c r="G68" s="3"/>
      <c r="H68" s="3"/>
      <c r="I68" s="3"/>
      <c r="J68" s="8"/>
      <c r="K68" s="3"/>
      <c r="L68" s="3"/>
      <c r="M68" s="3"/>
      <c r="N68" s="8"/>
      <c r="O68" s="10"/>
      <c r="P68" s="3"/>
      <c r="Q68" s="3"/>
      <c r="R68" s="8"/>
      <c r="S68" s="3"/>
      <c r="T68" s="3"/>
      <c r="U68" s="3"/>
      <c r="V68" s="8"/>
      <c r="W68" s="3"/>
      <c r="X68" s="3"/>
      <c r="Y68" s="3"/>
      <c r="Z68" s="8"/>
    </row>
    <row r="69" spans="1:26" s="23" customFormat="1" ht="15.75" thickBot="1" x14ac:dyDescent="0.3">
      <c r="A69" s="10"/>
      <c r="B69" s="29" t="s">
        <v>4</v>
      </c>
      <c r="C69" s="29"/>
      <c r="D69" s="35">
        <f>+D65-D67</f>
        <v>-33773.869999999988</v>
      </c>
      <c r="E69" s="14"/>
      <c r="F69" s="32">
        <f>IF(D$12=0,0,D69/D$12)</f>
        <v>0</v>
      </c>
      <c r="G69" s="14"/>
      <c r="H69" s="35">
        <f>+H65-H67</f>
        <v>-32407.034233635997</v>
      </c>
      <c r="I69" s="14"/>
      <c r="J69" s="32">
        <f>IF(H$12=0,0,H69/H$12)</f>
        <v>0</v>
      </c>
      <c r="K69" s="16"/>
      <c r="L69" s="35">
        <f>D69-H69</f>
        <v>-1366.8357663639908</v>
      </c>
      <c r="M69" s="16"/>
      <c r="N69" s="32">
        <f>IF(H69=0,0,L69/H69)</f>
        <v>4.2177132177844308E-2</v>
      </c>
      <c r="O69" s="28"/>
      <c r="P69" s="35">
        <f>+P65-P67</f>
        <v>-472896.58999999997</v>
      </c>
      <c r="Q69" s="14"/>
      <c r="R69" s="32">
        <f>IF(P$12=0,0,P69/P$12)</f>
        <v>0</v>
      </c>
      <c r="S69" s="14"/>
      <c r="T69" s="35">
        <f>+T65-T67</f>
        <v>-471046.155346132</v>
      </c>
      <c r="U69" s="14"/>
      <c r="V69" s="32">
        <f>IF(T$12=0,0,T69/T$12)</f>
        <v>0</v>
      </c>
      <c r="W69" s="16"/>
      <c r="X69" s="35">
        <f>P69-T69</f>
        <v>-1850.4346538679674</v>
      </c>
      <c r="Y69" s="16"/>
      <c r="Z69" s="32">
        <f>IF(T69=0,0,X69/T69)</f>
        <v>3.9283510392059979E-3</v>
      </c>
    </row>
    <row r="70" spans="1:26" ht="15.75" thickTop="1" x14ac:dyDescent="0.25">
      <c r="A70" s="9"/>
      <c r="B70" s="9"/>
      <c r="C70" s="9"/>
      <c r="D70" s="3"/>
      <c r="E70" s="3"/>
      <c r="F70" s="8"/>
      <c r="G70" s="3"/>
      <c r="H70" s="3"/>
      <c r="I70" s="3"/>
      <c r="J70" s="8"/>
      <c r="K70" s="3"/>
      <c r="L70" s="3"/>
      <c r="M70" s="3"/>
      <c r="N70" s="8"/>
      <c r="P70" s="3"/>
      <c r="Q70" s="3"/>
      <c r="R70" s="8"/>
      <c r="S70" s="3"/>
      <c r="T70" s="3"/>
      <c r="U70" s="3"/>
      <c r="V70" s="8"/>
      <c r="W70" s="3"/>
      <c r="X70" s="3"/>
      <c r="Y70" s="3"/>
      <c r="Z70" s="8"/>
    </row>
    <row r="71" spans="1:26" x14ac:dyDescent="0.25">
      <c r="A71" s="9"/>
      <c r="B71" s="9"/>
      <c r="C71" s="9"/>
      <c r="D71" s="3"/>
      <c r="E71" s="3"/>
      <c r="F71" s="8"/>
      <c r="G71" s="3"/>
      <c r="H71" s="3"/>
      <c r="I71" s="3"/>
      <c r="J71" s="8"/>
      <c r="K71" s="3"/>
      <c r="L71" s="3"/>
      <c r="M71" s="3"/>
      <c r="N71" s="8"/>
      <c r="P71" s="3"/>
      <c r="Q71" s="3"/>
      <c r="R71" s="8"/>
      <c r="S71" s="3"/>
      <c r="T71" s="3"/>
      <c r="U71" s="3"/>
      <c r="V71" s="8"/>
      <c r="W71" s="3"/>
      <c r="X71" s="3"/>
      <c r="Y71" s="3"/>
      <c r="Z71" s="8"/>
    </row>
    <row r="72" spans="1:26" s="23" customFormat="1" ht="15.75" thickBot="1" x14ac:dyDescent="0.3">
      <c r="A72" s="10"/>
      <c r="B72" s="29" t="s">
        <v>5</v>
      </c>
      <c r="C72" s="29"/>
      <c r="D72" s="34">
        <f>SUM(D69:D71)</f>
        <v>-33773.869999999988</v>
      </c>
      <c r="E72" s="14"/>
      <c r="F72" s="31">
        <f>IF(D$12=0,0,D72/D$12)</f>
        <v>0</v>
      </c>
      <c r="G72" s="14"/>
      <c r="H72" s="34">
        <f>SUM(H69:H71)</f>
        <v>-32407.034233635997</v>
      </c>
      <c r="I72" s="14"/>
      <c r="J72" s="31">
        <f>IF(H$12=0,0,H72/H$12)</f>
        <v>0</v>
      </c>
      <c r="K72" s="16"/>
      <c r="L72" s="34">
        <f>+D72-H72</f>
        <v>-1366.8357663639908</v>
      </c>
      <c r="M72" s="16"/>
      <c r="N72" s="31">
        <f>IF(H72=0,0,L72/H72)</f>
        <v>4.2177132177844308E-2</v>
      </c>
      <c r="O72" s="28"/>
      <c r="P72" s="34">
        <f>SUM(P69:P71)</f>
        <v>-472896.58999999997</v>
      </c>
      <c r="Q72" s="14"/>
      <c r="R72" s="31">
        <f>IF(P$12=0,0,P72/P$12)</f>
        <v>0</v>
      </c>
      <c r="S72" s="14"/>
      <c r="T72" s="34">
        <f>SUM(T69:T71)</f>
        <v>-471046.155346132</v>
      </c>
      <c r="U72" s="14"/>
      <c r="V72" s="31">
        <f>IF(T$12=0,0,T72/T$12)</f>
        <v>0</v>
      </c>
      <c r="W72" s="16"/>
      <c r="X72" s="34">
        <f>+P72-T72</f>
        <v>-1850.4346538679674</v>
      </c>
      <c r="Y72" s="16"/>
      <c r="Z72" s="31">
        <f>IF(T72=0,0,X72/T72)</f>
        <v>3.9283510392059979E-3</v>
      </c>
    </row>
    <row r="73" spans="1:26" ht="15.75" thickTop="1" x14ac:dyDescent="0.25">
      <c r="A73" s="9"/>
      <c r="C73" s="9"/>
      <c r="D73" s="18"/>
      <c r="E73" s="18"/>
      <c r="G73" s="18"/>
      <c r="H73" s="18"/>
      <c r="I73" s="18"/>
      <c r="J73" s="42"/>
      <c r="K73" s="18"/>
      <c r="L73" s="18"/>
      <c r="M73" s="18"/>
      <c r="P73" s="18"/>
      <c r="Q73" s="18"/>
      <c r="R73" s="42"/>
      <c r="S73" s="18"/>
      <c r="T73" s="18"/>
      <c r="U73" s="18"/>
      <c r="V73" s="42"/>
      <c r="W73" s="18"/>
      <c r="X73" s="18"/>
    </row>
    <row r="74" spans="1:26" x14ac:dyDescent="0.25">
      <c r="A74" s="9"/>
      <c r="B74" s="59">
        <v>43992.371502546295</v>
      </c>
      <c r="D74" s="18"/>
      <c r="E74" s="18"/>
      <c r="G74" s="18"/>
      <c r="H74" s="18"/>
      <c r="I74" s="18"/>
      <c r="J74" s="42"/>
      <c r="K74" s="18"/>
      <c r="L74" s="18"/>
      <c r="M74" s="18"/>
      <c r="P74" s="18"/>
      <c r="Q74" s="18"/>
      <c r="R74" s="42"/>
      <c r="S74" s="18"/>
      <c r="T74" s="18"/>
      <c r="U74" s="18"/>
      <c r="V74" s="42"/>
      <c r="W74" s="18"/>
      <c r="X74" s="18"/>
    </row>
    <row r="75" spans="1:26" x14ac:dyDescent="0.25">
      <c r="A75" s="9"/>
      <c r="B75" s="56" t="s">
        <v>314</v>
      </c>
      <c r="D75" s="18"/>
      <c r="E75" s="18"/>
      <c r="G75" s="18"/>
      <c r="H75" s="18"/>
      <c r="I75" s="18"/>
      <c r="J75" s="42"/>
      <c r="K75" s="18"/>
      <c r="L75" s="18"/>
      <c r="M75" s="18"/>
      <c r="P75" s="18"/>
      <c r="Q75" s="18"/>
      <c r="R75" s="42"/>
      <c r="S75" s="18"/>
      <c r="T75" s="18"/>
      <c r="U75" s="18"/>
      <c r="V75" s="42"/>
      <c r="W75" s="18"/>
      <c r="X75" s="18"/>
    </row>
    <row r="76" spans="1:26" x14ac:dyDescent="0.25">
      <c r="A76" s="9"/>
      <c r="B76" s="54"/>
      <c r="D76" s="18"/>
      <c r="E76" s="18"/>
      <c r="G76" s="18"/>
      <c r="H76" s="18"/>
      <c r="I76" s="18"/>
      <c r="J76" s="42"/>
      <c r="K76" s="18"/>
      <c r="L76" s="18"/>
      <c r="M76" s="18"/>
      <c r="P76" s="18"/>
      <c r="Q76" s="18"/>
      <c r="R76" s="42"/>
      <c r="S76" s="18"/>
      <c r="T76" s="18"/>
      <c r="U76" s="18"/>
      <c r="V76" s="42"/>
      <c r="W76" s="18"/>
      <c r="X76" s="18"/>
    </row>
    <row r="77" spans="1:26" x14ac:dyDescent="0.25">
      <c r="D77" s="18"/>
      <c r="E77" s="18"/>
      <c r="G77" s="18"/>
      <c r="H77" s="18"/>
      <c r="I77" s="18"/>
      <c r="J77" s="42"/>
      <c r="K77" s="18"/>
      <c r="L77" s="18"/>
      <c r="M77" s="18"/>
      <c r="P77" s="18"/>
      <c r="Q77" s="18"/>
      <c r="R77" s="42"/>
      <c r="S77" s="18"/>
      <c r="T77" s="18"/>
      <c r="U77" s="18"/>
      <c r="V77" s="42"/>
      <c r="W77" s="18"/>
      <c r="X77" s="18"/>
    </row>
  </sheetData>
  <pageMargins left="0.25" right="0.25" top="0.75" bottom="0.75" header="0.3" footer="0.3"/>
  <pageSetup scale="55" fitToWidth="2" orientation="landscape"/>
  <drawing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156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63" t="s">
        <v>13</v>
      </c>
    </row>
    <row r="3" spans="1:26" x14ac:dyDescent="0.25">
      <c r="D3" s="63" t="s">
        <v>296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61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63" t="str">
        <f>CONCATENATE("Period ",RIGHT(202011,2),", ",2020)</f>
        <v>Period 11, 2020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61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4">
        <v>43981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61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51"/>
      <c r="C6" s="51"/>
      <c r="D6" s="23" t="s">
        <v>306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57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5" t="s">
        <v>294</v>
      </c>
      <c r="E9" s="15"/>
      <c r="F9" s="38"/>
      <c r="G9" s="15"/>
      <c r="H9" s="15"/>
      <c r="I9" s="15"/>
      <c r="J9" s="46"/>
      <c r="K9" s="15"/>
      <c r="L9" s="15"/>
      <c r="M9" s="15"/>
      <c r="N9" s="38"/>
      <c r="P9" s="15" t="s">
        <v>295</v>
      </c>
      <c r="Q9" s="15"/>
      <c r="R9" s="38"/>
      <c r="S9" s="15"/>
      <c r="T9" s="15"/>
      <c r="U9" s="15"/>
      <c r="V9" s="46"/>
      <c r="W9" s="15"/>
      <c r="X9" s="15"/>
      <c r="Y9" s="15"/>
      <c r="Z9" s="38"/>
    </row>
    <row r="10" spans="1:26" x14ac:dyDescent="0.25">
      <c r="A10" s="10"/>
      <c r="B10" s="55"/>
      <c r="C10" s="10"/>
      <c r="D10" s="43" t="s">
        <v>10</v>
      </c>
      <c r="E10" s="33"/>
      <c r="F10" s="40" t="s">
        <v>15</v>
      </c>
      <c r="G10" s="33"/>
      <c r="H10" s="47" t="s">
        <v>11</v>
      </c>
      <c r="I10" s="33"/>
      <c r="J10" s="45" t="s">
        <v>16</v>
      </c>
      <c r="K10" s="10"/>
      <c r="L10" s="43" t="s">
        <v>12</v>
      </c>
      <c r="M10" s="10"/>
      <c r="N10" s="40" t="s">
        <v>17</v>
      </c>
      <c r="O10" s="10"/>
      <c r="P10" s="53" t="s">
        <v>10</v>
      </c>
      <c r="Q10" s="33"/>
      <c r="R10" s="40" t="s">
        <v>15</v>
      </c>
      <c r="S10" s="33"/>
      <c r="T10" s="47" t="s">
        <v>11</v>
      </c>
      <c r="U10" s="33"/>
      <c r="V10" s="45" t="s">
        <v>16</v>
      </c>
      <c r="W10" s="10"/>
      <c r="X10" s="43" t="s">
        <v>12</v>
      </c>
      <c r="Y10" s="10"/>
      <c r="Z10" s="40" t="s">
        <v>17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6982.2300000000014</v>
      </c>
      <c r="E12" s="4"/>
      <c r="F12" s="13"/>
      <c r="G12" s="4"/>
      <c r="H12" s="4">
        <f>SUM(OSRRefH13x_0)</f>
        <v>66213</v>
      </c>
      <c r="I12" s="4"/>
      <c r="J12" s="13"/>
      <c r="K12" s="4"/>
      <c r="L12" s="4">
        <f t="shared" ref="L12:L54" si="0">+D12-H12</f>
        <v>-59230.77</v>
      </c>
      <c r="M12" s="4"/>
      <c r="N12" s="13">
        <f t="shared" ref="N12:N54" si="1">IF(H12=0,0,L12/H12)</f>
        <v>-0.89454895564315162</v>
      </c>
      <c r="O12" s="10"/>
      <c r="P12" s="4">
        <f>SUM(OSRRefP13x_0)</f>
        <v>821682.18999999983</v>
      </c>
      <c r="Q12" s="4"/>
      <c r="R12" s="13"/>
      <c r="S12" s="4"/>
      <c r="T12" s="4">
        <f>SUM(OSRRefT13x_0)</f>
        <v>1042811</v>
      </c>
      <c r="U12" s="4"/>
      <c r="V12" s="13"/>
      <c r="W12" s="4"/>
      <c r="X12" s="4">
        <f t="shared" ref="X12:X54" si="2">+P12-T12</f>
        <v>-221128.81000000017</v>
      </c>
      <c r="Y12" s="4"/>
      <c r="Z12" s="13">
        <f t="shared" ref="Z12:Z54" si="3">IF(T12=0,0,X12/T12)</f>
        <v>-0.21205070717512586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 t="shared" ref="D13:D15" si="4">0</f>
        <v>0</v>
      </c>
      <c r="E13" s="2"/>
      <c r="F13" s="19"/>
      <c r="G13" s="2"/>
      <c r="H13" s="2">
        <v>54157</v>
      </c>
      <c r="I13" s="2"/>
      <c r="J13" s="19"/>
      <c r="K13" s="2"/>
      <c r="L13" s="2">
        <f t="shared" si="0"/>
        <v>-54157</v>
      </c>
      <c r="M13" s="2"/>
      <c r="N13" s="19">
        <f t="shared" si="1"/>
        <v>-1</v>
      </c>
      <c r="O13" s="11"/>
      <c r="P13" s="2">
        <f>0</f>
        <v>0</v>
      </c>
      <c r="Q13" s="2"/>
      <c r="R13" s="19"/>
      <c r="S13" s="2"/>
      <c r="T13" s="2">
        <v>868956</v>
      </c>
      <c r="U13" s="2"/>
      <c r="V13" s="19"/>
      <c r="W13" s="2"/>
      <c r="X13" s="2">
        <f t="shared" si="2"/>
        <v>-868956</v>
      </c>
      <c r="Y13" s="2"/>
      <c r="Z13" s="19">
        <f t="shared" si="3"/>
        <v>-1</v>
      </c>
    </row>
    <row r="14" spans="1:26" s="24" customFormat="1" hidden="1" outlineLevel="1" x14ac:dyDescent="0.25">
      <c r="A14" s="44"/>
      <c r="B14" s="11" t="str">
        <f>CONCATENATE("          ", "4017", " - ", "TAXABLE SALES-DORM/HOUSEWARES")</f>
        <v xml:space="preserve">          4017 - TAXABLE SALES-DORM/HOUSEWARES</v>
      </c>
      <c r="C14" s="11"/>
      <c r="D14" s="2">
        <f t="shared" si="4"/>
        <v>0</v>
      </c>
      <c r="E14" s="2"/>
      <c r="F14" s="19"/>
      <c r="G14" s="2"/>
      <c r="H14" s="2"/>
      <c r="I14" s="2"/>
      <c r="J14" s="19"/>
      <c r="K14" s="2"/>
      <c r="L14" s="2">
        <f t="shared" si="0"/>
        <v>0</v>
      </c>
      <c r="M14" s="2"/>
      <c r="N14" s="19">
        <f t="shared" si="1"/>
        <v>0</v>
      </c>
      <c r="O14" s="11"/>
      <c r="P14" s="2">
        <f>--347.52</f>
        <v>347.52</v>
      </c>
      <c r="Q14" s="2"/>
      <c r="R14" s="19"/>
      <c r="S14" s="2"/>
      <c r="T14" s="2"/>
      <c r="U14" s="2"/>
      <c r="V14" s="19"/>
      <c r="W14" s="2"/>
      <c r="X14" s="2">
        <f t="shared" si="2"/>
        <v>347.52</v>
      </c>
      <c r="Y14" s="2"/>
      <c r="Z14" s="19">
        <f t="shared" si="3"/>
        <v>0</v>
      </c>
    </row>
    <row r="15" spans="1:26" s="24" customFormat="1" hidden="1" outlineLevel="1" x14ac:dyDescent="0.25">
      <c r="A15" s="44"/>
      <c r="B15" s="11" t="str">
        <f>CONCATENATE("          ", "4019", " - ", "TAXABLE SALES-BOOK RELATED")</f>
        <v xml:space="preserve">          4019 - TAXABLE SALES-BOOK RELATED</v>
      </c>
      <c r="C15" s="11"/>
      <c r="D15" s="2">
        <f t="shared" si="4"/>
        <v>0</v>
      </c>
      <c r="E15" s="2"/>
      <c r="F15" s="19"/>
      <c r="G15" s="2"/>
      <c r="H15" s="2"/>
      <c r="I15" s="2"/>
      <c r="J15" s="19"/>
      <c r="K15" s="2"/>
      <c r="L15" s="2">
        <f t="shared" si="0"/>
        <v>0</v>
      </c>
      <c r="M15" s="2"/>
      <c r="N15" s="19">
        <f t="shared" si="1"/>
        <v>0</v>
      </c>
      <c r="O15" s="11"/>
      <c r="P15" s="2">
        <f>--42.85</f>
        <v>42.85</v>
      </c>
      <c r="Q15" s="2"/>
      <c r="R15" s="19"/>
      <c r="S15" s="2"/>
      <c r="T15" s="2"/>
      <c r="U15" s="2"/>
      <c r="V15" s="19"/>
      <c r="W15" s="2"/>
      <c r="X15" s="2">
        <f t="shared" si="2"/>
        <v>42.85</v>
      </c>
      <c r="Y15" s="2"/>
      <c r="Z15" s="19">
        <f t="shared" si="3"/>
        <v>0</v>
      </c>
    </row>
    <row r="16" spans="1:26" s="24" customFormat="1" hidden="1" outlineLevel="1" x14ac:dyDescent="0.25">
      <c r="A16" s="44"/>
      <c r="B16" s="11" t="str">
        <f>CONCATENATE("          ", "4025", " - ", "TAXABLE SALES-TEST FORMS")</f>
        <v xml:space="preserve">          4025 - TAXABLE SALES-TEST FORMS</v>
      </c>
      <c r="C16" s="11"/>
      <c r="D16" s="2">
        <f>--17.25</f>
        <v>17.25</v>
      </c>
      <c r="E16" s="2"/>
      <c r="F16" s="19"/>
      <c r="G16" s="2"/>
      <c r="H16" s="2"/>
      <c r="I16" s="2"/>
      <c r="J16" s="19"/>
      <c r="K16" s="2"/>
      <c r="L16" s="2">
        <f t="shared" si="0"/>
        <v>17.25</v>
      </c>
      <c r="M16" s="2"/>
      <c r="N16" s="19">
        <f t="shared" si="1"/>
        <v>0</v>
      </c>
      <c r="O16" s="11"/>
      <c r="P16" s="2">
        <f>--54706.49</f>
        <v>54706.49</v>
      </c>
      <c r="Q16" s="2"/>
      <c r="R16" s="19"/>
      <c r="S16" s="2"/>
      <c r="T16" s="2"/>
      <c r="U16" s="2"/>
      <c r="V16" s="19"/>
      <c r="W16" s="2"/>
      <c r="X16" s="2">
        <f t="shared" si="2"/>
        <v>54706.49</v>
      </c>
      <c r="Y16" s="2"/>
      <c r="Z16" s="19">
        <f t="shared" si="3"/>
        <v>0</v>
      </c>
    </row>
    <row r="17" spans="1:26" s="24" customFormat="1" hidden="1" outlineLevel="1" x14ac:dyDescent="0.25">
      <c r="A17" s="44"/>
      <c r="B17" s="11" t="str">
        <f>CONCATENATE("          ", "4026", " - ", "TAXABLE SALES-WRITING INSTRUME")</f>
        <v xml:space="preserve">          4026 - TAXABLE SALES-WRITING INSTRUME</v>
      </c>
      <c r="C17" s="11"/>
      <c r="D17" s="2">
        <f>--859.78</f>
        <v>859.78</v>
      </c>
      <c r="E17" s="2"/>
      <c r="F17" s="19"/>
      <c r="G17" s="2"/>
      <c r="H17" s="2"/>
      <c r="I17" s="2"/>
      <c r="J17" s="19"/>
      <c r="K17" s="2"/>
      <c r="L17" s="2">
        <f t="shared" si="0"/>
        <v>859.78</v>
      </c>
      <c r="M17" s="2"/>
      <c r="N17" s="19">
        <f t="shared" si="1"/>
        <v>0</v>
      </c>
      <c r="O17" s="11"/>
      <c r="P17" s="2">
        <f>--80579.98</f>
        <v>80579.98</v>
      </c>
      <c r="Q17" s="2"/>
      <c r="R17" s="19"/>
      <c r="S17" s="2"/>
      <c r="T17" s="2"/>
      <c r="U17" s="2"/>
      <c r="V17" s="19"/>
      <c r="W17" s="2"/>
      <c r="X17" s="2">
        <f t="shared" si="2"/>
        <v>80579.98</v>
      </c>
      <c r="Y17" s="2"/>
      <c r="Z17" s="19">
        <f t="shared" si="3"/>
        <v>0</v>
      </c>
    </row>
    <row r="18" spans="1:26" s="24" customFormat="1" hidden="1" outlineLevel="1" x14ac:dyDescent="0.25">
      <c r="A18" s="44"/>
      <c r="B18" s="11" t="str">
        <f>CONCATENATE("          ", "4027", " - ", "TAXABLE SALES-SCHOOL SUPPLIES")</f>
        <v xml:space="preserve">          4027 - TAXABLE SALES-SCHOOL SUPPLIES</v>
      </c>
      <c r="C18" s="11"/>
      <c r="D18" s="2">
        <f>--5530.51</f>
        <v>5530.51</v>
      </c>
      <c r="E18" s="2"/>
      <c r="F18" s="19"/>
      <c r="G18" s="2"/>
      <c r="H18" s="2"/>
      <c r="I18" s="2"/>
      <c r="J18" s="19"/>
      <c r="K18" s="2"/>
      <c r="L18" s="2">
        <f t="shared" si="0"/>
        <v>5530.51</v>
      </c>
      <c r="M18" s="2"/>
      <c r="N18" s="19">
        <f t="shared" si="1"/>
        <v>0</v>
      </c>
      <c r="O18" s="11"/>
      <c r="P18" s="2">
        <f>--276615.48</f>
        <v>276615.48</v>
      </c>
      <c r="Q18" s="2"/>
      <c r="R18" s="19"/>
      <c r="S18" s="2"/>
      <c r="T18" s="2"/>
      <c r="U18" s="2"/>
      <c r="V18" s="19"/>
      <c r="W18" s="2"/>
      <c r="X18" s="2">
        <f t="shared" si="2"/>
        <v>276615.48</v>
      </c>
      <c r="Y18" s="2"/>
      <c r="Z18" s="19">
        <f t="shared" si="3"/>
        <v>0</v>
      </c>
    </row>
    <row r="19" spans="1:26" s="24" customFormat="1" hidden="1" outlineLevel="1" x14ac:dyDescent="0.25">
      <c r="A19" s="44"/>
      <c r="B19" s="11" t="str">
        <f>CONCATENATE("          ", "4028", " - ", "TAXABLE SALES-ART/TECH")</f>
        <v xml:space="preserve">          4028 - TAXABLE SALES-ART/TECH</v>
      </c>
      <c r="C19" s="11"/>
      <c r="D19" s="2">
        <f>--425.18</f>
        <v>425.18</v>
      </c>
      <c r="E19" s="2"/>
      <c r="F19" s="19"/>
      <c r="G19" s="2"/>
      <c r="H19" s="2"/>
      <c r="I19" s="2"/>
      <c r="J19" s="19"/>
      <c r="K19" s="2"/>
      <c r="L19" s="2">
        <f t="shared" si="0"/>
        <v>425.18</v>
      </c>
      <c r="M19" s="2"/>
      <c r="N19" s="19">
        <f t="shared" si="1"/>
        <v>0</v>
      </c>
      <c r="O19" s="11"/>
      <c r="P19" s="2">
        <f>--293191.05</f>
        <v>293191.05</v>
      </c>
      <c r="Q19" s="2"/>
      <c r="R19" s="19"/>
      <c r="S19" s="2"/>
      <c r="T19" s="2"/>
      <c r="U19" s="2"/>
      <c r="V19" s="19"/>
      <c r="W19" s="2"/>
      <c r="X19" s="2">
        <f t="shared" si="2"/>
        <v>293191.05</v>
      </c>
      <c r="Y19" s="2"/>
      <c r="Z19" s="19">
        <f t="shared" si="3"/>
        <v>0</v>
      </c>
    </row>
    <row r="20" spans="1:26" s="24" customFormat="1" hidden="1" outlineLevel="1" x14ac:dyDescent="0.25">
      <c r="A20" s="44"/>
      <c r="B20" s="11" t="str">
        <f>CONCATENATE("          ", "4031", " - ", "TAXABLE SALES-FOOD")</f>
        <v xml:space="preserve">          4031 - TAXABLE SALES-FOOD</v>
      </c>
      <c r="C20" s="11"/>
      <c r="D20" s="2">
        <f t="shared" ref="D20:D34" si="5">0</f>
        <v>0</v>
      </c>
      <c r="E20" s="2"/>
      <c r="F20" s="19"/>
      <c r="G20" s="2"/>
      <c r="H20" s="2"/>
      <c r="I20" s="2"/>
      <c r="J20" s="19"/>
      <c r="K20" s="2"/>
      <c r="L20" s="2">
        <f t="shared" si="0"/>
        <v>0</v>
      </c>
      <c r="M20" s="2"/>
      <c r="N20" s="19">
        <f t="shared" si="1"/>
        <v>0</v>
      </c>
      <c r="O20" s="11"/>
      <c r="P20" s="2">
        <f>--486.34</f>
        <v>486.34</v>
      </c>
      <c r="Q20" s="2"/>
      <c r="R20" s="19"/>
      <c r="S20" s="2"/>
      <c r="T20" s="2"/>
      <c r="U20" s="2"/>
      <c r="V20" s="19"/>
      <c r="W20" s="2"/>
      <c r="X20" s="2">
        <f t="shared" si="2"/>
        <v>486.34</v>
      </c>
      <c r="Y20" s="2"/>
      <c r="Z20" s="19">
        <f t="shared" si="3"/>
        <v>0</v>
      </c>
    </row>
    <row r="21" spans="1:26" s="24" customFormat="1" hidden="1" outlineLevel="1" x14ac:dyDescent="0.25">
      <c r="A21" s="44"/>
      <c r="B21" s="11" t="str">
        <f>CONCATENATE("          ", "4032", " - ", "TAXABLE SALES-JUICE")</f>
        <v xml:space="preserve">          4032 - TAXABLE SALES-JUICE</v>
      </c>
      <c r="C21" s="11"/>
      <c r="D21" s="2">
        <f t="shared" si="5"/>
        <v>0</v>
      </c>
      <c r="E21" s="2"/>
      <c r="F21" s="19"/>
      <c r="G21" s="2"/>
      <c r="H21" s="2"/>
      <c r="I21" s="2"/>
      <c r="J21" s="19"/>
      <c r="K21" s="2"/>
      <c r="L21" s="2">
        <f t="shared" si="0"/>
        <v>0</v>
      </c>
      <c r="M21" s="2"/>
      <c r="N21" s="19">
        <f t="shared" si="1"/>
        <v>0</v>
      </c>
      <c r="O21" s="11"/>
      <c r="P21" s="2">
        <f>--1905.06</f>
        <v>1905.06</v>
      </c>
      <c r="Q21" s="2"/>
      <c r="R21" s="19"/>
      <c r="S21" s="2"/>
      <c r="T21" s="2"/>
      <c r="U21" s="2"/>
      <c r="V21" s="19"/>
      <c r="W21" s="2"/>
      <c r="X21" s="2">
        <f t="shared" si="2"/>
        <v>1905.06</v>
      </c>
      <c r="Y21" s="2"/>
      <c r="Z21" s="19">
        <f t="shared" si="3"/>
        <v>0</v>
      </c>
    </row>
    <row r="22" spans="1:26" s="24" customFormat="1" hidden="1" outlineLevel="1" x14ac:dyDescent="0.25">
      <c r="A22" s="44"/>
      <c r="B22" s="11" t="str">
        <f>CONCATENATE("          ", "4033", " - ", "TAXABLE SALES-CANDY")</f>
        <v xml:space="preserve">          4033 - TAXABLE SALES-CANDY</v>
      </c>
      <c r="C22" s="11"/>
      <c r="D22" s="2">
        <f t="shared" si="5"/>
        <v>0</v>
      </c>
      <c r="E22" s="2"/>
      <c r="F22" s="19"/>
      <c r="G22" s="2"/>
      <c r="H22" s="2"/>
      <c r="I22" s="2"/>
      <c r="J22" s="19"/>
      <c r="K22" s="2"/>
      <c r="L22" s="2">
        <f t="shared" si="0"/>
        <v>0</v>
      </c>
      <c r="M22" s="2"/>
      <c r="N22" s="19">
        <f t="shared" si="1"/>
        <v>0</v>
      </c>
      <c r="O22" s="11"/>
      <c r="P22" s="2">
        <f>--205.53</f>
        <v>205.53</v>
      </c>
      <c r="Q22" s="2"/>
      <c r="R22" s="19"/>
      <c r="S22" s="2"/>
      <c r="T22" s="2"/>
      <c r="U22" s="2"/>
      <c r="V22" s="19"/>
      <c r="W22" s="2"/>
      <c r="X22" s="2">
        <f t="shared" si="2"/>
        <v>205.53</v>
      </c>
      <c r="Y22" s="2"/>
      <c r="Z22" s="19">
        <f t="shared" si="3"/>
        <v>0</v>
      </c>
    </row>
    <row r="23" spans="1:26" s="24" customFormat="1" hidden="1" outlineLevel="1" x14ac:dyDescent="0.25">
      <c r="A23" s="44"/>
      <c r="B23" s="11" t="str">
        <f>CONCATENATE("          ", "4034", " - ", "TAXABLE SALES-SODA")</f>
        <v xml:space="preserve">          4034 - TAXABLE SALES-SODA</v>
      </c>
      <c r="C23" s="11"/>
      <c r="D23" s="2">
        <f t="shared" si="5"/>
        <v>0</v>
      </c>
      <c r="E23" s="2"/>
      <c r="F23" s="19"/>
      <c r="G23" s="2"/>
      <c r="H23" s="2"/>
      <c r="I23" s="2"/>
      <c r="J23" s="19"/>
      <c r="K23" s="2"/>
      <c r="L23" s="2">
        <f t="shared" si="0"/>
        <v>0</v>
      </c>
      <c r="M23" s="2"/>
      <c r="N23" s="19">
        <f t="shared" si="1"/>
        <v>0</v>
      </c>
      <c r="O23" s="11"/>
      <c r="P23" s="2">
        <f>--7803.51</f>
        <v>7803.51</v>
      </c>
      <c r="Q23" s="2"/>
      <c r="R23" s="19"/>
      <c r="S23" s="2"/>
      <c r="T23" s="2"/>
      <c r="U23" s="2"/>
      <c r="V23" s="19"/>
      <c r="W23" s="2"/>
      <c r="X23" s="2">
        <f t="shared" si="2"/>
        <v>7803.51</v>
      </c>
      <c r="Y23" s="2"/>
      <c r="Z23" s="19">
        <f t="shared" si="3"/>
        <v>0</v>
      </c>
    </row>
    <row r="24" spans="1:26" s="24" customFormat="1" hidden="1" outlineLevel="1" x14ac:dyDescent="0.25">
      <c r="A24" s="44"/>
      <c r="B24" s="11" t="str">
        <f>CONCATENATE("          ", "4035", " - ", "TAXABLE SALES-HEALTH &amp; BEAUTY")</f>
        <v xml:space="preserve">          4035 - TAXABLE SALES-HEALTH &amp; BEAUTY</v>
      </c>
      <c r="C24" s="11"/>
      <c r="D24" s="2">
        <f t="shared" si="5"/>
        <v>0</v>
      </c>
      <c r="E24" s="2"/>
      <c r="F24" s="19"/>
      <c r="G24" s="2"/>
      <c r="H24" s="2"/>
      <c r="I24" s="2"/>
      <c r="J24" s="19"/>
      <c r="K24" s="2"/>
      <c r="L24" s="2">
        <f t="shared" si="0"/>
        <v>0</v>
      </c>
      <c r="M24" s="2"/>
      <c r="N24" s="19">
        <f t="shared" si="1"/>
        <v>0</v>
      </c>
      <c r="O24" s="11"/>
      <c r="P24" s="2">
        <f>--1981.84</f>
        <v>1981.84</v>
      </c>
      <c r="Q24" s="2"/>
      <c r="R24" s="19"/>
      <c r="S24" s="2"/>
      <c r="T24" s="2"/>
      <c r="U24" s="2"/>
      <c r="V24" s="19"/>
      <c r="W24" s="2"/>
      <c r="X24" s="2">
        <f t="shared" si="2"/>
        <v>1981.84</v>
      </c>
      <c r="Y24" s="2"/>
      <c r="Z24" s="19">
        <f t="shared" si="3"/>
        <v>0</v>
      </c>
    </row>
    <row r="25" spans="1:26" s="24" customFormat="1" hidden="1" outlineLevel="1" x14ac:dyDescent="0.25">
      <c r="A25" s="44"/>
      <c r="B25" s="11" t="str">
        <f>CONCATENATE("          ", "4037", " - ", "TAXABLE SALES-WATER")</f>
        <v xml:space="preserve">          4037 - TAXABLE SALES-WATER</v>
      </c>
      <c r="C25" s="11"/>
      <c r="D25" s="2">
        <f t="shared" si="5"/>
        <v>0</v>
      </c>
      <c r="E25" s="2"/>
      <c r="F25" s="19"/>
      <c r="G25" s="2"/>
      <c r="H25" s="2"/>
      <c r="I25" s="2"/>
      <c r="J25" s="19"/>
      <c r="K25" s="2"/>
      <c r="L25" s="2">
        <f t="shared" si="0"/>
        <v>0</v>
      </c>
      <c r="M25" s="2"/>
      <c r="N25" s="19">
        <f t="shared" si="1"/>
        <v>0</v>
      </c>
      <c r="O25" s="11"/>
      <c r="P25" s="2">
        <f>--513.51</f>
        <v>513.51</v>
      </c>
      <c r="Q25" s="2"/>
      <c r="R25" s="19"/>
      <c r="S25" s="2"/>
      <c r="T25" s="2"/>
      <c r="U25" s="2"/>
      <c r="V25" s="19"/>
      <c r="W25" s="2"/>
      <c r="X25" s="2">
        <f t="shared" si="2"/>
        <v>513.51</v>
      </c>
      <c r="Y25" s="2"/>
      <c r="Z25" s="19">
        <f t="shared" si="3"/>
        <v>0</v>
      </c>
    </row>
    <row r="26" spans="1:26" s="24" customFormat="1" hidden="1" outlineLevel="1" x14ac:dyDescent="0.25">
      <c r="A26" s="44"/>
      <c r="B26" s="11" t="str">
        <f>CONCATENATE("          ", "4041", " - ", "TAXABLE SALES-LOGO GIFTS")</f>
        <v xml:space="preserve">          4041 - TAXABLE SALES-LOGO GIFTS</v>
      </c>
      <c r="C26" s="11"/>
      <c r="D26" s="2">
        <f t="shared" si="5"/>
        <v>0</v>
      </c>
      <c r="E26" s="2"/>
      <c r="F26" s="19"/>
      <c r="G26" s="2"/>
      <c r="H26" s="2"/>
      <c r="I26" s="2"/>
      <c r="J26" s="19"/>
      <c r="K26" s="2"/>
      <c r="L26" s="2">
        <f t="shared" si="0"/>
        <v>0</v>
      </c>
      <c r="M26" s="2"/>
      <c r="N26" s="19">
        <f t="shared" si="1"/>
        <v>0</v>
      </c>
      <c r="O26" s="11"/>
      <c r="P26" s="2">
        <f>--494.2</f>
        <v>494.2</v>
      </c>
      <c r="Q26" s="2"/>
      <c r="R26" s="19"/>
      <c r="S26" s="2"/>
      <c r="T26" s="2"/>
      <c r="U26" s="2"/>
      <c r="V26" s="19"/>
      <c r="W26" s="2"/>
      <c r="X26" s="2">
        <f t="shared" si="2"/>
        <v>494.2</v>
      </c>
      <c r="Y26" s="2"/>
      <c r="Z26" s="19">
        <f t="shared" si="3"/>
        <v>0</v>
      </c>
    </row>
    <row r="27" spans="1:26" s="24" customFormat="1" hidden="1" outlineLevel="1" x14ac:dyDescent="0.25">
      <c r="A27" s="44"/>
      <c r="B27" s="11" t="str">
        <f>CONCATENATE("          ", "4042", " - ", "TAXABLE SALES-EVERYDAY GIFTS")</f>
        <v xml:space="preserve">          4042 - TAXABLE SALES-EVERYDAY GIFTS</v>
      </c>
      <c r="C27" s="11"/>
      <c r="D27" s="2">
        <f t="shared" si="5"/>
        <v>0</v>
      </c>
      <c r="E27" s="2"/>
      <c r="F27" s="19"/>
      <c r="G27" s="2"/>
      <c r="H27" s="2"/>
      <c r="I27" s="2"/>
      <c r="J27" s="19"/>
      <c r="K27" s="2"/>
      <c r="L27" s="2">
        <f t="shared" si="0"/>
        <v>0</v>
      </c>
      <c r="M27" s="2"/>
      <c r="N27" s="19">
        <f t="shared" si="1"/>
        <v>0</v>
      </c>
      <c r="O27" s="11"/>
      <c r="P27" s="2">
        <f>--583.7</f>
        <v>583.70000000000005</v>
      </c>
      <c r="Q27" s="2"/>
      <c r="R27" s="19"/>
      <c r="S27" s="2"/>
      <c r="T27" s="2"/>
      <c r="U27" s="2"/>
      <c r="V27" s="19"/>
      <c r="W27" s="2"/>
      <c r="X27" s="2">
        <f t="shared" si="2"/>
        <v>583.70000000000005</v>
      </c>
      <c r="Y27" s="2"/>
      <c r="Z27" s="19">
        <f t="shared" si="3"/>
        <v>0</v>
      </c>
    </row>
    <row r="28" spans="1:26" s="24" customFormat="1" hidden="1" outlineLevel="1" x14ac:dyDescent="0.25">
      <c r="A28" s="44"/>
      <c r="B28" s="11" t="str">
        <f>CONCATENATE("          ", "4044", " - ", "TAXABLE SALES-ACCESSORIES")</f>
        <v xml:space="preserve">          4044 - TAXABLE SALES-ACCESSORIES</v>
      </c>
      <c r="C28" s="11"/>
      <c r="D28" s="2">
        <f t="shared" si="5"/>
        <v>0</v>
      </c>
      <c r="E28" s="2"/>
      <c r="F28" s="19"/>
      <c r="G28" s="2"/>
      <c r="H28" s="2"/>
      <c r="I28" s="2"/>
      <c r="J28" s="19"/>
      <c r="K28" s="2"/>
      <c r="L28" s="2">
        <f t="shared" si="0"/>
        <v>0</v>
      </c>
      <c r="M28" s="2"/>
      <c r="N28" s="19">
        <f t="shared" si="1"/>
        <v>0</v>
      </c>
      <c r="O28" s="11"/>
      <c r="P28" s="2">
        <f>--179.5</f>
        <v>179.5</v>
      </c>
      <c r="Q28" s="2"/>
      <c r="R28" s="19"/>
      <c r="S28" s="2"/>
      <c r="T28" s="2"/>
      <c r="U28" s="2"/>
      <c r="V28" s="19"/>
      <c r="W28" s="2"/>
      <c r="X28" s="2">
        <f t="shared" si="2"/>
        <v>179.5</v>
      </c>
      <c r="Y28" s="2"/>
      <c r="Z28" s="19">
        <f t="shared" si="3"/>
        <v>0</v>
      </c>
    </row>
    <row r="29" spans="1:26" s="24" customFormat="1" hidden="1" outlineLevel="1" x14ac:dyDescent="0.25">
      <c r="A29" s="44"/>
      <c r="B29" s="11" t="str">
        <f>CONCATENATE("          ", "4081", " - ", "TAXABLE SALES-ELECTRONICS")</f>
        <v xml:space="preserve">          4081 - TAXABLE SALES-ELECTRONICS</v>
      </c>
      <c r="C29" s="11"/>
      <c r="D29" s="2">
        <f t="shared" si="5"/>
        <v>0</v>
      </c>
      <c r="E29" s="2"/>
      <c r="F29" s="19"/>
      <c r="G29" s="2"/>
      <c r="H29" s="2"/>
      <c r="I29" s="2"/>
      <c r="J29" s="19"/>
      <c r="K29" s="2"/>
      <c r="L29" s="2">
        <f t="shared" si="0"/>
        <v>0</v>
      </c>
      <c r="M29" s="2"/>
      <c r="N29" s="19">
        <f t="shared" si="1"/>
        <v>0</v>
      </c>
      <c r="O29" s="11"/>
      <c r="P29" s="2">
        <f>--3174.93</f>
        <v>3174.93</v>
      </c>
      <c r="Q29" s="2"/>
      <c r="R29" s="19"/>
      <c r="S29" s="2"/>
      <c r="T29" s="2"/>
      <c r="U29" s="2"/>
      <c r="V29" s="19"/>
      <c r="W29" s="2"/>
      <c r="X29" s="2">
        <f t="shared" si="2"/>
        <v>3174.93</v>
      </c>
      <c r="Y29" s="2"/>
      <c r="Z29" s="19">
        <f t="shared" si="3"/>
        <v>0</v>
      </c>
    </row>
    <row r="30" spans="1:26" s="24" customFormat="1" hidden="1" outlineLevel="1" x14ac:dyDescent="0.25">
      <c r="A30" s="44"/>
      <c r="B30" s="11" t="str">
        <f>CONCATENATE("          ", "4082", " - ", "TAXABLE SALES-COMPUTER HARDWAR")</f>
        <v xml:space="preserve">          4082 - TAXABLE SALES-COMPUTER HARDWAR</v>
      </c>
      <c r="C30" s="11"/>
      <c r="D30" s="2">
        <f t="shared" si="5"/>
        <v>0</v>
      </c>
      <c r="E30" s="2"/>
      <c r="F30" s="19"/>
      <c r="G30" s="2"/>
      <c r="H30" s="2"/>
      <c r="I30" s="2"/>
      <c r="J30" s="19"/>
      <c r="K30" s="2"/>
      <c r="L30" s="2">
        <f t="shared" si="0"/>
        <v>0</v>
      </c>
      <c r="M30" s="2"/>
      <c r="N30" s="19">
        <f t="shared" si="1"/>
        <v>0</v>
      </c>
      <c r="O30" s="11"/>
      <c r="P30" s="2">
        <f>--363.94</f>
        <v>363.94</v>
      </c>
      <c r="Q30" s="2"/>
      <c r="R30" s="19"/>
      <c r="S30" s="2"/>
      <c r="T30" s="2"/>
      <c r="U30" s="2"/>
      <c r="V30" s="19"/>
      <c r="W30" s="2"/>
      <c r="X30" s="2">
        <f t="shared" si="2"/>
        <v>363.94</v>
      </c>
      <c r="Y30" s="2"/>
      <c r="Z30" s="19">
        <f t="shared" si="3"/>
        <v>0</v>
      </c>
    </row>
    <row r="31" spans="1:26" s="24" customFormat="1" hidden="1" outlineLevel="1" x14ac:dyDescent="0.25">
      <c r="A31" s="44"/>
      <c r="B31" s="11" t="str">
        <f>CONCATENATE("          ", "4083", " - ", "TAXABLE SALES-COMPUTER EQUIPME")</f>
        <v xml:space="preserve">          4083 - TAXABLE SALES-COMPUTER EQUIPME</v>
      </c>
      <c r="C31" s="11"/>
      <c r="D31" s="2">
        <f t="shared" si="5"/>
        <v>0</v>
      </c>
      <c r="E31" s="2"/>
      <c r="F31" s="19"/>
      <c r="G31" s="2"/>
      <c r="H31" s="2"/>
      <c r="I31" s="2"/>
      <c r="J31" s="19"/>
      <c r="K31" s="2"/>
      <c r="L31" s="2">
        <f t="shared" si="0"/>
        <v>0</v>
      </c>
      <c r="M31" s="2"/>
      <c r="N31" s="19">
        <f t="shared" si="1"/>
        <v>0</v>
      </c>
      <c r="O31" s="11"/>
      <c r="P31" s="2">
        <f>--914.33</f>
        <v>914.33</v>
      </c>
      <c r="Q31" s="2"/>
      <c r="R31" s="19"/>
      <c r="S31" s="2"/>
      <c r="T31" s="2"/>
      <c r="U31" s="2"/>
      <c r="V31" s="19"/>
      <c r="W31" s="2"/>
      <c r="X31" s="2">
        <f t="shared" si="2"/>
        <v>914.33</v>
      </c>
      <c r="Y31" s="2"/>
      <c r="Z31" s="19">
        <f t="shared" si="3"/>
        <v>0</v>
      </c>
    </row>
    <row r="32" spans="1:26" s="24" customFormat="1" hidden="1" outlineLevel="1" x14ac:dyDescent="0.25">
      <c r="A32" s="44"/>
      <c r="B32" s="11" t="str">
        <f>CONCATENATE("          ", "4086", " - ", "TAXABLE SALES-COMPUTER SUPPLIE")</f>
        <v xml:space="preserve">          4086 - TAXABLE SALES-COMPUTER SUPPLIE</v>
      </c>
      <c r="C32" s="11"/>
      <c r="D32" s="2">
        <f t="shared" si="5"/>
        <v>0</v>
      </c>
      <c r="E32" s="2"/>
      <c r="F32" s="19"/>
      <c r="G32" s="2"/>
      <c r="H32" s="2"/>
      <c r="I32" s="2"/>
      <c r="J32" s="19"/>
      <c r="K32" s="2"/>
      <c r="L32" s="2">
        <f t="shared" si="0"/>
        <v>0</v>
      </c>
      <c r="M32" s="2"/>
      <c r="N32" s="19">
        <f t="shared" si="1"/>
        <v>0</v>
      </c>
      <c r="O32" s="11"/>
      <c r="P32" s="2">
        <f>--813.74</f>
        <v>813.74</v>
      </c>
      <c r="Q32" s="2"/>
      <c r="R32" s="19"/>
      <c r="S32" s="2"/>
      <c r="T32" s="2"/>
      <c r="U32" s="2"/>
      <c r="V32" s="19"/>
      <c r="W32" s="2"/>
      <c r="X32" s="2">
        <f t="shared" si="2"/>
        <v>813.74</v>
      </c>
      <c r="Y32" s="2"/>
      <c r="Z32" s="19">
        <f t="shared" si="3"/>
        <v>0</v>
      </c>
    </row>
    <row r="33" spans="1:26" s="24" customFormat="1" hidden="1" outlineLevel="1" x14ac:dyDescent="0.25">
      <c r="A33" s="44"/>
      <c r="B33" s="11" t="str">
        <f>CONCATENATE("          ", "4100", " - ", "NON-TAXABLE SALES")</f>
        <v xml:space="preserve">          4100 - NON-TAXABLE SALES</v>
      </c>
      <c r="C33" s="11"/>
      <c r="D33" s="2">
        <f t="shared" si="5"/>
        <v>0</v>
      </c>
      <c r="E33" s="2"/>
      <c r="F33" s="19"/>
      <c r="G33" s="2"/>
      <c r="H33" s="2">
        <v>12056</v>
      </c>
      <c r="I33" s="2"/>
      <c r="J33" s="19"/>
      <c r="K33" s="2"/>
      <c r="L33" s="2">
        <f t="shared" si="0"/>
        <v>-12056</v>
      </c>
      <c r="M33" s="2"/>
      <c r="N33" s="19">
        <f t="shared" si="1"/>
        <v>-1</v>
      </c>
      <c r="O33" s="11"/>
      <c r="P33" s="2">
        <f>0</f>
        <v>0</v>
      </c>
      <c r="Q33" s="2"/>
      <c r="R33" s="19"/>
      <c r="S33" s="2"/>
      <c r="T33" s="2">
        <v>173855</v>
      </c>
      <c r="U33" s="2"/>
      <c r="V33" s="19"/>
      <c r="W33" s="2"/>
      <c r="X33" s="2">
        <f t="shared" si="2"/>
        <v>-173855</v>
      </c>
      <c r="Y33" s="2"/>
      <c r="Z33" s="19">
        <f t="shared" si="3"/>
        <v>-1</v>
      </c>
    </row>
    <row r="34" spans="1:26" s="24" customFormat="1" hidden="1" outlineLevel="1" x14ac:dyDescent="0.25">
      <c r="A34" s="44"/>
      <c r="B34" s="11" t="str">
        <f>CONCATENATE("          ", "4125", " - ", "NON-TAXABLE SALES-TEST FORMS")</f>
        <v xml:space="preserve">          4125 - NON-TAXABLE SALES-TEST FORMS</v>
      </c>
      <c r="C34" s="11"/>
      <c r="D34" s="2">
        <f t="shared" si="5"/>
        <v>0</v>
      </c>
      <c r="E34" s="2"/>
      <c r="F34" s="19"/>
      <c r="G34" s="2"/>
      <c r="H34" s="2"/>
      <c r="I34" s="2"/>
      <c r="J34" s="19"/>
      <c r="K34" s="2"/>
      <c r="L34" s="2">
        <f t="shared" si="0"/>
        <v>0</v>
      </c>
      <c r="M34" s="2"/>
      <c r="N34" s="19">
        <f t="shared" si="1"/>
        <v>0</v>
      </c>
      <c r="O34" s="11"/>
      <c r="P34" s="2">
        <f>--267.61</f>
        <v>267.61</v>
      </c>
      <c r="Q34" s="2"/>
      <c r="R34" s="19"/>
      <c r="S34" s="2"/>
      <c r="T34" s="2"/>
      <c r="U34" s="2"/>
      <c r="V34" s="19"/>
      <c r="W34" s="2"/>
      <c r="X34" s="2">
        <f t="shared" si="2"/>
        <v>267.61</v>
      </c>
      <c r="Y34" s="2"/>
      <c r="Z34" s="19">
        <f t="shared" si="3"/>
        <v>0</v>
      </c>
    </row>
    <row r="35" spans="1:26" s="24" customFormat="1" hidden="1" outlineLevel="1" x14ac:dyDescent="0.25">
      <c r="A35" s="44"/>
      <c r="B35" s="11" t="str">
        <f>CONCATENATE("          ", "4126", " - ", "NON-TAXABLE SALES-WRITING INST")</f>
        <v xml:space="preserve">          4126 - NON-TAXABLE SALES-WRITING INST</v>
      </c>
      <c r="C35" s="11"/>
      <c r="D35" s="2">
        <f>--110.56</f>
        <v>110.56</v>
      </c>
      <c r="E35" s="2"/>
      <c r="F35" s="19"/>
      <c r="G35" s="2"/>
      <c r="H35" s="2"/>
      <c r="I35" s="2"/>
      <c r="J35" s="19"/>
      <c r="K35" s="2"/>
      <c r="L35" s="2">
        <f t="shared" si="0"/>
        <v>110.56</v>
      </c>
      <c r="M35" s="2"/>
      <c r="N35" s="19">
        <f t="shared" si="1"/>
        <v>0</v>
      </c>
      <c r="O35" s="11"/>
      <c r="P35" s="2">
        <f>--3133.42</f>
        <v>3133.42</v>
      </c>
      <c r="Q35" s="2"/>
      <c r="R35" s="19"/>
      <c r="S35" s="2"/>
      <c r="T35" s="2"/>
      <c r="U35" s="2"/>
      <c r="V35" s="19"/>
      <c r="W35" s="2"/>
      <c r="X35" s="2">
        <f t="shared" si="2"/>
        <v>3133.42</v>
      </c>
      <c r="Y35" s="2"/>
      <c r="Z35" s="19">
        <f t="shared" si="3"/>
        <v>0</v>
      </c>
    </row>
    <row r="36" spans="1:26" s="24" customFormat="1" hidden="1" outlineLevel="1" x14ac:dyDescent="0.25">
      <c r="A36" s="44"/>
      <c r="B36" s="11" t="str">
        <f>CONCATENATE("          ", "4127", " - ", "NON-TAXABLE SALES-SCHOOL SUPPL")</f>
        <v xml:space="preserve">          4127 - NON-TAXABLE SALES-SCHOOL SUPPL</v>
      </c>
      <c r="C36" s="11"/>
      <c r="D36" s="2">
        <f>--226.84</f>
        <v>226.84</v>
      </c>
      <c r="E36" s="2"/>
      <c r="F36" s="19"/>
      <c r="G36" s="2"/>
      <c r="H36" s="2"/>
      <c r="I36" s="2"/>
      <c r="J36" s="19"/>
      <c r="K36" s="2"/>
      <c r="L36" s="2">
        <f t="shared" si="0"/>
        <v>226.84</v>
      </c>
      <c r="M36" s="2"/>
      <c r="N36" s="19">
        <f t="shared" si="1"/>
        <v>0</v>
      </c>
      <c r="O36" s="11"/>
      <c r="P36" s="2">
        <f>--6373.71</f>
        <v>6373.71</v>
      </c>
      <c r="Q36" s="2"/>
      <c r="R36" s="19"/>
      <c r="S36" s="2"/>
      <c r="T36" s="2"/>
      <c r="U36" s="2"/>
      <c r="V36" s="19"/>
      <c r="W36" s="2"/>
      <c r="X36" s="2">
        <f t="shared" si="2"/>
        <v>6373.71</v>
      </c>
      <c r="Y36" s="2"/>
      <c r="Z36" s="19">
        <f t="shared" si="3"/>
        <v>0</v>
      </c>
    </row>
    <row r="37" spans="1:26" s="24" customFormat="1" hidden="1" outlineLevel="1" x14ac:dyDescent="0.25">
      <c r="A37" s="44"/>
      <c r="B37" s="11" t="str">
        <f>CONCATENATE("          ", "4128", " - ", "NON-TAXABLE SALES-ART/TECH")</f>
        <v xml:space="preserve">          4128 - NON-TAXABLE SALES-ART/TECH</v>
      </c>
      <c r="C37" s="11"/>
      <c r="D37" s="2">
        <f>0</f>
        <v>0</v>
      </c>
      <c r="E37" s="2"/>
      <c r="F37" s="19"/>
      <c r="G37" s="2"/>
      <c r="H37" s="2"/>
      <c r="I37" s="2"/>
      <c r="J37" s="19"/>
      <c r="K37" s="2"/>
      <c r="L37" s="2">
        <f t="shared" si="0"/>
        <v>0</v>
      </c>
      <c r="M37" s="2"/>
      <c r="N37" s="19">
        <f t="shared" si="1"/>
        <v>0</v>
      </c>
      <c r="O37" s="11"/>
      <c r="P37" s="2">
        <f>--730.62</f>
        <v>730.62</v>
      </c>
      <c r="Q37" s="2"/>
      <c r="R37" s="19"/>
      <c r="S37" s="2"/>
      <c r="T37" s="2"/>
      <c r="U37" s="2"/>
      <c r="V37" s="19"/>
      <c r="W37" s="2"/>
      <c r="X37" s="2">
        <f t="shared" si="2"/>
        <v>730.62</v>
      </c>
      <c r="Y37" s="2"/>
      <c r="Z37" s="19">
        <f t="shared" si="3"/>
        <v>0</v>
      </c>
    </row>
    <row r="38" spans="1:26" s="24" customFormat="1" hidden="1" outlineLevel="1" x14ac:dyDescent="0.25">
      <c r="A38" s="44"/>
      <c r="B38" s="11" t="str">
        <f>CONCATENATE("          ", "4131", " - ", "NON-TAXABLE SALES-FOOD")</f>
        <v xml:space="preserve">          4131 - NON-TAXABLE SALES-FOOD</v>
      </c>
      <c r="C38" s="11"/>
      <c r="D38" s="2">
        <f>--6.16</f>
        <v>6.16</v>
      </c>
      <c r="E38" s="2"/>
      <c r="F38" s="19"/>
      <c r="G38" s="2"/>
      <c r="H38" s="2"/>
      <c r="I38" s="2"/>
      <c r="J38" s="19"/>
      <c r="K38" s="2"/>
      <c r="L38" s="2">
        <f t="shared" si="0"/>
        <v>6.16</v>
      </c>
      <c r="M38" s="2"/>
      <c r="N38" s="19">
        <f t="shared" si="1"/>
        <v>0</v>
      </c>
      <c r="O38" s="11"/>
      <c r="P38" s="2">
        <f>--57893.7</f>
        <v>57893.7</v>
      </c>
      <c r="Q38" s="2"/>
      <c r="R38" s="19"/>
      <c r="S38" s="2"/>
      <c r="T38" s="2"/>
      <c r="U38" s="2"/>
      <c r="V38" s="19"/>
      <c r="W38" s="2"/>
      <c r="X38" s="2">
        <f t="shared" si="2"/>
        <v>57893.7</v>
      </c>
      <c r="Y38" s="2"/>
      <c r="Z38" s="19">
        <f t="shared" si="3"/>
        <v>0</v>
      </c>
    </row>
    <row r="39" spans="1:26" s="24" customFormat="1" hidden="1" outlineLevel="1" x14ac:dyDescent="0.25">
      <c r="A39" s="44"/>
      <c r="B39" s="11" t="str">
        <f>CONCATENATE("          ", "4132", " - ", "NON-TAXABLE SALES-JUICE")</f>
        <v xml:space="preserve">          4132 - NON-TAXABLE SALES-JUICE</v>
      </c>
      <c r="C39" s="11"/>
      <c r="D39" s="2">
        <f>0</f>
        <v>0</v>
      </c>
      <c r="E39" s="2"/>
      <c r="F39" s="19"/>
      <c r="G39" s="2"/>
      <c r="H39" s="2"/>
      <c r="I39" s="2"/>
      <c r="J39" s="19"/>
      <c r="K39" s="2"/>
      <c r="L39" s="2">
        <f t="shared" si="0"/>
        <v>0</v>
      </c>
      <c r="M39" s="2"/>
      <c r="N39" s="19">
        <f t="shared" si="1"/>
        <v>0</v>
      </c>
      <c r="O39" s="11"/>
      <c r="P39" s="2">
        <f>--16199.63</f>
        <v>16199.63</v>
      </c>
      <c r="Q39" s="2"/>
      <c r="R39" s="19"/>
      <c r="S39" s="2"/>
      <c r="T39" s="2"/>
      <c r="U39" s="2"/>
      <c r="V39" s="19"/>
      <c r="W39" s="2"/>
      <c r="X39" s="2">
        <f t="shared" si="2"/>
        <v>16199.63</v>
      </c>
      <c r="Y39" s="2"/>
      <c r="Z39" s="19">
        <f t="shared" si="3"/>
        <v>0</v>
      </c>
    </row>
    <row r="40" spans="1:26" s="24" customFormat="1" hidden="1" outlineLevel="1" x14ac:dyDescent="0.25">
      <c r="A40" s="44"/>
      <c r="B40" s="11" t="str">
        <f>CONCATENATE("          ", "4133", " - ", "NON-TAXABLE SALES-CANDY")</f>
        <v xml:space="preserve">          4133 - NON-TAXABLE SALES-CANDY</v>
      </c>
      <c r="C40" s="11"/>
      <c r="D40" s="2">
        <f>--48.27</f>
        <v>48.27</v>
      </c>
      <c r="E40" s="2"/>
      <c r="F40" s="19"/>
      <c r="G40" s="2"/>
      <c r="H40" s="2"/>
      <c r="I40" s="2"/>
      <c r="J40" s="19"/>
      <c r="K40" s="2"/>
      <c r="L40" s="2">
        <f t="shared" si="0"/>
        <v>48.27</v>
      </c>
      <c r="M40" s="2"/>
      <c r="N40" s="19">
        <f t="shared" si="1"/>
        <v>0</v>
      </c>
      <c r="O40" s="11"/>
      <c r="P40" s="2">
        <f>--18136.73</f>
        <v>18136.73</v>
      </c>
      <c r="Q40" s="2"/>
      <c r="R40" s="19"/>
      <c r="S40" s="2"/>
      <c r="T40" s="2"/>
      <c r="U40" s="2"/>
      <c r="V40" s="19"/>
      <c r="W40" s="2"/>
      <c r="X40" s="2">
        <f t="shared" si="2"/>
        <v>18136.73</v>
      </c>
      <c r="Y40" s="2"/>
      <c r="Z40" s="19">
        <f t="shared" si="3"/>
        <v>0</v>
      </c>
    </row>
    <row r="41" spans="1:26" s="24" customFormat="1" hidden="1" outlineLevel="1" x14ac:dyDescent="0.25">
      <c r="A41" s="44"/>
      <c r="B41" s="11" t="str">
        <f>CONCATENATE("          ", "4134", " - ", "NON-TAXABLE SALES-SODA")</f>
        <v xml:space="preserve">          4134 - NON-TAXABLE SALES-SODA</v>
      </c>
      <c r="C41" s="11"/>
      <c r="D41" s="2">
        <f t="shared" ref="D41:D45" si="6">0</f>
        <v>0</v>
      </c>
      <c r="E41" s="2"/>
      <c r="F41" s="19"/>
      <c r="G41" s="2"/>
      <c r="H41" s="2"/>
      <c r="I41" s="2"/>
      <c r="J41" s="19"/>
      <c r="K41" s="2"/>
      <c r="L41" s="2">
        <f t="shared" si="0"/>
        <v>0</v>
      </c>
      <c r="M41" s="2"/>
      <c r="N41" s="19">
        <f t="shared" si="1"/>
        <v>0</v>
      </c>
      <c r="O41" s="11"/>
      <c r="P41" s="2">
        <f>--1.89</f>
        <v>1.89</v>
      </c>
      <c r="Q41" s="2"/>
      <c r="R41" s="19"/>
      <c r="S41" s="2"/>
      <c r="T41" s="2"/>
      <c r="U41" s="2"/>
      <c r="V41" s="19"/>
      <c r="W41" s="2"/>
      <c r="X41" s="2">
        <f t="shared" si="2"/>
        <v>1.89</v>
      </c>
      <c r="Y41" s="2"/>
      <c r="Z41" s="19">
        <f t="shared" si="3"/>
        <v>0</v>
      </c>
    </row>
    <row r="42" spans="1:26" s="24" customFormat="1" hidden="1" outlineLevel="1" x14ac:dyDescent="0.25">
      <c r="A42" s="44"/>
      <c r="B42" s="11" t="str">
        <f>CONCATENATE("          ", "4135", " - ", "NON-TAXABLE SALES")</f>
        <v xml:space="preserve">          4135 - NON-TAXABLE SALES</v>
      </c>
      <c r="C42" s="11"/>
      <c r="D42" s="2">
        <f t="shared" si="6"/>
        <v>0</v>
      </c>
      <c r="E42" s="2"/>
      <c r="F42" s="19"/>
      <c r="G42" s="2"/>
      <c r="H42" s="2"/>
      <c r="I42" s="2"/>
      <c r="J42" s="19"/>
      <c r="K42" s="2"/>
      <c r="L42" s="2">
        <f t="shared" si="0"/>
        <v>0</v>
      </c>
      <c r="M42" s="2"/>
      <c r="N42" s="19">
        <f t="shared" si="1"/>
        <v>0</v>
      </c>
      <c r="O42" s="11"/>
      <c r="P42" s="2">
        <f>--161.4</f>
        <v>161.4</v>
      </c>
      <c r="Q42" s="2"/>
      <c r="R42" s="19"/>
      <c r="S42" s="2"/>
      <c r="T42" s="2"/>
      <c r="U42" s="2"/>
      <c r="V42" s="19"/>
      <c r="W42" s="2"/>
      <c r="X42" s="2">
        <f t="shared" si="2"/>
        <v>161.4</v>
      </c>
      <c r="Y42" s="2"/>
      <c r="Z42" s="19">
        <f t="shared" si="3"/>
        <v>0</v>
      </c>
    </row>
    <row r="43" spans="1:26" s="24" customFormat="1" hidden="1" outlineLevel="1" x14ac:dyDescent="0.25">
      <c r="A43" s="44"/>
      <c r="B43" s="11" t="str">
        <f>CONCATENATE("          ", "4137", " - ", "NON-TAXABLE SALES-WATER")</f>
        <v xml:space="preserve">          4137 - NON-TAXABLE SALES-WATER</v>
      </c>
      <c r="C43" s="11"/>
      <c r="D43" s="2">
        <f t="shared" si="6"/>
        <v>0</v>
      </c>
      <c r="E43" s="2"/>
      <c r="F43" s="19"/>
      <c r="G43" s="2"/>
      <c r="H43" s="2"/>
      <c r="I43" s="2"/>
      <c r="J43" s="19"/>
      <c r="K43" s="2"/>
      <c r="L43" s="2">
        <f t="shared" si="0"/>
        <v>0</v>
      </c>
      <c r="M43" s="2"/>
      <c r="N43" s="19">
        <f t="shared" si="1"/>
        <v>0</v>
      </c>
      <c r="O43" s="11"/>
      <c r="P43" s="2">
        <f>--8396.06</f>
        <v>8396.06</v>
      </c>
      <c r="Q43" s="2"/>
      <c r="R43" s="19"/>
      <c r="S43" s="2"/>
      <c r="T43" s="2"/>
      <c r="U43" s="2"/>
      <c r="V43" s="19"/>
      <c r="W43" s="2"/>
      <c r="X43" s="2">
        <f t="shared" si="2"/>
        <v>8396.06</v>
      </c>
      <c r="Y43" s="2"/>
      <c r="Z43" s="19">
        <f t="shared" si="3"/>
        <v>0</v>
      </c>
    </row>
    <row r="44" spans="1:26" s="24" customFormat="1" hidden="1" outlineLevel="1" x14ac:dyDescent="0.25">
      <c r="A44" s="44"/>
      <c r="B44" s="11" t="str">
        <f>CONCATENATE("          ", "4186", " - ", "NON-TAXABLE SALES-COMPUTER SUP")</f>
        <v xml:space="preserve">          4186 - NON-TAXABLE SALES-COMPUTER SUP</v>
      </c>
      <c r="C44" s="11"/>
      <c r="D44" s="2">
        <f t="shared" si="6"/>
        <v>0</v>
      </c>
      <c r="E44" s="2"/>
      <c r="F44" s="19"/>
      <c r="G44" s="2"/>
      <c r="H44" s="2"/>
      <c r="I44" s="2"/>
      <c r="J44" s="19"/>
      <c r="K44" s="2"/>
      <c r="L44" s="2">
        <f t="shared" si="0"/>
        <v>0</v>
      </c>
      <c r="M44" s="2"/>
      <c r="N44" s="19">
        <f t="shared" si="1"/>
        <v>0</v>
      </c>
      <c r="O44" s="11"/>
      <c r="P44" s="2">
        <f>-30.97</f>
        <v>-30.97</v>
      </c>
      <c r="Q44" s="2"/>
      <c r="R44" s="19"/>
      <c r="S44" s="2"/>
      <c r="T44" s="2"/>
      <c r="U44" s="2"/>
      <c r="V44" s="19"/>
      <c r="W44" s="2"/>
      <c r="X44" s="2">
        <f t="shared" si="2"/>
        <v>-30.97</v>
      </c>
      <c r="Y44" s="2"/>
      <c r="Z44" s="19">
        <f t="shared" si="3"/>
        <v>0</v>
      </c>
    </row>
    <row r="45" spans="1:26" s="24" customFormat="1" hidden="1" outlineLevel="1" x14ac:dyDescent="0.25">
      <c r="A45" s="44"/>
      <c r="B45" s="11" t="str">
        <f>CONCATENATE("          ", "4217", " - ", "NON-TAXABLE SALES-DORM/HOUSEWA")</f>
        <v xml:space="preserve">          4217 - NON-TAXABLE SALES-DORM/HOUSEWA</v>
      </c>
      <c r="C45" s="11"/>
      <c r="D45" s="2">
        <f t="shared" si="6"/>
        <v>0</v>
      </c>
      <c r="E45" s="2"/>
      <c r="F45" s="19"/>
      <c r="G45" s="2"/>
      <c r="H45" s="2"/>
      <c r="I45" s="2"/>
      <c r="J45" s="19"/>
      <c r="K45" s="2"/>
      <c r="L45" s="2">
        <f t="shared" si="0"/>
        <v>0</v>
      </c>
      <c r="M45" s="2"/>
      <c r="N45" s="19">
        <f t="shared" si="1"/>
        <v>0</v>
      </c>
      <c r="O45" s="11"/>
      <c r="P45" s="2">
        <f>-2.98</f>
        <v>-2.98</v>
      </c>
      <c r="Q45" s="2"/>
      <c r="R45" s="19"/>
      <c r="S45" s="2"/>
      <c r="T45" s="2"/>
      <c r="U45" s="2"/>
      <c r="V45" s="19"/>
      <c r="W45" s="2"/>
      <c r="X45" s="2">
        <f t="shared" si="2"/>
        <v>-2.98</v>
      </c>
      <c r="Y45" s="2"/>
      <c r="Z45" s="19">
        <f t="shared" si="3"/>
        <v>0</v>
      </c>
    </row>
    <row r="46" spans="1:26" s="24" customFormat="1" hidden="1" outlineLevel="1" x14ac:dyDescent="0.25">
      <c r="A46" s="44"/>
      <c r="B46" s="11" t="str">
        <f>CONCATENATE("          ", "4225", " - ", "SALES RETURN TAXABLE-TEST FORM")</f>
        <v xml:space="preserve">          4225 - SALES RETURN TAXABLE-TEST FORM</v>
      </c>
      <c r="C46" s="11"/>
      <c r="D46" s="2">
        <f>-29.5</f>
        <v>-29.5</v>
      </c>
      <c r="E46" s="2"/>
      <c r="F46" s="19"/>
      <c r="G46" s="2"/>
      <c r="H46" s="2"/>
      <c r="I46" s="2"/>
      <c r="J46" s="19"/>
      <c r="K46" s="2"/>
      <c r="L46" s="2">
        <f t="shared" si="0"/>
        <v>-29.5</v>
      </c>
      <c r="M46" s="2"/>
      <c r="N46" s="19">
        <f t="shared" si="1"/>
        <v>0</v>
      </c>
      <c r="O46" s="11"/>
      <c r="P46" s="2">
        <f>-205.91</f>
        <v>-205.91</v>
      </c>
      <c r="Q46" s="2"/>
      <c r="R46" s="19"/>
      <c r="S46" s="2"/>
      <c r="T46" s="2"/>
      <c r="U46" s="2"/>
      <c r="V46" s="19"/>
      <c r="W46" s="2"/>
      <c r="X46" s="2">
        <f t="shared" si="2"/>
        <v>-205.91</v>
      </c>
      <c r="Y46" s="2"/>
      <c r="Z46" s="19">
        <f t="shared" si="3"/>
        <v>0</v>
      </c>
    </row>
    <row r="47" spans="1:26" s="24" customFormat="1" hidden="1" outlineLevel="1" x14ac:dyDescent="0.25">
      <c r="A47" s="44"/>
      <c r="B47" s="11" t="str">
        <f>CONCATENATE("          ", "4226", " - ", "SALES RETURN TAXABLE-WRITING I")</f>
        <v xml:space="preserve">          4226 - SALES RETURN TAXABLE-WRITING I</v>
      </c>
      <c r="C47" s="11"/>
      <c r="D47" s="2">
        <f>-159.4</f>
        <v>-159.4</v>
      </c>
      <c r="E47" s="2"/>
      <c r="F47" s="19"/>
      <c r="G47" s="2"/>
      <c r="H47" s="2"/>
      <c r="I47" s="2"/>
      <c r="J47" s="19"/>
      <c r="K47" s="2"/>
      <c r="L47" s="2">
        <f t="shared" si="0"/>
        <v>-159.4</v>
      </c>
      <c r="M47" s="2"/>
      <c r="N47" s="19">
        <f t="shared" si="1"/>
        <v>0</v>
      </c>
      <c r="O47" s="11"/>
      <c r="P47" s="2">
        <f>-789.64</f>
        <v>-789.64</v>
      </c>
      <c r="Q47" s="2"/>
      <c r="R47" s="19"/>
      <c r="S47" s="2"/>
      <c r="T47" s="2"/>
      <c r="U47" s="2"/>
      <c r="V47" s="19"/>
      <c r="W47" s="2"/>
      <c r="X47" s="2">
        <f t="shared" si="2"/>
        <v>-789.64</v>
      </c>
      <c r="Y47" s="2"/>
      <c r="Z47" s="19">
        <f t="shared" si="3"/>
        <v>0</v>
      </c>
    </row>
    <row r="48" spans="1:26" s="24" customFormat="1" hidden="1" outlineLevel="1" x14ac:dyDescent="0.25">
      <c r="A48" s="44"/>
      <c r="B48" s="11" t="str">
        <f>CONCATENATE("          ", "4227", " - ", "SALES RETURN TAXABLE-SCHOOL SU")</f>
        <v xml:space="preserve">          4227 - SALES RETURN TAXABLE-SCHOOL SU</v>
      </c>
      <c r="C48" s="11"/>
      <c r="D48" s="2">
        <f>-53.42</f>
        <v>-53.42</v>
      </c>
      <c r="E48" s="2"/>
      <c r="F48" s="19"/>
      <c r="G48" s="2"/>
      <c r="H48" s="2"/>
      <c r="I48" s="2"/>
      <c r="J48" s="19"/>
      <c r="K48" s="2"/>
      <c r="L48" s="2">
        <f t="shared" si="0"/>
        <v>-53.42</v>
      </c>
      <c r="M48" s="2"/>
      <c r="N48" s="19">
        <f t="shared" si="1"/>
        <v>0</v>
      </c>
      <c r="O48" s="11"/>
      <c r="P48" s="2">
        <f>-8647.03</f>
        <v>-8647.0300000000007</v>
      </c>
      <c r="Q48" s="2"/>
      <c r="R48" s="19"/>
      <c r="S48" s="2"/>
      <c r="T48" s="2"/>
      <c r="U48" s="2"/>
      <c r="V48" s="19"/>
      <c r="W48" s="2"/>
      <c r="X48" s="2">
        <f t="shared" si="2"/>
        <v>-8647.0300000000007</v>
      </c>
      <c r="Y48" s="2"/>
      <c r="Z48" s="19">
        <f t="shared" si="3"/>
        <v>0</v>
      </c>
    </row>
    <row r="49" spans="1:26" s="24" customFormat="1" hidden="1" outlineLevel="1" x14ac:dyDescent="0.25">
      <c r="A49" s="44"/>
      <c r="B49" s="11" t="str">
        <f>CONCATENATE("          ", "4228", " - ", "SALES RETURN TAXABLE-ART/TECH")</f>
        <v xml:space="preserve">          4228 - SALES RETURN TAXABLE-ART/TECH</v>
      </c>
      <c r="C49" s="11"/>
      <c r="D49" s="2">
        <f t="shared" ref="D49:D54" si="7">0</f>
        <v>0</v>
      </c>
      <c r="E49" s="2"/>
      <c r="F49" s="19"/>
      <c r="G49" s="2"/>
      <c r="H49" s="2"/>
      <c r="I49" s="2"/>
      <c r="J49" s="19"/>
      <c r="K49" s="2"/>
      <c r="L49" s="2">
        <f t="shared" si="0"/>
        <v>0</v>
      </c>
      <c r="M49" s="2"/>
      <c r="N49" s="19">
        <f t="shared" si="1"/>
        <v>0</v>
      </c>
      <c r="O49" s="11"/>
      <c r="P49" s="2">
        <f>-4739.1</f>
        <v>-4739.1000000000004</v>
      </c>
      <c r="Q49" s="2"/>
      <c r="R49" s="19"/>
      <c r="S49" s="2"/>
      <c r="T49" s="2"/>
      <c r="U49" s="2"/>
      <c r="V49" s="19"/>
      <c r="W49" s="2"/>
      <c r="X49" s="2">
        <f t="shared" si="2"/>
        <v>-4739.1000000000004</v>
      </c>
      <c r="Y49" s="2"/>
      <c r="Z49" s="19">
        <f t="shared" si="3"/>
        <v>0</v>
      </c>
    </row>
    <row r="50" spans="1:26" s="24" customFormat="1" hidden="1" outlineLevel="1" x14ac:dyDescent="0.25">
      <c r="A50" s="44"/>
      <c r="B50" s="11" t="str">
        <f>CONCATENATE("          ", "4233", " - ", "SALES RETURN TAXABLE-CANDY")</f>
        <v xml:space="preserve">          4233 - SALES RETURN TAXABLE-CANDY</v>
      </c>
      <c r="C50" s="11"/>
      <c r="D50" s="2">
        <f t="shared" si="7"/>
        <v>0</v>
      </c>
      <c r="E50" s="2"/>
      <c r="F50" s="19"/>
      <c r="G50" s="2"/>
      <c r="H50" s="2"/>
      <c r="I50" s="2"/>
      <c r="J50" s="19"/>
      <c r="K50" s="2"/>
      <c r="L50" s="2">
        <f t="shared" si="0"/>
        <v>0</v>
      </c>
      <c r="M50" s="2"/>
      <c r="N50" s="19">
        <f t="shared" si="1"/>
        <v>0</v>
      </c>
      <c r="O50" s="11"/>
      <c r="P50" s="2">
        <f>-8.25</f>
        <v>-8.25</v>
      </c>
      <c r="Q50" s="2"/>
      <c r="R50" s="19"/>
      <c r="S50" s="2"/>
      <c r="T50" s="2"/>
      <c r="U50" s="2"/>
      <c r="V50" s="19"/>
      <c r="W50" s="2"/>
      <c r="X50" s="2">
        <f t="shared" si="2"/>
        <v>-8.25</v>
      </c>
      <c r="Y50" s="2"/>
      <c r="Z50" s="19">
        <f t="shared" si="3"/>
        <v>0</v>
      </c>
    </row>
    <row r="51" spans="1:26" s="24" customFormat="1" hidden="1" outlineLevel="1" x14ac:dyDescent="0.25">
      <c r="A51" s="44"/>
      <c r="B51" s="11" t="str">
        <f>CONCATENATE("          ", "4281", " - ", "SALES RETURN TAXABLE-ELECTRONI")</f>
        <v xml:space="preserve">          4281 - SALES RETURN TAXABLE-ELECTRONI</v>
      </c>
      <c r="C51" s="11"/>
      <c r="D51" s="2">
        <f t="shared" si="7"/>
        <v>0</v>
      </c>
      <c r="E51" s="2"/>
      <c r="F51" s="19"/>
      <c r="G51" s="2"/>
      <c r="H51" s="2"/>
      <c r="I51" s="2"/>
      <c r="J51" s="19"/>
      <c r="K51" s="2"/>
      <c r="L51" s="2">
        <f t="shared" si="0"/>
        <v>0</v>
      </c>
      <c r="M51" s="2"/>
      <c r="N51" s="19">
        <f t="shared" si="1"/>
        <v>0</v>
      </c>
      <c r="O51" s="11"/>
      <c r="P51" s="2">
        <f>-54.97</f>
        <v>-54.97</v>
      </c>
      <c r="Q51" s="2"/>
      <c r="R51" s="19"/>
      <c r="S51" s="2"/>
      <c r="T51" s="2"/>
      <c r="U51" s="2"/>
      <c r="V51" s="19"/>
      <c r="W51" s="2"/>
      <c r="X51" s="2">
        <f t="shared" si="2"/>
        <v>-54.97</v>
      </c>
      <c r="Y51" s="2"/>
      <c r="Z51" s="19">
        <f t="shared" si="3"/>
        <v>0</v>
      </c>
    </row>
    <row r="52" spans="1:26" s="24" customFormat="1" hidden="1" outlineLevel="1" x14ac:dyDescent="0.25">
      <c r="A52" s="44"/>
      <c r="B52" s="11" t="str">
        <f>CONCATENATE("          ", "4327", " - ", "SALES RETURN NON TAXABLE-SCHOO")</f>
        <v xml:space="preserve">          4327 - SALES RETURN NON TAXABLE-SCHOO</v>
      </c>
      <c r="C52" s="11"/>
      <c r="D52" s="2">
        <f t="shared" si="7"/>
        <v>0</v>
      </c>
      <c r="E52" s="2"/>
      <c r="F52" s="19"/>
      <c r="G52" s="2"/>
      <c r="H52" s="2"/>
      <c r="I52" s="2"/>
      <c r="J52" s="19"/>
      <c r="K52" s="2"/>
      <c r="L52" s="2">
        <f t="shared" si="0"/>
        <v>0</v>
      </c>
      <c r="M52" s="2"/>
      <c r="N52" s="19">
        <f t="shared" si="1"/>
        <v>0</v>
      </c>
      <c r="O52" s="11"/>
      <c r="P52" s="2">
        <f>-21.87</f>
        <v>-21.87</v>
      </c>
      <c r="Q52" s="2"/>
      <c r="R52" s="19"/>
      <c r="S52" s="2"/>
      <c r="T52" s="2"/>
      <c r="U52" s="2"/>
      <c r="V52" s="19"/>
      <c r="W52" s="2"/>
      <c r="X52" s="2">
        <f t="shared" si="2"/>
        <v>-21.87</v>
      </c>
      <c r="Y52" s="2"/>
      <c r="Z52" s="19">
        <f t="shared" si="3"/>
        <v>0</v>
      </c>
    </row>
    <row r="53" spans="1:26" s="24" customFormat="1" hidden="1" outlineLevel="1" x14ac:dyDescent="0.25">
      <c r="A53" s="44"/>
      <c r="B53" s="11" t="str">
        <f>CONCATENATE("          ", "4331", " - ", "SALES RETURN NON TAXABLE-FOOD")</f>
        <v xml:space="preserve">          4331 - SALES RETURN NON TAXABLE-FOOD</v>
      </c>
      <c r="C53" s="11"/>
      <c r="D53" s="2">
        <f t="shared" si="7"/>
        <v>0</v>
      </c>
      <c r="E53" s="2"/>
      <c r="F53" s="19"/>
      <c r="G53" s="2"/>
      <c r="H53" s="2"/>
      <c r="I53" s="2"/>
      <c r="J53" s="19"/>
      <c r="K53" s="2"/>
      <c r="L53" s="2">
        <f t="shared" si="0"/>
        <v>0</v>
      </c>
      <c r="M53" s="2"/>
      <c r="N53" s="19">
        <f t="shared" si="1"/>
        <v>0</v>
      </c>
      <c r="O53" s="11"/>
      <c r="P53" s="2">
        <f>-12.57</f>
        <v>-12.57</v>
      </c>
      <c r="Q53" s="2"/>
      <c r="R53" s="19"/>
      <c r="S53" s="2"/>
      <c r="T53" s="2"/>
      <c r="U53" s="2"/>
      <c r="V53" s="19"/>
      <c r="W53" s="2"/>
      <c r="X53" s="2">
        <f t="shared" si="2"/>
        <v>-12.57</v>
      </c>
      <c r="Y53" s="2"/>
      <c r="Z53" s="19">
        <f t="shared" si="3"/>
        <v>0</v>
      </c>
    </row>
    <row r="54" spans="1:26" s="24" customFormat="1" hidden="1" outlineLevel="1" x14ac:dyDescent="0.25">
      <c r="A54" s="44"/>
      <c r="B54" s="11" t="str">
        <f>CONCATENATE("          ", "4332", " - ", "SALES RETURN NON TAXABLE-JUICE")</f>
        <v xml:space="preserve">          4332 - SALES RETURN NON TAXABLE-JUICE</v>
      </c>
      <c r="C54" s="11"/>
      <c r="D54" s="2">
        <f t="shared" si="7"/>
        <v>0</v>
      </c>
      <c r="E54" s="2"/>
      <c r="F54" s="19"/>
      <c r="G54" s="2"/>
      <c r="H54" s="2"/>
      <c r="I54" s="2"/>
      <c r="J54" s="19"/>
      <c r="K54" s="2"/>
      <c r="L54" s="2">
        <f t="shared" si="0"/>
        <v>0</v>
      </c>
      <c r="M54" s="2"/>
      <c r="N54" s="19">
        <f t="shared" si="1"/>
        <v>0</v>
      </c>
      <c r="O54" s="11"/>
      <c r="P54" s="2">
        <f>-2.79</f>
        <v>-2.79</v>
      </c>
      <c r="Q54" s="2"/>
      <c r="R54" s="19"/>
      <c r="S54" s="2"/>
      <c r="T54" s="2"/>
      <c r="U54" s="2"/>
      <c r="V54" s="19"/>
      <c r="W54" s="2"/>
      <c r="X54" s="2">
        <f t="shared" si="2"/>
        <v>-2.79</v>
      </c>
      <c r="Y54" s="2"/>
      <c r="Z54" s="19">
        <f t="shared" si="3"/>
        <v>0</v>
      </c>
    </row>
    <row r="55" spans="1:26" x14ac:dyDescent="0.25">
      <c r="A55" s="9"/>
      <c r="B55" s="10"/>
      <c r="C55" s="9"/>
      <c r="D55" s="3"/>
      <c r="E55" s="3"/>
      <c r="F55" s="8"/>
      <c r="G55" s="3"/>
      <c r="H55" s="3"/>
      <c r="I55" s="3"/>
      <c r="J55" s="8"/>
      <c r="K55" s="3"/>
      <c r="L55" s="3"/>
      <c r="M55" s="3"/>
      <c r="N55" s="8"/>
      <c r="P55" s="3"/>
      <c r="Q55" s="3"/>
      <c r="R55" s="8"/>
      <c r="S55" s="3"/>
      <c r="T55" s="3"/>
      <c r="U55" s="3"/>
      <c r="V55" s="8"/>
      <c r="W55" s="3"/>
      <c r="X55" s="3"/>
      <c r="Y55" s="3"/>
      <c r="Z55" s="8"/>
    </row>
    <row r="56" spans="1:26" s="23" customFormat="1" collapsed="1" x14ac:dyDescent="0.25">
      <c r="A56" s="10"/>
      <c r="B56" s="28" t="s">
        <v>8</v>
      </c>
      <c r="C56" s="10"/>
      <c r="D56" s="4">
        <f>SUM(OSRRefD16x_0)</f>
        <v>4576.7200000000012</v>
      </c>
      <c r="E56" s="4"/>
      <c r="F56" s="13">
        <f t="shared" ref="F56:F80" si="8">IF(D$12=0,0,D56/D$12)</f>
        <v>0.65548112852197649</v>
      </c>
      <c r="G56" s="4"/>
      <c r="H56" s="4">
        <f>SUM(OSRRefH16x_0)</f>
        <v>32378</v>
      </c>
      <c r="I56" s="4"/>
      <c r="J56" s="13">
        <f t="shared" ref="J56:J80" si="9">IF(H$12=0,0,H56/H$12)</f>
        <v>0.48899762886442238</v>
      </c>
      <c r="K56" s="4"/>
      <c r="L56" s="4">
        <f t="shared" ref="L56:L80" si="10">+D56-H56</f>
        <v>-27801.279999999999</v>
      </c>
      <c r="M56" s="4"/>
      <c r="N56" s="13">
        <f t="shared" ref="N56:N80" si="11">IF(H56=0,0,L56/H56)</f>
        <v>-0.8586472296003459</v>
      </c>
      <c r="O56" s="10"/>
      <c r="P56" s="4">
        <f>SUM(OSRRefP16x_0)</f>
        <v>412591.42</v>
      </c>
      <c r="Q56" s="4"/>
      <c r="R56" s="13">
        <f t="shared" ref="R56:R80" si="12">IF(P$12=0,0,P56/P$12)</f>
        <v>0.50213017273746685</v>
      </c>
      <c r="S56" s="4"/>
      <c r="T56" s="4">
        <f>SUM(OSRRefT16x_0)</f>
        <v>495457</v>
      </c>
      <c r="U56" s="4"/>
      <c r="V56" s="13">
        <f t="shared" ref="V56:V80" si="13">IF(T$12=0,0,T56/T$12)</f>
        <v>0.47511677571487065</v>
      </c>
      <c r="W56" s="4"/>
      <c r="X56" s="4">
        <f t="shared" ref="X56:X80" si="14">+P56-T56</f>
        <v>-82865.580000000016</v>
      </c>
      <c r="Y56" s="4"/>
      <c r="Z56" s="13">
        <f t="shared" ref="Z56:Z80" si="15">IF(T56=0,0,X56/T56)</f>
        <v>-0.16725080077584939</v>
      </c>
    </row>
    <row r="57" spans="1:26" s="24" customFormat="1" hidden="1" outlineLevel="1" x14ac:dyDescent="0.25">
      <c r="A57" s="44"/>
      <c r="B57" s="11" t="str">
        <f>CONCATENATE("          ", "5000", " - ", "PURCHASES @ COST")</f>
        <v xml:space="preserve">          5000 - PURCHASES @ COST</v>
      </c>
      <c r="C57" s="11"/>
      <c r="D57" s="2"/>
      <c r="E57" s="2"/>
      <c r="F57" s="19">
        <f t="shared" si="8"/>
        <v>0</v>
      </c>
      <c r="G57" s="2"/>
      <c r="H57" s="2">
        <v>32378</v>
      </c>
      <c r="I57" s="2"/>
      <c r="J57" s="19">
        <f t="shared" si="9"/>
        <v>0.48899762886442238</v>
      </c>
      <c r="K57" s="2"/>
      <c r="L57" s="2">
        <f t="shared" si="10"/>
        <v>-32378</v>
      </c>
      <c r="M57" s="2"/>
      <c r="N57" s="19">
        <f t="shared" si="11"/>
        <v>-1</v>
      </c>
      <c r="O57" s="11"/>
      <c r="P57" s="2"/>
      <c r="Q57" s="2"/>
      <c r="R57" s="19">
        <f t="shared" si="12"/>
        <v>0</v>
      </c>
      <c r="S57" s="2"/>
      <c r="T57" s="2">
        <v>495457</v>
      </c>
      <c r="U57" s="2"/>
      <c r="V57" s="19">
        <f t="shared" si="13"/>
        <v>0.47511677571487065</v>
      </c>
      <c r="W57" s="2"/>
      <c r="X57" s="2">
        <f t="shared" si="14"/>
        <v>-495457</v>
      </c>
      <c r="Y57" s="2"/>
      <c r="Z57" s="19">
        <f t="shared" si="15"/>
        <v>-1</v>
      </c>
    </row>
    <row r="58" spans="1:26" s="24" customFormat="1" hidden="1" outlineLevel="1" x14ac:dyDescent="0.25">
      <c r="A58" s="44"/>
      <c r="B58" s="11" t="str">
        <f>CONCATENATE("          ", "5014", " - ", "PURCHASES @ COST-REMAINDERS")</f>
        <v xml:space="preserve">          5014 - PURCHASES @ COST-REMAINDERS</v>
      </c>
      <c r="C58" s="11"/>
      <c r="D58" s="2"/>
      <c r="E58" s="2"/>
      <c r="F58" s="19">
        <f t="shared" si="8"/>
        <v>0</v>
      </c>
      <c r="G58" s="2"/>
      <c r="H58" s="2"/>
      <c r="I58" s="2"/>
      <c r="J58" s="19">
        <f t="shared" si="9"/>
        <v>0</v>
      </c>
      <c r="K58" s="2"/>
      <c r="L58" s="2">
        <f t="shared" si="10"/>
        <v>0</v>
      </c>
      <c r="M58" s="2"/>
      <c r="N58" s="19">
        <f t="shared" si="11"/>
        <v>0</v>
      </c>
      <c r="O58" s="11"/>
      <c r="P58" s="2">
        <v>14.46</v>
      </c>
      <c r="Q58" s="2"/>
      <c r="R58" s="19">
        <f t="shared" si="12"/>
        <v>1.7598044810974914E-5</v>
      </c>
      <c r="S58" s="2"/>
      <c r="T58" s="2"/>
      <c r="U58" s="2"/>
      <c r="V58" s="19">
        <f t="shared" si="13"/>
        <v>0</v>
      </c>
      <c r="W58" s="2"/>
      <c r="X58" s="2">
        <f t="shared" si="14"/>
        <v>14.46</v>
      </c>
      <c r="Y58" s="2"/>
      <c r="Z58" s="19">
        <f t="shared" si="15"/>
        <v>0</v>
      </c>
    </row>
    <row r="59" spans="1:26" s="24" customFormat="1" hidden="1" outlineLevel="1" x14ac:dyDescent="0.25">
      <c r="A59" s="44"/>
      <c r="B59" s="11" t="str">
        <f>CONCATENATE("          ", "5017", " - ", "PURCHASES @ COST-DORM/HOUSEWAR")</f>
        <v xml:space="preserve">          5017 - PURCHASES @ COST-DORM/HOUSEWAR</v>
      </c>
      <c r="C59" s="11"/>
      <c r="D59" s="2"/>
      <c r="E59" s="2"/>
      <c r="F59" s="19">
        <f t="shared" si="8"/>
        <v>0</v>
      </c>
      <c r="G59" s="2"/>
      <c r="H59" s="2"/>
      <c r="I59" s="2"/>
      <c r="J59" s="19">
        <f t="shared" si="9"/>
        <v>0</v>
      </c>
      <c r="K59" s="2"/>
      <c r="L59" s="2">
        <f t="shared" si="10"/>
        <v>0</v>
      </c>
      <c r="M59" s="2"/>
      <c r="N59" s="19">
        <f t="shared" si="11"/>
        <v>0</v>
      </c>
      <c r="O59" s="11"/>
      <c r="P59" s="2">
        <v>14.46</v>
      </c>
      <c r="Q59" s="2"/>
      <c r="R59" s="19">
        <f t="shared" si="12"/>
        <v>1.7598044810974914E-5</v>
      </c>
      <c r="S59" s="2"/>
      <c r="T59" s="2"/>
      <c r="U59" s="2"/>
      <c r="V59" s="19">
        <f t="shared" si="13"/>
        <v>0</v>
      </c>
      <c r="W59" s="2"/>
      <c r="X59" s="2">
        <f t="shared" si="14"/>
        <v>14.46</v>
      </c>
      <c r="Y59" s="2"/>
      <c r="Z59" s="19">
        <f t="shared" si="15"/>
        <v>0</v>
      </c>
    </row>
    <row r="60" spans="1:26" s="24" customFormat="1" hidden="1" outlineLevel="1" x14ac:dyDescent="0.25">
      <c r="A60" s="44"/>
      <c r="B60" s="11" t="str">
        <f>CONCATENATE("          ", "5025", " - ", "PURCHASES @ COST-TEST FORMS")</f>
        <v xml:space="preserve">          5025 - PURCHASES @ COST-TEST FORMS</v>
      </c>
      <c r="C60" s="11"/>
      <c r="D60" s="2"/>
      <c r="E60" s="2"/>
      <c r="F60" s="19">
        <f t="shared" si="8"/>
        <v>0</v>
      </c>
      <c r="G60" s="2"/>
      <c r="H60" s="2"/>
      <c r="I60" s="2"/>
      <c r="J60" s="19">
        <f t="shared" si="9"/>
        <v>0</v>
      </c>
      <c r="K60" s="2"/>
      <c r="L60" s="2">
        <f t="shared" si="10"/>
        <v>0</v>
      </c>
      <c r="M60" s="2"/>
      <c r="N60" s="19">
        <f t="shared" si="11"/>
        <v>0</v>
      </c>
      <c r="O60" s="11"/>
      <c r="P60" s="2">
        <v>26394.329999999998</v>
      </c>
      <c r="Q60" s="2"/>
      <c r="R60" s="19">
        <f t="shared" si="12"/>
        <v>3.2122309965121679E-2</v>
      </c>
      <c r="S60" s="2"/>
      <c r="T60" s="2"/>
      <c r="U60" s="2"/>
      <c r="V60" s="19">
        <f t="shared" si="13"/>
        <v>0</v>
      </c>
      <c r="W60" s="2"/>
      <c r="X60" s="2">
        <f t="shared" si="14"/>
        <v>26394.329999999998</v>
      </c>
      <c r="Y60" s="2"/>
      <c r="Z60" s="19">
        <f t="shared" si="15"/>
        <v>0</v>
      </c>
    </row>
    <row r="61" spans="1:26" s="24" customFormat="1" hidden="1" outlineLevel="1" x14ac:dyDescent="0.25">
      <c r="A61" s="44"/>
      <c r="B61" s="11" t="str">
        <f>CONCATENATE("          ", "5026", " - ", "PURCHASES @ COST-WRITING INSTR")</f>
        <v xml:space="preserve">          5026 - PURCHASES @ COST-WRITING INSTR</v>
      </c>
      <c r="C61" s="11"/>
      <c r="D61" s="2">
        <v>-7243.74</v>
      </c>
      <c r="E61" s="2"/>
      <c r="F61" s="19">
        <f t="shared" si="8"/>
        <v>-1.0374536501948515</v>
      </c>
      <c r="G61" s="2"/>
      <c r="H61" s="2"/>
      <c r="I61" s="2"/>
      <c r="J61" s="19">
        <f t="shared" si="9"/>
        <v>0</v>
      </c>
      <c r="K61" s="2"/>
      <c r="L61" s="2">
        <f t="shared" si="10"/>
        <v>-7243.74</v>
      </c>
      <c r="M61" s="2"/>
      <c r="N61" s="19">
        <f t="shared" si="11"/>
        <v>0</v>
      </c>
      <c r="O61" s="11"/>
      <c r="P61" s="2">
        <v>42992.76</v>
      </c>
      <c r="Q61" s="2"/>
      <c r="R61" s="19">
        <f t="shared" si="12"/>
        <v>5.2322857332468178E-2</v>
      </c>
      <c r="S61" s="2"/>
      <c r="T61" s="2"/>
      <c r="U61" s="2"/>
      <c r="V61" s="19">
        <f t="shared" si="13"/>
        <v>0</v>
      </c>
      <c r="W61" s="2"/>
      <c r="X61" s="2">
        <f t="shared" si="14"/>
        <v>42992.76</v>
      </c>
      <c r="Y61" s="2"/>
      <c r="Z61" s="19">
        <f t="shared" si="15"/>
        <v>0</v>
      </c>
    </row>
    <row r="62" spans="1:26" s="24" customFormat="1" hidden="1" outlineLevel="1" x14ac:dyDescent="0.25">
      <c r="A62" s="44"/>
      <c r="B62" s="11" t="str">
        <f>CONCATENATE("          ", "5027", " - ", "PURCHASES @ COST-SCHOOL SUPPLI")</f>
        <v xml:space="preserve">          5027 - PURCHASES @ COST-SCHOOL SUPPLI</v>
      </c>
      <c r="C62" s="11"/>
      <c r="D62" s="2">
        <v>-2373.83</v>
      </c>
      <c r="E62" s="2"/>
      <c r="F62" s="19">
        <f t="shared" si="8"/>
        <v>-0.33998163910383922</v>
      </c>
      <c r="G62" s="2"/>
      <c r="H62" s="2"/>
      <c r="I62" s="2"/>
      <c r="J62" s="19">
        <f t="shared" si="9"/>
        <v>0</v>
      </c>
      <c r="K62" s="2"/>
      <c r="L62" s="2">
        <f t="shared" si="10"/>
        <v>-2373.83</v>
      </c>
      <c r="M62" s="2"/>
      <c r="N62" s="19">
        <f t="shared" si="11"/>
        <v>0</v>
      </c>
      <c r="O62" s="11"/>
      <c r="P62" s="2">
        <v>140908.88999999998</v>
      </c>
      <c r="Q62" s="2"/>
      <c r="R62" s="19">
        <f t="shared" si="12"/>
        <v>0.17148830985371608</v>
      </c>
      <c r="S62" s="2"/>
      <c r="T62" s="2"/>
      <c r="U62" s="2"/>
      <c r="V62" s="19">
        <f t="shared" si="13"/>
        <v>0</v>
      </c>
      <c r="W62" s="2"/>
      <c r="X62" s="2">
        <f t="shared" si="14"/>
        <v>140908.88999999998</v>
      </c>
      <c r="Y62" s="2"/>
      <c r="Z62" s="19">
        <f t="shared" si="15"/>
        <v>0</v>
      </c>
    </row>
    <row r="63" spans="1:26" s="24" customFormat="1" hidden="1" outlineLevel="1" x14ac:dyDescent="0.25">
      <c r="A63" s="44"/>
      <c r="B63" s="11" t="str">
        <f>CONCATENATE("          ", "5028", " - ", "PURCHASES @ COST-ART/TECH")</f>
        <v xml:space="preserve">          5028 - PURCHASES @ COST-ART/TECH</v>
      </c>
      <c r="C63" s="11"/>
      <c r="D63" s="2">
        <v>-60.3</v>
      </c>
      <c r="E63" s="2"/>
      <c r="F63" s="19">
        <f t="shared" si="8"/>
        <v>-8.6362093485892015E-3</v>
      </c>
      <c r="G63" s="2"/>
      <c r="H63" s="2"/>
      <c r="I63" s="2"/>
      <c r="J63" s="19">
        <f t="shared" si="9"/>
        <v>0</v>
      </c>
      <c r="K63" s="2"/>
      <c r="L63" s="2">
        <f t="shared" si="10"/>
        <v>-60.3</v>
      </c>
      <c r="M63" s="2"/>
      <c r="N63" s="19">
        <f t="shared" si="11"/>
        <v>0</v>
      </c>
      <c r="O63" s="11"/>
      <c r="P63" s="2">
        <v>159627.69</v>
      </c>
      <c r="Q63" s="2"/>
      <c r="R63" s="19">
        <f t="shared" si="12"/>
        <v>0.19426938047665368</v>
      </c>
      <c r="S63" s="2"/>
      <c r="T63" s="2"/>
      <c r="U63" s="2"/>
      <c r="V63" s="19">
        <f t="shared" si="13"/>
        <v>0</v>
      </c>
      <c r="W63" s="2"/>
      <c r="X63" s="2">
        <f t="shared" si="14"/>
        <v>159627.69</v>
      </c>
      <c r="Y63" s="2"/>
      <c r="Z63" s="19">
        <f t="shared" si="15"/>
        <v>0</v>
      </c>
    </row>
    <row r="64" spans="1:26" s="24" customFormat="1" hidden="1" outlineLevel="1" x14ac:dyDescent="0.25">
      <c r="A64" s="44"/>
      <c r="B64" s="11" t="str">
        <f>CONCATENATE("          ", "5031", " - ", "PURCHASES @ COST-FOOD")</f>
        <v xml:space="preserve">          5031 - PURCHASES @ COST-FOOD</v>
      </c>
      <c r="C64" s="11"/>
      <c r="D64" s="2"/>
      <c r="E64" s="2"/>
      <c r="F64" s="19">
        <f t="shared" si="8"/>
        <v>0</v>
      </c>
      <c r="G64" s="2"/>
      <c r="H64" s="2"/>
      <c r="I64" s="2"/>
      <c r="J64" s="19">
        <f t="shared" si="9"/>
        <v>0</v>
      </c>
      <c r="K64" s="2"/>
      <c r="L64" s="2">
        <f t="shared" si="10"/>
        <v>0</v>
      </c>
      <c r="M64" s="2"/>
      <c r="N64" s="19">
        <f t="shared" si="11"/>
        <v>0</v>
      </c>
      <c r="O64" s="11"/>
      <c r="P64" s="2">
        <v>33239.879999999997</v>
      </c>
      <c r="Q64" s="2"/>
      <c r="R64" s="19">
        <f t="shared" si="12"/>
        <v>4.0453450743528963E-2</v>
      </c>
      <c r="S64" s="2"/>
      <c r="T64" s="2"/>
      <c r="U64" s="2"/>
      <c r="V64" s="19">
        <f t="shared" si="13"/>
        <v>0</v>
      </c>
      <c r="W64" s="2"/>
      <c r="X64" s="2">
        <f t="shared" si="14"/>
        <v>33239.879999999997</v>
      </c>
      <c r="Y64" s="2"/>
      <c r="Z64" s="19">
        <f t="shared" si="15"/>
        <v>0</v>
      </c>
    </row>
    <row r="65" spans="1:26" s="24" customFormat="1" hidden="1" outlineLevel="1" x14ac:dyDescent="0.25">
      <c r="A65" s="44"/>
      <c r="B65" s="11" t="str">
        <f>CONCATENATE("          ", "5032", " - ", "PURCHASES @ COST-JUICE")</f>
        <v xml:space="preserve">          5032 - PURCHASES @ COST-JUICE</v>
      </c>
      <c r="C65" s="11"/>
      <c r="D65" s="2"/>
      <c r="E65" s="2"/>
      <c r="F65" s="19">
        <f t="shared" si="8"/>
        <v>0</v>
      </c>
      <c r="G65" s="2"/>
      <c r="H65" s="2"/>
      <c r="I65" s="2"/>
      <c r="J65" s="19">
        <f t="shared" si="9"/>
        <v>0</v>
      </c>
      <c r="K65" s="2"/>
      <c r="L65" s="2">
        <f t="shared" si="10"/>
        <v>0</v>
      </c>
      <c r="M65" s="2"/>
      <c r="N65" s="19">
        <f t="shared" si="11"/>
        <v>0</v>
      </c>
      <c r="O65" s="11"/>
      <c r="P65" s="2">
        <v>7802.45</v>
      </c>
      <c r="Q65" s="2"/>
      <c r="R65" s="19">
        <f t="shared" si="12"/>
        <v>9.4957029554212456E-3</v>
      </c>
      <c r="S65" s="2"/>
      <c r="T65" s="2"/>
      <c r="U65" s="2"/>
      <c r="V65" s="19">
        <f t="shared" si="13"/>
        <v>0</v>
      </c>
      <c r="W65" s="2"/>
      <c r="X65" s="2">
        <f t="shared" si="14"/>
        <v>7802.45</v>
      </c>
      <c r="Y65" s="2"/>
      <c r="Z65" s="19">
        <f t="shared" si="15"/>
        <v>0</v>
      </c>
    </row>
    <row r="66" spans="1:26" s="24" customFormat="1" hidden="1" outlineLevel="1" x14ac:dyDescent="0.25">
      <c r="A66" s="44"/>
      <c r="B66" s="11" t="str">
        <f>CONCATENATE("          ", "5033", " - ", "PURCHASES @ COST-CANDY")</f>
        <v xml:space="preserve">          5033 - PURCHASES @ COST-CANDY</v>
      </c>
      <c r="C66" s="11"/>
      <c r="D66" s="2"/>
      <c r="E66" s="2"/>
      <c r="F66" s="19">
        <f t="shared" si="8"/>
        <v>0</v>
      </c>
      <c r="G66" s="2"/>
      <c r="H66" s="2"/>
      <c r="I66" s="2"/>
      <c r="J66" s="19">
        <f t="shared" si="9"/>
        <v>0</v>
      </c>
      <c r="K66" s="2"/>
      <c r="L66" s="2">
        <f t="shared" si="10"/>
        <v>0</v>
      </c>
      <c r="M66" s="2"/>
      <c r="N66" s="19">
        <f t="shared" si="11"/>
        <v>0</v>
      </c>
      <c r="O66" s="11"/>
      <c r="P66" s="2">
        <v>9998.41</v>
      </c>
      <c r="Q66" s="2"/>
      <c r="R66" s="19">
        <f t="shared" si="12"/>
        <v>1.2168220416217129E-2</v>
      </c>
      <c r="S66" s="2"/>
      <c r="T66" s="2"/>
      <c r="U66" s="2"/>
      <c r="V66" s="19">
        <f t="shared" si="13"/>
        <v>0</v>
      </c>
      <c r="W66" s="2"/>
      <c r="X66" s="2">
        <f t="shared" si="14"/>
        <v>9998.41</v>
      </c>
      <c r="Y66" s="2"/>
      <c r="Z66" s="19">
        <f t="shared" si="15"/>
        <v>0</v>
      </c>
    </row>
    <row r="67" spans="1:26" s="24" customFormat="1" hidden="1" outlineLevel="1" x14ac:dyDescent="0.25">
      <c r="A67" s="44"/>
      <c r="B67" s="11" t="str">
        <f>CONCATENATE("          ", "5034", " - ", "PURCHASES @ COST-SODA")</f>
        <v xml:space="preserve">          5034 - PURCHASES @ COST-SODA</v>
      </c>
      <c r="C67" s="11"/>
      <c r="D67" s="2"/>
      <c r="E67" s="2"/>
      <c r="F67" s="19">
        <f t="shared" si="8"/>
        <v>0</v>
      </c>
      <c r="G67" s="2"/>
      <c r="H67" s="2"/>
      <c r="I67" s="2"/>
      <c r="J67" s="19">
        <f t="shared" si="9"/>
        <v>0</v>
      </c>
      <c r="K67" s="2"/>
      <c r="L67" s="2">
        <f t="shared" si="10"/>
        <v>0</v>
      </c>
      <c r="M67" s="2"/>
      <c r="N67" s="19">
        <f t="shared" si="11"/>
        <v>0</v>
      </c>
      <c r="O67" s="11"/>
      <c r="P67" s="2">
        <v>4033.88</v>
      </c>
      <c r="Q67" s="2"/>
      <c r="R67" s="19">
        <f t="shared" si="12"/>
        <v>4.9092946751103381E-3</v>
      </c>
      <c r="S67" s="2"/>
      <c r="T67" s="2"/>
      <c r="U67" s="2"/>
      <c r="V67" s="19">
        <f t="shared" si="13"/>
        <v>0</v>
      </c>
      <c r="W67" s="2"/>
      <c r="X67" s="2">
        <f t="shared" si="14"/>
        <v>4033.88</v>
      </c>
      <c r="Y67" s="2"/>
      <c r="Z67" s="19">
        <f t="shared" si="15"/>
        <v>0</v>
      </c>
    </row>
    <row r="68" spans="1:26" s="24" customFormat="1" hidden="1" outlineLevel="1" x14ac:dyDescent="0.25">
      <c r="A68" s="44"/>
      <c r="B68" s="11" t="str">
        <f>CONCATENATE("          ", "5035", " - ", "PURCHASES @ COST-HEALTH &amp; BEAU")</f>
        <v xml:space="preserve">          5035 - PURCHASES @ COST-HEALTH &amp; BEAU</v>
      </c>
      <c r="C68" s="11"/>
      <c r="D68" s="2"/>
      <c r="E68" s="2"/>
      <c r="F68" s="19">
        <f t="shared" si="8"/>
        <v>0</v>
      </c>
      <c r="G68" s="2"/>
      <c r="H68" s="2"/>
      <c r="I68" s="2"/>
      <c r="J68" s="19">
        <f t="shared" si="9"/>
        <v>0</v>
      </c>
      <c r="K68" s="2"/>
      <c r="L68" s="2">
        <f t="shared" si="10"/>
        <v>0</v>
      </c>
      <c r="M68" s="2"/>
      <c r="N68" s="19">
        <f t="shared" si="11"/>
        <v>0</v>
      </c>
      <c r="O68" s="11"/>
      <c r="P68" s="2">
        <v>1117.6500000000001</v>
      </c>
      <c r="Q68" s="2"/>
      <c r="R68" s="19">
        <f t="shared" si="12"/>
        <v>1.3601974262092747E-3</v>
      </c>
      <c r="S68" s="2"/>
      <c r="T68" s="2"/>
      <c r="U68" s="2"/>
      <c r="V68" s="19">
        <f t="shared" si="13"/>
        <v>0</v>
      </c>
      <c r="W68" s="2"/>
      <c r="X68" s="2">
        <f t="shared" si="14"/>
        <v>1117.6500000000001</v>
      </c>
      <c r="Y68" s="2"/>
      <c r="Z68" s="19">
        <f t="shared" si="15"/>
        <v>0</v>
      </c>
    </row>
    <row r="69" spans="1:26" s="24" customFormat="1" hidden="1" outlineLevel="1" x14ac:dyDescent="0.25">
      <c r="A69" s="44"/>
      <c r="B69" s="11" t="str">
        <f>CONCATENATE("          ", "5037", " - ", "PURCHASES @ COST-WATER")</f>
        <v xml:space="preserve">          5037 - PURCHASES @ COST-WATER</v>
      </c>
      <c r="C69" s="11"/>
      <c r="D69" s="2"/>
      <c r="E69" s="2"/>
      <c r="F69" s="19">
        <f t="shared" si="8"/>
        <v>0</v>
      </c>
      <c r="G69" s="2"/>
      <c r="H69" s="2"/>
      <c r="I69" s="2"/>
      <c r="J69" s="19">
        <f t="shared" si="9"/>
        <v>0</v>
      </c>
      <c r="K69" s="2"/>
      <c r="L69" s="2">
        <f t="shared" si="10"/>
        <v>0</v>
      </c>
      <c r="M69" s="2"/>
      <c r="N69" s="19">
        <f t="shared" si="11"/>
        <v>0</v>
      </c>
      <c r="O69" s="11"/>
      <c r="P69" s="2">
        <v>5663.81</v>
      </c>
      <c r="Q69" s="2"/>
      <c r="R69" s="19">
        <f t="shared" si="12"/>
        <v>6.8929448257847737E-3</v>
      </c>
      <c r="S69" s="2"/>
      <c r="T69" s="2"/>
      <c r="U69" s="2"/>
      <c r="V69" s="19">
        <f t="shared" si="13"/>
        <v>0</v>
      </c>
      <c r="W69" s="2"/>
      <c r="X69" s="2">
        <f t="shared" si="14"/>
        <v>5663.81</v>
      </c>
      <c r="Y69" s="2"/>
      <c r="Z69" s="19">
        <f t="shared" si="15"/>
        <v>0</v>
      </c>
    </row>
    <row r="70" spans="1:26" s="24" customFormat="1" hidden="1" outlineLevel="1" x14ac:dyDescent="0.25">
      <c r="A70" s="44"/>
      <c r="B70" s="11" t="str">
        <f>CONCATENATE("          ", "5081", " - ", "PURCHASES @ COST-ELECTRONICS")</f>
        <v xml:space="preserve">          5081 - PURCHASES @ COST-ELECTRONICS</v>
      </c>
      <c r="C70" s="11"/>
      <c r="D70" s="2"/>
      <c r="E70" s="2"/>
      <c r="F70" s="19">
        <f t="shared" si="8"/>
        <v>0</v>
      </c>
      <c r="G70" s="2"/>
      <c r="H70" s="2"/>
      <c r="I70" s="2"/>
      <c r="J70" s="19">
        <f t="shared" si="9"/>
        <v>0</v>
      </c>
      <c r="K70" s="2"/>
      <c r="L70" s="2">
        <f t="shared" si="10"/>
        <v>0</v>
      </c>
      <c r="M70" s="2"/>
      <c r="N70" s="19">
        <f t="shared" si="11"/>
        <v>0</v>
      </c>
      <c r="O70" s="11"/>
      <c r="P70" s="2">
        <v>2008.03</v>
      </c>
      <c r="Q70" s="2"/>
      <c r="R70" s="19">
        <f t="shared" si="12"/>
        <v>2.4438037290305638E-3</v>
      </c>
      <c r="S70" s="2"/>
      <c r="T70" s="2"/>
      <c r="U70" s="2"/>
      <c r="V70" s="19">
        <f t="shared" si="13"/>
        <v>0</v>
      </c>
      <c r="W70" s="2"/>
      <c r="X70" s="2">
        <f t="shared" si="14"/>
        <v>2008.03</v>
      </c>
      <c r="Y70" s="2"/>
      <c r="Z70" s="19">
        <f t="shared" si="15"/>
        <v>0</v>
      </c>
    </row>
    <row r="71" spans="1:26" s="24" customFormat="1" hidden="1" outlineLevel="1" x14ac:dyDescent="0.25">
      <c r="A71" s="44"/>
      <c r="B71" s="11" t="str">
        <f>CONCATENATE("          ", "5082", " - ", "PURCHASES @ COST-COMPUTER HARD")</f>
        <v xml:space="preserve">          5082 - PURCHASES @ COST-COMPUTER HARD</v>
      </c>
      <c r="C71" s="11"/>
      <c r="D71" s="2"/>
      <c r="E71" s="2"/>
      <c r="F71" s="19">
        <f t="shared" si="8"/>
        <v>0</v>
      </c>
      <c r="G71" s="2"/>
      <c r="H71" s="2"/>
      <c r="I71" s="2"/>
      <c r="J71" s="19">
        <f t="shared" si="9"/>
        <v>0</v>
      </c>
      <c r="K71" s="2"/>
      <c r="L71" s="2">
        <f t="shared" si="10"/>
        <v>0</v>
      </c>
      <c r="M71" s="2"/>
      <c r="N71" s="19">
        <f t="shared" si="11"/>
        <v>0</v>
      </c>
      <c r="O71" s="11"/>
      <c r="P71" s="2">
        <v>349.6</v>
      </c>
      <c r="Q71" s="2"/>
      <c r="R71" s="19">
        <f t="shared" si="12"/>
        <v>4.2546863526395784E-4</v>
      </c>
      <c r="S71" s="2"/>
      <c r="T71" s="2"/>
      <c r="U71" s="2"/>
      <c r="V71" s="19">
        <f t="shared" si="13"/>
        <v>0</v>
      </c>
      <c r="W71" s="2"/>
      <c r="X71" s="2">
        <f t="shared" si="14"/>
        <v>349.6</v>
      </c>
      <c r="Y71" s="2"/>
      <c r="Z71" s="19">
        <f t="shared" si="15"/>
        <v>0</v>
      </c>
    </row>
    <row r="72" spans="1:26" s="24" customFormat="1" hidden="1" outlineLevel="1" x14ac:dyDescent="0.25">
      <c r="A72" s="44"/>
      <c r="B72" s="11" t="str">
        <f>CONCATENATE("          ", "5083", " - ", "PURCHASES @ COST-COMPUTER EQUI")</f>
        <v xml:space="preserve">          5083 - PURCHASES @ COST-COMPUTER EQUI</v>
      </c>
      <c r="C72" s="11"/>
      <c r="D72" s="2"/>
      <c r="E72" s="2"/>
      <c r="F72" s="19">
        <f t="shared" si="8"/>
        <v>0</v>
      </c>
      <c r="G72" s="2"/>
      <c r="H72" s="2"/>
      <c r="I72" s="2"/>
      <c r="J72" s="19">
        <f t="shared" si="9"/>
        <v>0</v>
      </c>
      <c r="K72" s="2"/>
      <c r="L72" s="2">
        <f t="shared" si="10"/>
        <v>0</v>
      </c>
      <c r="M72" s="2"/>
      <c r="N72" s="19">
        <f t="shared" si="11"/>
        <v>0</v>
      </c>
      <c r="O72" s="11"/>
      <c r="P72" s="2">
        <v>304.70999999999998</v>
      </c>
      <c r="Q72" s="2"/>
      <c r="R72" s="19">
        <f t="shared" si="12"/>
        <v>3.7083680735492156E-4</v>
      </c>
      <c r="S72" s="2"/>
      <c r="T72" s="2"/>
      <c r="U72" s="2"/>
      <c r="V72" s="19">
        <f t="shared" si="13"/>
        <v>0</v>
      </c>
      <c r="W72" s="2"/>
      <c r="X72" s="2">
        <f t="shared" si="14"/>
        <v>304.70999999999998</v>
      </c>
      <c r="Y72" s="2"/>
      <c r="Z72" s="19">
        <f t="shared" si="15"/>
        <v>0</v>
      </c>
    </row>
    <row r="73" spans="1:26" s="24" customFormat="1" hidden="1" outlineLevel="1" x14ac:dyDescent="0.25">
      <c r="A73" s="44"/>
      <c r="B73" s="11" t="str">
        <f>CONCATENATE("          ", "5086", " - ", "PURCHASES @ COST-COMPUTER SUPP")</f>
        <v xml:space="preserve">          5086 - PURCHASES @ COST-COMPUTER SUPP</v>
      </c>
      <c r="C73" s="11"/>
      <c r="D73" s="2"/>
      <c r="E73" s="2"/>
      <c r="F73" s="19">
        <f t="shared" si="8"/>
        <v>0</v>
      </c>
      <c r="G73" s="2"/>
      <c r="H73" s="2"/>
      <c r="I73" s="2"/>
      <c r="J73" s="19">
        <f t="shared" si="9"/>
        <v>0</v>
      </c>
      <c r="K73" s="2"/>
      <c r="L73" s="2">
        <f t="shared" si="10"/>
        <v>0</v>
      </c>
      <c r="M73" s="2"/>
      <c r="N73" s="19">
        <f t="shared" si="11"/>
        <v>0</v>
      </c>
      <c r="O73" s="11"/>
      <c r="P73" s="2">
        <v>426.22</v>
      </c>
      <c r="Q73" s="2"/>
      <c r="R73" s="19">
        <f t="shared" si="12"/>
        <v>5.1871636648227715E-4</v>
      </c>
      <c r="S73" s="2"/>
      <c r="T73" s="2"/>
      <c r="U73" s="2"/>
      <c r="V73" s="19">
        <f t="shared" si="13"/>
        <v>0</v>
      </c>
      <c r="W73" s="2"/>
      <c r="X73" s="2">
        <f t="shared" si="14"/>
        <v>426.22</v>
      </c>
      <c r="Y73" s="2"/>
      <c r="Z73" s="19">
        <f t="shared" si="15"/>
        <v>0</v>
      </c>
    </row>
    <row r="74" spans="1:26" s="24" customFormat="1" hidden="1" outlineLevel="1" x14ac:dyDescent="0.25">
      <c r="A74" s="44"/>
      <c r="B74" s="11" t="str">
        <f>CONCATENATE("          ", "5200", " - ", "PURCHASES OFFSET")</f>
        <v xml:space="preserve">          5200 - PURCHASES OFFSET</v>
      </c>
      <c r="C74" s="11"/>
      <c r="D74" s="2">
        <v>8031</v>
      </c>
      <c r="E74" s="2"/>
      <c r="F74" s="19">
        <f t="shared" si="8"/>
        <v>1.150205593341955</v>
      </c>
      <c r="G74" s="2"/>
      <c r="H74" s="2"/>
      <c r="I74" s="2"/>
      <c r="J74" s="19">
        <f t="shared" si="9"/>
        <v>0</v>
      </c>
      <c r="K74" s="2"/>
      <c r="L74" s="2">
        <f t="shared" si="10"/>
        <v>8031</v>
      </c>
      <c r="M74" s="2"/>
      <c r="N74" s="19">
        <f t="shared" si="11"/>
        <v>0</v>
      </c>
      <c r="O74" s="11"/>
      <c r="P74" s="2">
        <v>-442948</v>
      </c>
      <c r="Q74" s="2"/>
      <c r="R74" s="19">
        <f t="shared" si="12"/>
        <v>-0.53907460255406059</v>
      </c>
      <c r="S74" s="2"/>
      <c r="T74" s="2"/>
      <c r="U74" s="2"/>
      <c r="V74" s="19">
        <f t="shared" si="13"/>
        <v>0</v>
      </c>
      <c r="W74" s="2"/>
      <c r="X74" s="2">
        <f t="shared" si="14"/>
        <v>-442948</v>
      </c>
      <c r="Y74" s="2"/>
      <c r="Z74" s="19">
        <f t="shared" si="15"/>
        <v>0</v>
      </c>
    </row>
    <row r="75" spans="1:26" s="24" customFormat="1" hidden="1" outlineLevel="1" x14ac:dyDescent="0.25">
      <c r="A75" s="44"/>
      <c r="B75" s="11" t="str">
        <f>CONCATENATE("          ", "5300", " - ", "COG$ OFFSET")</f>
        <v xml:space="preserve">          5300 - COG$ OFFSET</v>
      </c>
      <c r="C75" s="11"/>
      <c r="D75" s="2">
        <v>6103</v>
      </c>
      <c r="E75" s="2"/>
      <c r="F75" s="19">
        <f t="shared" si="8"/>
        <v>0.87407604733731181</v>
      </c>
      <c r="G75" s="2"/>
      <c r="H75" s="2"/>
      <c r="I75" s="2"/>
      <c r="J75" s="19">
        <f t="shared" si="9"/>
        <v>0</v>
      </c>
      <c r="K75" s="2"/>
      <c r="L75" s="2">
        <f t="shared" si="10"/>
        <v>6103</v>
      </c>
      <c r="M75" s="2"/>
      <c r="N75" s="19">
        <f t="shared" si="11"/>
        <v>0</v>
      </c>
      <c r="O75" s="11"/>
      <c r="P75" s="2">
        <v>414035</v>
      </c>
      <c r="Q75" s="2"/>
      <c r="R75" s="19">
        <f t="shared" si="12"/>
        <v>0.50388703204094043</v>
      </c>
      <c r="S75" s="2"/>
      <c r="T75" s="2"/>
      <c r="U75" s="2"/>
      <c r="V75" s="19">
        <f t="shared" si="13"/>
        <v>0</v>
      </c>
      <c r="W75" s="2"/>
      <c r="X75" s="2">
        <f t="shared" si="14"/>
        <v>414035</v>
      </c>
      <c r="Y75" s="2"/>
      <c r="Z75" s="19">
        <f t="shared" si="15"/>
        <v>0</v>
      </c>
    </row>
    <row r="76" spans="1:26" s="24" customFormat="1" hidden="1" outlineLevel="1" x14ac:dyDescent="0.25">
      <c r="A76" s="44"/>
      <c r="B76" s="11" t="str">
        <f>CONCATENATE("          ", "5500", " - ", "FREIGHT-IN")</f>
        <v xml:space="preserve">          5500 - FREIGHT-IN</v>
      </c>
      <c r="C76" s="11"/>
      <c r="D76" s="2"/>
      <c r="E76" s="2"/>
      <c r="F76" s="19">
        <f t="shared" si="8"/>
        <v>0</v>
      </c>
      <c r="G76" s="2"/>
      <c r="H76" s="2"/>
      <c r="I76" s="2"/>
      <c r="J76" s="19">
        <f t="shared" si="9"/>
        <v>0</v>
      </c>
      <c r="K76" s="2"/>
      <c r="L76" s="2">
        <f t="shared" si="10"/>
        <v>0</v>
      </c>
      <c r="M76" s="2"/>
      <c r="N76" s="19">
        <f t="shared" si="11"/>
        <v>0</v>
      </c>
      <c r="O76" s="11"/>
      <c r="P76" s="2">
        <v>86</v>
      </c>
      <c r="Q76" s="2"/>
      <c r="R76" s="19">
        <f t="shared" si="12"/>
        <v>1.0466333705005827E-4</v>
      </c>
      <c r="S76" s="2"/>
      <c r="T76" s="2"/>
      <c r="U76" s="2"/>
      <c r="V76" s="19">
        <f t="shared" si="13"/>
        <v>0</v>
      </c>
      <c r="W76" s="2"/>
      <c r="X76" s="2">
        <f t="shared" si="14"/>
        <v>86</v>
      </c>
      <c r="Y76" s="2"/>
      <c r="Z76" s="19">
        <f t="shared" si="15"/>
        <v>0</v>
      </c>
    </row>
    <row r="77" spans="1:26" s="24" customFormat="1" hidden="1" outlineLevel="1" x14ac:dyDescent="0.25">
      <c r="A77" s="44"/>
      <c r="B77" s="11" t="str">
        <f>CONCATENATE("          ", "5525", " - ", "FREIGHT-IN-TEST FORMS")</f>
        <v xml:space="preserve">          5525 - FREIGHT-IN-TEST FORMS</v>
      </c>
      <c r="C77" s="11"/>
      <c r="D77" s="2">
        <v>377.1</v>
      </c>
      <c r="E77" s="2"/>
      <c r="F77" s="19">
        <f t="shared" si="8"/>
        <v>5.4008533090430987E-2</v>
      </c>
      <c r="G77" s="2"/>
      <c r="H77" s="2"/>
      <c r="I77" s="2"/>
      <c r="J77" s="19">
        <f t="shared" si="9"/>
        <v>0</v>
      </c>
      <c r="K77" s="2"/>
      <c r="L77" s="2">
        <f t="shared" si="10"/>
        <v>377.1</v>
      </c>
      <c r="M77" s="2"/>
      <c r="N77" s="19">
        <f t="shared" si="11"/>
        <v>0</v>
      </c>
      <c r="O77" s="11"/>
      <c r="P77" s="2">
        <v>1614.32</v>
      </c>
      <c r="Q77" s="2"/>
      <c r="R77" s="19">
        <f t="shared" si="12"/>
        <v>1.9646525379843028E-3</v>
      </c>
      <c r="S77" s="2"/>
      <c r="T77" s="2"/>
      <c r="U77" s="2"/>
      <c r="V77" s="19">
        <f t="shared" si="13"/>
        <v>0</v>
      </c>
      <c r="W77" s="2"/>
      <c r="X77" s="2">
        <f t="shared" si="14"/>
        <v>1614.32</v>
      </c>
      <c r="Y77" s="2"/>
      <c r="Z77" s="19">
        <f t="shared" si="15"/>
        <v>0</v>
      </c>
    </row>
    <row r="78" spans="1:26" s="24" customFormat="1" hidden="1" outlineLevel="1" x14ac:dyDescent="0.25">
      <c r="A78" s="44"/>
      <c r="B78" s="11" t="str">
        <f>CONCATENATE("          ", "5526", " - ", "FREIGHT-IN-WRITING INSTRUMENTS")</f>
        <v xml:space="preserve">          5526 - FREIGHT-IN-WRITING INSTRUMENTS</v>
      </c>
      <c r="C78" s="11"/>
      <c r="D78" s="2">
        <v>14.15</v>
      </c>
      <c r="E78" s="2"/>
      <c r="F78" s="19">
        <f t="shared" si="8"/>
        <v>2.0265731721813801E-3</v>
      </c>
      <c r="G78" s="2"/>
      <c r="H78" s="2"/>
      <c r="I78" s="2"/>
      <c r="J78" s="19">
        <f t="shared" si="9"/>
        <v>0</v>
      </c>
      <c r="K78" s="2"/>
      <c r="L78" s="2">
        <f t="shared" si="10"/>
        <v>14.15</v>
      </c>
      <c r="M78" s="2"/>
      <c r="N78" s="19">
        <f t="shared" si="11"/>
        <v>0</v>
      </c>
      <c r="O78" s="11"/>
      <c r="P78" s="2">
        <v>274.5</v>
      </c>
      <c r="Q78" s="2"/>
      <c r="R78" s="19">
        <f t="shared" si="12"/>
        <v>3.340707676772209E-4</v>
      </c>
      <c r="S78" s="2"/>
      <c r="T78" s="2"/>
      <c r="U78" s="2"/>
      <c r="V78" s="19">
        <f t="shared" si="13"/>
        <v>0</v>
      </c>
      <c r="W78" s="2"/>
      <c r="X78" s="2">
        <f t="shared" si="14"/>
        <v>274.5</v>
      </c>
      <c r="Y78" s="2"/>
      <c r="Z78" s="19">
        <f t="shared" si="15"/>
        <v>0</v>
      </c>
    </row>
    <row r="79" spans="1:26" s="24" customFormat="1" hidden="1" outlineLevel="1" x14ac:dyDescent="0.25">
      <c r="A79" s="44"/>
      <c r="B79" s="11" t="str">
        <f>CONCATENATE("          ", "5527", " - ", "FREIGHT-IN-SCHOOL SUPPLIES")</f>
        <v xml:space="preserve">          5527 - FREIGHT-IN-SCHOOL SUPPLIES</v>
      </c>
      <c r="C79" s="11"/>
      <c r="D79" s="2">
        <v>-250.91</v>
      </c>
      <c r="E79" s="2"/>
      <c r="F79" s="19">
        <f t="shared" si="8"/>
        <v>-3.5935510574701769E-2</v>
      </c>
      <c r="G79" s="2"/>
      <c r="H79" s="2"/>
      <c r="I79" s="2"/>
      <c r="J79" s="19">
        <f t="shared" si="9"/>
        <v>0</v>
      </c>
      <c r="K79" s="2"/>
      <c r="L79" s="2">
        <f t="shared" si="10"/>
        <v>-250.91</v>
      </c>
      <c r="M79" s="2"/>
      <c r="N79" s="19">
        <f t="shared" si="11"/>
        <v>0</v>
      </c>
      <c r="O79" s="11"/>
      <c r="P79" s="2">
        <v>1808</v>
      </c>
      <c r="Q79" s="2"/>
      <c r="R79" s="19">
        <f t="shared" si="12"/>
        <v>2.2003641091454113E-3</v>
      </c>
      <c r="S79" s="2"/>
      <c r="T79" s="2"/>
      <c r="U79" s="2"/>
      <c r="V79" s="19">
        <f t="shared" si="13"/>
        <v>0</v>
      </c>
      <c r="W79" s="2"/>
      <c r="X79" s="2">
        <f t="shared" si="14"/>
        <v>1808</v>
      </c>
      <c r="Y79" s="2"/>
      <c r="Z79" s="19">
        <f t="shared" si="15"/>
        <v>0</v>
      </c>
    </row>
    <row r="80" spans="1:26" s="24" customFormat="1" hidden="1" outlineLevel="1" x14ac:dyDescent="0.25">
      <c r="A80" s="44"/>
      <c r="B80" s="11" t="str">
        <f>CONCATENATE("          ", "5528", " - ", "FREIGHT-IN-ART/TECH")</f>
        <v xml:space="preserve">          5528 - FREIGHT-IN-ART/TECH</v>
      </c>
      <c r="C80" s="11"/>
      <c r="D80" s="2">
        <v>-19.75</v>
      </c>
      <c r="E80" s="2"/>
      <c r="F80" s="19">
        <f t="shared" si="8"/>
        <v>-2.8286091979210074E-3</v>
      </c>
      <c r="G80" s="2"/>
      <c r="H80" s="2"/>
      <c r="I80" s="2"/>
      <c r="J80" s="19">
        <f t="shared" si="9"/>
        <v>0</v>
      </c>
      <c r="K80" s="2"/>
      <c r="L80" s="2">
        <f t="shared" si="10"/>
        <v>-19.75</v>
      </c>
      <c r="M80" s="2"/>
      <c r="N80" s="19">
        <f t="shared" si="11"/>
        <v>0</v>
      </c>
      <c r="O80" s="11"/>
      <c r="P80" s="2">
        <v>2824.37</v>
      </c>
      <c r="Q80" s="2"/>
      <c r="R80" s="19">
        <f t="shared" si="12"/>
        <v>3.4373022007450358E-3</v>
      </c>
      <c r="S80" s="2"/>
      <c r="T80" s="2"/>
      <c r="U80" s="2"/>
      <c r="V80" s="19">
        <f t="shared" si="13"/>
        <v>0</v>
      </c>
      <c r="W80" s="2"/>
      <c r="X80" s="2">
        <f t="shared" si="14"/>
        <v>2824.37</v>
      </c>
      <c r="Y80" s="2"/>
      <c r="Z80" s="19">
        <f t="shared" si="15"/>
        <v>0</v>
      </c>
    </row>
    <row r="81" spans="1:26" x14ac:dyDescent="0.25">
      <c r="A81" s="9"/>
      <c r="B81" s="10"/>
      <c r="C81" s="10"/>
      <c r="D81" s="3"/>
      <c r="E81" s="3"/>
      <c r="F81" s="8"/>
      <c r="G81" s="3"/>
      <c r="H81" s="3"/>
      <c r="I81" s="3"/>
      <c r="J81" s="8"/>
      <c r="K81" s="3"/>
      <c r="L81" s="3"/>
      <c r="M81" s="3"/>
      <c r="N81" s="8"/>
      <c r="O81" s="10"/>
      <c r="P81" s="3"/>
      <c r="Q81" s="3"/>
      <c r="R81" s="8"/>
      <c r="S81" s="3"/>
      <c r="T81" s="3"/>
      <c r="U81" s="3"/>
      <c r="V81" s="8"/>
      <c r="W81" s="3"/>
      <c r="X81" s="3"/>
      <c r="Y81" s="3"/>
      <c r="Z81" s="8"/>
    </row>
    <row r="82" spans="1:26" s="23" customFormat="1" x14ac:dyDescent="0.25">
      <c r="A82" s="10"/>
      <c r="B82" s="29" t="s">
        <v>6</v>
      </c>
      <c r="C82" s="29"/>
      <c r="D82" s="20">
        <f>D12-D56</f>
        <v>2405.5100000000002</v>
      </c>
      <c r="E82" s="14"/>
      <c r="F82" s="22">
        <f>IF(D$12=0,0,D82/D$12)</f>
        <v>0.34451887147802346</v>
      </c>
      <c r="G82" s="14"/>
      <c r="H82" s="20">
        <f>H12-H56</f>
        <v>33835</v>
      </c>
      <c r="I82" s="14"/>
      <c r="J82" s="22">
        <f>IF(H$12=0,0,H82/H$12)</f>
        <v>0.51100237113557756</v>
      </c>
      <c r="K82" s="16"/>
      <c r="L82" s="20">
        <f>+D82-H82</f>
        <v>-31429.489999999998</v>
      </c>
      <c r="M82" s="16"/>
      <c r="N82" s="22">
        <f>IF(H82=0,0,L82/H82)</f>
        <v>-0.92890468449830055</v>
      </c>
      <c r="O82" s="28"/>
      <c r="P82" s="20">
        <f>P12-P56</f>
        <v>409090.76999999984</v>
      </c>
      <c r="Q82" s="14"/>
      <c r="R82" s="22">
        <f>IF(P$12=0,0,P82/P$12)</f>
        <v>0.49786982726253315</v>
      </c>
      <c r="S82" s="14"/>
      <c r="T82" s="20">
        <f>T12-T56</f>
        <v>547354</v>
      </c>
      <c r="U82" s="14"/>
      <c r="V82" s="22">
        <f>IF(T$12=0,0,T82/T$12)</f>
        <v>0.52488322428512935</v>
      </c>
      <c r="W82" s="16"/>
      <c r="X82" s="20">
        <f>+P82-T82</f>
        <v>-138263.23000000016</v>
      </c>
      <c r="Y82" s="16"/>
      <c r="Z82" s="22">
        <f>IF(T82=0,0,X82/T82)</f>
        <v>-0.25260294069286082</v>
      </c>
    </row>
    <row r="83" spans="1:26" x14ac:dyDescent="0.25">
      <c r="A83" s="9"/>
      <c r="B83" s="10"/>
      <c r="C83" s="9"/>
      <c r="D83" s="1"/>
      <c r="E83" s="1"/>
      <c r="F83" s="5"/>
      <c r="G83" s="1"/>
      <c r="H83" s="1"/>
      <c r="I83" s="1"/>
      <c r="J83" s="5"/>
      <c r="K83" s="1"/>
      <c r="L83" s="1"/>
      <c r="M83" s="1"/>
      <c r="N83" s="5"/>
      <c r="O83" s="36"/>
      <c r="P83" s="1"/>
      <c r="Q83" s="1"/>
      <c r="R83" s="5"/>
      <c r="S83" s="1"/>
      <c r="T83" s="1"/>
      <c r="U83" s="1"/>
      <c r="V83" s="5"/>
      <c r="W83" s="1"/>
      <c r="X83" s="1"/>
      <c r="Y83" s="1"/>
      <c r="Z83" s="5"/>
    </row>
    <row r="84" spans="1:26" s="23" customFormat="1" x14ac:dyDescent="0.25">
      <c r="A84" s="10"/>
      <c r="B84" s="28" t="s">
        <v>9</v>
      </c>
      <c r="C84" s="10"/>
      <c r="D84" s="21">
        <f>SUM(OSRRefD22x_0)</f>
        <v>8723.7099999999991</v>
      </c>
      <c r="E84" s="21"/>
      <c r="F84" s="30">
        <f t="shared" ref="F84:F95" si="16">IF(D$12=0,0,D84/D$12)</f>
        <v>1.2494160175187579</v>
      </c>
      <c r="G84" s="21"/>
      <c r="H84" s="21">
        <f>SUM(OSRRefH22x_0)</f>
        <v>18925.288268024611</v>
      </c>
      <c r="I84" s="21"/>
      <c r="J84" s="30">
        <f t="shared" ref="J84:J95" si="17">IF(H$12=0,0,H84/H$12)</f>
        <v>0.28582435878187984</v>
      </c>
      <c r="K84" s="4"/>
      <c r="L84" s="21">
        <f t="shared" ref="L84:L95" si="18">+D84-H84</f>
        <v>-10201.578268024612</v>
      </c>
      <c r="M84" s="4"/>
      <c r="N84" s="30">
        <f t="shared" ref="N84:N95" si="19">IF(H84=0,0,L84/H84)</f>
        <v>-0.53904480204197358</v>
      </c>
      <c r="O84" s="10"/>
      <c r="P84" s="21">
        <f>SUM(OSRRefP22x_0)</f>
        <v>216783.82999999993</v>
      </c>
      <c r="Q84" s="21"/>
      <c r="R84" s="30">
        <f t="shared" ref="R84:R95" si="20">IF(P$12=0,0,P84/P$12)</f>
        <v>0.26382929146851775</v>
      </c>
      <c r="S84" s="21"/>
      <c r="T84" s="21">
        <f>SUM(OSRRefT22x_0)</f>
        <v>244348.68786431733</v>
      </c>
      <c r="U84" s="21"/>
      <c r="V84" s="30">
        <f t="shared" ref="V84:V95" si="21">IF(T$12=0,0,T84/T$12)</f>
        <v>0.23431732870512234</v>
      </c>
      <c r="W84" s="4"/>
      <c r="X84" s="21">
        <f t="shared" ref="X84:X95" si="22">+P84-T84</f>
        <v>-27564.857864317397</v>
      </c>
      <c r="Y84" s="4"/>
      <c r="Z84" s="30">
        <f t="shared" ref="Z84:Z95" si="23">IF(T84=0,0,X84/T84)</f>
        <v>-0.11280951866467027</v>
      </c>
    </row>
    <row r="85" spans="1:26" s="27" customFormat="1" outlineLevel="1" collapsed="1" x14ac:dyDescent="0.25">
      <c r="A85" s="25"/>
      <c r="B85" s="12" t="str">
        <f>CONCATENATE("     ","*Benefits                                         ")</f>
        <v xml:space="preserve">     *Benefits                                         </v>
      </c>
      <c r="C85" s="12"/>
      <c r="D85" s="1">
        <f>SUM(OSRRefD22_0x_0)</f>
        <v>2869.59</v>
      </c>
      <c r="E85" s="1"/>
      <c r="F85" s="5">
        <f t="shared" si="16"/>
        <v>0.41098474269681745</v>
      </c>
      <c r="G85" s="1"/>
      <c r="H85" s="1">
        <f>SUM(OSRRefH22_0x_0)</f>
        <v>2890.0892081784605</v>
      </c>
      <c r="I85" s="1"/>
      <c r="J85" s="5">
        <f t="shared" si="17"/>
        <v>4.3648365248190844E-2</v>
      </c>
      <c r="K85" s="1"/>
      <c r="L85" s="1">
        <f t="shared" si="18"/>
        <v>-20.499208178460322</v>
      </c>
      <c r="M85" s="1"/>
      <c r="N85" s="5">
        <f t="shared" si="19"/>
        <v>-7.09293267503683E-3</v>
      </c>
      <c r="O85" s="12"/>
      <c r="P85" s="1">
        <f>SUM(OSRRefP22_0x_0)</f>
        <v>33587.680000000008</v>
      </c>
      <c r="Q85" s="1"/>
      <c r="R85" s="5">
        <f t="shared" si="20"/>
        <v>4.087672875080816E-2</v>
      </c>
      <c r="S85" s="1"/>
      <c r="T85" s="1">
        <f>SUM(OSRRefT22_0x_0)</f>
        <v>38794.337434163535</v>
      </c>
      <c r="U85" s="1"/>
      <c r="V85" s="5">
        <f t="shared" si="21"/>
        <v>3.7201695642032483E-2</v>
      </c>
      <c r="W85" s="1"/>
      <c r="X85" s="1">
        <f t="shared" si="22"/>
        <v>-5206.6574341635278</v>
      </c>
      <c r="Y85" s="1"/>
      <c r="Z85" s="5">
        <f t="shared" si="23"/>
        <v>-0.13421178910451964</v>
      </c>
    </row>
    <row r="86" spans="1:26" s="24" customFormat="1" hidden="1" outlineLevel="2" x14ac:dyDescent="0.25">
      <c r="A86" s="26"/>
      <c r="B86" s="11" t="str">
        <f>CONCATENATE("          ", "6111", " - ", "F.I.C.A.")</f>
        <v xml:space="preserve">          6111 - F.I.C.A.</v>
      </c>
      <c r="C86" s="11"/>
      <c r="D86" s="7">
        <v>318.24</v>
      </c>
      <c r="E86" s="2"/>
      <c r="F86" s="6">
        <f t="shared" si="16"/>
        <v>4.5578561577031974E-2</v>
      </c>
      <c r="G86" s="2"/>
      <c r="H86" s="7">
        <v>401.44939434461503</v>
      </c>
      <c r="I86" s="2"/>
      <c r="J86" s="6">
        <f t="shared" si="17"/>
        <v>6.0629996276352835E-3</v>
      </c>
      <c r="K86" s="2"/>
      <c r="L86" s="7">
        <f t="shared" si="18"/>
        <v>-83.209394344615021</v>
      </c>
      <c r="M86" s="2"/>
      <c r="N86" s="6">
        <f t="shared" si="19"/>
        <v>-0.2072724371161607</v>
      </c>
      <c r="O86" s="11"/>
      <c r="P86" s="7">
        <v>6110.83</v>
      </c>
      <c r="Q86" s="2"/>
      <c r="R86" s="6">
        <f t="shared" si="20"/>
        <v>7.4369751156465993E-3</v>
      </c>
      <c r="S86" s="2"/>
      <c r="T86" s="7">
        <v>9392.6305227973808</v>
      </c>
      <c r="U86" s="2"/>
      <c r="V86" s="6">
        <f t="shared" si="21"/>
        <v>9.0070305384172024E-3</v>
      </c>
      <c r="W86" s="2"/>
      <c r="X86" s="7">
        <f t="shared" si="22"/>
        <v>-3281.8005227973808</v>
      </c>
      <c r="Y86" s="2"/>
      <c r="Z86" s="6">
        <f t="shared" si="23"/>
        <v>-0.34940164151373126</v>
      </c>
    </row>
    <row r="87" spans="1:26" s="24" customFormat="1" hidden="1" outlineLevel="2" x14ac:dyDescent="0.25">
      <c r="A87" s="26"/>
      <c r="B87" s="11" t="str">
        <f>CONCATENATE("          ", "6112", " - ", "COMPENSATION INSURANCE")</f>
        <v xml:space="preserve">          6112 - COMPENSATION INSURANCE</v>
      </c>
      <c r="C87" s="11"/>
      <c r="D87" s="7">
        <v>118.56</v>
      </c>
      <c r="E87" s="2"/>
      <c r="F87" s="6">
        <f t="shared" si="16"/>
        <v>1.698024843065897E-2</v>
      </c>
      <c r="G87" s="2"/>
      <c r="H87" s="7">
        <v>242.34215350769199</v>
      </c>
      <c r="I87" s="2"/>
      <c r="J87" s="6">
        <f t="shared" si="17"/>
        <v>3.6600388671060363E-3</v>
      </c>
      <c r="K87" s="2"/>
      <c r="L87" s="7">
        <f t="shared" si="18"/>
        <v>-123.78215350769199</v>
      </c>
      <c r="M87" s="2"/>
      <c r="N87" s="6">
        <f t="shared" si="19"/>
        <v>-0.51077433998193433</v>
      </c>
      <c r="O87" s="11"/>
      <c r="P87" s="7">
        <v>2755.99</v>
      </c>
      <c r="Q87" s="2"/>
      <c r="R87" s="6">
        <f t="shared" si="20"/>
        <v>3.3540826776347682E-3</v>
      </c>
      <c r="S87" s="2"/>
      <c r="T87" s="7">
        <v>3233.469149492304</v>
      </c>
      <c r="U87" s="2"/>
      <c r="V87" s="6">
        <f t="shared" si="21"/>
        <v>3.1007240520979393E-3</v>
      </c>
      <c r="W87" s="2"/>
      <c r="X87" s="7">
        <f t="shared" si="22"/>
        <v>-477.47914949230426</v>
      </c>
      <c r="Y87" s="2"/>
      <c r="Z87" s="6">
        <f t="shared" si="23"/>
        <v>-0.14766776097655812</v>
      </c>
    </row>
    <row r="88" spans="1:26" s="24" customFormat="1" hidden="1" outlineLevel="2" x14ac:dyDescent="0.25">
      <c r="A88" s="26"/>
      <c r="B88" s="11" t="str">
        <f>CONCATENATE("          ", "6113", " - ", "GROUP INSURANCE")</f>
        <v xml:space="preserve">          6113 - GROUP INSURANCE</v>
      </c>
      <c r="C88" s="11"/>
      <c r="D88" s="7">
        <v>1367.58</v>
      </c>
      <c r="E88" s="2"/>
      <c r="F88" s="6">
        <f t="shared" si="16"/>
        <v>0.19586579072874993</v>
      </c>
      <c r="G88" s="2"/>
      <c r="H88" s="7">
        <v>1288.05</v>
      </c>
      <c r="I88" s="2"/>
      <c r="J88" s="6">
        <f t="shared" si="17"/>
        <v>1.9453128539712743E-2</v>
      </c>
      <c r="K88" s="2"/>
      <c r="L88" s="7">
        <f t="shared" si="18"/>
        <v>79.529999999999973</v>
      </c>
      <c r="M88" s="2"/>
      <c r="N88" s="6">
        <f t="shared" si="19"/>
        <v>6.1744497496215189E-2</v>
      </c>
      <c r="O88" s="11"/>
      <c r="P88" s="7">
        <v>19531.400000000001</v>
      </c>
      <c r="Q88" s="2"/>
      <c r="R88" s="6">
        <f t="shared" si="20"/>
        <v>2.377001745650591E-2</v>
      </c>
      <c r="S88" s="2"/>
      <c r="T88" s="7">
        <v>14168.55</v>
      </c>
      <c r="U88" s="2"/>
      <c r="V88" s="6">
        <f t="shared" si="21"/>
        <v>1.3586881994915664E-2</v>
      </c>
      <c r="W88" s="2"/>
      <c r="X88" s="7">
        <f t="shared" si="22"/>
        <v>5362.8500000000022</v>
      </c>
      <c r="Y88" s="2"/>
      <c r="Z88" s="6">
        <f t="shared" si="23"/>
        <v>0.37850379890673375</v>
      </c>
    </row>
    <row r="89" spans="1:26" s="24" customFormat="1" hidden="1" outlineLevel="2" x14ac:dyDescent="0.25">
      <c r="A89" s="26"/>
      <c r="B89" s="11" t="str">
        <f>CONCATENATE("          ", "6114", " - ", "STATE UNEMPLOYMENT INSURANCE")</f>
        <v xml:space="preserve">          6114 - STATE UNEMPLOYMENT INSURANCE</v>
      </c>
      <c r="C89" s="11"/>
      <c r="D89" s="7">
        <v>16.22</v>
      </c>
      <c r="E89" s="2"/>
      <c r="F89" s="6">
        <f t="shared" si="16"/>
        <v>2.3230400602672779E-3</v>
      </c>
      <c r="G89" s="2"/>
      <c r="H89" s="7">
        <v>33.162610479999998</v>
      </c>
      <c r="I89" s="2"/>
      <c r="J89" s="6">
        <f t="shared" si="17"/>
        <v>5.0084742391977408E-4</v>
      </c>
      <c r="K89" s="2"/>
      <c r="L89" s="7">
        <f t="shared" si="18"/>
        <v>-16.942610479999999</v>
      </c>
      <c r="M89" s="2"/>
      <c r="N89" s="6">
        <f t="shared" si="19"/>
        <v>-0.51089495774821159</v>
      </c>
      <c r="O89" s="11"/>
      <c r="P89" s="7">
        <v>419.11</v>
      </c>
      <c r="Q89" s="2"/>
      <c r="R89" s="6">
        <f t="shared" si="20"/>
        <v>5.1006338594244093E-4</v>
      </c>
      <c r="S89" s="2"/>
      <c r="T89" s="7">
        <v>442.47472571999998</v>
      </c>
      <c r="U89" s="2"/>
      <c r="V89" s="6">
        <f t="shared" si="21"/>
        <v>4.2430960712919213E-4</v>
      </c>
      <c r="W89" s="2"/>
      <c r="X89" s="7">
        <f t="shared" si="22"/>
        <v>-23.364725719999967</v>
      </c>
      <c r="Y89" s="2"/>
      <c r="Z89" s="6">
        <f t="shared" si="23"/>
        <v>-5.2804656089634534E-2</v>
      </c>
    </row>
    <row r="90" spans="1:26" s="24" customFormat="1" hidden="1" outlineLevel="2" x14ac:dyDescent="0.25">
      <c r="A90" s="26"/>
      <c r="B90" s="11" t="str">
        <f>CONCATENATE("          ", "6115", " - ", "P.E.R.S.")</f>
        <v xml:space="preserve">          6115 - P.E.R.S.</v>
      </c>
      <c r="C90" s="11"/>
      <c r="D90" s="7">
        <v>425.19</v>
      </c>
      <c r="E90" s="2"/>
      <c r="F90" s="6">
        <f t="shared" si="16"/>
        <v>6.0896017461470033E-2</v>
      </c>
      <c r="G90" s="2"/>
      <c r="H90" s="7">
        <v>451.12567507692296</v>
      </c>
      <c r="I90" s="2"/>
      <c r="J90" s="6">
        <f t="shared" si="17"/>
        <v>6.8132492875556611E-3</v>
      </c>
      <c r="K90" s="2"/>
      <c r="L90" s="7">
        <f t="shared" si="18"/>
        <v>-25.935675076922962</v>
      </c>
      <c r="M90" s="2"/>
      <c r="N90" s="6">
        <f t="shared" si="19"/>
        <v>-5.7491019708644564E-2</v>
      </c>
      <c r="O90" s="11"/>
      <c r="P90" s="7">
        <v>4627.22</v>
      </c>
      <c r="Q90" s="2"/>
      <c r="R90" s="6">
        <f t="shared" si="20"/>
        <v>5.6313986798229142E-3</v>
      </c>
      <c r="S90" s="2"/>
      <c r="T90" s="7">
        <v>5413.5081009230771</v>
      </c>
      <c r="U90" s="2"/>
      <c r="V90" s="6">
        <f t="shared" si="21"/>
        <v>5.1912648609604975E-3</v>
      </c>
      <c r="W90" s="2"/>
      <c r="X90" s="7">
        <f t="shared" si="22"/>
        <v>-786.28810092307685</v>
      </c>
      <c r="Y90" s="2"/>
      <c r="Z90" s="6">
        <f t="shared" si="23"/>
        <v>-0.14524557574579117</v>
      </c>
    </row>
    <row r="91" spans="1:26" s="24" customFormat="1" hidden="1" outlineLevel="2" x14ac:dyDescent="0.25">
      <c r="A91" s="26"/>
      <c r="B91" s="11" t="str">
        <f>CONCATENATE("          ", "6116", " - ", "EDUCATIONAL BENEFITS")</f>
        <v xml:space="preserve">          6116 - EDUCATIONAL BENEFITS</v>
      </c>
      <c r="C91" s="11"/>
      <c r="D91" s="7"/>
      <c r="E91" s="2"/>
      <c r="F91" s="6">
        <f t="shared" si="16"/>
        <v>0</v>
      </c>
      <c r="G91" s="2"/>
      <c r="H91" s="7">
        <v>0</v>
      </c>
      <c r="I91" s="2"/>
      <c r="J91" s="6">
        <f t="shared" si="17"/>
        <v>0</v>
      </c>
      <c r="K91" s="2"/>
      <c r="L91" s="7">
        <f t="shared" si="18"/>
        <v>0</v>
      </c>
      <c r="M91" s="2"/>
      <c r="N91" s="6">
        <f t="shared" si="19"/>
        <v>0</v>
      </c>
      <c r="O91" s="11"/>
      <c r="P91" s="7"/>
      <c r="Q91" s="2"/>
      <c r="R91" s="6">
        <f t="shared" si="20"/>
        <v>0</v>
      </c>
      <c r="S91" s="2"/>
      <c r="T91" s="7">
        <v>0</v>
      </c>
      <c r="U91" s="2"/>
      <c r="V91" s="6">
        <f t="shared" si="21"/>
        <v>0</v>
      </c>
      <c r="W91" s="2"/>
      <c r="X91" s="7">
        <f t="shared" si="22"/>
        <v>0</v>
      </c>
      <c r="Y91" s="2"/>
      <c r="Z91" s="6">
        <f t="shared" si="23"/>
        <v>0</v>
      </c>
    </row>
    <row r="92" spans="1:26" s="24" customFormat="1" hidden="1" outlineLevel="2" x14ac:dyDescent="0.25">
      <c r="A92" s="26"/>
      <c r="B92" s="11" t="str">
        <f>CONCATENATE("          ", "6117", " - ", "RETIREMENT STAFF HOURLY")</f>
        <v xml:space="preserve">          6117 - RETIREMENT STAFF HOURLY</v>
      </c>
      <c r="C92" s="11"/>
      <c r="D92" s="7"/>
      <c r="E92" s="2"/>
      <c r="F92" s="6">
        <f t="shared" si="16"/>
        <v>0</v>
      </c>
      <c r="G92" s="2"/>
      <c r="H92" s="7"/>
      <c r="I92" s="2"/>
      <c r="J92" s="6">
        <f t="shared" si="17"/>
        <v>0</v>
      </c>
      <c r="K92" s="2"/>
      <c r="L92" s="7">
        <f t="shared" si="18"/>
        <v>0</v>
      </c>
      <c r="M92" s="2"/>
      <c r="N92" s="6">
        <f t="shared" si="19"/>
        <v>0</v>
      </c>
      <c r="O92" s="11"/>
      <c r="P92" s="7">
        <v>46.65</v>
      </c>
      <c r="Q92" s="2"/>
      <c r="R92" s="6">
        <f t="shared" si="20"/>
        <v>5.6773775271921144E-5</v>
      </c>
      <c r="S92" s="2"/>
      <c r="T92" s="7"/>
      <c r="U92" s="2"/>
      <c r="V92" s="6">
        <f t="shared" si="21"/>
        <v>0</v>
      </c>
      <c r="W92" s="2"/>
      <c r="X92" s="7">
        <f t="shared" si="22"/>
        <v>46.65</v>
      </c>
      <c r="Y92" s="2"/>
      <c r="Z92" s="6">
        <f t="shared" si="23"/>
        <v>0</v>
      </c>
    </row>
    <row r="93" spans="1:26" s="24" customFormat="1" hidden="1" outlineLevel="2" x14ac:dyDescent="0.25">
      <c r="A93" s="26"/>
      <c r="B93" s="11" t="str">
        <f>CONCATENATE("          ", "6118", " - ", "VACATION")</f>
        <v xml:space="preserve">          6118 - VACATION</v>
      </c>
      <c r="C93" s="11"/>
      <c r="D93" s="7">
        <v>335.92</v>
      </c>
      <c r="E93" s="2"/>
      <c r="F93" s="6">
        <f t="shared" si="16"/>
        <v>4.8110703886867084E-2</v>
      </c>
      <c r="G93" s="2"/>
      <c r="H93" s="7">
        <v>202.954369230769</v>
      </c>
      <c r="I93" s="2"/>
      <c r="J93" s="6">
        <f t="shared" si="17"/>
        <v>3.0651740478572034E-3</v>
      </c>
      <c r="K93" s="2"/>
      <c r="L93" s="7">
        <f t="shared" si="18"/>
        <v>132.96563076923101</v>
      </c>
      <c r="M93" s="2"/>
      <c r="N93" s="6">
        <f t="shared" si="19"/>
        <v>0.65515037332378201</v>
      </c>
      <c r="O93" s="11"/>
      <c r="P93" s="7">
        <v>4100.3999999999996</v>
      </c>
      <c r="Q93" s="2"/>
      <c r="R93" s="6">
        <f t="shared" si="20"/>
        <v>4.9902505493030101E-3</v>
      </c>
      <c r="S93" s="2"/>
      <c r="T93" s="7">
        <v>2435.4524307692309</v>
      </c>
      <c r="U93" s="2"/>
      <c r="V93" s="6">
        <f t="shared" si="21"/>
        <v>2.3354686810641919E-3</v>
      </c>
      <c r="W93" s="2"/>
      <c r="X93" s="7">
        <f t="shared" si="22"/>
        <v>1664.9475692307687</v>
      </c>
      <c r="Y93" s="2"/>
      <c r="Z93" s="6">
        <f t="shared" si="23"/>
        <v>0.68362968136680036</v>
      </c>
    </row>
    <row r="94" spans="1:26" s="24" customFormat="1" hidden="1" outlineLevel="2" x14ac:dyDescent="0.25">
      <c r="A94" s="26"/>
      <c r="B94" s="11" t="str">
        <f>CONCATENATE("          ", "6119", " - ", "SICK LEAVE")</f>
        <v xml:space="preserve">          6119 - SICK LEAVE</v>
      </c>
      <c r="C94" s="11"/>
      <c r="D94" s="7">
        <v>191.88</v>
      </c>
      <c r="E94" s="2"/>
      <c r="F94" s="6">
        <f t="shared" si="16"/>
        <v>2.7481191539092804E-2</v>
      </c>
      <c r="G94" s="2"/>
      <c r="H94" s="7">
        <v>271.005005538462</v>
      </c>
      <c r="I94" s="2"/>
      <c r="J94" s="6">
        <f t="shared" si="17"/>
        <v>4.0929274544041503E-3</v>
      </c>
      <c r="K94" s="2"/>
      <c r="L94" s="7">
        <f t="shared" si="18"/>
        <v>-79.125005538462005</v>
      </c>
      <c r="M94" s="2"/>
      <c r="N94" s="6">
        <f t="shared" si="19"/>
        <v>-0.291968797333643</v>
      </c>
      <c r="O94" s="11"/>
      <c r="P94" s="7">
        <v>-5790.02</v>
      </c>
      <c r="Q94" s="2"/>
      <c r="R94" s="6">
        <f t="shared" si="20"/>
        <v>-7.0465443579834702E-3</v>
      </c>
      <c r="S94" s="2"/>
      <c r="T94" s="7">
        <v>3708.2525044615422</v>
      </c>
      <c r="U94" s="2"/>
      <c r="V94" s="6">
        <f t="shared" si="21"/>
        <v>3.5560159074477949E-3</v>
      </c>
      <c r="W94" s="2"/>
      <c r="X94" s="7">
        <f t="shared" si="22"/>
        <v>-9498.2725044615436</v>
      </c>
      <c r="Y94" s="2"/>
      <c r="Z94" s="6">
        <f t="shared" si="23"/>
        <v>-2.5613877407306553</v>
      </c>
    </row>
    <row r="95" spans="1:26" s="24" customFormat="1" hidden="1" outlineLevel="2" x14ac:dyDescent="0.25">
      <c r="A95" s="26"/>
      <c r="B95" s="11" t="str">
        <f>CONCATENATE("          ", "6156", " - ", "EMPLOYEE MEALS")</f>
        <v xml:space="preserve">          6156 - EMPLOYEE MEALS</v>
      </c>
      <c r="C95" s="11"/>
      <c r="D95" s="7">
        <v>96</v>
      </c>
      <c r="E95" s="2"/>
      <c r="F95" s="6">
        <f t="shared" si="16"/>
        <v>1.3749189012679328E-2</v>
      </c>
      <c r="G95" s="2"/>
      <c r="H95" s="7"/>
      <c r="I95" s="2"/>
      <c r="J95" s="6">
        <f t="shared" si="17"/>
        <v>0</v>
      </c>
      <c r="K95" s="2"/>
      <c r="L95" s="7">
        <f t="shared" si="18"/>
        <v>96</v>
      </c>
      <c r="M95" s="2"/>
      <c r="N95" s="6">
        <f t="shared" si="19"/>
        <v>0</v>
      </c>
      <c r="O95" s="11"/>
      <c r="P95" s="7">
        <v>1786.1</v>
      </c>
      <c r="Q95" s="2"/>
      <c r="R95" s="6">
        <f t="shared" si="20"/>
        <v>2.173711468664059E-3</v>
      </c>
      <c r="S95" s="2"/>
      <c r="T95" s="7"/>
      <c r="U95" s="2"/>
      <c r="V95" s="6">
        <f t="shared" si="21"/>
        <v>0</v>
      </c>
      <c r="W95" s="2"/>
      <c r="X95" s="7">
        <f t="shared" si="22"/>
        <v>1786.1</v>
      </c>
      <c r="Y95" s="2"/>
      <c r="Z95" s="6">
        <f t="shared" si="23"/>
        <v>0</v>
      </c>
    </row>
    <row r="96" spans="1:26" s="27" customFormat="1" outlineLevel="1" collapsed="1" x14ac:dyDescent="0.25">
      <c r="A96" s="25"/>
      <c r="B96" s="12" t="str">
        <f>CONCATENATE("     ","*Payroll                                          ")</f>
        <v xml:space="preserve">     *Payroll                                          </v>
      </c>
      <c r="C96" s="12"/>
      <c r="D96" s="1">
        <f>SUM(OSRRefD22_1x_0)</f>
        <v>3952</v>
      </c>
      <c r="E96" s="1"/>
      <c r="F96" s="5">
        <f t="shared" ref="F96:F106" si="24">IF(D$12=0,0,D96/D$12)</f>
        <v>0.56600828102196565</v>
      </c>
      <c r="G96" s="1"/>
      <c r="H96" s="1">
        <f>SUM(OSRRefH22_1x_0)</f>
        <v>12470.199059846151</v>
      </c>
      <c r="I96" s="1"/>
      <c r="J96" s="5">
        <f t="shared" ref="J96:J106" si="25">IF(H$12=0,0,H96/H$12)</f>
        <v>0.18833460287022413</v>
      </c>
      <c r="K96" s="1"/>
      <c r="L96" s="1">
        <f t="shared" ref="L96:L106" si="26">+D96-H96</f>
        <v>-8518.1990598461507</v>
      </c>
      <c r="M96" s="1"/>
      <c r="N96" s="5">
        <f t="shared" ref="N96:N106" si="27">IF(H96=0,0,L96/H96)</f>
        <v>-0.68308444949163805</v>
      </c>
      <c r="O96" s="12"/>
      <c r="P96" s="1">
        <f>SUM(OSRRefP22_1x_0)</f>
        <v>153025.27000000002</v>
      </c>
      <c r="Q96" s="1"/>
      <c r="R96" s="5">
        <f t="shared" ref="R96:R106" si="28">IF(P$12=0,0,P96/P$12)</f>
        <v>0.18623413268821129</v>
      </c>
      <c r="S96" s="1"/>
      <c r="T96" s="1">
        <f>SUM(OSRRefT22_1x_0)</f>
        <v>166339.35043015383</v>
      </c>
      <c r="U96" s="1"/>
      <c r="V96" s="5">
        <f t="shared" ref="V96:V106" si="29">IF(T$12=0,0,T96/T$12)</f>
        <v>0.15951054450917168</v>
      </c>
      <c r="W96" s="1"/>
      <c r="X96" s="1">
        <f t="shared" ref="X96:X106" si="30">+P96-T96</f>
        <v>-13314.080430153816</v>
      </c>
      <c r="Y96" s="1"/>
      <c r="Z96" s="5">
        <f t="shared" ref="Z96:Z106" si="31">IF(T96=0,0,X96/T96)</f>
        <v>-8.0041676222274413E-2</v>
      </c>
    </row>
    <row r="97" spans="1:26" s="24" customFormat="1" hidden="1" outlineLevel="2" x14ac:dyDescent="0.25">
      <c r="A97" s="26"/>
      <c r="B97" s="11" t="str">
        <f>CONCATENATE("          ", "6001", " - ", "ADMINISTRATIVE SALARIES")</f>
        <v xml:space="preserve">          6001 - ADMINISTRATIVE SALARIES</v>
      </c>
      <c r="C97" s="11"/>
      <c r="D97" s="7"/>
      <c r="E97" s="2"/>
      <c r="F97" s="6">
        <f t="shared" si="24"/>
        <v>0</v>
      </c>
      <c r="G97" s="2"/>
      <c r="H97" s="7">
        <v>5063.3075938461498</v>
      </c>
      <c r="I97" s="2"/>
      <c r="J97" s="6">
        <f t="shared" si="25"/>
        <v>7.6469992204644857E-2</v>
      </c>
      <c r="K97" s="2"/>
      <c r="L97" s="7">
        <f t="shared" si="26"/>
        <v>-5063.3075938461498</v>
      </c>
      <c r="M97" s="2"/>
      <c r="N97" s="6">
        <f t="shared" si="27"/>
        <v>-1</v>
      </c>
      <c r="O97" s="11"/>
      <c r="P97" s="7"/>
      <c r="Q97" s="2"/>
      <c r="R97" s="6">
        <f t="shared" si="28"/>
        <v>0</v>
      </c>
      <c r="S97" s="2"/>
      <c r="T97" s="7">
        <v>60759.691126153804</v>
      </c>
      <c r="U97" s="2"/>
      <c r="V97" s="6">
        <f t="shared" si="29"/>
        <v>5.8265295558019431E-2</v>
      </c>
      <c r="W97" s="2"/>
      <c r="X97" s="7">
        <f t="shared" si="30"/>
        <v>-60759.691126153804</v>
      </c>
      <c r="Y97" s="2"/>
      <c r="Z97" s="6">
        <f t="shared" si="31"/>
        <v>-1</v>
      </c>
    </row>
    <row r="98" spans="1:26" s="24" customFormat="1" hidden="1" outlineLevel="2" x14ac:dyDescent="0.25">
      <c r="A98" s="26"/>
      <c r="B98" s="11" t="str">
        <f>CONCATENATE("          ", "6002", " - ", "STAFF SALARIES")</f>
        <v xml:space="preserve">          6002 - STAFF SALARIES</v>
      </c>
      <c r="C98" s="11"/>
      <c r="D98" s="7">
        <v>3952</v>
      </c>
      <c r="E98" s="2"/>
      <c r="F98" s="6">
        <f t="shared" si="24"/>
        <v>0.56600828102196565</v>
      </c>
      <c r="G98" s="2"/>
      <c r="H98" s="7">
        <v>0</v>
      </c>
      <c r="I98" s="2"/>
      <c r="J98" s="6">
        <f t="shared" si="25"/>
        <v>0</v>
      </c>
      <c r="K98" s="2"/>
      <c r="L98" s="7">
        <f t="shared" si="26"/>
        <v>3952</v>
      </c>
      <c r="M98" s="2"/>
      <c r="N98" s="6">
        <f t="shared" si="27"/>
        <v>0</v>
      </c>
      <c r="O98" s="11"/>
      <c r="P98" s="7">
        <v>55743.82</v>
      </c>
      <c r="Q98" s="2"/>
      <c r="R98" s="6">
        <f t="shared" si="28"/>
        <v>6.7841095594392775E-2</v>
      </c>
      <c r="S98" s="2"/>
      <c r="T98" s="7">
        <v>0</v>
      </c>
      <c r="U98" s="2"/>
      <c r="V98" s="6">
        <f t="shared" si="29"/>
        <v>0</v>
      </c>
      <c r="W98" s="2"/>
      <c r="X98" s="7">
        <f t="shared" si="30"/>
        <v>55743.82</v>
      </c>
      <c r="Y98" s="2"/>
      <c r="Z98" s="6">
        <f t="shared" si="31"/>
        <v>0</v>
      </c>
    </row>
    <row r="99" spans="1:26" s="24" customFormat="1" hidden="1" outlineLevel="2" x14ac:dyDescent="0.25">
      <c r="A99" s="26"/>
      <c r="B99" s="11" t="str">
        <f>CONCATENATE("          ", "6003", " - ", "STAFF HOURLY-9 MONTH")</f>
        <v xml:space="preserve">          6003 - STAFF HOURLY-9 MONTH</v>
      </c>
      <c r="C99" s="11"/>
      <c r="D99" s="7"/>
      <c r="E99" s="2"/>
      <c r="F99" s="6">
        <f t="shared" si="24"/>
        <v>0</v>
      </c>
      <c r="G99" s="2"/>
      <c r="H99" s="7">
        <v>0</v>
      </c>
      <c r="I99" s="2"/>
      <c r="J99" s="6">
        <f t="shared" si="25"/>
        <v>0</v>
      </c>
      <c r="K99" s="2"/>
      <c r="L99" s="7">
        <f t="shared" si="26"/>
        <v>0</v>
      </c>
      <c r="M99" s="2"/>
      <c r="N99" s="6">
        <f t="shared" si="27"/>
        <v>0</v>
      </c>
      <c r="O99" s="11"/>
      <c r="P99" s="7"/>
      <c r="Q99" s="2"/>
      <c r="R99" s="6">
        <f t="shared" si="28"/>
        <v>0</v>
      </c>
      <c r="S99" s="2"/>
      <c r="T99" s="7">
        <v>0</v>
      </c>
      <c r="U99" s="2"/>
      <c r="V99" s="6">
        <f t="shared" si="29"/>
        <v>0</v>
      </c>
      <c r="W99" s="2"/>
      <c r="X99" s="7">
        <f t="shared" si="30"/>
        <v>0</v>
      </c>
      <c r="Y99" s="2"/>
      <c r="Z99" s="6">
        <f t="shared" si="31"/>
        <v>0</v>
      </c>
    </row>
    <row r="100" spans="1:26" s="24" customFormat="1" hidden="1" outlineLevel="2" x14ac:dyDescent="0.25">
      <c r="A100" s="26"/>
      <c r="B100" s="11" t="str">
        <f>CONCATENATE("          ", "6004", " - ", "STAFF HOURLY")</f>
        <v xml:space="preserve">          6004 - STAFF HOURLY</v>
      </c>
      <c r="C100" s="11"/>
      <c r="D100" s="7"/>
      <c r="E100" s="2"/>
      <c r="F100" s="6">
        <f t="shared" si="24"/>
        <v>0</v>
      </c>
      <c r="G100" s="2"/>
      <c r="H100" s="7">
        <v>0</v>
      </c>
      <c r="I100" s="2"/>
      <c r="J100" s="6">
        <f t="shared" si="25"/>
        <v>0</v>
      </c>
      <c r="K100" s="2"/>
      <c r="L100" s="7">
        <f t="shared" si="26"/>
        <v>0</v>
      </c>
      <c r="M100" s="2"/>
      <c r="N100" s="6">
        <f t="shared" si="27"/>
        <v>0</v>
      </c>
      <c r="O100" s="11"/>
      <c r="P100" s="7">
        <v>-48</v>
      </c>
      <c r="Q100" s="2"/>
      <c r="R100" s="6">
        <f t="shared" si="28"/>
        <v>-5.8416746260497636E-5</v>
      </c>
      <c r="S100" s="2"/>
      <c r="T100" s="7">
        <v>0</v>
      </c>
      <c r="U100" s="2"/>
      <c r="V100" s="6">
        <f t="shared" si="29"/>
        <v>0</v>
      </c>
      <c r="W100" s="2"/>
      <c r="X100" s="7">
        <f t="shared" si="30"/>
        <v>-48</v>
      </c>
      <c r="Y100" s="2"/>
      <c r="Z100" s="6">
        <f t="shared" si="31"/>
        <v>0</v>
      </c>
    </row>
    <row r="101" spans="1:26" s="24" customFormat="1" hidden="1" outlineLevel="2" x14ac:dyDescent="0.25">
      <c r="A101" s="26"/>
      <c r="B101" s="11" t="str">
        <f>CONCATENATE("          ", "6005", " - ", "TEMPORARY WAGES-HOURLY")</f>
        <v xml:space="preserve">          6005 - TEMPORARY WAGES-HOURLY</v>
      </c>
      <c r="C101" s="11"/>
      <c r="D101" s="7"/>
      <c r="E101" s="2"/>
      <c r="F101" s="6">
        <f t="shared" si="24"/>
        <v>0</v>
      </c>
      <c r="G101" s="2"/>
      <c r="H101" s="7">
        <v>0</v>
      </c>
      <c r="I101" s="2"/>
      <c r="J101" s="6">
        <f t="shared" si="25"/>
        <v>0</v>
      </c>
      <c r="K101" s="2"/>
      <c r="L101" s="7">
        <f t="shared" si="26"/>
        <v>0</v>
      </c>
      <c r="M101" s="2"/>
      <c r="N101" s="6">
        <f t="shared" si="27"/>
        <v>0</v>
      </c>
      <c r="O101" s="11"/>
      <c r="P101" s="7">
        <v>7121.65</v>
      </c>
      <c r="Q101" s="2"/>
      <c r="R101" s="6">
        <f t="shared" si="28"/>
        <v>8.6671587709598544E-3</v>
      </c>
      <c r="S101" s="2"/>
      <c r="T101" s="7">
        <v>0</v>
      </c>
      <c r="U101" s="2"/>
      <c r="V101" s="6">
        <f t="shared" si="29"/>
        <v>0</v>
      </c>
      <c r="W101" s="2"/>
      <c r="X101" s="7">
        <f t="shared" si="30"/>
        <v>7121.65</v>
      </c>
      <c r="Y101" s="2"/>
      <c r="Z101" s="6">
        <f t="shared" si="31"/>
        <v>0</v>
      </c>
    </row>
    <row r="102" spans="1:26" s="24" customFormat="1" hidden="1" outlineLevel="2" x14ac:dyDescent="0.25">
      <c r="A102" s="26"/>
      <c r="B102" s="11" t="str">
        <f>CONCATENATE("          ", "6006", " - ", "TEMPORARY PART TIME")</f>
        <v xml:space="preserve">          6006 - TEMPORARY PART TIME</v>
      </c>
      <c r="C102" s="11"/>
      <c r="D102" s="7"/>
      <c r="E102" s="2"/>
      <c r="F102" s="6">
        <f t="shared" si="24"/>
        <v>0</v>
      </c>
      <c r="G102" s="2"/>
      <c r="H102" s="7">
        <v>0</v>
      </c>
      <c r="I102" s="2"/>
      <c r="J102" s="6">
        <f t="shared" si="25"/>
        <v>0</v>
      </c>
      <c r="K102" s="2"/>
      <c r="L102" s="7">
        <f t="shared" si="26"/>
        <v>0</v>
      </c>
      <c r="M102" s="2"/>
      <c r="N102" s="6">
        <f t="shared" si="27"/>
        <v>0</v>
      </c>
      <c r="O102" s="11"/>
      <c r="P102" s="7">
        <v>25.5</v>
      </c>
      <c r="Q102" s="2"/>
      <c r="R102" s="6">
        <f t="shared" si="28"/>
        <v>3.103389645088937E-5</v>
      </c>
      <c r="S102" s="2"/>
      <c r="T102" s="7">
        <v>0</v>
      </c>
      <c r="U102" s="2"/>
      <c r="V102" s="6">
        <f t="shared" si="29"/>
        <v>0</v>
      </c>
      <c r="W102" s="2"/>
      <c r="X102" s="7">
        <f t="shared" si="30"/>
        <v>25.5</v>
      </c>
      <c r="Y102" s="2"/>
      <c r="Z102" s="6">
        <f t="shared" si="31"/>
        <v>0</v>
      </c>
    </row>
    <row r="103" spans="1:26" s="24" customFormat="1" hidden="1" outlineLevel="2" x14ac:dyDescent="0.25">
      <c r="A103" s="26"/>
      <c r="B103" s="11" t="str">
        <f>CONCATENATE("          ", "6007", " - ", "STUDENT HOURLY")</f>
        <v xml:space="preserve">          6007 - STUDENT HOURLY</v>
      </c>
      <c r="C103" s="11"/>
      <c r="D103" s="7"/>
      <c r="E103" s="2"/>
      <c r="F103" s="6">
        <f t="shared" si="24"/>
        <v>0</v>
      </c>
      <c r="G103" s="2"/>
      <c r="H103" s="7">
        <v>0</v>
      </c>
      <c r="I103" s="2"/>
      <c r="J103" s="6">
        <f t="shared" si="25"/>
        <v>0</v>
      </c>
      <c r="K103" s="2"/>
      <c r="L103" s="7">
        <f t="shared" si="26"/>
        <v>0</v>
      </c>
      <c r="M103" s="2"/>
      <c r="N103" s="6">
        <f t="shared" si="27"/>
        <v>0</v>
      </c>
      <c r="O103" s="11"/>
      <c r="P103" s="7">
        <v>90182.3</v>
      </c>
      <c r="Q103" s="2"/>
      <c r="R103" s="6">
        <f t="shared" si="28"/>
        <v>0.10975326117266826</v>
      </c>
      <c r="S103" s="2"/>
      <c r="T103" s="7">
        <v>58281.902838000002</v>
      </c>
      <c r="U103" s="2"/>
      <c r="V103" s="6">
        <f t="shared" si="29"/>
        <v>5.5889229053011524E-2</v>
      </c>
      <c r="W103" s="2"/>
      <c r="X103" s="7">
        <f t="shared" si="30"/>
        <v>31900.397162000001</v>
      </c>
      <c r="Y103" s="2"/>
      <c r="Z103" s="6">
        <f t="shared" si="31"/>
        <v>0.54734652797233019</v>
      </c>
    </row>
    <row r="104" spans="1:26" s="24" customFormat="1" hidden="1" outlineLevel="2" x14ac:dyDescent="0.25">
      <c r="A104" s="26"/>
      <c r="B104" s="11" t="str">
        <f>CONCATENATE("          ", "6008", " - ", "STUDENT HOURLY-FICA EXEMPT")</f>
        <v xml:space="preserve">          6008 - STUDENT HOURLY-FICA EXEMPT</v>
      </c>
      <c r="C104" s="11"/>
      <c r="D104" s="7"/>
      <c r="E104" s="2"/>
      <c r="F104" s="6">
        <f t="shared" si="24"/>
        <v>0</v>
      </c>
      <c r="G104" s="2"/>
      <c r="H104" s="7">
        <v>7406.8914660000009</v>
      </c>
      <c r="I104" s="2"/>
      <c r="J104" s="6">
        <f t="shared" si="25"/>
        <v>0.11186461066557928</v>
      </c>
      <c r="K104" s="2"/>
      <c r="L104" s="7">
        <f t="shared" si="26"/>
        <v>-7406.8914660000009</v>
      </c>
      <c r="M104" s="2"/>
      <c r="N104" s="6">
        <f t="shared" si="27"/>
        <v>-1</v>
      </c>
      <c r="O104" s="11"/>
      <c r="P104" s="7"/>
      <c r="Q104" s="2"/>
      <c r="R104" s="6">
        <f t="shared" si="28"/>
        <v>0</v>
      </c>
      <c r="S104" s="2"/>
      <c r="T104" s="7">
        <v>47297.756466000006</v>
      </c>
      <c r="U104" s="2"/>
      <c r="V104" s="6">
        <f t="shared" si="29"/>
        <v>4.5356019898140705E-2</v>
      </c>
      <c r="W104" s="2"/>
      <c r="X104" s="7">
        <f t="shared" si="30"/>
        <v>-47297.756466000006</v>
      </c>
      <c r="Y104" s="2"/>
      <c r="Z104" s="6">
        <f t="shared" si="31"/>
        <v>-1</v>
      </c>
    </row>
    <row r="105" spans="1:26" s="24" customFormat="1" hidden="1" outlineLevel="2" x14ac:dyDescent="0.25">
      <c r="A105" s="26"/>
      <c r="B105" s="11" t="str">
        <f>CONCATENATE("          ", "6009", " - ", "TEMPORARY-SEASONAL")</f>
        <v xml:space="preserve">          6009 - TEMPORARY-SEASONAL</v>
      </c>
      <c r="C105" s="11"/>
      <c r="D105" s="7"/>
      <c r="E105" s="2"/>
      <c r="F105" s="6">
        <f t="shared" si="24"/>
        <v>0</v>
      </c>
      <c r="G105" s="2"/>
      <c r="H105" s="7">
        <v>0</v>
      </c>
      <c r="I105" s="2"/>
      <c r="J105" s="6">
        <f t="shared" si="25"/>
        <v>0</v>
      </c>
      <c r="K105" s="2"/>
      <c r="L105" s="7">
        <f t="shared" si="26"/>
        <v>0</v>
      </c>
      <c r="M105" s="2"/>
      <c r="N105" s="6">
        <f t="shared" si="27"/>
        <v>0</v>
      </c>
      <c r="O105" s="11"/>
      <c r="P105" s="7"/>
      <c r="Q105" s="2"/>
      <c r="R105" s="6">
        <f t="shared" si="28"/>
        <v>0</v>
      </c>
      <c r="S105" s="2"/>
      <c r="T105" s="7">
        <v>0</v>
      </c>
      <c r="U105" s="2"/>
      <c r="V105" s="6">
        <f t="shared" si="29"/>
        <v>0</v>
      </c>
      <c r="W105" s="2"/>
      <c r="X105" s="7">
        <f t="shared" si="30"/>
        <v>0</v>
      </c>
      <c r="Y105" s="2"/>
      <c r="Z105" s="6">
        <f t="shared" si="31"/>
        <v>0</v>
      </c>
    </row>
    <row r="106" spans="1:26" s="24" customFormat="1" hidden="1" outlineLevel="2" x14ac:dyDescent="0.25">
      <c r="A106" s="26"/>
      <c r="B106" s="11" t="str">
        <f>CONCATENATE("          ", "6010", " - ", "GRATUITY")</f>
        <v xml:space="preserve">          6010 - GRATUITY</v>
      </c>
      <c r="C106" s="11"/>
      <c r="D106" s="7"/>
      <c r="E106" s="2"/>
      <c r="F106" s="6">
        <f t="shared" si="24"/>
        <v>0</v>
      </c>
      <c r="G106" s="2"/>
      <c r="H106" s="7">
        <v>0</v>
      </c>
      <c r="I106" s="2"/>
      <c r="J106" s="6">
        <f t="shared" si="25"/>
        <v>0</v>
      </c>
      <c r="K106" s="2"/>
      <c r="L106" s="7">
        <f t="shared" si="26"/>
        <v>0</v>
      </c>
      <c r="M106" s="2"/>
      <c r="N106" s="6">
        <f t="shared" si="27"/>
        <v>0</v>
      </c>
      <c r="O106" s="11"/>
      <c r="P106" s="7"/>
      <c r="Q106" s="2"/>
      <c r="R106" s="6">
        <f t="shared" si="28"/>
        <v>0</v>
      </c>
      <c r="S106" s="2"/>
      <c r="T106" s="7">
        <v>0</v>
      </c>
      <c r="U106" s="2"/>
      <c r="V106" s="6">
        <f t="shared" si="29"/>
        <v>0</v>
      </c>
      <c r="W106" s="2"/>
      <c r="X106" s="7">
        <f t="shared" si="30"/>
        <v>0</v>
      </c>
      <c r="Y106" s="2"/>
      <c r="Z106" s="6">
        <f t="shared" si="31"/>
        <v>0</v>
      </c>
    </row>
    <row r="107" spans="1:26" s="27" customFormat="1" outlineLevel="1" collapsed="1" x14ac:dyDescent="0.25">
      <c r="A107" s="25"/>
      <c r="B107" s="12" t="str">
        <f>CONCATENATE("     ","Advertising/Promo                                 ")</f>
        <v xml:space="preserve">     Advertising/Promo                                 </v>
      </c>
      <c r="C107" s="12"/>
      <c r="D107" s="1">
        <f>SUM(OSRRefD22_2x_0)</f>
        <v>0</v>
      </c>
      <c r="E107" s="1"/>
      <c r="F107" s="5">
        <f t="shared" ref="F107:F113" si="32">IF(D$12=0,0,D107/D$12)</f>
        <v>0</v>
      </c>
      <c r="G107" s="1"/>
      <c r="H107" s="1">
        <f>SUM(OSRRefH22_2x_0)</f>
        <v>120</v>
      </c>
      <c r="I107" s="1"/>
      <c r="J107" s="5">
        <f t="shared" ref="J107:J113" si="33">IF(H$12=0,0,H107/H$12)</f>
        <v>1.8123329255584251E-3</v>
      </c>
      <c r="K107" s="1"/>
      <c r="L107" s="1">
        <f t="shared" ref="L107:L113" si="34">+D107-H107</f>
        <v>-120</v>
      </c>
      <c r="M107" s="1"/>
      <c r="N107" s="5">
        <f t="shared" ref="N107:N113" si="35">IF(H107=0,0,L107/H107)</f>
        <v>-1</v>
      </c>
      <c r="O107" s="12"/>
      <c r="P107" s="1">
        <f>SUM(OSRRefP22_2x_0)</f>
        <v>2145.38</v>
      </c>
      <c r="Q107" s="1"/>
      <c r="R107" s="5">
        <f t="shared" ref="R107:R113" si="36">IF(P$12=0,0,P107/P$12)</f>
        <v>2.6109608144238841E-3</v>
      </c>
      <c r="S107" s="1"/>
      <c r="T107" s="1">
        <f>SUM(OSRRefT22_2x_0)</f>
        <v>1320</v>
      </c>
      <c r="U107" s="1"/>
      <c r="V107" s="5">
        <f t="shared" ref="V107:V113" si="37">IF(T$12=0,0,T107/T$12)</f>
        <v>1.2658094323899536E-3</v>
      </c>
      <c r="W107" s="1"/>
      <c r="X107" s="1">
        <f t="shared" ref="X107:X113" si="38">+P107-T107</f>
        <v>825.38000000000011</v>
      </c>
      <c r="Y107" s="1"/>
      <c r="Z107" s="5">
        <f t="shared" ref="Z107:Z113" si="39">IF(T107=0,0,X107/T107)</f>
        <v>0.62528787878787884</v>
      </c>
    </row>
    <row r="108" spans="1:26" s="24" customFormat="1" hidden="1" outlineLevel="2" x14ac:dyDescent="0.25">
      <c r="A108" s="26"/>
      <c r="B108" s="11" t="str">
        <f>CONCATENATE("          ", "6362", " - ", "ADVERTISING EXPENSE")</f>
        <v xml:space="preserve">          6362 - ADVERTISING EXPENSE</v>
      </c>
      <c r="C108" s="11"/>
      <c r="D108" s="7"/>
      <c r="E108" s="2"/>
      <c r="F108" s="6">
        <f t="shared" si="32"/>
        <v>0</v>
      </c>
      <c r="G108" s="2"/>
      <c r="H108" s="7">
        <v>120</v>
      </c>
      <c r="I108" s="2"/>
      <c r="J108" s="6">
        <f t="shared" si="33"/>
        <v>1.8123329255584251E-3</v>
      </c>
      <c r="K108" s="2"/>
      <c r="L108" s="7">
        <f t="shared" si="34"/>
        <v>-120</v>
      </c>
      <c r="M108" s="2"/>
      <c r="N108" s="6">
        <f t="shared" si="35"/>
        <v>-1</v>
      </c>
      <c r="O108" s="11"/>
      <c r="P108" s="7">
        <v>2145.38</v>
      </c>
      <c r="Q108" s="2"/>
      <c r="R108" s="6">
        <f t="shared" si="36"/>
        <v>2.6109608144238841E-3</v>
      </c>
      <c r="S108" s="2"/>
      <c r="T108" s="7">
        <v>1320</v>
      </c>
      <c r="U108" s="2"/>
      <c r="V108" s="6">
        <f t="shared" si="37"/>
        <v>1.2658094323899536E-3</v>
      </c>
      <c r="W108" s="2"/>
      <c r="X108" s="7">
        <f t="shared" si="38"/>
        <v>825.38000000000011</v>
      </c>
      <c r="Y108" s="2"/>
      <c r="Z108" s="6">
        <f t="shared" si="39"/>
        <v>0.62528787878787884</v>
      </c>
    </row>
    <row r="109" spans="1:26" s="27" customFormat="1" outlineLevel="1" collapsed="1" x14ac:dyDescent="0.25">
      <c r="A109" s="25"/>
      <c r="B109" s="12" t="str">
        <f>CONCATENATE("     ","Bad Debts/Over/Short                              ")</f>
        <v xml:space="preserve">     Bad Debts/Over/Short                              </v>
      </c>
      <c r="C109" s="12"/>
      <c r="D109" s="1">
        <f>SUM(OSRRefD22_3x_0)</f>
        <v>0</v>
      </c>
      <c r="E109" s="1"/>
      <c r="F109" s="5">
        <f t="shared" si="32"/>
        <v>0</v>
      </c>
      <c r="G109" s="1"/>
      <c r="H109" s="1">
        <f>SUM(OSRRefH22_3x_0)</f>
        <v>0</v>
      </c>
      <c r="I109" s="1"/>
      <c r="J109" s="5">
        <f t="shared" si="33"/>
        <v>0</v>
      </c>
      <c r="K109" s="1"/>
      <c r="L109" s="1">
        <f t="shared" si="34"/>
        <v>0</v>
      </c>
      <c r="M109" s="1"/>
      <c r="N109" s="5">
        <f t="shared" si="35"/>
        <v>0</v>
      </c>
      <c r="O109" s="12"/>
      <c r="P109" s="1">
        <f>SUM(OSRRefP22_3x_0)</f>
        <v>-55.84</v>
      </c>
      <c r="Q109" s="1"/>
      <c r="R109" s="5">
        <f t="shared" si="36"/>
        <v>-6.7958148149712254E-5</v>
      </c>
      <c r="S109" s="1"/>
      <c r="T109" s="1">
        <f>SUM(OSRRefT22_3x_0)</f>
        <v>0</v>
      </c>
      <c r="U109" s="1"/>
      <c r="V109" s="5">
        <f t="shared" si="37"/>
        <v>0</v>
      </c>
      <c r="W109" s="1"/>
      <c r="X109" s="1">
        <f t="shared" si="38"/>
        <v>-55.84</v>
      </c>
      <c r="Y109" s="1"/>
      <c r="Z109" s="5">
        <f t="shared" si="39"/>
        <v>0</v>
      </c>
    </row>
    <row r="110" spans="1:26" s="24" customFormat="1" hidden="1" outlineLevel="2" x14ac:dyDescent="0.25">
      <c r="A110" s="26"/>
      <c r="B110" s="11" t="str">
        <f>CONCATENATE("          ", "6272", " - ", "CASH (OVER/SHORT)")</f>
        <v xml:space="preserve">          6272 - CASH (OVER/SHORT)</v>
      </c>
      <c r="C110" s="11"/>
      <c r="D110" s="7"/>
      <c r="E110" s="2"/>
      <c r="F110" s="6">
        <f t="shared" si="32"/>
        <v>0</v>
      </c>
      <c r="G110" s="2"/>
      <c r="H110" s="7"/>
      <c r="I110" s="2"/>
      <c r="J110" s="6">
        <f t="shared" si="33"/>
        <v>0</v>
      </c>
      <c r="K110" s="2"/>
      <c r="L110" s="7">
        <f t="shared" si="34"/>
        <v>0</v>
      </c>
      <c r="M110" s="2"/>
      <c r="N110" s="6">
        <f t="shared" si="35"/>
        <v>0</v>
      </c>
      <c r="O110" s="11"/>
      <c r="P110" s="7">
        <v>-55.84</v>
      </c>
      <c r="Q110" s="2"/>
      <c r="R110" s="6">
        <f t="shared" si="36"/>
        <v>-6.7958148149712254E-5</v>
      </c>
      <c r="S110" s="2"/>
      <c r="T110" s="7"/>
      <c r="U110" s="2"/>
      <c r="V110" s="6">
        <f t="shared" si="37"/>
        <v>0</v>
      </c>
      <c r="W110" s="2"/>
      <c r="X110" s="7">
        <f t="shared" si="38"/>
        <v>-55.84</v>
      </c>
      <c r="Y110" s="2"/>
      <c r="Z110" s="6">
        <f t="shared" si="39"/>
        <v>0</v>
      </c>
    </row>
    <row r="111" spans="1:26" s="27" customFormat="1" outlineLevel="1" collapsed="1" x14ac:dyDescent="0.25">
      <c r="A111" s="25"/>
      <c r="B111" s="12" t="str">
        <f>CONCATENATE("     ","Discounts and Markdowns                           ")</f>
        <v xml:space="preserve">     Discounts and Markdowns                           </v>
      </c>
      <c r="C111" s="12"/>
      <c r="D111" s="1">
        <f>SUM(OSRRefD22_4x_0)</f>
        <v>1720.37</v>
      </c>
      <c r="E111" s="1"/>
      <c r="F111" s="5">
        <f t="shared" si="32"/>
        <v>0.24639262814315763</v>
      </c>
      <c r="G111" s="1"/>
      <c r="H111" s="1">
        <f>SUM(OSRRefH22_4x_0)</f>
        <v>2500</v>
      </c>
      <c r="I111" s="1"/>
      <c r="J111" s="5">
        <f t="shared" si="33"/>
        <v>3.7756935949133853E-2</v>
      </c>
      <c r="K111" s="1"/>
      <c r="L111" s="1">
        <f t="shared" si="34"/>
        <v>-779.63000000000011</v>
      </c>
      <c r="M111" s="1"/>
      <c r="N111" s="5">
        <f t="shared" si="35"/>
        <v>-0.31185200000000002</v>
      </c>
      <c r="O111" s="12"/>
      <c r="P111" s="1">
        <f>SUM(OSRRefP22_4x_0)</f>
        <v>20863.030000000002</v>
      </c>
      <c r="Q111" s="1"/>
      <c r="R111" s="5">
        <f t="shared" si="36"/>
        <v>2.5390631869482296E-2</v>
      </c>
      <c r="S111" s="1"/>
      <c r="T111" s="1">
        <f>SUM(OSRRefT22_4x_0)</f>
        <v>27500</v>
      </c>
      <c r="U111" s="1"/>
      <c r="V111" s="5">
        <f t="shared" si="37"/>
        <v>2.637102984145737E-2</v>
      </c>
      <c r="W111" s="1"/>
      <c r="X111" s="1">
        <f t="shared" si="38"/>
        <v>-6636.9699999999975</v>
      </c>
      <c r="Y111" s="1"/>
      <c r="Z111" s="5">
        <f t="shared" si="39"/>
        <v>-0.24134436363636355</v>
      </c>
    </row>
    <row r="112" spans="1:26" s="24" customFormat="1" hidden="1" outlineLevel="2" x14ac:dyDescent="0.25">
      <c r="A112" s="26"/>
      <c r="B112" s="11" t="str">
        <f>CONCATENATE("          ", "6382", " - ", "DISCOUNTS/MARK DOWNS")</f>
        <v xml:space="preserve">          6382 - DISCOUNTS/MARK DOWNS</v>
      </c>
      <c r="C112" s="11"/>
      <c r="D112" s="7">
        <v>1720.37</v>
      </c>
      <c r="E112" s="2"/>
      <c r="F112" s="6">
        <f t="shared" si="32"/>
        <v>0.24639262814315763</v>
      </c>
      <c r="G112" s="2"/>
      <c r="H112" s="7">
        <v>2500</v>
      </c>
      <c r="I112" s="2"/>
      <c r="J112" s="6">
        <f t="shared" si="33"/>
        <v>3.7756935949133853E-2</v>
      </c>
      <c r="K112" s="2"/>
      <c r="L112" s="7">
        <f t="shared" si="34"/>
        <v>-779.63000000000011</v>
      </c>
      <c r="M112" s="2"/>
      <c r="N112" s="6">
        <f t="shared" si="35"/>
        <v>-0.31185200000000002</v>
      </c>
      <c r="O112" s="11"/>
      <c r="P112" s="7">
        <v>20863.030000000002</v>
      </c>
      <c r="Q112" s="2"/>
      <c r="R112" s="6">
        <f t="shared" si="36"/>
        <v>2.5390631869482296E-2</v>
      </c>
      <c r="S112" s="2"/>
      <c r="T112" s="7">
        <v>27500</v>
      </c>
      <c r="U112" s="2"/>
      <c r="V112" s="6">
        <f t="shared" si="37"/>
        <v>2.637102984145737E-2</v>
      </c>
      <c r="W112" s="2"/>
      <c r="X112" s="7">
        <f t="shared" si="38"/>
        <v>-6636.9699999999975</v>
      </c>
      <c r="Y112" s="2"/>
      <c r="Z112" s="6">
        <f t="shared" si="39"/>
        <v>-0.24134436363636355</v>
      </c>
    </row>
    <row r="113" spans="1:26" s="24" customFormat="1" hidden="1" outlineLevel="2" x14ac:dyDescent="0.25">
      <c r="A113" s="26"/>
      <c r="B113" s="11" t="str">
        <f>CONCATENATE("          ", "9175", " - ", "EARNED DISCOUNTS")</f>
        <v xml:space="preserve">          9175 - EARNED DISCOUNTS</v>
      </c>
      <c r="C113" s="11"/>
      <c r="D113" s="7"/>
      <c r="E113" s="2"/>
      <c r="F113" s="6">
        <f t="shared" si="32"/>
        <v>0</v>
      </c>
      <c r="G113" s="2"/>
      <c r="H113" s="7"/>
      <c r="I113" s="2"/>
      <c r="J113" s="6">
        <f t="shared" si="33"/>
        <v>0</v>
      </c>
      <c r="K113" s="2"/>
      <c r="L113" s="7">
        <f t="shared" si="34"/>
        <v>0</v>
      </c>
      <c r="M113" s="2"/>
      <c r="N113" s="6">
        <f t="shared" si="35"/>
        <v>0</v>
      </c>
      <c r="O113" s="11"/>
      <c r="P113" s="7">
        <v>0</v>
      </c>
      <c r="Q113" s="2"/>
      <c r="R113" s="6">
        <f t="shared" si="36"/>
        <v>0</v>
      </c>
      <c r="S113" s="2"/>
      <c r="T113" s="7"/>
      <c r="U113" s="2"/>
      <c r="V113" s="6">
        <f t="shared" si="37"/>
        <v>0</v>
      </c>
      <c r="W113" s="2"/>
      <c r="X113" s="7">
        <f t="shared" si="38"/>
        <v>0</v>
      </c>
      <c r="Y113" s="2"/>
      <c r="Z113" s="6">
        <f t="shared" si="39"/>
        <v>0</v>
      </c>
    </row>
    <row r="114" spans="1:26" s="27" customFormat="1" outlineLevel="1" collapsed="1" x14ac:dyDescent="0.25">
      <c r="A114" s="25"/>
      <c r="B114" s="12" t="str">
        <f>CONCATENATE("     ","Employees' Appreciation                           ")</f>
        <v xml:space="preserve">     Employees' Appreciation                           </v>
      </c>
      <c r="C114" s="12"/>
      <c r="D114" s="1">
        <f>SUM(OSRRefD22_5x_0)</f>
        <v>0</v>
      </c>
      <c r="E114" s="1"/>
      <c r="F114" s="5">
        <f t="shared" ref="F114:F124" si="40">IF(D$12=0,0,D114/D$12)</f>
        <v>0</v>
      </c>
      <c r="G114" s="1"/>
      <c r="H114" s="1">
        <f>SUM(OSRRefH22_5x_0)</f>
        <v>50</v>
      </c>
      <c r="I114" s="1"/>
      <c r="J114" s="5">
        <f t="shared" ref="J114:J124" si="41">IF(H$12=0,0,H114/H$12)</f>
        <v>7.5513871898267714E-4</v>
      </c>
      <c r="K114" s="1"/>
      <c r="L114" s="1">
        <f t="shared" ref="L114:L124" si="42">+D114-H114</f>
        <v>-50</v>
      </c>
      <c r="M114" s="1"/>
      <c r="N114" s="5">
        <f t="shared" ref="N114:N124" si="43">IF(H114=0,0,L114/H114)</f>
        <v>-1</v>
      </c>
      <c r="O114" s="12"/>
      <c r="P114" s="1">
        <f>SUM(OSRRefP22_5x_0)</f>
        <v>0</v>
      </c>
      <c r="Q114" s="1"/>
      <c r="R114" s="5">
        <f t="shared" ref="R114:R124" si="44">IF(P$12=0,0,P114/P$12)</f>
        <v>0</v>
      </c>
      <c r="S114" s="1"/>
      <c r="T114" s="1">
        <f>SUM(OSRRefT22_5x_0)</f>
        <v>550</v>
      </c>
      <c r="U114" s="1"/>
      <c r="V114" s="5">
        <f t="shared" ref="V114:V124" si="45">IF(T$12=0,0,T114/T$12)</f>
        <v>5.2742059682914743E-4</v>
      </c>
      <c r="W114" s="1"/>
      <c r="X114" s="1">
        <f t="shared" ref="X114:X124" si="46">+P114-T114</f>
        <v>-550</v>
      </c>
      <c r="Y114" s="1"/>
      <c r="Z114" s="5">
        <f t="shared" ref="Z114:Z124" si="47">IF(T114=0,0,X114/T114)</f>
        <v>-1</v>
      </c>
    </row>
    <row r="115" spans="1:26" s="24" customFormat="1" hidden="1" outlineLevel="2" x14ac:dyDescent="0.25">
      <c r="A115" s="26"/>
      <c r="B115" s="11" t="str">
        <f>CONCATENATE("          ", "6277", " - ", "EMPLOYEE APPRECIATION")</f>
        <v xml:space="preserve">          6277 - EMPLOYEE APPRECIATION</v>
      </c>
      <c r="C115" s="11"/>
      <c r="D115" s="7"/>
      <c r="E115" s="2"/>
      <c r="F115" s="6">
        <f t="shared" si="40"/>
        <v>0</v>
      </c>
      <c r="G115" s="2"/>
      <c r="H115" s="7">
        <v>50</v>
      </c>
      <c r="I115" s="2"/>
      <c r="J115" s="6">
        <f t="shared" si="41"/>
        <v>7.5513871898267714E-4</v>
      </c>
      <c r="K115" s="2"/>
      <c r="L115" s="7">
        <f t="shared" si="42"/>
        <v>-50</v>
      </c>
      <c r="M115" s="2"/>
      <c r="N115" s="6">
        <f t="shared" si="43"/>
        <v>-1</v>
      </c>
      <c r="O115" s="11"/>
      <c r="P115" s="7"/>
      <c r="Q115" s="2"/>
      <c r="R115" s="6">
        <f t="shared" si="44"/>
        <v>0</v>
      </c>
      <c r="S115" s="2"/>
      <c r="T115" s="7">
        <v>550</v>
      </c>
      <c r="U115" s="2"/>
      <c r="V115" s="6">
        <f t="shared" si="45"/>
        <v>5.2742059682914743E-4</v>
      </c>
      <c r="W115" s="2"/>
      <c r="X115" s="7">
        <f t="shared" si="46"/>
        <v>-550</v>
      </c>
      <c r="Y115" s="2"/>
      <c r="Z115" s="6">
        <f t="shared" si="47"/>
        <v>-1</v>
      </c>
    </row>
    <row r="116" spans="1:26" s="27" customFormat="1" outlineLevel="1" collapsed="1" x14ac:dyDescent="0.25">
      <c r="A116" s="25"/>
      <c r="B116" s="12" t="str">
        <f>CONCATENATE("     ","Freight out/Postage                               ")</f>
        <v xml:space="preserve">     Freight out/Postage                               </v>
      </c>
      <c r="C116" s="12"/>
      <c r="D116" s="1">
        <f>SUM(OSRRefD22_6x_0)</f>
        <v>0</v>
      </c>
      <c r="E116" s="1"/>
      <c r="F116" s="5">
        <f t="shared" si="40"/>
        <v>0</v>
      </c>
      <c r="G116" s="1"/>
      <c r="H116" s="1">
        <f>SUM(OSRRefH22_6x_0)</f>
        <v>0</v>
      </c>
      <c r="I116" s="1"/>
      <c r="J116" s="5">
        <f t="shared" si="41"/>
        <v>0</v>
      </c>
      <c r="K116" s="1"/>
      <c r="L116" s="1">
        <f t="shared" si="42"/>
        <v>0</v>
      </c>
      <c r="M116" s="1"/>
      <c r="N116" s="5">
        <f t="shared" si="43"/>
        <v>0</v>
      </c>
      <c r="O116" s="12"/>
      <c r="P116" s="1">
        <f>SUM(OSRRefP22_6x_0)</f>
        <v>15.81</v>
      </c>
      <c r="Q116" s="1"/>
      <c r="R116" s="5">
        <f t="shared" si="44"/>
        <v>1.9241015799551409E-5</v>
      </c>
      <c r="S116" s="1"/>
      <c r="T116" s="1">
        <f>SUM(OSRRefT22_6x_0)</f>
        <v>0</v>
      </c>
      <c r="U116" s="1"/>
      <c r="V116" s="5">
        <f t="shared" si="45"/>
        <v>0</v>
      </c>
      <c r="W116" s="1"/>
      <c r="X116" s="1">
        <f t="shared" si="46"/>
        <v>15.81</v>
      </c>
      <c r="Y116" s="1"/>
      <c r="Z116" s="5">
        <f t="shared" si="47"/>
        <v>0</v>
      </c>
    </row>
    <row r="117" spans="1:26" s="24" customFormat="1" hidden="1" outlineLevel="2" x14ac:dyDescent="0.25">
      <c r="A117" s="26"/>
      <c r="B117" s="11" t="str">
        <f>CONCATENATE("          ", "6305", " - ", "FREIGHT OUT")</f>
        <v xml:space="preserve">          6305 - FREIGHT OUT</v>
      </c>
      <c r="C117" s="11"/>
      <c r="D117" s="7"/>
      <c r="E117" s="2"/>
      <c r="F117" s="6">
        <f t="shared" si="40"/>
        <v>0</v>
      </c>
      <c r="G117" s="2"/>
      <c r="H117" s="7"/>
      <c r="I117" s="2"/>
      <c r="J117" s="6">
        <f t="shared" si="41"/>
        <v>0</v>
      </c>
      <c r="K117" s="2"/>
      <c r="L117" s="7">
        <f t="shared" si="42"/>
        <v>0</v>
      </c>
      <c r="M117" s="2"/>
      <c r="N117" s="6">
        <f t="shared" si="43"/>
        <v>0</v>
      </c>
      <c r="O117" s="11"/>
      <c r="P117" s="7">
        <v>15.81</v>
      </c>
      <c r="Q117" s="2"/>
      <c r="R117" s="6">
        <f t="shared" si="44"/>
        <v>1.9241015799551409E-5</v>
      </c>
      <c r="S117" s="2"/>
      <c r="T117" s="7"/>
      <c r="U117" s="2"/>
      <c r="V117" s="6">
        <f t="shared" si="45"/>
        <v>0</v>
      </c>
      <c r="W117" s="2"/>
      <c r="X117" s="7">
        <f t="shared" si="46"/>
        <v>15.81</v>
      </c>
      <c r="Y117" s="2"/>
      <c r="Z117" s="6">
        <f t="shared" si="47"/>
        <v>0</v>
      </c>
    </row>
    <row r="118" spans="1:26" s="27" customFormat="1" outlineLevel="1" collapsed="1" x14ac:dyDescent="0.25">
      <c r="A118" s="25"/>
      <c r="B118" s="12" t="str">
        <f>CONCATENATE("     ","General                                           ")</f>
        <v xml:space="preserve">     General                                           </v>
      </c>
      <c r="C118" s="12"/>
      <c r="D118" s="1">
        <f>SUM(OSRRefD22_7x_0)</f>
        <v>0</v>
      </c>
      <c r="E118" s="1"/>
      <c r="F118" s="5">
        <f t="shared" si="40"/>
        <v>0</v>
      </c>
      <c r="G118" s="1"/>
      <c r="H118" s="1">
        <f>SUM(OSRRefH22_7x_0)</f>
        <v>80</v>
      </c>
      <c r="I118" s="1"/>
      <c r="J118" s="5">
        <f t="shared" si="41"/>
        <v>1.2082219503722835E-3</v>
      </c>
      <c r="K118" s="1"/>
      <c r="L118" s="1">
        <f t="shared" si="42"/>
        <v>-80</v>
      </c>
      <c r="M118" s="1"/>
      <c r="N118" s="5">
        <f t="shared" si="43"/>
        <v>-1</v>
      </c>
      <c r="O118" s="12"/>
      <c r="P118" s="1">
        <f>SUM(OSRRefP22_7x_0)</f>
        <v>954.05</v>
      </c>
      <c r="Q118" s="1"/>
      <c r="R118" s="5">
        <f t="shared" si="44"/>
        <v>1.1610936827047451E-3</v>
      </c>
      <c r="S118" s="1"/>
      <c r="T118" s="1">
        <f>SUM(OSRRefT22_7x_0)</f>
        <v>880</v>
      </c>
      <c r="U118" s="1"/>
      <c r="V118" s="5">
        <f t="shared" si="45"/>
        <v>8.4387295492663577E-4</v>
      </c>
      <c r="W118" s="1"/>
      <c r="X118" s="1">
        <f t="shared" si="46"/>
        <v>74.049999999999955</v>
      </c>
      <c r="Y118" s="1"/>
      <c r="Z118" s="5">
        <f t="shared" si="47"/>
        <v>8.4147727272727221E-2</v>
      </c>
    </row>
    <row r="119" spans="1:26" s="24" customFormat="1" hidden="1" outlineLevel="2" x14ac:dyDescent="0.25">
      <c r="A119" s="26"/>
      <c r="B119" s="11" t="str">
        <f>CONCATENATE("          ", "6279", " - ", "GENERAL EXPENSE")</f>
        <v xml:space="preserve">          6279 - GENERAL EXPENSE</v>
      </c>
      <c r="C119" s="11"/>
      <c r="D119" s="7"/>
      <c r="E119" s="2"/>
      <c r="F119" s="6">
        <f t="shared" si="40"/>
        <v>0</v>
      </c>
      <c r="G119" s="2"/>
      <c r="H119" s="7">
        <v>80</v>
      </c>
      <c r="I119" s="2"/>
      <c r="J119" s="6">
        <f t="shared" si="41"/>
        <v>1.2082219503722835E-3</v>
      </c>
      <c r="K119" s="2"/>
      <c r="L119" s="7">
        <f t="shared" si="42"/>
        <v>-80</v>
      </c>
      <c r="M119" s="2"/>
      <c r="N119" s="6">
        <f t="shared" si="43"/>
        <v>-1</v>
      </c>
      <c r="O119" s="11"/>
      <c r="P119" s="7">
        <v>954.05</v>
      </c>
      <c r="Q119" s="2"/>
      <c r="R119" s="6">
        <f t="shared" si="44"/>
        <v>1.1610936827047451E-3</v>
      </c>
      <c r="S119" s="2"/>
      <c r="T119" s="7">
        <v>880</v>
      </c>
      <c r="U119" s="2"/>
      <c r="V119" s="6">
        <f t="shared" si="45"/>
        <v>8.4387295492663577E-4</v>
      </c>
      <c r="W119" s="2"/>
      <c r="X119" s="7">
        <f t="shared" si="46"/>
        <v>74.049999999999955</v>
      </c>
      <c r="Y119" s="2"/>
      <c r="Z119" s="6">
        <f t="shared" si="47"/>
        <v>8.4147727272727221E-2</v>
      </c>
    </row>
    <row r="120" spans="1:26" s="27" customFormat="1" outlineLevel="1" collapsed="1" x14ac:dyDescent="0.25">
      <c r="A120" s="25"/>
      <c r="B120" s="12" t="str">
        <f>CONCATENATE("     ","Professional Services                             ")</f>
        <v xml:space="preserve">     Professional Services                             </v>
      </c>
      <c r="C120" s="12"/>
      <c r="D120" s="1">
        <f>SUM(OSRRefD22_8x_0)</f>
        <v>0</v>
      </c>
      <c r="E120" s="1"/>
      <c r="F120" s="5">
        <f t="shared" si="40"/>
        <v>0</v>
      </c>
      <c r="G120" s="1"/>
      <c r="H120" s="1">
        <f>SUM(OSRRefH22_8x_0)</f>
        <v>115</v>
      </c>
      <c r="I120" s="1"/>
      <c r="J120" s="5">
        <f t="shared" si="41"/>
        <v>1.7368190536601574E-3</v>
      </c>
      <c r="K120" s="1"/>
      <c r="L120" s="1">
        <f t="shared" si="42"/>
        <v>-115</v>
      </c>
      <c r="M120" s="1"/>
      <c r="N120" s="5">
        <f t="shared" si="43"/>
        <v>-1</v>
      </c>
      <c r="O120" s="12"/>
      <c r="P120" s="1">
        <f>SUM(OSRRefP22_8x_0)</f>
        <v>791.15</v>
      </c>
      <c r="Q120" s="1"/>
      <c r="R120" s="5">
        <f t="shared" si="44"/>
        <v>9.6284185008318134E-4</v>
      </c>
      <c r="S120" s="1"/>
      <c r="T120" s="1">
        <f>SUM(OSRRefT22_8x_0)</f>
        <v>1265</v>
      </c>
      <c r="U120" s="1"/>
      <c r="V120" s="5">
        <f t="shared" si="45"/>
        <v>1.213067372707039E-3</v>
      </c>
      <c r="W120" s="1"/>
      <c r="X120" s="1">
        <f t="shared" si="46"/>
        <v>-473.85</v>
      </c>
      <c r="Y120" s="1"/>
      <c r="Z120" s="5">
        <f t="shared" si="47"/>
        <v>-0.37458498023715414</v>
      </c>
    </row>
    <row r="121" spans="1:26" s="24" customFormat="1" hidden="1" outlineLevel="2" x14ac:dyDescent="0.25">
      <c r="A121" s="26"/>
      <c r="B121" s="11" t="str">
        <f>CONCATENATE("          ", "6336", " - ", "PROFESSIONAL SERVICES")</f>
        <v xml:space="preserve">          6336 - PROFESSIONAL SERVICES</v>
      </c>
      <c r="C121" s="11"/>
      <c r="D121" s="7"/>
      <c r="E121" s="2"/>
      <c r="F121" s="6">
        <f t="shared" si="40"/>
        <v>0</v>
      </c>
      <c r="G121" s="2"/>
      <c r="H121" s="7">
        <v>115</v>
      </c>
      <c r="I121" s="2"/>
      <c r="J121" s="6">
        <f t="shared" si="41"/>
        <v>1.7368190536601574E-3</v>
      </c>
      <c r="K121" s="2"/>
      <c r="L121" s="7">
        <f t="shared" si="42"/>
        <v>-115</v>
      </c>
      <c r="M121" s="2"/>
      <c r="N121" s="6">
        <f t="shared" si="43"/>
        <v>-1</v>
      </c>
      <c r="O121" s="11"/>
      <c r="P121" s="7">
        <v>791.15</v>
      </c>
      <c r="Q121" s="2"/>
      <c r="R121" s="6">
        <f t="shared" si="44"/>
        <v>9.6284185008318134E-4</v>
      </c>
      <c r="S121" s="2"/>
      <c r="T121" s="7">
        <v>1265</v>
      </c>
      <c r="U121" s="2"/>
      <c r="V121" s="6">
        <f t="shared" si="45"/>
        <v>1.213067372707039E-3</v>
      </c>
      <c r="W121" s="2"/>
      <c r="X121" s="7">
        <f t="shared" si="46"/>
        <v>-473.85</v>
      </c>
      <c r="Y121" s="2"/>
      <c r="Z121" s="6">
        <f t="shared" si="47"/>
        <v>-0.37458498023715414</v>
      </c>
    </row>
    <row r="122" spans="1:26" s="27" customFormat="1" outlineLevel="1" collapsed="1" x14ac:dyDescent="0.25">
      <c r="A122" s="25"/>
      <c r="B122" s="12" t="str">
        <f>CONCATENATE("     ","Repair and Maintenance                            ")</f>
        <v xml:space="preserve">     Repair and Maintenance                            </v>
      </c>
      <c r="C122" s="12"/>
      <c r="D122" s="1">
        <f>SUM(OSRRefD22_9x_0)</f>
        <v>0</v>
      </c>
      <c r="E122" s="1"/>
      <c r="F122" s="5">
        <f t="shared" si="40"/>
        <v>0</v>
      </c>
      <c r="G122" s="1"/>
      <c r="H122" s="1">
        <f>SUM(OSRRefH22_9x_0)</f>
        <v>125</v>
      </c>
      <c r="I122" s="1"/>
      <c r="J122" s="5">
        <f t="shared" si="41"/>
        <v>1.8878467974566928E-3</v>
      </c>
      <c r="K122" s="1"/>
      <c r="L122" s="1">
        <f t="shared" si="42"/>
        <v>-125</v>
      </c>
      <c r="M122" s="1"/>
      <c r="N122" s="5">
        <f t="shared" si="43"/>
        <v>-1</v>
      </c>
      <c r="O122" s="12"/>
      <c r="P122" s="1">
        <f>SUM(OSRRefP22_9x_0)</f>
        <v>190.64000000000001</v>
      </c>
      <c r="Q122" s="1"/>
      <c r="R122" s="5">
        <f t="shared" si="44"/>
        <v>2.3201184389794313E-4</v>
      </c>
      <c r="S122" s="1"/>
      <c r="T122" s="1">
        <f>SUM(OSRRefT22_9x_0)</f>
        <v>1375</v>
      </c>
      <c r="U122" s="1"/>
      <c r="V122" s="5">
        <f t="shared" si="45"/>
        <v>1.3185514920728684E-3</v>
      </c>
      <c r="W122" s="1"/>
      <c r="X122" s="1">
        <f t="shared" si="46"/>
        <v>-1184.3599999999999</v>
      </c>
      <c r="Y122" s="1"/>
      <c r="Z122" s="5">
        <f t="shared" si="47"/>
        <v>-0.86135272727272716</v>
      </c>
    </row>
    <row r="123" spans="1:26" s="24" customFormat="1" hidden="1" outlineLevel="2" x14ac:dyDescent="0.25">
      <c r="A123" s="26"/>
      <c r="B123" s="11" t="str">
        <f>CONCATENATE("          ", "6373", " - ", "MAINTENANCE CONTRACTS")</f>
        <v xml:space="preserve">          6373 - MAINTENANCE CONTRACTS</v>
      </c>
      <c r="C123" s="11"/>
      <c r="D123" s="7"/>
      <c r="E123" s="2"/>
      <c r="F123" s="6">
        <f t="shared" si="40"/>
        <v>0</v>
      </c>
      <c r="G123" s="2"/>
      <c r="H123" s="7"/>
      <c r="I123" s="2"/>
      <c r="J123" s="6">
        <f t="shared" si="41"/>
        <v>0</v>
      </c>
      <c r="K123" s="2"/>
      <c r="L123" s="7">
        <f t="shared" si="42"/>
        <v>0</v>
      </c>
      <c r="M123" s="2"/>
      <c r="N123" s="6">
        <f t="shared" si="43"/>
        <v>0</v>
      </c>
      <c r="O123" s="11"/>
      <c r="P123" s="7">
        <v>180.84</v>
      </c>
      <c r="Q123" s="2"/>
      <c r="R123" s="6">
        <f t="shared" si="44"/>
        <v>2.2008509153642486E-4</v>
      </c>
      <c r="S123" s="2"/>
      <c r="T123" s="7"/>
      <c r="U123" s="2"/>
      <c r="V123" s="6">
        <f t="shared" si="45"/>
        <v>0</v>
      </c>
      <c r="W123" s="2"/>
      <c r="X123" s="7">
        <f t="shared" si="46"/>
        <v>180.84</v>
      </c>
      <c r="Y123" s="2"/>
      <c r="Z123" s="6">
        <f t="shared" si="47"/>
        <v>0</v>
      </c>
    </row>
    <row r="124" spans="1:26" s="24" customFormat="1" hidden="1" outlineLevel="2" x14ac:dyDescent="0.25">
      <c r="A124" s="26"/>
      <c r="B124" s="11" t="str">
        <f>CONCATENATE("          ", "6375", " - ", "OUTSIDE REPAIRS &amp; MAINTENANCE")</f>
        <v xml:space="preserve">          6375 - OUTSIDE REPAIRS &amp; MAINTENANCE</v>
      </c>
      <c r="C124" s="11"/>
      <c r="D124" s="7"/>
      <c r="E124" s="2"/>
      <c r="F124" s="6">
        <f t="shared" si="40"/>
        <v>0</v>
      </c>
      <c r="G124" s="2"/>
      <c r="H124" s="7">
        <v>125</v>
      </c>
      <c r="I124" s="2"/>
      <c r="J124" s="6">
        <f t="shared" si="41"/>
        <v>1.8878467974566928E-3</v>
      </c>
      <c r="K124" s="2"/>
      <c r="L124" s="7">
        <f t="shared" si="42"/>
        <v>-125</v>
      </c>
      <c r="M124" s="2"/>
      <c r="N124" s="6">
        <f t="shared" si="43"/>
        <v>-1</v>
      </c>
      <c r="O124" s="11"/>
      <c r="P124" s="7">
        <v>9.8000000000000007</v>
      </c>
      <c r="Q124" s="2"/>
      <c r="R124" s="6">
        <f t="shared" si="44"/>
        <v>1.1926752361518269E-5</v>
      </c>
      <c r="S124" s="2"/>
      <c r="T124" s="7">
        <v>1375</v>
      </c>
      <c r="U124" s="2"/>
      <c r="V124" s="6">
        <f t="shared" si="45"/>
        <v>1.3185514920728684E-3</v>
      </c>
      <c r="W124" s="2"/>
      <c r="X124" s="7">
        <f t="shared" si="46"/>
        <v>-1365.2</v>
      </c>
      <c r="Y124" s="2"/>
      <c r="Z124" s="6">
        <f t="shared" si="47"/>
        <v>-0.99287272727272735</v>
      </c>
    </row>
    <row r="125" spans="1:26" s="27" customFormat="1" outlineLevel="1" collapsed="1" x14ac:dyDescent="0.25">
      <c r="A125" s="25"/>
      <c r="B125" s="12" t="str">
        <f>CONCATENATE("     ","Services                                          ")</f>
        <v xml:space="preserve">     Services                                          </v>
      </c>
      <c r="C125" s="12"/>
      <c r="D125" s="1">
        <f>SUM(OSRRefD22_10x_0)</f>
        <v>78.75</v>
      </c>
      <c r="E125" s="1"/>
      <c r="F125" s="5">
        <f t="shared" ref="F125:F127" si="48">IF(D$12=0,0,D125/D$12)</f>
        <v>1.127863161196351E-2</v>
      </c>
      <c r="G125" s="1"/>
      <c r="H125" s="1">
        <f>SUM(OSRRefH22_10x_0)</f>
        <v>100</v>
      </c>
      <c r="I125" s="1"/>
      <c r="J125" s="5">
        <f t="shared" ref="J125:J127" si="49">IF(H$12=0,0,H125/H$12)</f>
        <v>1.5102774379653543E-3</v>
      </c>
      <c r="K125" s="1"/>
      <c r="L125" s="1">
        <f t="shared" ref="L125:L127" si="50">+D125-H125</f>
        <v>-21.25</v>
      </c>
      <c r="M125" s="1"/>
      <c r="N125" s="5">
        <f t="shared" ref="N125:N127" si="51">IF(H125=0,0,L125/H125)</f>
        <v>-0.21249999999999999</v>
      </c>
      <c r="O125" s="12"/>
      <c r="P125" s="1">
        <f>SUM(OSRRefP22_10x_0)</f>
        <v>2093.91</v>
      </c>
      <c r="Q125" s="1"/>
      <c r="R125" s="5">
        <f t="shared" ref="R125:R127" si="52">IF(P$12=0,0,P125/P$12)</f>
        <v>2.5483210242149708E-3</v>
      </c>
      <c r="S125" s="1"/>
      <c r="T125" s="1">
        <f>SUM(OSRRefT22_10x_0)</f>
        <v>1100</v>
      </c>
      <c r="U125" s="1"/>
      <c r="V125" s="5">
        <f t="shared" ref="V125:V127" si="53">IF(T$12=0,0,T125/T$12)</f>
        <v>1.0548411936582949E-3</v>
      </c>
      <c r="W125" s="1"/>
      <c r="X125" s="1">
        <f t="shared" ref="X125:X127" si="54">+P125-T125</f>
        <v>993.90999999999985</v>
      </c>
      <c r="Y125" s="1"/>
      <c r="Z125" s="5">
        <f t="shared" ref="Z125:Z127" si="55">IF(T125=0,0,X125/T125)</f>
        <v>0.90355454545454528</v>
      </c>
    </row>
    <row r="126" spans="1:26" s="24" customFormat="1" hidden="1" outlineLevel="2" x14ac:dyDescent="0.25">
      <c r="A126" s="26"/>
      <c r="B126" s="11" t="str">
        <f>CONCATENATE("          ", "6282", " - ", "JANITORIAL/EXTERMINATOR EXPENS")</f>
        <v xml:space="preserve">          6282 - JANITORIAL/EXTERMINATOR EXPENS</v>
      </c>
      <c r="C126" s="11"/>
      <c r="D126" s="7"/>
      <c r="E126" s="2"/>
      <c r="F126" s="6">
        <f t="shared" si="48"/>
        <v>0</v>
      </c>
      <c r="G126" s="2"/>
      <c r="H126" s="7">
        <v>50</v>
      </c>
      <c r="I126" s="2"/>
      <c r="J126" s="6">
        <f t="shared" si="49"/>
        <v>7.5513871898267714E-4</v>
      </c>
      <c r="K126" s="2"/>
      <c r="L126" s="7">
        <f t="shared" si="50"/>
        <v>-50</v>
      </c>
      <c r="M126" s="2"/>
      <c r="N126" s="6">
        <f t="shared" si="51"/>
        <v>-1</v>
      </c>
      <c r="O126" s="11"/>
      <c r="P126" s="7">
        <v>461.02</v>
      </c>
      <c r="Q126" s="2"/>
      <c r="R126" s="6">
        <f t="shared" si="52"/>
        <v>5.6106850752113792E-4</v>
      </c>
      <c r="S126" s="2"/>
      <c r="T126" s="7">
        <v>550</v>
      </c>
      <c r="U126" s="2"/>
      <c r="V126" s="6">
        <f t="shared" si="53"/>
        <v>5.2742059682914743E-4</v>
      </c>
      <c r="W126" s="2"/>
      <c r="X126" s="7">
        <f t="shared" si="54"/>
        <v>-88.980000000000018</v>
      </c>
      <c r="Y126" s="2"/>
      <c r="Z126" s="6">
        <f t="shared" si="55"/>
        <v>-0.16178181818181822</v>
      </c>
    </row>
    <row r="127" spans="1:26" s="24" customFormat="1" hidden="1" outlineLevel="2" x14ac:dyDescent="0.25">
      <c r="A127" s="26"/>
      <c r="B127" s="11" t="str">
        <f>CONCATENATE("          ", "6285", " - ", "JANITORIAL SERVICES")</f>
        <v xml:space="preserve">          6285 - JANITORIAL SERVICES</v>
      </c>
      <c r="C127" s="11"/>
      <c r="D127" s="7">
        <v>78.75</v>
      </c>
      <c r="E127" s="2"/>
      <c r="F127" s="6">
        <f t="shared" si="48"/>
        <v>1.127863161196351E-2</v>
      </c>
      <c r="G127" s="2"/>
      <c r="H127" s="7">
        <v>50</v>
      </c>
      <c r="I127" s="2"/>
      <c r="J127" s="6">
        <f t="shared" si="49"/>
        <v>7.5513871898267714E-4</v>
      </c>
      <c r="K127" s="2"/>
      <c r="L127" s="7">
        <f t="shared" si="50"/>
        <v>28.75</v>
      </c>
      <c r="M127" s="2"/>
      <c r="N127" s="6">
        <f t="shared" si="51"/>
        <v>0.57499999999999996</v>
      </c>
      <c r="O127" s="11"/>
      <c r="P127" s="7">
        <v>1632.89</v>
      </c>
      <c r="Q127" s="2"/>
      <c r="R127" s="6">
        <f t="shared" si="52"/>
        <v>1.9872525166938332E-3</v>
      </c>
      <c r="S127" s="2"/>
      <c r="T127" s="7">
        <v>550</v>
      </c>
      <c r="U127" s="2"/>
      <c r="V127" s="6">
        <f t="shared" si="53"/>
        <v>5.2742059682914743E-4</v>
      </c>
      <c r="W127" s="2"/>
      <c r="X127" s="7">
        <f t="shared" si="54"/>
        <v>1082.8900000000001</v>
      </c>
      <c r="Y127" s="2"/>
      <c r="Z127" s="6">
        <f t="shared" si="55"/>
        <v>1.9688909090909092</v>
      </c>
    </row>
    <row r="128" spans="1:26" s="27" customFormat="1" outlineLevel="1" collapsed="1" x14ac:dyDescent="0.25">
      <c r="A128" s="25"/>
      <c r="B128" s="12" t="str">
        <f>CONCATENATE("     ","Subscriptions &amp; Dues                              ")</f>
        <v xml:space="preserve">     Subscriptions &amp; Dues                              </v>
      </c>
      <c r="C128" s="12"/>
      <c r="D128" s="1">
        <f>SUM(OSRRefD22_11x_0)</f>
        <v>0</v>
      </c>
      <c r="E128" s="1"/>
      <c r="F128" s="5">
        <f t="shared" ref="F128:F133" si="56">IF(D$12=0,0,D128/D$12)</f>
        <v>0</v>
      </c>
      <c r="G128" s="1"/>
      <c r="H128" s="1">
        <f>SUM(OSRRefH22_11x_0)</f>
        <v>0</v>
      </c>
      <c r="I128" s="1"/>
      <c r="J128" s="5">
        <f t="shared" ref="J128:J133" si="57">IF(H$12=0,0,H128/H$12)</f>
        <v>0</v>
      </c>
      <c r="K128" s="1"/>
      <c r="L128" s="1">
        <f t="shared" ref="L128:L133" si="58">+D128-H128</f>
        <v>0</v>
      </c>
      <c r="M128" s="1"/>
      <c r="N128" s="5">
        <f t="shared" ref="N128:N133" si="59">IF(H128=0,0,L128/H128)</f>
        <v>0</v>
      </c>
      <c r="O128" s="12"/>
      <c r="P128" s="1">
        <f>SUM(OSRRefP22_11x_0)</f>
        <v>120</v>
      </c>
      <c r="Q128" s="1"/>
      <c r="R128" s="5">
        <f t="shared" ref="R128:R133" si="60">IF(P$12=0,0,P128/P$12)</f>
        <v>1.4604186565124409E-4</v>
      </c>
      <c r="S128" s="1"/>
      <c r="T128" s="1">
        <f>SUM(OSRRefT22_11x_0)</f>
        <v>0</v>
      </c>
      <c r="U128" s="1"/>
      <c r="V128" s="5">
        <f t="shared" ref="V128:V133" si="61">IF(T$12=0,0,T128/T$12)</f>
        <v>0</v>
      </c>
      <c r="W128" s="1"/>
      <c r="X128" s="1">
        <f t="shared" ref="X128:X133" si="62">+P128-T128</f>
        <v>120</v>
      </c>
      <c r="Y128" s="1"/>
      <c r="Z128" s="5">
        <f t="shared" ref="Z128:Z133" si="63">IF(T128=0,0,X128/T128)</f>
        <v>0</v>
      </c>
    </row>
    <row r="129" spans="1:26" s="24" customFormat="1" hidden="1" outlineLevel="2" x14ac:dyDescent="0.25">
      <c r="A129" s="26"/>
      <c r="B129" s="11" t="str">
        <f>CONCATENATE("          ", "6258", " - ", "MEMBERSHIP DUES")</f>
        <v xml:space="preserve">          6258 - MEMBERSHIP DUES</v>
      </c>
      <c r="C129" s="11"/>
      <c r="D129" s="7"/>
      <c r="E129" s="2"/>
      <c r="F129" s="6">
        <f t="shared" si="56"/>
        <v>0</v>
      </c>
      <c r="G129" s="2"/>
      <c r="H129" s="7"/>
      <c r="I129" s="2"/>
      <c r="J129" s="6">
        <f t="shared" si="57"/>
        <v>0</v>
      </c>
      <c r="K129" s="2"/>
      <c r="L129" s="7">
        <f t="shared" si="58"/>
        <v>0</v>
      </c>
      <c r="M129" s="2"/>
      <c r="N129" s="6">
        <f t="shared" si="59"/>
        <v>0</v>
      </c>
      <c r="O129" s="11"/>
      <c r="P129" s="7">
        <v>120</v>
      </c>
      <c r="Q129" s="2"/>
      <c r="R129" s="6">
        <f t="shared" si="60"/>
        <v>1.4604186565124409E-4</v>
      </c>
      <c r="S129" s="2"/>
      <c r="T129" s="7"/>
      <c r="U129" s="2"/>
      <c r="V129" s="6">
        <f t="shared" si="61"/>
        <v>0</v>
      </c>
      <c r="W129" s="2"/>
      <c r="X129" s="7">
        <f t="shared" si="62"/>
        <v>120</v>
      </c>
      <c r="Y129" s="2"/>
      <c r="Z129" s="6">
        <f t="shared" si="63"/>
        <v>0</v>
      </c>
    </row>
    <row r="130" spans="1:26" s="27" customFormat="1" outlineLevel="1" collapsed="1" x14ac:dyDescent="0.25">
      <c r="A130" s="25"/>
      <c r="B130" s="12" t="str">
        <f>CONCATENATE("     ","Supplies                                          ")</f>
        <v xml:space="preserve">     Supplies                                          </v>
      </c>
      <c r="C130" s="12"/>
      <c r="D130" s="1">
        <f>SUM(OSRRefD22_12x_0)</f>
        <v>0</v>
      </c>
      <c r="E130" s="1"/>
      <c r="F130" s="5">
        <f t="shared" si="56"/>
        <v>0</v>
      </c>
      <c r="G130" s="1"/>
      <c r="H130" s="1">
        <f>SUM(OSRRefH22_12x_0)</f>
        <v>225</v>
      </c>
      <c r="I130" s="1"/>
      <c r="J130" s="5">
        <f t="shared" si="57"/>
        <v>3.3981242354220471E-3</v>
      </c>
      <c r="K130" s="1"/>
      <c r="L130" s="1">
        <f t="shared" si="58"/>
        <v>-225</v>
      </c>
      <c r="M130" s="1"/>
      <c r="N130" s="5">
        <f t="shared" si="59"/>
        <v>-1</v>
      </c>
      <c r="O130" s="12"/>
      <c r="P130" s="1">
        <f>SUM(OSRRefP22_12x_0)</f>
        <v>1967.59</v>
      </c>
      <c r="Q130" s="1"/>
      <c r="R130" s="5">
        <f t="shared" si="60"/>
        <v>2.3945876203060948E-3</v>
      </c>
      <c r="S130" s="1"/>
      <c r="T130" s="1">
        <f>SUM(OSRRefT22_12x_0)</f>
        <v>2475</v>
      </c>
      <c r="U130" s="1"/>
      <c r="V130" s="5">
        <f t="shared" si="61"/>
        <v>2.373392685731163E-3</v>
      </c>
      <c r="W130" s="1"/>
      <c r="X130" s="1">
        <f t="shared" si="62"/>
        <v>-507.41000000000008</v>
      </c>
      <c r="Y130" s="1"/>
      <c r="Z130" s="5">
        <f t="shared" si="63"/>
        <v>-0.20501414141414145</v>
      </c>
    </row>
    <row r="131" spans="1:26" s="24" customFormat="1" hidden="1" outlineLevel="2" x14ac:dyDescent="0.25">
      <c r="A131" s="26"/>
      <c r="B131" s="11" t="str">
        <f>CONCATENATE("          ", "6241", " - ", "OFFICE EXPENSE")</f>
        <v xml:space="preserve">          6241 - OFFICE EXPENSE</v>
      </c>
      <c r="C131" s="11"/>
      <c r="D131" s="7"/>
      <c r="E131" s="2"/>
      <c r="F131" s="6">
        <f t="shared" si="56"/>
        <v>0</v>
      </c>
      <c r="G131" s="2"/>
      <c r="H131" s="7">
        <v>225</v>
      </c>
      <c r="I131" s="2"/>
      <c r="J131" s="6">
        <f t="shared" si="57"/>
        <v>3.3981242354220471E-3</v>
      </c>
      <c r="K131" s="2"/>
      <c r="L131" s="7">
        <f t="shared" si="58"/>
        <v>-225</v>
      </c>
      <c r="M131" s="2"/>
      <c r="N131" s="6">
        <f t="shared" si="59"/>
        <v>-1</v>
      </c>
      <c r="O131" s="11"/>
      <c r="P131" s="7">
        <v>1673.46</v>
      </c>
      <c r="Q131" s="2"/>
      <c r="R131" s="6">
        <f t="shared" si="60"/>
        <v>2.0366268374394244E-3</v>
      </c>
      <c r="S131" s="2"/>
      <c r="T131" s="7">
        <v>2475</v>
      </c>
      <c r="U131" s="2"/>
      <c r="V131" s="6">
        <f t="shared" si="61"/>
        <v>2.373392685731163E-3</v>
      </c>
      <c r="W131" s="2"/>
      <c r="X131" s="7">
        <f t="shared" si="62"/>
        <v>-801.54</v>
      </c>
      <c r="Y131" s="2"/>
      <c r="Z131" s="6">
        <f t="shared" si="63"/>
        <v>-0.32385454545454545</v>
      </c>
    </row>
    <row r="132" spans="1:26" s="24" customFormat="1" hidden="1" outlineLevel="2" x14ac:dyDescent="0.25">
      <c r="A132" s="26"/>
      <c r="B132" s="11" t="str">
        <f>CONCATENATE("          ", "6245", " - ", "PRINTING")</f>
        <v xml:space="preserve">          6245 - PRINTING</v>
      </c>
      <c r="C132" s="11"/>
      <c r="D132" s="7"/>
      <c r="E132" s="2"/>
      <c r="F132" s="6">
        <f t="shared" si="56"/>
        <v>0</v>
      </c>
      <c r="G132" s="2"/>
      <c r="H132" s="7"/>
      <c r="I132" s="2"/>
      <c r="J132" s="6">
        <f t="shared" si="57"/>
        <v>0</v>
      </c>
      <c r="K132" s="2"/>
      <c r="L132" s="7">
        <f t="shared" si="58"/>
        <v>0</v>
      </c>
      <c r="M132" s="2"/>
      <c r="N132" s="6">
        <f t="shared" si="59"/>
        <v>0</v>
      </c>
      <c r="O132" s="11"/>
      <c r="P132" s="7">
        <v>22.05</v>
      </c>
      <c r="Q132" s="2"/>
      <c r="R132" s="6">
        <f t="shared" si="60"/>
        <v>2.6835192813416105E-5</v>
      </c>
      <c r="S132" s="2"/>
      <c r="T132" s="7"/>
      <c r="U132" s="2"/>
      <c r="V132" s="6">
        <f t="shared" si="61"/>
        <v>0</v>
      </c>
      <c r="W132" s="2"/>
      <c r="X132" s="7">
        <f t="shared" si="62"/>
        <v>22.05</v>
      </c>
      <c r="Y132" s="2"/>
      <c r="Z132" s="6">
        <f t="shared" si="63"/>
        <v>0</v>
      </c>
    </row>
    <row r="133" spans="1:26" s="24" customFormat="1" hidden="1" outlineLevel="2" x14ac:dyDescent="0.25">
      <c r="A133" s="26"/>
      <c r="B133" s="11" t="str">
        <f>CONCATENATE("          ", "6247", " - ", "STORE SUPPLIES")</f>
        <v xml:space="preserve">          6247 - STORE SUPPLIES</v>
      </c>
      <c r="C133" s="11"/>
      <c r="D133" s="7"/>
      <c r="E133" s="2"/>
      <c r="F133" s="6">
        <f t="shared" si="56"/>
        <v>0</v>
      </c>
      <c r="G133" s="2"/>
      <c r="H133" s="7"/>
      <c r="I133" s="2"/>
      <c r="J133" s="6">
        <f t="shared" si="57"/>
        <v>0</v>
      </c>
      <c r="K133" s="2"/>
      <c r="L133" s="7">
        <f t="shared" si="58"/>
        <v>0</v>
      </c>
      <c r="M133" s="2"/>
      <c r="N133" s="6">
        <f t="shared" si="59"/>
        <v>0</v>
      </c>
      <c r="O133" s="11"/>
      <c r="P133" s="7">
        <v>272.08</v>
      </c>
      <c r="Q133" s="2"/>
      <c r="R133" s="6">
        <f t="shared" si="60"/>
        <v>3.3112559005325407E-4</v>
      </c>
      <c r="S133" s="2"/>
      <c r="T133" s="7"/>
      <c r="U133" s="2"/>
      <c r="V133" s="6">
        <f t="shared" si="61"/>
        <v>0</v>
      </c>
      <c r="W133" s="2"/>
      <c r="X133" s="7">
        <f t="shared" si="62"/>
        <v>272.08</v>
      </c>
      <c r="Y133" s="2"/>
      <c r="Z133" s="6">
        <f t="shared" si="63"/>
        <v>0</v>
      </c>
    </row>
    <row r="134" spans="1:26" s="27" customFormat="1" outlineLevel="1" collapsed="1" x14ac:dyDescent="0.25">
      <c r="A134" s="25"/>
      <c r="B134" s="12" t="str">
        <f>CONCATENATE("     ","Telephone/Data Lines                              ")</f>
        <v xml:space="preserve">     Telephone/Data Lines                              </v>
      </c>
      <c r="C134" s="12"/>
      <c r="D134" s="1">
        <f>SUM(OSRRefD22_13x_0)</f>
        <v>103</v>
      </c>
      <c r="E134" s="1"/>
      <c r="F134" s="5">
        <f t="shared" ref="F134:F139" si="64">IF(D$12=0,0,D134/D$12)</f>
        <v>1.4751734044853863E-2</v>
      </c>
      <c r="G134" s="1"/>
      <c r="H134" s="1">
        <f>SUM(OSRRefH22_13x_0)</f>
        <v>75</v>
      </c>
      <c r="I134" s="1"/>
      <c r="J134" s="5">
        <f t="shared" ref="J134:J139" si="65">IF(H$12=0,0,H134/H$12)</f>
        <v>1.1327080784740158E-3</v>
      </c>
      <c r="K134" s="1"/>
      <c r="L134" s="1">
        <f t="shared" ref="L134:L139" si="66">+D134-H134</f>
        <v>28</v>
      </c>
      <c r="M134" s="1"/>
      <c r="N134" s="5">
        <f t="shared" ref="N134:N139" si="67">IF(H134=0,0,L134/H134)</f>
        <v>0.37333333333333335</v>
      </c>
      <c r="O134" s="12"/>
      <c r="P134" s="1">
        <f>SUM(OSRRefP22_13x_0)</f>
        <v>1093.3699999999999</v>
      </c>
      <c r="Q134" s="1"/>
      <c r="R134" s="5">
        <f t="shared" ref="R134:R139" si="68">IF(P$12=0,0,P134/P$12)</f>
        <v>1.3306482887258395E-3</v>
      </c>
      <c r="S134" s="1"/>
      <c r="T134" s="1">
        <f>SUM(OSRRefT22_13x_0)</f>
        <v>825</v>
      </c>
      <c r="U134" s="1"/>
      <c r="V134" s="5">
        <f t="shared" ref="V134:V139" si="69">IF(T$12=0,0,T134/T$12)</f>
        <v>7.9113089524372108E-4</v>
      </c>
      <c r="W134" s="1"/>
      <c r="X134" s="1">
        <f t="shared" ref="X134:X139" si="70">+P134-T134</f>
        <v>268.36999999999989</v>
      </c>
      <c r="Y134" s="1"/>
      <c r="Z134" s="5">
        <f t="shared" ref="Z134:Z139" si="71">IF(T134=0,0,X134/T134)</f>
        <v>0.32529696969696958</v>
      </c>
    </row>
    <row r="135" spans="1:26" s="24" customFormat="1" hidden="1" outlineLevel="2" x14ac:dyDescent="0.25">
      <c r="A135" s="26"/>
      <c r="B135" s="11" t="str">
        <f>CONCATENATE("          ", "6309", " - ", "TELEPHONE")</f>
        <v xml:space="preserve">          6309 - TELEPHONE</v>
      </c>
      <c r="C135" s="11"/>
      <c r="D135" s="7">
        <v>103</v>
      </c>
      <c r="E135" s="2"/>
      <c r="F135" s="6">
        <f t="shared" si="64"/>
        <v>1.4751734044853863E-2</v>
      </c>
      <c r="G135" s="2"/>
      <c r="H135" s="7">
        <v>75</v>
      </c>
      <c r="I135" s="2"/>
      <c r="J135" s="6">
        <f t="shared" si="65"/>
        <v>1.1327080784740158E-3</v>
      </c>
      <c r="K135" s="2"/>
      <c r="L135" s="7">
        <f t="shared" si="66"/>
        <v>28</v>
      </c>
      <c r="M135" s="2"/>
      <c r="N135" s="6">
        <f t="shared" si="67"/>
        <v>0.37333333333333335</v>
      </c>
      <c r="O135" s="11"/>
      <c r="P135" s="7">
        <v>1093.3699999999999</v>
      </c>
      <c r="Q135" s="2"/>
      <c r="R135" s="6">
        <f t="shared" si="68"/>
        <v>1.3306482887258395E-3</v>
      </c>
      <c r="S135" s="2"/>
      <c r="T135" s="7">
        <v>825</v>
      </c>
      <c r="U135" s="2"/>
      <c r="V135" s="6">
        <f t="shared" si="69"/>
        <v>7.9113089524372108E-4</v>
      </c>
      <c r="W135" s="2"/>
      <c r="X135" s="7">
        <f t="shared" si="70"/>
        <v>268.36999999999989</v>
      </c>
      <c r="Y135" s="2"/>
      <c r="Z135" s="6">
        <f t="shared" si="71"/>
        <v>0.32529696969696958</v>
      </c>
    </row>
    <row r="136" spans="1:26" s="27" customFormat="1" outlineLevel="1" collapsed="1" x14ac:dyDescent="0.25">
      <c r="A136" s="25"/>
      <c r="B136" s="12" t="str">
        <f>CONCATENATE("     ","Training                                          ")</f>
        <v xml:space="preserve">     Training                                          </v>
      </c>
      <c r="C136" s="12"/>
      <c r="D136" s="1">
        <f>SUM(OSRRefD22_14x_0)</f>
        <v>0</v>
      </c>
      <c r="E136" s="1"/>
      <c r="F136" s="5">
        <f t="shared" si="64"/>
        <v>0</v>
      </c>
      <c r="G136" s="1"/>
      <c r="H136" s="1">
        <f>SUM(OSRRefH22_14x_0)</f>
        <v>175</v>
      </c>
      <c r="I136" s="1"/>
      <c r="J136" s="5">
        <f t="shared" si="65"/>
        <v>2.64298551643937E-3</v>
      </c>
      <c r="K136" s="1"/>
      <c r="L136" s="1">
        <f t="shared" si="66"/>
        <v>-175</v>
      </c>
      <c r="M136" s="1"/>
      <c r="N136" s="5">
        <f t="shared" si="67"/>
        <v>-1</v>
      </c>
      <c r="O136" s="12"/>
      <c r="P136" s="1">
        <f>SUM(OSRRefP22_14x_0)</f>
        <v>314.8</v>
      </c>
      <c r="Q136" s="1"/>
      <c r="R136" s="5">
        <f t="shared" si="68"/>
        <v>3.8311649422509701E-4</v>
      </c>
      <c r="S136" s="1"/>
      <c r="T136" s="1">
        <f>SUM(OSRRefT22_14x_0)</f>
        <v>1925</v>
      </c>
      <c r="U136" s="1"/>
      <c r="V136" s="5">
        <f t="shared" si="69"/>
        <v>1.8459720889020157E-3</v>
      </c>
      <c r="W136" s="1"/>
      <c r="X136" s="1">
        <f t="shared" si="70"/>
        <v>-1610.2</v>
      </c>
      <c r="Y136" s="1"/>
      <c r="Z136" s="5">
        <f t="shared" si="71"/>
        <v>-0.83646753246753247</v>
      </c>
    </row>
    <row r="137" spans="1:26" s="24" customFormat="1" hidden="1" outlineLevel="2" x14ac:dyDescent="0.25">
      <c r="A137" s="26"/>
      <c r="B137" s="11" t="str">
        <f>CONCATENATE("          ", "6376", " - ", "TRAINING")</f>
        <v xml:space="preserve">          6376 - TRAINING</v>
      </c>
      <c r="C137" s="11"/>
      <c r="D137" s="7"/>
      <c r="E137" s="2"/>
      <c r="F137" s="6">
        <f t="shared" si="64"/>
        <v>0</v>
      </c>
      <c r="G137" s="2"/>
      <c r="H137" s="7">
        <v>175</v>
      </c>
      <c r="I137" s="2"/>
      <c r="J137" s="6">
        <f t="shared" si="65"/>
        <v>2.64298551643937E-3</v>
      </c>
      <c r="K137" s="2"/>
      <c r="L137" s="7">
        <f t="shared" si="66"/>
        <v>-175</v>
      </c>
      <c r="M137" s="2"/>
      <c r="N137" s="6">
        <f t="shared" si="67"/>
        <v>-1</v>
      </c>
      <c r="O137" s="11"/>
      <c r="P137" s="7">
        <v>314.8</v>
      </c>
      <c r="Q137" s="2"/>
      <c r="R137" s="6">
        <f t="shared" si="68"/>
        <v>3.8311649422509701E-4</v>
      </c>
      <c r="S137" s="2"/>
      <c r="T137" s="7">
        <v>1925</v>
      </c>
      <c r="U137" s="2"/>
      <c r="V137" s="6">
        <f t="shared" si="69"/>
        <v>1.8459720889020157E-3</v>
      </c>
      <c r="W137" s="2"/>
      <c r="X137" s="7">
        <f t="shared" si="70"/>
        <v>-1610.2</v>
      </c>
      <c r="Y137" s="2"/>
      <c r="Z137" s="6">
        <f t="shared" si="71"/>
        <v>-0.83646753246753247</v>
      </c>
    </row>
    <row r="138" spans="1:26" s="27" customFormat="1" outlineLevel="1" collapsed="1" x14ac:dyDescent="0.25">
      <c r="A138" s="25"/>
      <c r="B138" s="12" t="str">
        <f>CONCATENATE("     ","Travel                                            ")</f>
        <v xml:space="preserve">     Travel                                            </v>
      </c>
      <c r="C138" s="12"/>
      <c r="D138" s="1">
        <f>SUM(OSRRefD22_15x_0)</f>
        <v>0</v>
      </c>
      <c r="E138" s="1"/>
      <c r="F138" s="5">
        <f t="shared" si="64"/>
        <v>0</v>
      </c>
      <c r="G138" s="1"/>
      <c r="H138" s="1">
        <f>SUM(OSRRefH22_15x_0)</f>
        <v>0</v>
      </c>
      <c r="I138" s="1"/>
      <c r="J138" s="5">
        <f t="shared" si="65"/>
        <v>0</v>
      </c>
      <c r="K138" s="1"/>
      <c r="L138" s="1">
        <f t="shared" si="66"/>
        <v>0</v>
      </c>
      <c r="M138" s="1"/>
      <c r="N138" s="5">
        <f t="shared" si="67"/>
        <v>0</v>
      </c>
      <c r="O138" s="12"/>
      <c r="P138" s="1">
        <f>SUM(OSRRefP22_15x_0)</f>
        <v>-323.01</v>
      </c>
      <c r="Q138" s="1"/>
      <c r="R138" s="5">
        <f t="shared" si="68"/>
        <v>-3.9310819186673629E-4</v>
      </c>
      <c r="S138" s="1"/>
      <c r="T138" s="1">
        <f>SUM(OSRRefT22_15x_0)</f>
        <v>0</v>
      </c>
      <c r="U138" s="1"/>
      <c r="V138" s="5">
        <f t="shared" si="69"/>
        <v>0</v>
      </c>
      <c r="W138" s="1"/>
      <c r="X138" s="1">
        <f t="shared" si="70"/>
        <v>-323.01</v>
      </c>
      <c r="Y138" s="1"/>
      <c r="Z138" s="5">
        <f t="shared" si="71"/>
        <v>0</v>
      </c>
    </row>
    <row r="139" spans="1:26" s="24" customFormat="1" hidden="1" outlineLevel="2" x14ac:dyDescent="0.25">
      <c r="A139" s="26"/>
      <c r="B139" s="11" t="str">
        <f>CONCATENATE("          ", "6292", " - ", "TRAVEL/CONFERENCE")</f>
        <v xml:space="preserve">          6292 - TRAVEL/CONFERENCE</v>
      </c>
      <c r="C139" s="11"/>
      <c r="D139" s="7"/>
      <c r="E139" s="2"/>
      <c r="F139" s="6">
        <f t="shared" si="64"/>
        <v>0</v>
      </c>
      <c r="G139" s="2"/>
      <c r="H139" s="7"/>
      <c r="I139" s="2"/>
      <c r="J139" s="6">
        <f t="shared" si="65"/>
        <v>0</v>
      </c>
      <c r="K139" s="2"/>
      <c r="L139" s="7">
        <f t="shared" si="66"/>
        <v>0</v>
      </c>
      <c r="M139" s="2"/>
      <c r="N139" s="6">
        <f t="shared" si="67"/>
        <v>0</v>
      </c>
      <c r="O139" s="11"/>
      <c r="P139" s="7">
        <v>-323.01</v>
      </c>
      <c r="Q139" s="2"/>
      <c r="R139" s="6">
        <f t="shared" si="68"/>
        <v>-3.9310819186673629E-4</v>
      </c>
      <c r="S139" s="2"/>
      <c r="T139" s="7"/>
      <c r="U139" s="2"/>
      <c r="V139" s="6">
        <f t="shared" si="69"/>
        <v>0</v>
      </c>
      <c r="W139" s="2"/>
      <c r="X139" s="7">
        <f t="shared" si="70"/>
        <v>-323.01</v>
      </c>
      <c r="Y139" s="2"/>
      <c r="Z139" s="6">
        <f t="shared" si="71"/>
        <v>0</v>
      </c>
    </row>
    <row r="140" spans="1:26" s="62" customFormat="1" x14ac:dyDescent="0.25">
      <c r="A140" s="36"/>
      <c r="B140" s="36"/>
      <c r="C140" s="36"/>
      <c r="D140" s="1"/>
      <c r="E140" s="1"/>
      <c r="F140" s="5"/>
      <c r="G140" s="1"/>
      <c r="H140" s="1"/>
      <c r="I140" s="1"/>
      <c r="J140" s="5"/>
      <c r="K140" s="1"/>
      <c r="L140" s="1"/>
      <c r="M140" s="1"/>
      <c r="N140" s="5"/>
      <c r="O140" s="36"/>
      <c r="P140" s="1"/>
      <c r="Q140" s="1"/>
      <c r="R140" s="5"/>
      <c r="S140" s="1"/>
      <c r="T140" s="1"/>
      <c r="U140" s="1"/>
      <c r="V140" s="5"/>
      <c r="W140" s="1"/>
      <c r="X140" s="1"/>
      <c r="Y140" s="1"/>
      <c r="Z140" s="5"/>
    </row>
    <row r="141" spans="1:26" s="23" customFormat="1" collapsed="1" x14ac:dyDescent="0.25">
      <c r="A141" s="10"/>
      <c r="B141" s="28" t="s">
        <v>0</v>
      </c>
      <c r="C141" s="10"/>
      <c r="D141" s="4">
        <f>SUM(OSRRefD25x_0)</f>
        <v>0</v>
      </c>
      <c r="E141" s="4"/>
      <c r="F141" s="13">
        <f t="shared" ref="F141:F142" si="72">IF(D$12=0,0,D141/D$12)</f>
        <v>0</v>
      </c>
      <c r="G141" s="4"/>
      <c r="H141" s="4">
        <f>SUM(OSRRefH25x_0)</f>
        <v>0</v>
      </c>
      <c r="I141" s="4"/>
      <c r="J141" s="13">
        <f t="shared" ref="J141:J142" si="73">IF(H$12=0,0,H141/H$12)</f>
        <v>0</v>
      </c>
      <c r="K141" s="4"/>
      <c r="L141" s="4">
        <f t="shared" ref="L141:L142" si="74">+D141-H141</f>
        <v>0</v>
      </c>
      <c r="M141" s="4"/>
      <c r="N141" s="13">
        <f t="shared" ref="N141:N142" si="75">IF(H141=0,0,L141/H141)</f>
        <v>0</v>
      </c>
      <c r="O141" s="10"/>
      <c r="P141" s="4">
        <f>SUM(OSRRefP25x_0)</f>
        <v>68.760000000000005</v>
      </c>
      <c r="Q141" s="4"/>
      <c r="R141" s="13">
        <f t="shared" ref="R141:R142" si="76">IF(P$12=0,0,P141/P$12)</f>
        <v>8.3681989018162873E-5</v>
      </c>
      <c r="S141" s="4"/>
      <c r="T141" s="4">
        <f>SUM(OSRRefT25x_0)</f>
        <v>0</v>
      </c>
      <c r="U141" s="4"/>
      <c r="V141" s="13">
        <f t="shared" ref="V141:V142" si="77">IF(T$12=0,0,T141/T$12)</f>
        <v>0</v>
      </c>
      <c r="W141" s="4"/>
      <c r="X141" s="4">
        <f t="shared" ref="X141:X142" si="78">+P141-T141</f>
        <v>68.760000000000005</v>
      </c>
      <c r="Y141" s="4"/>
      <c r="Z141" s="13">
        <f t="shared" ref="Z141:Z142" si="79">IF(T141=0,0,X141/T141)</f>
        <v>0</v>
      </c>
    </row>
    <row r="142" spans="1:26" s="24" customFormat="1" hidden="1" outlineLevel="1" x14ac:dyDescent="0.25">
      <c r="A142" s="44"/>
      <c r="B142" s="11" t="str">
        <f>CONCATENATE("          ", "9150", " - ", "MISC. INCOME")</f>
        <v xml:space="preserve">          9150 - MISC. INCOME</v>
      </c>
      <c r="C142" s="11"/>
      <c r="D142" s="2">
        <f>0</f>
        <v>0</v>
      </c>
      <c r="E142" s="2"/>
      <c r="F142" s="19">
        <f t="shared" si="72"/>
        <v>0</v>
      </c>
      <c r="G142" s="2"/>
      <c r="H142" s="2"/>
      <c r="I142" s="2"/>
      <c r="J142" s="19">
        <f t="shared" si="73"/>
        <v>0</v>
      </c>
      <c r="K142" s="2"/>
      <c r="L142" s="2">
        <f t="shared" si="74"/>
        <v>0</v>
      </c>
      <c r="M142" s="2"/>
      <c r="N142" s="19">
        <f t="shared" si="75"/>
        <v>0</v>
      </c>
      <c r="O142" s="11"/>
      <c r="P142" s="2">
        <f>--68.76</f>
        <v>68.760000000000005</v>
      </c>
      <c r="Q142" s="2"/>
      <c r="R142" s="19">
        <f t="shared" si="76"/>
        <v>8.3681989018162873E-5</v>
      </c>
      <c r="S142" s="2"/>
      <c r="T142" s="2"/>
      <c r="U142" s="2"/>
      <c r="V142" s="19">
        <f t="shared" si="77"/>
        <v>0</v>
      </c>
      <c r="W142" s="2"/>
      <c r="X142" s="2">
        <f t="shared" si="78"/>
        <v>68.760000000000005</v>
      </c>
      <c r="Y142" s="2"/>
      <c r="Z142" s="19">
        <f t="shared" si="79"/>
        <v>0</v>
      </c>
    </row>
    <row r="143" spans="1:26" x14ac:dyDescent="0.25">
      <c r="A143" s="9"/>
      <c r="B143" s="10"/>
      <c r="C143" s="10"/>
      <c r="D143" s="3"/>
      <c r="E143" s="3"/>
      <c r="F143" s="8"/>
      <c r="G143" s="3"/>
      <c r="H143" s="3"/>
      <c r="I143" s="3"/>
      <c r="J143" s="8"/>
      <c r="K143" s="3"/>
      <c r="L143" s="3"/>
      <c r="M143" s="3"/>
      <c r="N143" s="8"/>
      <c r="O143" s="10"/>
      <c r="P143" s="3"/>
      <c r="Q143" s="3"/>
      <c r="R143" s="8"/>
      <c r="S143" s="3"/>
      <c r="T143" s="3"/>
      <c r="U143" s="3"/>
      <c r="V143" s="8"/>
      <c r="W143" s="3"/>
      <c r="X143" s="3"/>
      <c r="Y143" s="3"/>
      <c r="Z143" s="8"/>
    </row>
    <row r="144" spans="1:26" s="23" customFormat="1" x14ac:dyDescent="0.25">
      <c r="A144" s="10"/>
      <c r="B144" s="29" t="s">
        <v>3</v>
      </c>
      <c r="C144" s="29"/>
      <c r="D144" s="20">
        <f>+D82-D84+D141</f>
        <v>-6318.1999999999989</v>
      </c>
      <c r="E144" s="14"/>
      <c r="F144" s="22">
        <f>IF(D$12=0,0,D144/D$12)</f>
        <v>-0.90489714604073446</v>
      </c>
      <c r="G144" s="14"/>
      <c r="H144" s="20">
        <f>+H82-H84+H141</f>
        <v>14909.711731975389</v>
      </c>
      <c r="I144" s="14"/>
      <c r="J144" s="22">
        <f>IF(H$12=0,0,H144/H$12)</f>
        <v>0.22517801235369775</v>
      </c>
      <c r="K144" s="16"/>
      <c r="L144" s="20">
        <f>+D144-H144</f>
        <v>-21227.911731975386</v>
      </c>
      <c r="M144" s="16"/>
      <c r="N144" s="22">
        <f>IF(H144=0,0,L144/H144)</f>
        <v>-1.4237640615445284</v>
      </c>
      <c r="O144" s="28"/>
      <c r="P144" s="20">
        <f>+P82-P84+P141</f>
        <v>192375.69999999992</v>
      </c>
      <c r="Q144" s="14"/>
      <c r="R144" s="22">
        <f>IF(P$12=0,0,P144/P$12)</f>
        <v>0.23412421778303358</v>
      </c>
      <c r="S144" s="14"/>
      <c r="T144" s="20">
        <f>+T82-T84+T141</f>
        <v>303005.31213568267</v>
      </c>
      <c r="U144" s="14"/>
      <c r="V144" s="22">
        <f>IF(T$12=0,0,T144/T$12)</f>
        <v>0.29056589558000701</v>
      </c>
      <c r="W144" s="16"/>
      <c r="X144" s="20">
        <f>+P144-T144</f>
        <v>-110629.61213568275</v>
      </c>
      <c r="Y144" s="16"/>
      <c r="Z144" s="22">
        <f>IF(T144=0,0,X144/T144)</f>
        <v>-0.36510783047309725</v>
      </c>
    </row>
    <row r="145" spans="1:26" x14ac:dyDescent="0.25">
      <c r="A145" s="9"/>
      <c r="B145" s="10"/>
      <c r="C145" s="9"/>
      <c r="D145" s="3"/>
      <c r="E145" s="3"/>
      <c r="F145" s="8"/>
      <c r="G145" s="3"/>
      <c r="H145" s="3"/>
      <c r="I145" s="3"/>
      <c r="J145" s="8"/>
      <c r="K145" s="3"/>
      <c r="L145" s="3"/>
      <c r="M145" s="3"/>
      <c r="N145" s="8"/>
      <c r="P145" s="3"/>
      <c r="Q145" s="3"/>
      <c r="R145" s="8"/>
      <c r="S145" s="3"/>
      <c r="T145" s="3"/>
      <c r="U145" s="3"/>
      <c r="V145" s="8"/>
      <c r="W145" s="3"/>
      <c r="X145" s="3"/>
      <c r="Y145" s="3"/>
      <c r="Z145" s="8"/>
    </row>
    <row r="146" spans="1:26" s="23" customFormat="1" x14ac:dyDescent="0.25">
      <c r="A146" s="52"/>
      <c r="B146" s="10" t="s">
        <v>14</v>
      </c>
      <c r="C146" s="10"/>
      <c r="D146" s="4">
        <v>4796.66</v>
      </c>
      <c r="E146" s="4"/>
      <c r="F146" s="13">
        <f>IF(D$12=0,0,D146/D$12)</f>
        <v>0.68698109343290026</v>
      </c>
      <c r="G146" s="4"/>
      <c r="H146" s="4">
        <v>6677</v>
      </c>
      <c r="I146" s="4"/>
      <c r="J146" s="13">
        <f>IF(H$12=0,0,H146/H$12)</f>
        <v>0.10084122453294671</v>
      </c>
      <c r="K146" s="4"/>
      <c r="L146" s="4">
        <f>+D146-H146</f>
        <v>-1880.3400000000001</v>
      </c>
      <c r="M146" s="4"/>
      <c r="N146" s="13">
        <f>IF(H146=0,0,L146/H146)</f>
        <v>-0.28161449752883033</v>
      </c>
      <c r="O146" s="10"/>
      <c r="P146" s="4">
        <v>97300.01</v>
      </c>
      <c r="Q146" s="4"/>
      <c r="R146" s="13">
        <f>IF(P$12=0,0,P146/P$12)</f>
        <v>0.11841562490237255</v>
      </c>
      <c r="S146" s="4"/>
      <c r="T146" s="4">
        <v>120782.00000000001</v>
      </c>
      <c r="U146" s="4"/>
      <c r="V146" s="13">
        <f>IF(T$12=0,0,T146/T$12)</f>
        <v>0.11582348095676015</v>
      </c>
      <c r="W146" s="4"/>
      <c r="X146" s="4">
        <f>+P146-T146</f>
        <v>-23481.99000000002</v>
      </c>
      <c r="Y146" s="4"/>
      <c r="Z146" s="13">
        <f>IF(T146=0,0,X146/T146)</f>
        <v>-0.19441630375387076</v>
      </c>
    </row>
    <row r="147" spans="1:26" x14ac:dyDescent="0.25">
      <c r="A147" s="9"/>
      <c r="B147" s="10"/>
      <c r="C147" s="10"/>
      <c r="D147" s="3"/>
      <c r="E147" s="3"/>
      <c r="F147" s="8"/>
      <c r="G147" s="3"/>
      <c r="H147" s="3"/>
      <c r="I147" s="3"/>
      <c r="J147" s="8"/>
      <c r="K147" s="3"/>
      <c r="L147" s="3"/>
      <c r="M147" s="3"/>
      <c r="N147" s="8"/>
      <c r="O147" s="10"/>
      <c r="P147" s="3"/>
      <c r="Q147" s="3"/>
      <c r="R147" s="8"/>
      <c r="S147" s="3"/>
      <c r="T147" s="3"/>
      <c r="U147" s="3"/>
      <c r="V147" s="8"/>
      <c r="W147" s="3"/>
      <c r="X147" s="3"/>
      <c r="Y147" s="3"/>
      <c r="Z147" s="8"/>
    </row>
    <row r="148" spans="1:26" s="23" customFormat="1" ht="15.75" thickBot="1" x14ac:dyDescent="0.3">
      <c r="A148" s="10"/>
      <c r="B148" s="29" t="s">
        <v>4</v>
      </c>
      <c r="C148" s="29"/>
      <c r="D148" s="35">
        <f>+D144-D146</f>
        <v>-11114.859999999999</v>
      </c>
      <c r="E148" s="14"/>
      <c r="F148" s="32">
        <f>IF(D$12=0,0,D148/D$12)</f>
        <v>-1.5918782394736348</v>
      </c>
      <c r="G148" s="14"/>
      <c r="H148" s="35">
        <f>+H144-H146</f>
        <v>8232.7117319753888</v>
      </c>
      <c r="I148" s="14"/>
      <c r="J148" s="32">
        <f>IF(H$12=0,0,H148/H$12)</f>
        <v>0.12433678782075104</v>
      </c>
      <c r="K148" s="16"/>
      <c r="L148" s="35">
        <f>D148-H148</f>
        <v>-19347.571731975389</v>
      </c>
      <c r="M148" s="16"/>
      <c r="N148" s="32">
        <f>IF(H148=0,0,L148/H148)</f>
        <v>-2.350084924852951</v>
      </c>
      <c r="O148" s="28"/>
      <c r="P148" s="35">
        <f>+P144-P146</f>
        <v>95075.68999999993</v>
      </c>
      <c r="Q148" s="14"/>
      <c r="R148" s="32">
        <f>IF(P$12=0,0,P148/P$12)</f>
        <v>0.11570859288066102</v>
      </c>
      <c r="S148" s="14"/>
      <c r="T148" s="35">
        <f>+T144-T146</f>
        <v>182223.31213568267</v>
      </c>
      <c r="U148" s="14"/>
      <c r="V148" s="32">
        <f>IF(T$12=0,0,T148/T$12)</f>
        <v>0.17474241462324686</v>
      </c>
      <c r="W148" s="16"/>
      <c r="X148" s="35">
        <f>P148-T148</f>
        <v>-87147.622135682745</v>
      </c>
      <c r="Y148" s="16"/>
      <c r="Z148" s="32">
        <f>IF(T148=0,0,X148/T148)</f>
        <v>-0.47824628536437208</v>
      </c>
    </row>
    <row r="149" spans="1:26" ht="15.75" thickTop="1" x14ac:dyDescent="0.25">
      <c r="A149" s="9"/>
      <c r="B149" s="9"/>
      <c r="C149" s="9"/>
      <c r="D149" s="3"/>
      <c r="E149" s="3"/>
      <c r="F149" s="8"/>
      <c r="G149" s="3"/>
      <c r="H149" s="3"/>
      <c r="I149" s="3"/>
      <c r="J149" s="8"/>
      <c r="K149" s="3"/>
      <c r="L149" s="3"/>
      <c r="M149" s="3"/>
      <c r="N149" s="8"/>
      <c r="P149" s="3"/>
      <c r="Q149" s="3"/>
      <c r="R149" s="8"/>
      <c r="S149" s="3"/>
      <c r="T149" s="3"/>
      <c r="U149" s="3"/>
      <c r="V149" s="8"/>
      <c r="W149" s="3"/>
      <c r="X149" s="3"/>
      <c r="Y149" s="3"/>
      <c r="Z149" s="8"/>
    </row>
    <row r="150" spans="1:26" x14ac:dyDescent="0.25">
      <c r="A150" s="9"/>
      <c r="B150" s="9"/>
      <c r="C150" s="9"/>
      <c r="D150" s="3"/>
      <c r="E150" s="3"/>
      <c r="F150" s="8"/>
      <c r="G150" s="3"/>
      <c r="H150" s="3"/>
      <c r="I150" s="3"/>
      <c r="J150" s="8"/>
      <c r="K150" s="3"/>
      <c r="L150" s="3"/>
      <c r="M150" s="3"/>
      <c r="N150" s="8"/>
      <c r="P150" s="3"/>
      <c r="Q150" s="3"/>
      <c r="R150" s="8"/>
      <c r="S150" s="3"/>
      <c r="T150" s="3"/>
      <c r="U150" s="3"/>
      <c r="V150" s="8"/>
      <c r="W150" s="3"/>
      <c r="X150" s="3"/>
      <c r="Y150" s="3"/>
      <c r="Z150" s="8"/>
    </row>
    <row r="151" spans="1:26" s="23" customFormat="1" ht="15.75" thickBot="1" x14ac:dyDescent="0.3">
      <c r="A151" s="10"/>
      <c r="B151" s="29" t="s">
        <v>5</v>
      </c>
      <c r="C151" s="29"/>
      <c r="D151" s="34">
        <f>SUM(D148:D150)</f>
        <v>-11114.859999999999</v>
      </c>
      <c r="E151" s="14"/>
      <c r="F151" s="31">
        <f>IF(D$12=0,0,D151/D$12)</f>
        <v>-1.5918782394736348</v>
      </c>
      <c r="G151" s="14"/>
      <c r="H151" s="34">
        <f>SUM(H148:H150)</f>
        <v>8232.7117319753888</v>
      </c>
      <c r="I151" s="14"/>
      <c r="J151" s="31">
        <f>IF(H$12=0,0,H151/H$12)</f>
        <v>0.12433678782075104</v>
      </c>
      <c r="K151" s="16"/>
      <c r="L151" s="34">
        <f>+D151-H151</f>
        <v>-19347.571731975389</v>
      </c>
      <c r="M151" s="16"/>
      <c r="N151" s="31">
        <f>IF(H151=0,0,L151/H151)</f>
        <v>-2.350084924852951</v>
      </c>
      <c r="O151" s="28"/>
      <c r="P151" s="34">
        <f>SUM(P148:P150)</f>
        <v>95075.68999999993</v>
      </c>
      <c r="Q151" s="14"/>
      <c r="R151" s="31">
        <f>IF(P$12=0,0,P151/P$12)</f>
        <v>0.11570859288066102</v>
      </c>
      <c r="S151" s="14"/>
      <c r="T151" s="34">
        <f>SUM(T148:T150)</f>
        <v>182223.31213568267</v>
      </c>
      <c r="U151" s="14"/>
      <c r="V151" s="31">
        <f>IF(T$12=0,0,T151/T$12)</f>
        <v>0.17474241462324686</v>
      </c>
      <c r="W151" s="16"/>
      <c r="X151" s="34">
        <f>+P151-T151</f>
        <v>-87147.622135682745</v>
      </c>
      <c r="Y151" s="16"/>
      <c r="Z151" s="31">
        <f>IF(T151=0,0,X151/T151)</f>
        <v>-0.47824628536437208</v>
      </c>
    </row>
    <row r="152" spans="1:26" ht="15.75" thickTop="1" x14ac:dyDescent="0.25">
      <c r="A152" s="9"/>
      <c r="C152" s="9"/>
      <c r="D152" s="18"/>
      <c r="E152" s="18"/>
      <c r="G152" s="18"/>
      <c r="H152" s="18"/>
      <c r="I152" s="18"/>
      <c r="J152" s="42"/>
      <c r="K152" s="18"/>
      <c r="L152" s="18"/>
      <c r="M152" s="18"/>
      <c r="P152" s="18"/>
      <c r="Q152" s="18"/>
      <c r="R152" s="42"/>
      <c r="S152" s="18"/>
      <c r="T152" s="18"/>
      <c r="U152" s="18"/>
      <c r="V152" s="42"/>
      <c r="W152" s="18"/>
      <c r="X152" s="18"/>
    </row>
    <row r="153" spans="1:26" x14ac:dyDescent="0.25">
      <c r="A153" s="9"/>
      <c r="B153" s="59">
        <v>43992.371075312498</v>
      </c>
      <c r="D153" s="18"/>
      <c r="E153" s="18"/>
      <c r="G153" s="18"/>
      <c r="H153" s="18"/>
      <c r="I153" s="18"/>
      <c r="J153" s="42"/>
      <c r="K153" s="18"/>
      <c r="L153" s="18"/>
      <c r="M153" s="18"/>
      <c r="P153" s="18"/>
      <c r="Q153" s="18"/>
      <c r="R153" s="42"/>
      <c r="S153" s="18"/>
      <c r="T153" s="18"/>
      <c r="U153" s="18"/>
      <c r="V153" s="42"/>
      <c r="W153" s="18"/>
      <c r="X153" s="18"/>
    </row>
    <row r="154" spans="1:26" x14ac:dyDescent="0.25">
      <c r="A154" s="9"/>
      <c r="B154" s="56" t="s">
        <v>314</v>
      </c>
      <c r="D154" s="18"/>
      <c r="E154" s="18"/>
      <c r="G154" s="18"/>
      <c r="H154" s="18"/>
      <c r="I154" s="18"/>
      <c r="J154" s="42"/>
      <c r="K154" s="18"/>
      <c r="L154" s="18"/>
      <c r="M154" s="18"/>
      <c r="P154" s="18"/>
      <c r="Q154" s="18"/>
      <c r="R154" s="42"/>
      <c r="S154" s="18"/>
      <c r="T154" s="18"/>
      <c r="U154" s="18"/>
      <c r="V154" s="42"/>
      <c r="W154" s="18"/>
      <c r="X154" s="18"/>
    </row>
    <row r="155" spans="1:26" x14ac:dyDescent="0.25">
      <c r="A155" s="9"/>
      <c r="B155" s="54"/>
      <c r="D155" s="18"/>
      <c r="E155" s="18"/>
      <c r="G155" s="18"/>
      <c r="H155" s="18"/>
      <c r="I155" s="18"/>
      <c r="J155" s="42"/>
      <c r="K155" s="18"/>
      <c r="L155" s="18"/>
      <c r="M155" s="18"/>
      <c r="P155" s="18"/>
      <c r="Q155" s="18"/>
      <c r="R155" s="42"/>
      <c r="S155" s="18"/>
      <c r="T155" s="18"/>
      <c r="U155" s="18"/>
      <c r="V155" s="42"/>
      <c r="W155" s="18"/>
      <c r="X155" s="18"/>
    </row>
    <row r="156" spans="1:26" x14ac:dyDescent="0.25">
      <c r="D156" s="18"/>
      <c r="E156" s="18"/>
      <c r="G156" s="18"/>
      <c r="H156" s="18"/>
      <c r="I156" s="18"/>
      <c r="J156" s="42"/>
      <c r="K156" s="18"/>
      <c r="L156" s="18"/>
      <c r="M156" s="18"/>
      <c r="P156" s="18"/>
      <c r="Q156" s="18"/>
      <c r="R156" s="42"/>
      <c r="S156" s="18"/>
      <c r="T156" s="18"/>
      <c r="U156" s="18"/>
      <c r="V156" s="42"/>
      <c r="W156" s="18"/>
      <c r="X156" s="18"/>
    </row>
  </sheetData>
  <pageMargins left="0.25" right="0.25" top="0.75" bottom="0.75" header="0.3" footer="0.3"/>
  <pageSetup scale="55" fitToWidth="2" orientation="landscape"/>
  <drawing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142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63" t="s">
        <v>13</v>
      </c>
    </row>
    <row r="3" spans="1:26" x14ac:dyDescent="0.25">
      <c r="D3" s="63" t="s">
        <v>296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61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63" t="str">
        <f>CONCATENATE("Period ",RIGHT(202011,2),", ",2020)</f>
        <v>Period 11, 2020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61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4">
        <v>43981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61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51"/>
      <c r="C6" s="51"/>
      <c r="D6" s="23" t="str">
        <f>CONCATENATE("Department ","307", " - ", "Art Store")</f>
        <v>Department 307 - Art Store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57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5" t="s">
        <v>294</v>
      </c>
      <c r="E9" s="15"/>
      <c r="F9" s="38"/>
      <c r="G9" s="15"/>
      <c r="H9" s="15"/>
      <c r="I9" s="15"/>
      <c r="J9" s="46"/>
      <c r="K9" s="15"/>
      <c r="L9" s="15"/>
      <c r="M9" s="15"/>
      <c r="N9" s="38"/>
      <c r="P9" s="15" t="s">
        <v>295</v>
      </c>
      <c r="Q9" s="15"/>
      <c r="R9" s="38"/>
      <c r="S9" s="15"/>
      <c r="T9" s="15"/>
      <c r="U9" s="15"/>
      <c r="V9" s="46"/>
      <c r="W9" s="15"/>
      <c r="X9" s="15"/>
      <c r="Y9" s="15"/>
      <c r="Z9" s="38"/>
    </row>
    <row r="10" spans="1:26" x14ac:dyDescent="0.25">
      <c r="A10" s="10"/>
      <c r="B10" s="55"/>
      <c r="C10" s="10"/>
      <c r="D10" s="43" t="s">
        <v>10</v>
      </c>
      <c r="E10" s="33"/>
      <c r="F10" s="40" t="s">
        <v>15</v>
      </c>
      <c r="G10" s="33"/>
      <c r="H10" s="47" t="s">
        <v>11</v>
      </c>
      <c r="I10" s="33"/>
      <c r="J10" s="45" t="s">
        <v>16</v>
      </c>
      <c r="K10" s="10"/>
      <c r="L10" s="43" t="s">
        <v>12</v>
      </c>
      <c r="M10" s="10"/>
      <c r="N10" s="40" t="s">
        <v>17</v>
      </c>
      <c r="O10" s="10"/>
      <c r="P10" s="53" t="s">
        <v>10</v>
      </c>
      <c r="Q10" s="33"/>
      <c r="R10" s="40" t="s">
        <v>15</v>
      </c>
      <c r="S10" s="33"/>
      <c r="T10" s="47" t="s">
        <v>11</v>
      </c>
      <c r="U10" s="33"/>
      <c r="V10" s="45" t="s">
        <v>16</v>
      </c>
      <c r="W10" s="10"/>
      <c r="X10" s="43" t="s">
        <v>12</v>
      </c>
      <c r="Y10" s="10"/>
      <c r="Z10" s="40" t="s">
        <v>17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0</v>
      </c>
      <c r="E12" s="4"/>
      <c r="F12" s="13"/>
      <c r="G12" s="4"/>
      <c r="H12" s="4">
        <f>SUM(OSRRefH13x_0)</f>
        <v>26656</v>
      </c>
      <c r="I12" s="4"/>
      <c r="J12" s="13"/>
      <c r="K12" s="4"/>
      <c r="L12" s="4">
        <f t="shared" ref="L12:L50" si="0">+D12-H12</f>
        <v>-26656</v>
      </c>
      <c r="M12" s="4"/>
      <c r="N12" s="13">
        <f t="shared" ref="N12:N50" si="1">IF(H12=0,0,L12/H12)</f>
        <v>-1</v>
      </c>
      <c r="O12" s="10"/>
      <c r="P12" s="4">
        <f>SUM(OSRRefP13x_0)</f>
        <v>410549.44000000024</v>
      </c>
      <c r="Q12" s="4"/>
      <c r="R12" s="13"/>
      <c r="S12" s="4"/>
      <c r="T12" s="4">
        <f>SUM(OSRRefT13x_0)</f>
        <v>529172</v>
      </c>
      <c r="U12" s="4"/>
      <c r="V12" s="13"/>
      <c r="W12" s="4"/>
      <c r="X12" s="4">
        <f t="shared" ref="X12:X50" si="2">+P12-T12</f>
        <v>-118622.55999999976</v>
      </c>
      <c r="Y12" s="4"/>
      <c r="Z12" s="13">
        <f t="shared" ref="Z12:Z50" si="3">IF(T12=0,0,X12/T12)</f>
        <v>-0.2241663580083598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 t="shared" ref="D13:D50" si="4">0</f>
        <v>0</v>
      </c>
      <c r="E13" s="2"/>
      <c r="F13" s="19"/>
      <c r="G13" s="2"/>
      <c r="H13" s="2">
        <v>17765</v>
      </c>
      <c r="I13" s="2"/>
      <c r="J13" s="19"/>
      <c r="K13" s="2"/>
      <c r="L13" s="2">
        <f t="shared" si="0"/>
        <v>-17765</v>
      </c>
      <c r="M13" s="2"/>
      <c r="N13" s="19">
        <f t="shared" si="1"/>
        <v>-1</v>
      </c>
      <c r="O13" s="11"/>
      <c r="P13" s="2">
        <f>0</f>
        <v>0</v>
      </c>
      <c r="Q13" s="2"/>
      <c r="R13" s="19"/>
      <c r="S13" s="2"/>
      <c r="T13" s="2">
        <v>396418</v>
      </c>
      <c r="U13" s="2"/>
      <c r="V13" s="19"/>
      <c r="W13" s="2"/>
      <c r="X13" s="2">
        <f t="shared" si="2"/>
        <v>-396418</v>
      </c>
      <c r="Y13" s="2"/>
      <c r="Z13" s="19">
        <f t="shared" si="3"/>
        <v>-1</v>
      </c>
    </row>
    <row r="14" spans="1:26" s="24" customFormat="1" hidden="1" outlineLevel="1" x14ac:dyDescent="0.25">
      <c r="A14" s="44"/>
      <c r="B14" s="11" t="str">
        <f>CONCATENATE("          ", "4017", " - ", "TAXABLE SALES-DORM/HOUSEWARES")</f>
        <v xml:space="preserve">          4017 - TAXABLE SALES-DORM/HOUSEWARES</v>
      </c>
      <c r="C14" s="11"/>
      <c r="D14" s="2">
        <f t="shared" si="4"/>
        <v>0</v>
      </c>
      <c r="E14" s="2"/>
      <c r="F14" s="19"/>
      <c r="G14" s="2"/>
      <c r="H14" s="2"/>
      <c r="I14" s="2"/>
      <c r="J14" s="19"/>
      <c r="K14" s="2"/>
      <c r="L14" s="2">
        <f t="shared" si="0"/>
        <v>0</v>
      </c>
      <c r="M14" s="2"/>
      <c r="N14" s="19">
        <f t="shared" si="1"/>
        <v>0</v>
      </c>
      <c r="O14" s="11"/>
      <c r="P14" s="2">
        <f>--71.37</f>
        <v>71.37</v>
      </c>
      <c r="Q14" s="2"/>
      <c r="R14" s="19"/>
      <c r="S14" s="2"/>
      <c r="T14" s="2"/>
      <c r="U14" s="2"/>
      <c r="V14" s="19"/>
      <c r="W14" s="2"/>
      <c r="X14" s="2">
        <f t="shared" si="2"/>
        <v>71.37</v>
      </c>
      <c r="Y14" s="2"/>
      <c r="Z14" s="19">
        <f t="shared" si="3"/>
        <v>0</v>
      </c>
    </row>
    <row r="15" spans="1:26" s="24" customFormat="1" hidden="1" outlineLevel="1" x14ac:dyDescent="0.25">
      <c r="A15" s="44"/>
      <c r="B15" s="11" t="str">
        <f>CONCATENATE("          ", "4025", " - ", "TAXABLE SALES-TEST FORMS")</f>
        <v xml:space="preserve">          4025 - TAXABLE SALES-TEST FORMS</v>
      </c>
      <c r="C15" s="11"/>
      <c r="D15" s="2">
        <f t="shared" si="4"/>
        <v>0</v>
      </c>
      <c r="E15" s="2"/>
      <c r="F15" s="19"/>
      <c r="G15" s="2"/>
      <c r="H15" s="2"/>
      <c r="I15" s="2"/>
      <c r="J15" s="19"/>
      <c r="K15" s="2"/>
      <c r="L15" s="2">
        <f t="shared" si="0"/>
        <v>0</v>
      </c>
      <c r="M15" s="2"/>
      <c r="N15" s="19">
        <f t="shared" si="1"/>
        <v>0</v>
      </c>
      <c r="O15" s="11"/>
      <c r="P15" s="2">
        <f>--2262.94</f>
        <v>2262.94</v>
      </c>
      <c r="Q15" s="2"/>
      <c r="R15" s="19"/>
      <c r="S15" s="2"/>
      <c r="T15" s="2"/>
      <c r="U15" s="2"/>
      <c r="V15" s="19"/>
      <c r="W15" s="2"/>
      <c r="X15" s="2">
        <f t="shared" si="2"/>
        <v>2262.94</v>
      </c>
      <c r="Y15" s="2"/>
      <c r="Z15" s="19">
        <f t="shared" si="3"/>
        <v>0</v>
      </c>
    </row>
    <row r="16" spans="1:26" s="24" customFormat="1" hidden="1" outlineLevel="1" x14ac:dyDescent="0.25">
      <c r="A16" s="44"/>
      <c r="B16" s="11" t="str">
        <f>CONCATENATE("          ", "4026", " - ", "TAXABLE SALES-WRITING INSTRUME")</f>
        <v xml:space="preserve">          4026 - TAXABLE SALES-WRITING INSTRUME</v>
      </c>
      <c r="C16" s="11"/>
      <c r="D16" s="2">
        <f t="shared" si="4"/>
        <v>0</v>
      </c>
      <c r="E16" s="2"/>
      <c r="F16" s="19"/>
      <c r="G16" s="2"/>
      <c r="H16" s="2"/>
      <c r="I16" s="2"/>
      <c r="J16" s="19"/>
      <c r="K16" s="2"/>
      <c r="L16" s="2">
        <f t="shared" si="0"/>
        <v>0</v>
      </c>
      <c r="M16" s="2"/>
      <c r="N16" s="19">
        <f t="shared" si="1"/>
        <v>0</v>
      </c>
      <c r="O16" s="11"/>
      <c r="P16" s="2">
        <f>--6663.38</f>
        <v>6663.38</v>
      </c>
      <c r="Q16" s="2"/>
      <c r="R16" s="19"/>
      <c r="S16" s="2"/>
      <c r="T16" s="2"/>
      <c r="U16" s="2"/>
      <c r="V16" s="19"/>
      <c r="W16" s="2"/>
      <c r="X16" s="2">
        <f t="shared" si="2"/>
        <v>6663.38</v>
      </c>
      <c r="Y16" s="2"/>
      <c r="Z16" s="19">
        <f t="shared" si="3"/>
        <v>0</v>
      </c>
    </row>
    <row r="17" spans="1:26" s="24" customFormat="1" hidden="1" outlineLevel="1" x14ac:dyDescent="0.25">
      <c r="A17" s="44"/>
      <c r="B17" s="11" t="str">
        <f>CONCATENATE("          ", "4027", " - ", "TAXABLE SALES-SCHOOL SUPPLIES")</f>
        <v xml:space="preserve">          4027 - TAXABLE SALES-SCHOOL SUPPLIES</v>
      </c>
      <c r="C17" s="11"/>
      <c r="D17" s="2">
        <f t="shared" si="4"/>
        <v>0</v>
      </c>
      <c r="E17" s="2"/>
      <c r="F17" s="19"/>
      <c r="G17" s="2"/>
      <c r="H17" s="2"/>
      <c r="I17" s="2"/>
      <c r="J17" s="19"/>
      <c r="K17" s="2"/>
      <c r="L17" s="2">
        <f t="shared" si="0"/>
        <v>0</v>
      </c>
      <c r="M17" s="2"/>
      <c r="N17" s="19">
        <f t="shared" si="1"/>
        <v>0</v>
      </c>
      <c r="O17" s="11"/>
      <c r="P17" s="2">
        <f>--9231.13</f>
        <v>9231.1299999999992</v>
      </c>
      <c r="Q17" s="2"/>
      <c r="R17" s="19"/>
      <c r="S17" s="2"/>
      <c r="T17" s="2"/>
      <c r="U17" s="2"/>
      <c r="V17" s="19"/>
      <c r="W17" s="2"/>
      <c r="X17" s="2">
        <f t="shared" si="2"/>
        <v>9231.1299999999992</v>
      </c>
      <c r="Y17" s="2"/>
      <c r="Z17" s="19">
        <f t="shared" si="3"/>
        <v>0</v>
      </c>
    </row>
    <row r="18" spans="1:26" s="24" customFormat="1" hidden="1" outlineLevel="1" x14ac:dyDescent="0.25">
      <c r="A18" s="44"/>
      <c r="B18" s="11" t="str">
        <f>CONCATENATE("          ", "4028", " - ", "TAXABLE SALES-ART/TECH")</f>
        <v xml:space="preserve">          4028 - TAXABLE SALES-ART/TECH</v>
      </c>
      <c r="C18" s="11"/>
      <c r="D18" s="2">
        <f t="shared" si="4"/>
        <v>0</v>
      </c>
      <c r="E18" s="2"/>
      <c r="F18" s="19"/>
      <c r="G18" s="2"/>
      <c r="H18" s="2"/>
      <c r="I18" s="2"/>
      <c r="J18" s="19"/>
      <c r="K18" s="2"/>
      <c r="L18" s="2">
        <f t="shared" si="0"/>
        <v>0</v>
      </c>
      <c r="M18" s="2"/>
      <c r="N18" s="19">
        <f t="shared" si="1"/>
        <v>0</v>
      </c>
      <c r="O18" s="11"/>
      <c r="P18" s="2">
        <f>--280493.72</f>
        <v>280493.71999999997</v>
      </c>
      <c r="Q18" s="2"/>
      <c r="R18" s="19"/>
      <c r="S18" s="2"/>
      <c r="T18" s="2"/>
      <c r="U18" s="2"/>
      <c r="V18" s="19"/>
      <c r="W18" s="2"/>
      <c r="X18" s="2">
        <f t="shared" si="2"/>
        <v>280493.71999999997</v>
      </c>
      <c r="Y18" s="2"/>
      <c r="Z18" s="19">
        <f t="shared" si="3"/>
        <v>0</v>
      </c>
    </row>
    <row r="19" spans="1:26" s="24" customFormat="1" hidden="1" outlineLevel="1" x14ac:dyDescent="0.25">
      <c r="A19" s="44"/>
      <c r="B19" s="11" t="str">
        <f>CONCATENATE("          ", "4031", " - ", "TAXABLE SALES-FOOD")</f>
        <v xml:space="preserve">          4031 - TAXABLE SALES-FOOD</v>
      </c>
      <c r="C19" s="11"/>
      <c r="D19" s="2">
        <f t="shared" si="4"/>
        <v>0</v>
      </c>
      <c r="E19" s="2"/>
      <c r="F19" s="19"/>
      <c r="G19" s="2"/>
      <c r="H19" s="2"/>
      <c r="I19" s="2"/>
      <c r="J19" s="19"/>
      <c r="K19" s="2"/>
      <c r="L19" s="2">
        <f t="shared" si="0"/>
        <v>0</v>
      </c>
      <c r="M19" s="2"/>
      <c r="N19" s="19">
        <f t="shared" si="1"/>
        <v>0</v>
      </c>
      <c r="O19" s="11"/>
      <c r="P19" s="2">
        <f>--486.34</f>
        <v>486.34</v>
      </c>
      <c r="Q19" s="2"/>
      <c r="R19" s="19"/>
      <c r="S19" s="2"/>
      <c r="T19" s="2"/>
      <c r="U19" s="2"/>
      <c r="V19" s="19"/>
      <c r="W19" s="2"/>
      <c r="X19" s="2">
        <f t="shared" si="2"/>
        <v>486.34</v>
      </c>
      <c r="Y19" s="2"/>
      <c r="Z19" s="19">
        <f t="shared" si="3"/>
        <v>0</v>
      </c>
    </row>
    <row r="20" spans="1:26" s="24" customFormat="1" hidden="1" outlineLevel="1" x14ac:dyDescent="0.25">
      <c r="A20" s="44"/>
      <c r="B20" s="11" t="str">
        <f>CONCATENATE("          ", "4032", " - ", "TAXABLE SALES-JUICE")</f>
        <v xml:space="preserve">          4032 - TAXABLE SALES-JUICE</v>
      </c>
      <c r="C20" s="11"/>
      <c r="D20" s="2">
        <f t="shared" si="4"/>
        <v>0</v>
      </c>
      <c r="E20" s="2"/>
      <c r="F20" s="19"/>
      <c r="G20" s="2"/>
      <c r="H20" s="2"/>
      <c r="I20" s="2"/>
      <c r="J20" s="19"/>
      <c r="K20" s="2"/>
      <c r="L20" s="2">
        <f t="shared" si="0"/>
        <v>0</v>
      </c>
      <c r="M20" s="2"/>
      <c r="N20" s="19">
        <f t="shared" si="1"/>
        <v>0</v>
      </c>
      <c r="O20" s="11"/>
      <c r="P20" s="2">
        <f>--1905.06</f>
        <v>1905.06</v>
      </c>
      <c r="Q20" s="2"/>
      <c r="R20" s="19"/>
      <c r="S20" s="2"/>
      <c r="T20" s="2"/>
      <c r="U20" s="2"/>
      <c r="V20" s="19"/>
      <c r="W20" s="2"/>
      <c r="X20" s="2">
        <f t="shared" si="2"/>
        <v>1905.06</v>
      </c>
      <c r="Y20" s="2"/>
      <c r="Z20" s="19">
        <f t="shared" si="3"/>
        <v>0</v>
      </c>
    </row>
    <row r="21" spans="1:26" s="24" customFormat="1" hidden="1" outlineLevel="1" x14ac:dyDescent="0.25">
      <c r="A21" s="44"/>
      <c r="B21" s="11" t="str">
        <f>CONCATENATE("          ", "4033", " - ", "TAXABLE SALES-CANDY")</f>
        <v xml:space="preserve">          4033 - TAXABLE SALES-CANDY</v>
      </c>
      <c r="C21" s="11"/>
      <c r="D21" s="2">
        <f t="shared" si="4"/>
        <v>0</v>
      </c>
      <c r="E21" s="2"/>
      <c r="F21" s="19"/>
      <c r="G21" s="2"/>
      <c r="H21" s="2"/>
      <c r="I21" s="2"/>
      <c r="J21" s="19"/>
      <c r="K21" s="2"/>
      <c r="L21" s="2">
        <f t="shared" si="0"/>
        <v>0</v>
      </c>
      <c r="M21" s="2"/>
      <c r="N21" s="19">
        <f t="shared" si="1"/>
        <v>0</v>
      </c>
      <c r="O21" s="11"/>
      <c r="P21" s="2">
        <f>--205.53</f>
        <v>205.53</v>
      </c>
      <c r="Q21" s="2"/>
      <c r="R21" s="19"/>
      <c r="S21" s="2"/>
      <c r="T21" s="2"/>
      <c r="U21" s="2"/>
      <c r="V21" s="19"/>
      <c r="W21" s="2"/>
      <c r="X21" s="2">
        <f t="shared" si="2"/>
        <v>205.53</v>
      </c>
      <c r="Y21" s="2"/>
      <c r="Z21" s="19">
        <f t="shared" si="3"/>
        <v>0</v>
      </c>
    </row>
    <row r="22" spans="1:26" s="24" customFormat="1" hidden="1" outlineLevel="1" x14ac:dyDescent="0.25">
      <c r="A22" s="44"/>
      <c r="B22" s="11" t="str">
        <f>CONCATENATE("          ", "4034", " - ", "TAXABLE SALES-SODA")</f>
        <v xml:space="preserve">          4034 - TAXABLE SALES-SODA</v>
      </c>
      <c r="C22" s="11"/>
      <c r="D22" s="2">
        <f t="shared" si="4"/>
        <v>0</v>
      </c>
      <c r="E22" s="2"/>
      <c r="F22" s="19"/>
      <c r="G22" s="2"/>
      <c r="H22" s="2"/>
      <c r="I22" s="2"/>
      <c r="J22" s="19"/>
      <c r="K22" s="2"/>
      <c r="L22" s="2">
        <f t="shared" si="0"/>
        <v>0</v>
      </c>
      <c r="M22" s="2"/>
      <c r="N22" s="19">
        <f t="shared" si="1"/>
        <v>0</v>
      </c>
      <c r="O22" s="11"/>
      <c r="P22" s="2">
        <f>--7803.51</f>
        <v>7803.51</v>
      </c>
      <c r="Q22" s="2"/>
      <c r="R22" s="19"/>
      <c r="S22" s="2"/>
      <c r="T22" s="2"/>
      <c r="U22" s="2"/>
      <c r="V22" s="19"/>
      <c r="W22" s="2"/>
      <c r="X22" s="2">
        <f t="shared" si="2"/>
        <v>7803.51</v>
      </c>
      <c r="Y22" s="2"/>
      <c r="Z22" s="19">
        <f t="shared" si="3"/>
        <v>0</v>
      </c>
    </row>
    <row r="23" spans="1:26" s="24" customFormat="1" hidden="1" outlineLevel="1" x14ac:dyDescent="0.25">
      <c r="A23" s="44"/>
      <c r="B23" s="11" t="str">
        <f>CONCATENATE("          ", "4035", " - ", "TAXABLE SALES-HEALTH &amp; BEAUTY")</f>
        <v xml:space="preserve">          4035 - TAXABLE SALES-HEALTH &amp; BEAUTY</v>
      </c>
      <c r="C23" s="11"/>
      <c r="D23" s="2">
        <f t="shared" si="4"/>
        <v>0</v>
      </c>
      <c r="E23" s="2"/>
      <c r="F23" s="19"/>
      <c r="G23" s="2"/>
      <c r="H23" s="2"/>
      <c r="I23" s="2"/>
      <c r="J23" s="19"/>
      <c r="K23" s="2"/>
      <c r="L23" s="2">
        <f t="shared" si="0"/>
        <v>0</v>
      </c>
      <c r="M23" s="2"/>
      <c r="N23" s="19">
        <f t="shared" si="1"/>
        <v>0</v>
      </c>
      <c r="O23" s="11"/>
      <c r="P23" s="2">
        <f>--1961.69</f>
        <v>1961.69</v>
      </c>
      <c r="Q23" s="2"/>
      <c r="R23" s="19"/>
      <c r="S23" s="2"/>
      <c r="T23" s="2"/>
      <c r="U23" s="2"/>
      <c r="V23" s="19"/>
      <c r="W23" s="2"/>
      <c r="X23" s="2">
        <f t="shared" si="2"/>
        <v>1961.69</v>
      </c>
      <c r="Y23" s="2"/>
      <c r="Z23" s="19">
        <f t="shared" si="3"/>
        <v>0</v>
      </c>
    </row>
    <row r="24" spans="1:26" s="24" customFormat="1" hidden="1" outlineLevel="1" x14ac:dyDescent="0.25">
      <c r="A24" s="44"/>
      <c r="B24" s="11" t="str">
        <f>CONCATENATE("          ", "4037", " - ", "TAXABLE SALES-WATER")</f>
        <v xml:space="preserve">          4037 - TAXABLE SALES-WATER</v>
      </c>
      <c r="C24" s="11"/>
      <c r="D24" s="2">
        <f t="shared" si="4"/>
        <v>0</v>
      </c>
      <c r="E24" s="2"/>
      <c r="F24" s="19"/>
      <c r="G24" s="2"/>
      <c r="H24" s="2"/>
      <c r="I24" s="2"/>
      <c r="J24" s="19"/>
      <c r="K24" s="2"/>
      <c r="L24" s="2">
        <f t="shared" si="0"/>
        <v>0</v>
      </c>
      <c r="M24" s="2"/>
      <c r="N24" s="19">
        <f t="shared" si="1"/>
        <v>0</v>
      </c>
      <c r="O24" s="11"/>
      <c r="P24" s="2">
        <f>--513.51</f>
        <v>513.51</v>
      </c>
      <c r="Q24" s="2"/>
      <c r="R24" s="19"/>
      <c r="S24" s="2"/>
      <c r="T24" s="2"/>
      <c r="U24" s="2"/>
      <c r="V24" s="19"/>
      <c r="W24" s="2"/>
      <c r="X24" s="2">
        <f t="shared" si="2"/>
        <v>513.51</v>
      </c>
      <c r="Y24" s="2"/>
      <c r="Z24" s="19">
        <f t="shared" si="3"/>
        <v>0</v>
      </c>
    </row>
    <row r="25" spans="1:26" s="24" customFormat="1" hidden="1" outlineLevel="1" x14ac:dyDescent="0.25">
      <c r="A25" s="44"/>
      <c r="B25" s="11" t="str">
        <f>CONCATENATE("          ", "4041", " - ", "TAXABLE SALES-LOGO GIFTS")</f>
        <v xml:space="preserve">          4041 - TAXABLE SALES-LOGO GIFTS</v>
      </c>
      <c r="C25" s="11"/>
      <c r="D25" s="2">
        <f t="shared" si="4"/>
        <v>0</v>
      </c>
      <c r="E25" s="2"/>
      <c r="F25" s="19"/>
      <c r="G25" s="2"/>
      <c r="H25" s="2"/>
      <c r="I25" s="2"/>
      <c r="J25" s="19"/>
      <c r="K25" s="2"/>
      <c r="L25" s="2">
        <f t="shared" si="0"/>
        <v>0</v>
      </c>
      <c r="M25" s="2"/>
      <c r="N25" s="19">
        <f t="shared" si="1"/>
        <v>0</v>
      </c>
      <c r="O25" s="11"/>
      <c r="P25" s="2">
        <f>--494.2</f>
        <v>494.2</v>
      </c>
      <c r="Q25" s="2"/>
      <c r="R25" s="19"/>
      <c r="S25" s="2"/>
      <c r="T25" s="2"/>
      <c r="U25" s="2"/>
      <c r="V25" s="19"/>
      <c r="W25" s="2"/>
      <c r="X25" s="2">
        <f t="shared" si="2"/>
        <v>494.2</v>
      </c>
      <c r="Y25" s="2"/>
      <c r="Z25" s="19">
        <f t="shared" si="3"/>
        <v>0</v>
      </c>
    </row>
    <row r="26" spans="1:26" s="24" customFormat="1" hidden="1" outlineLevel="1" x14ac:dyDescent="0.25">
      <c r="A26" s="44"/>
      <c r="B26" s="11" t="str">
        <f>CONCATENATE("          ", "4042", " - ", "TAXABLE SALES-EVERYDAY GIFTS")</f>
        <v xml:space="preserve">          4042 - TAXABLE SALES-EVERYDAY GIFTS</v>
      </c>
      <c r="C26" s="11"/>
      <c r="D26" s="2">
        <f t="shared" si="4"/>
        <v>0</v>
      </c>
      <c r="E26" s="2"/>
      <c r="F26" s="19"/>
      <c r="G26" s="2"/>
      <c r="H26" s="2"/>
      <c r="I26" s="2"/>
      <c r="J26" s="19"/>
      <c r="K26" s="2"/>
      <c r="L26" s="2">
        <f t="shared" si="0"/>
        <v>0</v>
      </c>
      <c r="M26" s="2"/>
      <c r="N26" s="19">
        <f t="shared" si="1"/>
        <v>0</v>
      </c>
      <c r="O26" s="11"/>
      <c r="P26" s="2">
        <f>--583.7</f>
        <v>583.70000000000005</v>
      </c>
      <c r="Q26" s="2"/>
      <c r="R26" s="19"/>
      <c r="S26" s="2"/>
      <c r="T26" s="2"/>
      <c r="U26" s="2"/>
      <c r="V26" s="19"/>
      <c r="W26" s="2"/>
      <c r="X26" s="2">
        <f t="shared" si="2"/>
        <v>583.70000000000005</v>
      </c>
      <c r="Y26" s="2"/>
      <c r="Z26" s="19">
        <f t="shared" si="3"/>
        <v>0</v>
      </c>
    </row>
    <row r="27" spans="1:26" s="24" customFormat="1" hidden="1" outlineLevel="1" x14ac:dyDescent="0.25">
      <c r="A27" s="44"/>
      <c r="B27" s="11" t="str">
        <f>CONCATENATE("          ", "4044", " - ", "TAXABLE SALES-ACCESSORIES")</f>
        <v xml:space="preserve">          4044 - TAXABLE SALES-ACCESSORIES</v>
      </c>
      <c r="C27" s="11"/>
      <c r="D27" s="2">
        <f t="shared" si="4"/>
        <v>0</v>
      </c>
      <c r="E27" s="2"/>
      <c r="F27" s="19"/>
      <c r="G27" s="2"/>
      <c r="H27" s="2"/>
      <c r="I27" s="2"/>
      <c r="J27" s="19"/>
      <c r="K27" s="2"/>
      <c r="L27" s="2">
        <f t="shared" si="0"/>
        <v>0</v>
      </c>
      <c r="M27" s="2"/>
      <c r="N27" s="19">
        <f t="shared" si="1"/>
        <v>0</v>
      </c>
      <c r="O27" s="11"/>
      <c r="P27" s="2">
        <f>--179.5</f>
        <v>179.5</v>
      </c>
      <c r="Q27" s="2"/>
      <c r="R27" s="19"/>
      <c r="S27" s="2"/>
      <c r="T27" s="2"/>
      <c r="U27" s="2"/>
      <c r="V27" s="19"/>
      <c r="W27" s="2"/>
      <c r="X27" s="2">
        <f t="shared" si="2"/>
        <v>179.5</v>
      </c>
      <c r="Y27" s="2"/>
      <c r="Z27" s="19">
        <f t="shared" si="3"/>
        <v>0</v>
      </c>
    </row>
    <row r="28" spans="1:26" s="24" customFormat="1" hidden="1" outlineLevel="1" x14ac:dyDescent="0.25">
      <c r="A28" s="44"/>
      <c r="B28" s="11" t="str">
        <f>CONCATENATE("          ", "4081", " - ", "TAXABLE SALES-ELECTRONICS")</f>
        <v xml:space="preserve">          4081 - TAXABLE SALES-ELECTRONICS</v>
      </c>
      <c r="C28" s="11"/>
      <c r="D28" s="2">
        <f t="shared" si="4"/>
        <v>0</v>
      </c>
      <c r="E28" s="2"/>
      <c r="F28" s="19"/>
      <c r="G28" s="2"/>
      <c r="H28" s="2"/>
      <c r="I28" s="2"/>
      <c r="J28" s="19"/>
      <c r="K28" s="2"/>
      <c r="L28" s="2">
        <f t="shared" si="0"/>
        <v>0</v>
      </c>
      <c r="M28" s="2"/>
      <c r="N28" s="19">
        <f t="shared" si="1"/>
        <v>0</v>
      </c>
      <c r="O28" s="11"/>
      <c r="P28" s="2">
        <f>--3174.93</f>
        <v>3174.93</v>
      </c>
      <c r="Q28" s="2"/>
      <c r="R28" s="19"/>
      <c r="S28" s="2"/>
      <c r="T28" s="2"/>
      <c r="U28" s="2"/>
      <c r="V28" s="19"/>
      <c r="W28" s="2"/>
      <c r="X28" s="2">
        <f t="shared" si="2"/>
        <v>3174.93</v>
      </c>
      <c r="Y28" s="2"/>
      <c r="Z28" s="19">
        <f t="shared" si="3"/>
        <v>0</v>
      </c>
    </row>
    <row r="29" spans="1:26" s="24" customFormat="1" hidden="1" outlineLevel="1" x14ac:dyDescent="0.25">
      <c r="A29" s="44"/>
      <c r="B29" s="11" t="str">
        <f>CONCATENATE("          ", "4082", " - ", "TAXABLE SALES-COMPUTER HARDWAR")</f>
        <v xml:space="preserve">          4082 - TAXABLE SALES-COMPUTER HARDWAR</v>
      </c>
      <c r="C29" s="11"/>
      <c r="D29" s="2">
        <f t="shared" si="4"/>
        <v>0</v>
      </c>
      <c r="E29" s="2"/>
      <c r="F29" s="19"/>
      <c r="G29" s="2"/>
      <c r="H29" s="2"/>
      <c r="I29" s="2"/>
      <c r="J29" s="19"/>
      <c r="K29" s="2"/>
      <c r="L29" s="2">
        <f t="shared" si="0"/>
        <v>0</v>
      </c>
      <c r="M29" s="2"/>
      <c r="N29" s="19">
        <f t="shared" si="1"/>
        <v>0</v>
      </c>
      <c r="O29" s="11"/>
      <c r="P29" s="2">
        <f>--363.94</f>
        <v>363.94</v>
      </c>
      <c r="Q29" s="2"/>
      <c r="R29" s="19"/>
      <c r="S29" s="2"/>
      <c r="T29" s="2"/>
      <c r="U29" s="2"/>
      <c r="V29" s="19"/>
      <c r="W29" s="2"/>
      <c r="X29" s="2">
        <f t="shared" si="2"/>
        <v>363.94</v>
      </c>
      <c r="Y29" s="2"/>
      <c r="Z29" s="19">
        <f t="shared" si="3"/>
        <v>0</v>
      </c>
    </row>
    <row r="30" spans="1:26" s="24" customFormat="1" hidden="1" outlineLevel="1" x14ac:dyDescent="0.25">
      <c r="A30" s="44"/>
      <c r="B30" s="11" t="str">
        <f>CONCATENATE("          ", "4083", " - ", "TAXABLE SALES-COMPUTER EQUIPME")</f>
        <v xml:space="preserve">          4083 - TAXABLE SALES-COMPUTER EQUIPME</v>
      </c>
      <c r="C30" s="11"/>
      <c r="D30" s="2">
        <f t="shared" si="4"/>
        <v>0</v>
      </c>
      <c r="E30" s="2"/>
      <c r="F30" s="19"/>
      <c r="G30" s="2"/>
      <c r="H30" s="2"/>
      <c r="I30" s="2"/>
      <c r="J30" s="19"/>
      <c r="K30" s="2"/>
      <c r="L30" s="2">
        <f t="shared" si="0"/>
        <v>0</v>
      </c>
      <c r="M30" s="2"/>
      <c r="N30" s="19">
        <f t="shared" si="1"/>
        <v>0</v>
      </c>
      <c r="O30" s="11"/>
      <c r="P30" s="2">
        <f>--914.33</f>
        <v>914.33</v>
      </c>
      <c r="Q30" s="2"/>
      <c r="R30" s="19"/>
      <c r="S30" s="2"/>
      <c r="T30" s="2"/>
      <c r="U30" s="2"/>
      <c r="V30" s="19"/>
      <c r="W30" s="2"/>
      <c r="X30" s="2">
        <f t="shared" si="2"/>
        <v>914.33</v>
      </c>
      <c r="Y30" s="2"/>
      <c r="Z30" s="19">
        <f t="shared" si="3"/>
        <v>0</v>
      </c>
    </row>
    <row r="31" spans="1:26" s="24" customFormat="1" hidden="1" outlineLevel="1" x14ac:dyDescent="0.25">
      <c r="A31" s="44"/>
      <c r="B31" s="11" t="str">
        <f>CONCATENATE("          ", "4086", " - ", "TAXABLE SALES-COMPUTER SUPPLIE")</f>
        <v xml:space="preserve">          4086 - TAXABLE SALES-COMPUTER SUPPLIE</v>
      </c>
      <c r="C31" s="11"/>
      <c r="D31" s="2">
        <f t="shared" si="4"/>
        <v>0</v>
      </c>
      <c r="E31" s="2"/>
      <c r="F31" s="19"/>
      <c r="G31" s="2"/>
      <c r="H31" s="2"/>
      <c r="I31" s="2"/>
      <c r="J31" s="19"/>
      <c r="K31" s="2"/>
      <c r="L31" s="2">
        <f t="shared" si="0"/>
        <v>0</v>
      </c>
      <c r="M31" s="2"/>
      <c r="N31" s="19">
        <f t="shared" si="1"/>
        <v>0</v>
      </c>
      <c r="O31" s="11"/>
      <c r="P31" s="2">
        <f>--813.74</f>
        <v>813.74</v>
      </c>
      <c r="Q31" s="2"/>
      <c r="R31" s="19"/>
      <c r="S31" s="2"/>
      <c r="T31" s="2"/>
      <c r="U31" s="2"/>
      <c r="V31" s="19"/>
      <c r="W31" s="2"/>
      <c r="X31" s="2">
        <f t="shared" si="2"/>
        <v>813.74</v>
      </c>
      <c r="Y31" s="2"/>
      <c r="Z31" s="19">
        <f t="shared" si="3"/>
        <v>0</v>
      </c>
    </row>
    <row r="32" spans="1:26" s="24" customFormat="1" hidden="1" outlineLevel="1" x14ac:dyDescent="0.25">
      <c r="A32" s="44"/>
      <c r="B32" s="11" t="str">
        <f>CONCATENATE("          ", "4100", " - ", "NON-TAXABLE SALES")</f>
        <v xml:space="preserve">          4100 - NON-TAXABLE SALES</v>
      </c>
      <c r="C32" s="11"/>
      <c r="D32" s="2">
        <f t="shared" si="4"/>
        <v>0</v>
      </c>
      <c r="E32" s="2"/>
      <c r="F32" s="19"/>
      <c r="G32" s="2"/>
      <c r="H32" s="2">
        <v>8891</v>
      </c>
      <c r="I32" s="2"/>
      <c r="J32" s="19"/>
      <c r="K32" s="2"/>
      <c r="L32" s="2">
        <f t="shared" si="0"/>
        <v>-8891</v>
      </c>
      <c r="M32" s="2"/>
      <c r="N32" s="19">
        <f t="shared" si="1"/>
        <v>-1</v>
      </c>
      <c r="O32" s="11"/>
      <c r="P32" s="2">
        <f>0</f>
        <v>0</v>
      </c>
      <c r="Q32" s="2"/>
      <c r="R32" s="19"/>
      <c r="S32" s="2"/>
      <c r="T32" s="2">
        <v>132754</v>
      </c>
      <c r="U32" s="2"/>
      <c r="V32" s="19"/>
      <c r="W32" s="2"/>
      <c r="X32" s="2">
        <f t="shared" si="2"/>
        <v>-132754</v>
      </c>
      <c r="Y32" s="2"/>
      <c r="Z32" s="19">
        <f t="shared" si="3"/>
        <v>-1</v>
      </c>
    </row>
    <row r="33" spans="1:26" s="24" customFormat="1" hidden="1" outlineLevel="1" x14ac:dyDescent="0.25">
      <c r="A33" s="44"/>
      <c r="B33" s="11" t="str">
        <f>CONCATENATE("          ", "4126", " - ", "NON-TAXABLE SALES-WRITING INST")</f>
        <v xml:space="preserve">          4126 - NON-TAXABLE SALES-WRITING INST</v>
      </c>
      <c r="C33" s="11"/>
      <c r="D33" s="2">
        <f t="shared" si="4"/>
        <v>0</v>
      </c>
      <c r="E33" s="2"/>
      <c r="F33" s="19"/>
      <c r="G33" s="2"/>
      <c r="H33" s="2"/>
      <c r="I33" s="2"/>
      <c r="J33" s="19"/>
      <c r="K33" s="2"/>
      <c r="L33" s="2">
        <f t="shared" si="0"/>
        <v>0</v>
      </c>
      <c r="M33" s="2"/>
      <c r="N33" s="19">
        <f t="shared" si="1"/>
        <v>0</v>
      </c>
      <c r="O33" s="11"/>
      <c r="P33" s="2">
        <f>--2.49</f>
        <v>2.4900000000000002</v>
      </c>
      <c r="Q33" s="2"/>
      <c r="R33" s="19"/>
      <c r="S33" s="2"/>
      <c r="T33" s="2"/>
      <c r="U33" s="2"/>
      <c r="V33" s="19"/>
      <c r="W33" s="2"/>
      <c r="X33" s="2">
        <f t="shared" si="2"/>
        <v>2.4900000000000002</v>
      </c>
      <c r="Y33" s="2"/>
      <c r="Z33" s="19">
        <f t="shared" si="3"/>
        <v>0</v>
      </c>
    </row>
    <row r="34" spans="1:26" s="24" customFormat="1" hidden="1" outlineLevel="1" x14ac:dyDescent="0.25">
      <c r="A34" s="44"/>
      <c r="B34" s="11" t="str">
        <f>CONCATENATE("          ", "4127", " - ", "NON-TAXABLE SALES-SCHOOL SUPPL")</f>
        <v xml:space="preserve">          4127 - NON-TAXABLE SALES-SCHOOL SUPPL</v>
      </c>
      <c r="C34" s="11"/>
      <c r="D34" s="2">
        <f t="shared" si="4"/>
        <v>0</v>
      </c>
      <c r="E34" s="2"/>
      <c r="F34" s="19"/>
      <c r="G34" s="2"/>
      <c r="H34" s="2"/>
      <c r="I34" s="2"/>
      <c r="J34" s="19"/>
      <c r="K34" s="2"/>
      <c r="L34" s="2">
        <f t="shared" si="0"/>
        <v>0</v>
      </c>
      <c r="M34" s="2"/>
      <c r="N34" s="19">
        <f t="shared" si="1"/>
        <v>0</v>
      </c>
      <c r="O34" s="11"/>
      <c r="P34" s="2">
        <f>--16.45</f>
        <v>16.45</v>
      </c>
      <c r="Q34" s="2"/>
      <c r="R34" s="19"/>
      <c r="S34" s="2"/>
      <c r="T34" s="2"/>
      <c r="U34" s="2"/>
      <c r="V34" s="19"/>
      <c r="W34" s="2"/>
      <c r="X34" s="2">
        <f t="shared" si="2"/>
        <v>16.45</v>
      </c>
      <c r="Y34" s="2"/>
      <c r="Z34" s="19">
        <f t="shared" si="3"/>
        <v>0</v>
      </c>
    </row>
    <row r="35" spans="1:26" s="24" customFormat="1" hidden="1" outlineLevel="1" x14ac:dyDescent="0.25">
      <c r="A35" s="44"/>
      <c r="B35" s="11" t="str">
        <f>CONCATENATE("          ", "4128", " - ", "NON-TAXABLE SALES-ART/TECH")</f>
        <v xml:space="preserve">          4128 - NON-TAXABLE SALES-ART/TECH</v>
      </c>
      <c r="C35" s="11"/>
      <c r="D35" s="2">
        <f t="shared" si="4"/>
        <v>0</v>
      </c>
      <c r="E35" s="2"/>
      <c r="F35" s="19"/>
      <c r="G35" s="2"/>
      <c r="H35" s="2"/>
      <c r="I35" s="2"/>
      <c r="J35" s="19"/>
      <c r="K35" s="2"/>
      <c r="L35" s="2">
        <f t="shared" si="0"/>
        <v>0</v>
      </c>
      <c r="M35" s="2"/>
      <c r="N35" s="19">
        <f t="shared" si="1"/>
        <v>0</v>
      </c>
      <c r="O35" s="11"/>
      <c r="P35" s="2">
        <f>--242.09</f>
        <v>242.09</v>
      </c>
      <c r="Q35" s="2"/>
      <c r="R35" s="19"/>
      <c r="S35" s="2"/>
      <c r="T35" s="2"/>
      <c r="U35" s="2"/>
      <c r="V35" s="19"/>
      <c r="W35" s="2"/>
      <c r="X35" s="2">
        <f t="shared" si="2"/>
        <v>242.09</v>
      </c>
      <c r="Y35" s="2"/>
      <c r="Z35" s="19">
        <f t="shared" si="3"/>
        <v>0</v>
      </c>
    </row>
    <row r="36" spans="1:26" s="24" customFormat="1" hidden="1" outlineLevel="1" x14ac:dyDescent="0.25">
      <c r="A36" s="44"/>
      <c r="B36" s="11" t="str">
        <f>CONCATENATE("          ", "4131", " - ", "NON-TAXABLE SALES-FOOD")</f>
        <v xml:space="preserve">          4131 - NON-TAXABLE SALES-FOOD</v>
      </c>
      <c r="C36" s="11"/>
      <c r="D36" s="2">
        <f t="shared" si="4"/>
        <v>0</v>
      </c>
      <c r="E36" s="2"/>
      <c r="F36" s="19"/>
      <c r="G36" s="2"/>
      <c r="H36" s="2"/>
      <c r="I36" s="2"/>
      <c r="J36" s="19"/>
      <c r="K36" s="2"/>
      <c r="L36" s="2">
        <f t="shared" si="0"/>
        <v>0</v>
      </c>
      <c r="M36" s="2"/>
      <c r="N36" s="19">
        <f t="shared" si="1"/>
        <v>0</v>
      </c>
      <c r="O36" s="11"/>
      <c r="P36" s="2">
        <f>--56310.14</f>
        <v>56310.14</v>
      </c>
      <c r="Q36" s="2"/>
      <c r="R36" s="19"/>
      <c r="S36" s="2"/>
      <c r="T36" s="2"/>
      <c r="U36" s="2"/>
      <c r="V36" s="19"/>
      <c r="W36" s="2"/>
      <c r="X36" s="2">
        <f t="shared" si="2"/>
        <v>56310.14</v>
      </c>
      <c r="Y36" s="2"/>
      <c r="Z36" s="19">
        <f t="shared" si="3"/>
        <v>0</v>
      </c>
    </row>
    <row r="37" spans="1:26" s="24" customFormat="1" hidden="1" outlineLevel="1" x14ac:dyDescent="0.25">
      <c r="A37" s="44"/>
      <c r="B37" s="11" t="str">
        <f>CONCATENATE("          ", "4132", " - ", "NON-TAXABLE SALES-JUICE")</f>
        <v xml:space="preserve">          4132 - NON-TAXABLE SALES-JUICE</v>
      </c>
      <c r="C37" s="11"/>
      <c r="D37" s="2">
        <f t="shared" si="4"/>
        <v>0</v>
      </c>
      <c r="E37" s="2"/>
      <c r="F37" s="19"/>
      <c r="G37" s="2"/>
      <c r="H37" s="2"/>
      <c r="I37" s="2"/>
      <c r="J37" s="19"/>
      <c r="K37" s="2"/>
      <c r="L37" s="2">
        <f t="shared" si="0"/>
        <v>0</v>
      </c>
      <c r="M37" s="2"/>
      <c r="N37" s="19">
        <f t="shared" si="1"/>
        <v>0</v>
      </c>
      <c r="O37" s="11"/>
      <c r="P37" s="2">
        <f>--16199.63</f>
        <v>16199.63</v>
      </c>
      <c r="Q37" s="2"/>
      <c r="R37" s="19"/>
      <c r="S37" s="2"/>
      <c r="T37" s="2"/>
      <c r="U37" s="2"/>
      <c r="V37" s="19"/>
      <c r="W37" s="2"/>
      <c r="X37" s="2">
        <f t="shared" si="2"/>
        <v>16199.63</v>
      </c>
      <c r="Y37" s="2"/>
      <c r="Z37" s="19">
        <f t="shared" si="3"/>
        <v>0</v>
      </c>
    </row>
    <row r="38" spans="1:26" s="24" customFormat="1" hidden="1" outlineLevel="1" x14ac:dyDescent="0.25">
      <c r="A38" s="44"/>
      <c r="B38" s="11" t="str">
        <f>CONCATENATE("          ", "4133", " - ", "NON-TAXABLE SALES-CANDY")</f>
        <v xml:space="preserve">          4133 - NON-TAXABLE SALES-CANDY</v>
      </c>
      <c r="C38" s="11"/>
      <c r="D38" s="2">
        <f t="shared" si="4"/>
        <v>0</v>
      </c>
      <c r="E38" s="2"/>
      <c r="F38" s="19"/>
      <c r="G38" s="2"/>
      <c r="H38" s="2"/>
      <c r="I38" s="2"/>
      <c r="J38" s="19"/>
      <c r="K38" s="2"/>
      <c r="L38" s="2">
        <f t="shared" si="0"/>
        <v>0</v>
      </c>
      <c r="M38" s="2"/>
      <c r="N38" s="19">
        <f t="shared" si="1"/>
        <v>0</v>
      </c>
      <c r="O38" s="11"/>
      <c r="P38" s="2">
        <f>--15823.84</f>
        <v>15823.84</v>
      </c>
      <c r="Q38" s="2"/>
      <c r="R38" s="19"/>
      <c r="S38" s="2"/>
      <c r="T38" s="2"/>
      <c r="U38" s="2"/>
      <c r="V38" s="19"/>
      <c r="W38" s="2"/>
      <c r="X38" s="2">
        <f t="shared" si="2"/>
        <v>15823.84</v>
      </c>
      <c r="Y38" s="2"/>
      <c r="Z38" s="19">
        <f t="shared" si="3"/>
        <v>0</v>
      </c>
    </row>
    <row r="39" spans="1:26" s="24" customFormat="1" hidden="1" outlineLevel="1" x14ac:dyDescent="0.25">
      <c r="A39" s="44"/>
      <c r="B39" s="11" t="str">
        <f>CONCATENATE("          ", "4134", " - ", "NON-TAXABLE SALES-SODA")</f>
        <v xml:space="preserve">          4134 - NON-TAXABLE SALES-SODA</v>
      </c>
      <c r="C39" s="11"/>
      <c r="D39" s="2">
        <f t="shared" si="4"/>
        <v>0</v>
      </c>
      <c r="E39" s="2"/>
      <c r="F39" s="19"/>
      <c r="G39" s="2"/>
      <c r="H39" s="2"/>
      <c r="I39" s="2"/>
      <c r="J39" s="19"/>
      <c r="K39" s="2"/>
      <c r="L39" s="2">
        <f t="shared" si="0"/>
        <v>0</v>
      </c>
      <c r="M39" s="2"/>
      <c r="N39" s="19">
        <f t="shared" si="1"/>
        <v>0</v>
      </c>
      <c r="O39" s="11"/>
      <c r="P39" s="2">
        <f>--1.89</f>
        <v>1.89</v>
      </c>
      <c r="Q39" s="2"/>
      <c r="R39" s="19"/>
      <c r="S39" s="2"/>
      <c r="T39" s="2"/>
      <c r="U39" s="2"/>
      <c r="V39" s="19"/>
      <c r="W39" s="2"/>
      <c r="X39" s="2">
        <f t="shared" si="2"/>
        <v>1.89</v>
      </c>
      <c r="Y39" s="2"/>
      <c r="Z39" s="19">
        <f t="shared" si="3"/>
        <v>0</v>
      </c>
    </row>
    <row r="40" spans="1:26" s="24" customFormat="1" hidden="1" outlineLevel="1" x14ac:dyDescent="0.25">
      <c r="A40" s="44"/>
      <c r="B40" s="11" t="str">
        <f>CONCATENATE("          ", "4135", " - ", "NON-TAXABLE SALES")</f>
        <v xml:space="preserve">          4135 - NON-TAXABLE SALES</v>
      </c>
      <c r="C40" s="11"/>
      <c r="D40" s="2">
        <f t="shared" si="4"/>
        <v>0</v>
      </c>
      <c r="E40" s="2"/>
      <c r="F40" s="19"/>
      <c r="G40" s="2"/>
      <c r="H40" s="2"/>
      <c r="I40" s="2"/>
      <c r="J40" s="19"/>
      <c r="K40" s="2"/>
      <c r="L40" s="2">
        <f t="shared" si="0"/>
        <v>0</v>
      </c>
      <c r="M40" s="2"/>
      <c r="N40" s="19">
        <f t="shared" si="1"/>
        <v>0</v>
      </c>
      <c r="O40" s="11"/>
      <c r="P40" s="2">
        <f>--111.24</f>
        <v>111.24</v>
      </c>
      <c r="Q40" s="2"/>
      <c r="R40" s="19"/>
      <c r="S40" s="2"/>
      <c r="T40" s="2"/>
      <c r="U40" s="2"/>
      <c r="V40" s="19"/>
      <c r="W40" s="2"/>
      <c r="X40" s="2">
        <f t="shared" si="2"/>
        <v>111.24</v>
      </c>
      <c r="Y40" s="2"/>
      <c r="Z40" s="19">
        <f t="shared" si="3"/>
        <v>0</v>
      </c>
    </row>
    <row r="41" spans="1:26" s="24" customFormat="1" hidden="1" outlineLevel="1" x14ac:dyDescent="0.25">
      <c r="A41" s="44"/>
      <c r="B41" s="11" t="str">
        <f>CONCATENATE("          ", "4137", " - ", "NON-TAXABLE SALES-WATER")</f>
        <v xml:space="preserve">          4137 - NON-TAXABLE SALES-WATER</v>
      </c>
      <c r="C41" s="11"/>
      <c r="D41" s="2">
        <f t="shared" si="4"/>
        <v>0</v>
      </c>
      <c r="E41" s="2"/>
      <c r="F41" s="19"/>
      <c r="G41" s="2"/>
      <c r="H41" s="2"/>
      <c r="I41" s="2"/>
      <c r="J41" s="19"/>
      <c r="K41" s="2"/>
      <c r="L41" s="2">
        <f t="shared" si="0"/>
        <v>0</v>
      </c>
      <c r="M41" s="2"/>
      <c r="N41" s="19">
        <f t="shared" si="1"/>
        <v>0</v>
      </c>
      <c r="O41" s="11"/>
      <c r="P41" s="2">
        <f>--8396.06</f>
        <v>8396.06</v>
      </c>
      <c r="Q41" s="2"/>
      <c r="R41" s="19"/>
      <c r="S41" s="2"/>
      <c r="T41" s="2"/>
      <c r="U41" s="2"/>
      <c r="V41" s="19"/>
      <c r="W41" s="2"/>
      <c r="X41" s="2">
        <f t="shared" si="2"/>
        <v>8396.06</v>
      </c>
      <c r="Y41" s="2"/>
      <c r="Z41" s="19">
        <f t="shared" si="3"/>
        <v>0</v>
      </c>
    </row>
    <row r="42" spans="1:26" s="24" customFormat="1" hidden="1" outlineLevel="1" x14ac:dyDescent="0.25">
      <c r="A42" s="44"/>
      <c r="B42" s="11" t="str">
        <f>CONCATENATE("          ", "4186", " - ", "NON-TAXABLE SALES-COMPUTER SUP")</f>
        <v xml:space="preserve">          4186 - NON-TAXABLE SALES-COMPUTER SUP</v>
      </c>
      <c r="C42" s="11"/>
      <c r="D42" s="2">
        <f t="shared" si="4"/>
        <v>0</v>
      </c>
      <c r="E42" s="2"/>
      <c r="F42" s="19"/>
      <c r="G42" s="2"/>
      <c r="H42" s="2"/>
      <c r="I42" s="2"/>
      <c r="J42" s="19"/>
      <c r="K42" s="2"/>
      <c r="L42" s="2">
        <f t="shared" si="0"/>
        <v>0</v>
      </c>
      <c r="M42" s="2"/>
      <c r="N42" s="19">
        <f t="shared" si="1"/>
        <v>0</v>
      </c>
      <c r="O42" s="11"/>
      <c r="P42" s="2">
        <f>-30.97</f>
        <v>-30.97</v>
      </c>
      <c r="Q42" s="2"/>
      <c r="R42" s="19"/>
      <c r="S42" s="2"/>
      <c r="T42" s="2"/>
      <c r="U42" s="2"/>
      <c r="V42" s="19"/>
      <c r="W42" s="2"/>
      <c r="X42" s="2">
        <f t="shared" si="2"/>
        <v>-30.97</v>
      </c>
      <c r="Y42" s="2"/>
      <c r="Z42" s="19">
        <f t="shared" si="3"/>
        <v>0</v>
      </c>
    </row>
    <row r="43" spans="1:26" s="24" customFormat="1" hidden="1" outlineLevel="1" x14ac:dyDescent="0.25">
      <c r="A43" s="44"/>
      <c r="B43" s="11" t="str">
        <f>CONCATENATE("          ", "4225", " - ", "SALES RETURN TAXABLE-TEST FORM")</f>
        <v xml:space="preserve">          4225 - SALES RETURN TAXABLE-TEST FORM</v>
      </c>
      <c r="C43" s="11"/>
      <c r="D43" s="2">
        <f t="shared" si="4"/>
        <v>0</v>
      </c>
      <c r="E43" s="2"/>
      <c r="F43" s="19"/>
      <c r="G43" s="2"/>
      <c r="H43" s="2"/>
      <c r="I43" s="2"/>
      <c r="J43" s="19"/>
      <c r="K43" s="2"/>
      <c r="L43" s="2">
        <f t="shared" si="0"/>
        <v>0</v>
      </c>
      <c r="M43" s="2"/>
      <c r="N43" s="19">
        <f t="shared" si="1"/>
        <v>0</v>
      </c>
      <c r="O43" s="11"/>
      <c r="P43" s="2">
        <f>-35.13</f>
        <v>-35.130000000000003</v>
      </c>
      <c r="Q43" s="2"/>
      <c r="R43" s="19"/>
      <c r="S43" s="2"/>
      <c r="T43" s="2"/>
      <c r="U43" s="2"/>
      <c r="V43" s="19"/>
      <c r="W43" s="2"/>
      <c r="X43" s="2">
        <f t="shared" si="2"/>
        <v>-35.130000000000003</v>
      </c>
      <c r="Y43" s="2"/>
      <c r="Z43" s="19">
        <f t="shared" si="3"/>
        <v>0</v>
      </c>
    </row>
    <row r="44" spans="1:26" s="24" customFormat="1" hidden="1" outlineLevel="1" x14ac:dyDescent="0.25">
      <c r="A44" s="44"/>
      <c r="B44" s="11" t="str">
        <f>CONCATENATE("          ", "4226", " - ", "SALES RETURN TAXABLE-WRITING I")</f>
        <v xml:space="preserve">          4226 - SALES RETURN TAXABLE-WRITING I</v>
      </c>
      <c r="C44" s="11"/>
      <c r="D44" s="2">
        <f t="shared" si="4"/>
        <v>0</v>
      </c>
      <c r="E44" s="2"/>
      <c r="F44" s="19"/>
      <c r="G44" s="2"/>
      <c r="H44" s="2"/>
      <c r="I44" s="2"/>
      <c r="J44" s="19"/>
      <c r="K44" s="2"/>
      <c r="L44" s="2">
        <f t="shared" si="0"/>
        <v>0</v>
      </c>
      <c r="M44" s="2"/>
      <c r="N44" s="19">
        <f t="shared" si="1"/>
        <v>0</v>
      </c>
      <c r="O44" s="11"/>
      <c r="P44" s="2">
        <f>-11.05</f>
        <v>-11.05</v>
      </c>
      <c r="Q44" s="2"/>
      <c r="R44" s="19"/>
      <c r="S44" s="2"/>
      <c r="T44" s="2"/>
      <c r="U44" s="2"/>
      <c r="V44" s="19"/>
      <c r="W44" s="2"/>
      <c r="X44" s="2">
        <f t="shared" si="2"/>
        <v>-11.05</v>
      </c>
      <c r="Y44" s="2"/>
      <c r="Z44" s="19">
        <f t="shared" si="3"/>
        <v>0</v>
      </c>
    </row>
    <row r="45" spans="1:26" s="24" customFormat="1" hidden="1" outlineLevel="1" x14ac:dyDescent="0.25">
      <c r="A45" s="44"/>
      <c r="B45" s="11" t="str">
        <f>CONCATENATE("          ", "4227", " - ", "SALES RETURN TAXABLE-SCHOOL SU")</f>
        <v xml:space="preserve">          4227 - SALES RETURN TAXABLE-SCHOOL SU</v>
      </c>
      <c r="C45" s="11"/>
      <c r="D45" s="2">
        <f t="shared" si="4"/>
        <v>0</v>
      </c>
      <c r="E45" s="2"/>
      <c r="F45" s="19"/>
      <c r="G45" s="2"/>
      <c r="H45" s="2"/>
      <c r="I45" s="2"/>
      <c r="J45" s="19"/>
      <c r="K45" s="2"/>
      <c r="L45" s="2">
        <f t="shared" si="0"/>
        <v>0</v>
      </c>
      <c r="M45" s="2"/>
      <c r="N45" s="19">
        <f t="shared" si="1"/>
        <v>0</v>
      </c>
      <c r="O45" s="11"/>
      <c r="P45" s="2">
        <f>-42.06</f>
        <v>-42.06</v>
      </c>
      <c r="Q45" s="2"/>
      <c r="R45" s="19"/>
      <c r="S45" s="2"/>
      <c r="T45" s="2"/>
      <c r="U45" s="2"/>
      <c r="V45" s="19"/>
      <c r="W45" s="2"/>
      <c r="X45" s="2">
        <f t="shared" si="2"/>
        <v>-42.06</v>
      </c>
      <c r="Y45" s="2"/>
      <c r="Z45" s="19">
        <f t="shared" si="3"/>
        <v>0</v>
      </c>
    </row>
    <row r="46" spans="1:26" s="24" customFormat="1" hidden="1" outlineLevel="1" x14ac:dyDescent="0.25">
      <c r="A46" s="44"/>
      <c r="B46" s="11" t="str">
        <f>CONCATENATE("          ", "4228", " - ", "SALES RETURN TAXABLE-ART/TECH")</f>
        <v xml:space="preserve">          4228 - SALES RETURN TAXABLE-ART/TECH</v>
      </c>
      <c r="C46" s="11"/>
      <c r="D46" s="2">
        <f t="shared" si="4"/>
        <v>0</v>
      </c>
      <c r="E46" s="2"/>
      <c r="F46" s="19"/>
      <c r="G46" s="2"/>
      <c r="H46" s="2"/>
      <c r="I46" s="2"/>
      <c r="J46" s="19"/>
      <c r="K46" s="2"/>
      <c r="L46" s="2">
        <f t="shared" si="0"/>
        <v>0</v>
      </c>
      <c r="M46" s="2"/>
      <c r="N46" s="19">
        <f t="shared" si="1"/>
        <v>0</v>
      </c>
      <c r="O46" s="11"/>
      <c r="P46" s="2">
        <f>-4479.12</f>
        <v>-4479.12</v>
      </c>
      <c r="Q46" s="2"/>
      <c r="R46" s="19"/>
      <c r="S46" s="2"/>
      <c r="T46" s="2"/>
      <c r="U46" s="2"/>
      <c r="V46" s="19"/>
      <c r="W46" s="2"/>
      <c r="X46" s="2">
        <f t="shared" si="2"/>
        <v>-4479.12</v>
      </c>
      <c r="Y46" s="2"/>
      <c r="Z46" s="19">
        <f t="shared" si="3"/>
        <v>0</v>
      </c>
    </row>
    <row r="47" spans="1:26" s="24" customFormat="1" hidden="1" outlineLevel="1" x14ac:dyDescent="0.25">
      <c r="A47" s="44"/>
      <c r="B47" s="11" t="str">
        <f>CONCATENATE("          ", "4233", " - ", "SALES RETURN TAXABLE-CANDY")</f>
        <v xml:space="preserve">          4233 - SALES RETURN TAXABLE-CANDY</v>
      </c>
      <c r="C47" s="11"/>
      <c r="D47" s="2">
        <f t="shared" si="4"/>
        <v>0</v>
      </c>
      <c r="E47" s="2"/>
      <c r="F47" s="19"/>
      <c r="G47" s="2"/>
      <c r="H47" s="2"/>
      <c r="I47" s="2"/>
      <c r="J47" s="19"/>
      <c r="K47" s="2"/>
      <c r="L47" s="2">
        <f t="shared" si="0"/>
        <v>0</v>
      </c>
      <c r="M47" s="2"/>
      <c r="N47" s="19">
        <f t="shared" si="1"/>
        <v>0</v>
      </c>
      <c r="O47" s="11"/>
      <c r="P47" s="2">
        <f>-8.25</f>
        <v>-8.25</v>
      </c>
      <c r="Q47" s="2"/>
      <c r="R47" s="19"/>
      <c r="S47" s="2"/>
      <c r="T47" s="2"/>
      <c r="U47" s="2"/>
      <c r="V47" s="19"/>
      <c r="W47" s="2"/>
      <c r="X47" s="2">
        <f t="shared" si="2"/>
        <v>-8.25</v>
      </c>
      <c r="Y47" s="2"/>
      <c r="Z47" s="19">
        <f t="shared" si="3"/>
        <v>0</v>
      </c>
    </row>
    <row r="48" spans="1:26" s="24" customFormat="1" hidden="1" outlineLevel="1" x14ac:dyDescent="0.25">
      <c r="A48" s="44"/>
      <c r="B48" s="11" t="str">
        <f>CONCATENATE("          ", "4281", " - ", "SALES RETURN TAXABLE-ELECTRONI")</f>
        <v xml:space="preserve">          4281 - SALES RETURN TAXABLE-ELECTRONI</v>
      </c>
      <c r="C48" s="11"/>
      <c r="D48" s="2">
        <f t="shared" si="4"/>
        <v>0</v>
      </c>
      <c r="E48" s="2"/>
      <c r="F48" s="19"/>
      <c r="G48" s="2"/>
      <c r="H48" s="2"/>
      <c r="I48" s="2"/>
      <c r="J48" s="19"/>
      <c r="K48" s="2"/>
      <c r="L48" s="2">
        <f t="shared" si="0"/>
        <v>0</v>
      </c>
      <c r="M48" s="2"/>
      <c r="N48" s="19">
        <f t="shared" si="1"/>
        <v>0</v>
      </c>
      <c r="O48" s="11"/>
      <c r="P48" s="2">
        <f>-54.97</f>
        <v>-54.97</v>
      </c>
      <c r="Q48" s="2"/>
      <c r="R48" s="19"/>
      <c r="S48" s="2"/>
      <c r="T48" s="2"/>
      <c r="U48" s="2"/>
      <c r="V48" s="19"/>
      <c r="W48" s="2"/>
      <c r="X48" s="2">
        <f t="shared" si="2"/>
        <v>-54.97</v>
      </c>
      <c r="Y48" s="2"/>
      <c r="Z48" s="19">
        <f t="shared" si="3"/>
        <v>0</v>
      </c>
    </row>
    <row r="49" spans="1:26" s="24" customFormat="1" hidden="1" outlineLevel="1" x14ac:dyDescent="0.25">
      <c r="A49" s="44"/>
      <c r="B49" s="11" t="str">
        <f>CONCATENATE("          ", "4331", " - ", "SALES RETURN NON TAXABLE-FOOD")</f>
        <v xml:space="preserve">          4331 - SALES RETURN NON TAXABLE-FOOD</v>
      </c>
      <c r="C49" s="11"/>
      <c r="D49" s="2">
        <f t="shared" si="4"/>
        <v>0</v>
      </c>
      <c r="E49" s="2"/>
      <c r="F49" s="19"/>
      <c r="G49" s="2"/>
      <c r="H49" s="2"/>
      <c r="I49" s="2"/>
      <c r="J49" s="19"/>
      <c r="K49" s="2"/>
      <c r="L49" s="2">
        <f t="shared" si="0"/>
        <v>0</v>
      </c>
      <c r="M49" s="2"/>
      <c r="N49" s="19">
        <f t="shared" si="1"/>
        <v>0</v>
      </c>
      <c r="O49" s="11"/>
      <c r="P49" s="2">
        <f>-12.57</f>
        <v>-12.57</v>
      </c>
      <c r="Q49" s="2"/>
      <c r="R49" s="19"/>
      <c r="S49" s="2"/>
      <c r="T49" s="2"/>
      <c r="U49" s="2"/>
      <c r="V49" s="19"/>
      <c r="W49" s="2"/>
      <c r="X49" s="2">
        <f t="shared" si="2"/>
        <v>-12.57</v>
      </c>
      <c r="Y49" s="2"/>
      <c r="Z49" s="19">
        <f t="shared" si="3"/>
        <v>0</v>
      </c>
    </row>
    <row r="50" spans="1:26" s="24" customFormat="1" hidden="1" outlineLevel="1" x14ac:dyDescent="0.25">
      <c r="A50" s="44"/>
      <c r="B50" s="11" t="str">
        <f>CONCATENATE("          ", "4332", " - ", "SALES RETURN NON TAXABLE-JUICE")</f>
        <v xml:space="preserve">          4332 - SALES RETURN NON TAXABLE-JUICE</v>
      </c>
      <c r="C50" s="11"/>
      <c r="D50" s="2">
        <f t="shared" si="4"/>
        <v>0</v>
      </c>
      <c r="E50" s="2"/>
      <c r="F50" s="19"/>
      <c r="G50" s="2"/>
      <c r="H50" s="2"/>
      <c r="I50" s="2"/>
      <c r="J50" s="19"/>
      <c r="K50" s="2"/>
      <c r="L50" s="2">
        <f t="shared" si="0"/>
        <v>0</v>
      </c>
      <c r="M50" s="2"/>
      <c r="N50" s="19">
        <f t="shared" si="1"/>
        <v>0</v>
      </c>
      <c r="O50" s="11"/>
      <c r="P50" s="2">
        <f>-2.79</f>
        <v>-2.79</v>
      </c>
      <c r="Q50" s="2"/>
      <c r="R50" s="19"/>
      <c r="S50" s="2"/>
      <c r="T50" s="2"/>
      <c r="U50" s="2"/>
      <c r="V50" s="19"/>
      <c r="W50" s="2"/>
      <c r="X50" s="2">
        <f t="shared" si="2"/>
        <v>-2.79</v>
      </c>
      <c r="Y50" s="2"/>
      <c r="Z50" s="19">
        <f t="shared" si="3"/>
        <v>0</v>
      </c>
    </row>
    <row r="51" spans="1:26" x14ac:dyDescent="0.25">
      <c r="A51" s="9"/>
      <c r="B51" s="10"/>
      <c r="C51" s="9"/>
      <c r="D51" s="3"/>
      <c r="E51" s="3"/>
      <c r="F51" s="8"/>
      <c r="G51" s="3"/>
      <c r="H51" s="3"/>
      <c r="I51" s="3"/>
      <c r="J51" s="8"/>
      <c r="K51" s="3"/>
      <c r="L51" s="3"/>
      <c r="M51" s="3"/>
      <c r="N51" s="8"/>
      <c r="P51" s="3"/>
      <c r="Q51" s="3"/>
      <c r="R51" s="8"/>
      <c r="S51" s="3"/>
      <c r="T51" s="3"/>
      <c r="U51" s="3"/>
      <c r="V51" s="8"/>
      <c r="W51" s="3"/>
      <c r="X51" s="3"/>
      <c r="Y51" s="3"/>
      <c r="Z51" s="8"/>
    </row>
    <row r="52" spans="1:26" s="23" customFormat="1" collapsed="1" x14ac:dyDescent="0.25">
      <c r="A52" s="10"/>
      <c r="B52" s="28" t="s">
        <v>8</v>
      </c>
      <c r="C52" s="10"/>
      <c r="D52" s="4">
        <f>SUM(OSRRefD16x_0)</f>
        <v>-1526.4599999999998</v>
      </c>
      <c r="E52" s="4"/>
      <c r="F52" s="13">
        <f t="shared" ref="F52:F73" si="5">IF(D$12=0,0,D52/D$12)</f>
        <v>0</v>
      </c>
      <c r="G52" s="4"/>
      <c r="H52" s="4">
        <f>SUM(OSRRefH16x_0)</f>
        <v>12204</v>
      </c>
      <c r="I52" s="4"/>
      <c r="J52" s="13">
        <f t="shared" ref="J52:J73" si="6">IF(H$12=0,0,H52/H$12)</f>
        <v>0.45783313325330133</v>
      </c>
      <c r="K52" s="4"/>
      <c r="L52" s="4">
        <f t="shared" ref="L52:L73" si="7">+D52-H52</f>
        <v>-13730.46</v>
      </c>
      <c r="M52" s="4"/>
      <c r="N52" s="13">
        <f t="shared" ref="N52:N73" si="8">IF(H52=0,0,L52/H52)</f>
        <v>-1.1250786627335299</v>
      </c>
      <c r="O52" s="10"/>
      <c r="P52" s="4">
        <f>SUM(OSRRefP16x_0)</f>
        <v>214267.73</v>
      </c>
      <c r="Q52" s="4"/>
      <c r="R52" s="13">
        <f t="shared" ref="R52:R73" si="9">IF(P$12=0,0,P52/P$12)</f>
        <v>0.5219048161410228</v>
      </c>
      <c r="S52" s="4"/>
      <c r="T52" s="4">
        <f>SUM(OSRRefT16x_0)</f>
        <v>233453</v>
      </c>
      <c r="U52" s="4"/>
      <c r="V52" s="13">
        <f t="shared" ref="V52:V73" si="10">IF(T$12=0,0,T52/T$12)</f>
        <v>0.4411665772187493</v>
      </c>
      <c r="W52" s="4"/>
      <c r="X52" s="4">
        <f t="shared" ref="X52:X73" si="11">+P52-T52</f>
        <v>-19185.26999999999</v>
      </c>
      <c r="Y52" s="4"/>
      <c r="Z52" s="13">
        <f t="shared" ref="Z52:Z73" si="12">IF(T52=0,0,X52/T52)</f>
        <v>-8.218043888919821E-2</v>
      </c>
    </row>
    <row r="53" spans="1:26" s="24" customFormat="1" hidden="1" outlineLevel="1" x14ac:dyDescent="0.25">
      <c r="A53" s="44"/>
      <c r="B53" s="11" t="str">
        <f>CONCATENATE("          ", "5000", " - ", "PURCHASES @ COST")</f>
        <v xml:space="preserve">          5000 - PURCHASES @ COST</v>
      </c>
      <c r="C53" s="11"/>
      <c r="D53" s="2"/>
      <c r="E53" s="2"/>
      <c r="F53" s="19">
        <f t="shared" si="5"/>
        <v>0</v>
      </c>
      <c r="G53" s="2"/>
      <c r="H53" s="2">
        <v>12204</v>
      </c>
      <c r="I53" s="2"/>
      <c r="J53" s="19">
        <f t="shared" si="6"/>
        <v>0.45783313325330133</v>
      </c>
      <c r="K53" s="2"/>
      <c r="L53" s="2">
        <f t="shared" si="7"/>
        <v>-12204</v>
      </c>
      <c r="M53" s="2"/>
      <c r="N53" s="19">
        <f t="shared" si="8"/>
        <v>-1</v>
      </c>
      <c r="O53" s="11"/>
      <c r="P53" s="2"/>
      <c r="Q53" s="2"/>
      <c r="R53" s="19">
        <f t="shared" si="9"/>
        <v>0</v>
      </c>
      <c r="S53" s="2"/>
      <c r="T53" s="2">
        <v>233453</v>
      </c>
      <c r="U53" s="2"/>
      <c r="V53" s="19">
        <f t="shared" si="10"/>
        <v>0.4411665772187493</v>
      </c>
      <c r="W53" s="2"/>
      <c r="X53" s="2">
        <f t="shared" si="11"/>
        <v>-233453</v>
      </c>
      <c r="Y53" s="2"/>
      <c r="Z53" s="19">
        <f t="shared" si="12"/>
        <v>-1</v>
      </c>
    </row>
    <row r="54" spans="1:26" s="24" customFormat="1" hidden="1" outlineLevel="1" x14ac:dyDescent="0.25">
      <c r="A54" s="44"/>
      <c r="B54" s="11" t="str">
        <f>CONCATENATE("          ", "5014", " - ", "PURCHASES @ COST-REMAINDERS")</f>
        <v xml:space="preserve">          5014 - PURCHASES @ COST-REMAINDERS</v>
      </c>
      <c r="C54" s="11"/>
      <c r="D54" s="2"/>
      <c r="E54" s="2"/>
      <c r="F54" s="19">
        <f t="shared" si="5"/>
        <v>0</v>
      </c>
      <c r="G54" s="2"/>
      <c r="H54" s="2"/>
      <c r="I54" s="2"/>
      <c r="J54" s="19">
        <f t="shared" si="6"/>
        <v>0</v>
      </c>
      <c r="K54" s="2"/>
      <c r="L54" s="2">
        <f t="shared" si="7"/>
        <v>0</v>
      </c>
      <c r="M54" s="2"/>
      <c r="N54" s="19">
        <f t="shared" si="8"/>
        <v>0</v>
      </c>
      <c r="O54" s="11"/>
      <c r="P54" s="2">
        <v>14.46</v>
      </c>
      <c r="Q54" s="2"/>
      <c r="R54" s="19">
        <f t="shared" si="9"/>
        <v>3.522109298212657E-5</v>
      </c>
      <c r="S54" s="2"/>
      <c r="T54" s="2"/>
      <c r="U54" s="2"/>
      <c r="V54" s="19">
        <f t="shared" si="10"/>
        <v>0</v>
      </c>
      <c r="W54" s="2"/>
      <c r="X54" s="2">
        <f t="shared" si="11"/>
        <v>14.46</v>
      </c>
      <c r="Y54" s="2"/>
      <c r="Z54" s="19">
        <f t="shared" si="12"/>
        <v>0</v>
      </c>
    </row>
    <row r="55" spans="1:26" s="24" customFormat="1" hidden="1" outlineLevel="1" x14ac:dyDescent="0.25">
      <c r="A55" s="44"/>
      <c r="B55" s="11" t="str">
        <f>CONCATENATE("          ", "5025", " - ", "PURCHASES @ COST-TEST FORMS")</f>
        <v xml:space="preserve">          5025 - PURCHASES @ COST-TEST FORMS</v>
      </c>
      <c r="C55" s="11"/>
      <c r="D55" s="2"/>
      <c r="E55" s="2"/>
      <c r="F55" s="19">
        <f t="shared" si="5"/>
        <v>0</v>
      </c>
      <c r="G55" s="2"/>
      <c r="H55" s="2"/>
      <c r="I55" s="2"/>
      <c r="J55" s="19">
        <f t="shared" si="6"/>
        <v>0</v>
      </c>
      <c r="K55" s="2"/>
      <c r="L55" s="2">
        <f t="shared" si="7"/>
        <v>0</v>
      </c>
      <c r="M55" s="2"/>
      <c r="N55" s="19">
        <f t="shared" si="8"/>
        <v>0</v>
      </c>
      <c r="O55" s="11"/>
      <c r="P55" s="2">
        <v>688.18</v>
      </c>
      <c r="Q55" s="2"/>
      <c r="R55" s="19">
        <f t="shared" si="9"/>
        <v>1.6762414777620927E-3</v>
      </c>
      <c r="S55" s="2"/>
      <c r="T55" s="2"/>
      <c r="U55" s="2"/>
      <c r="V55" s="19">
        <f t="shared" si="10"/>
        <v>0</v>
      </c>
      <c r="W55" s="2"/>
      <c r="X55" s="2">
        <f t="shared" si="11"/>
        <v>688.18</v>
      </c>
      <c r="Y55" s="2"/>
      <c r="Z55" s="19">
        <f t="shared" si="12"/>
        <v>0</v>
      </c>
    </row>
    <row r="56" spans="1:26" s="24" customFormat="1" hidden="1" outlineLevel="1" x14ac:dyDescent="0.25">
      <c r="A56" s="44"/>
      <c r="B56" s="11" t="str">
        <f>CONCATENATE("          ", "5026", " - ", "PURCHASES @ COST-WRITING INSTR")</f>
        <v xml:space="preserve">          5026 - PURCHASES @ COST-WRITING INSTR</v>
      </c>
      <c r="C56" s="11"/>
      <c r="D56" s="2">
        <v>-1156.5999999999999</v>
      </c>
      <c r="E56" s="2"/>
      <c r="F56" s="19">
        <f t="shared" si="5"/>
        <v>0</v>
      </c>
      <c r="G56" s="2"/>
      <c r="H56" s="2"/>
      <c r="I56" s="2"/>
      <c r="J56" s="19">
        <f t="shared" si="6"/>
        <v>0</v>
      </c>
      <c r="K56" s="2"/>
      <c r="L56" s="2">
        <f t="shared" si="7"/>
        <v>-1156.5999999999999</v>
      </c>
      <c r="M56" s="2"/>
      <c r="N56" s="19">
        <f t="shared" si="8"/>
        <v>0</v>
      </c>
      <c r="O56" s="11"/>
      <c r="P56" s="2">
        <v>3365.91</v>
      </c>
      <c r="Q56" s="2"/>
      <c r="R56" s="19">
        <f t="shared" si="9"/>
        <v>8.1985497288706525E-3</v>
      </c>
      <c r="S56" s="2"/>
      <c r="T56" s="2"/>
      <c r="U56" s="2"/>
      <c r="V56" s="19">
        <f t="shared" si="10"/>
        <v>0</v>
      </c>
      <c r="W56" s="2"/>
      <c r="X56" s="2">
        <f t="shared" si="11"/>
        <v>3365.91</v>
      </c>
      <c r="Y56" s="2"/>
      <c r="Z56" s="19">
        <f t="shared" si="12"/>
        <v>0</v>
      </c>
    </row>
    <row r="57" spans="1:26" s="24" customFormat="1" hidden="1" outlineLevel="1" x14ac:dyDescent="0.25">
      <c r="A57" s="44"/>
      <c r="B57" s="11" t="str">
        <f>CONCATENATE("          ", "5027", " - ", "PURCHASES @ COST-SCHOOL SUPPLI")</f>
        <v xml:space="preserve">          5027 - PURCHASES @ COST-SCHOOL SUPPLI</v>
      </c>
      <c r="C57" s="11"/>
      <c r="D57" s="2">
        <v>-208.72</v>
      </c>
      <c r="E57" s="2"/>
      <c r="F57" s="19">
        <f t="shared" si="5"/>
        <v>0</v>
      </c>
      <c r="G57" s="2"/>
      <c r="H57" s="2"/>
      <c r="I57" s="2"/>
      <c r="J57" s="19">
        <f t="shared" si="6"/>
        <v>0</v>
      </c>
      <c r="K57" s="2"/>
      <c r="L57" s="2">
        <f t="shared" si="7"/>
        <v>-208.72</v>
      </c>
      <c r="M57" s="2"/>
      <c r="N57" s="19">
        <f t="shared" si="8"/>
        <v>0</v>
      </c>
      <c r="O57" s="11"/>
      <c r="P57" s="2">
        <v>3855.85</v>
      </c>
      <c r="Q57" s="2"/>
      <c r="R57" s="19">
        <f t="shared" si="9"/>
        <v>9.3919260978653323E-3</v>
      </c>
      <c r="S57" s="2"/>
      <c r="T57" s="2"/>
      <c r="U57" s="2"/>
      <c r="V57" s="19">
        <f t="shared" si="10"/>
        <v>0</v>
      </c>
      <c r="W57" s="2"/>
      <c r="X57" s="2">
        <f t="shared" si="11"/>
        <v>3855.85</v>
      </c>
      <c r="Y57" s="2"/>
      <c r="Z57" s="19">
        <f t="shared" si="12"/>
        <v>0</v>
      </c>
    </row>
    <row r="58" spans="1:26" s="24" customFormat="1" hidden="1" outlineLevel="1" x14ac:dyDescent="0.25">
      <c r="A58" s="44"/>
      <c r="B58" s="11" t="str">
        <f>CONCATENATE("          ", "5028", " - ", "PURCHASES @ COST-ART/TECH")</f>
        <v xml:space="preserve">          5028 - PURCHASES @ COST-ART/TECH</v>
      </c>
      <c r="C58" s="11"/>
      <c r="D58" s="2">
        <v>-72.790000000000006</v>
      </c>
      <c r="E58" s="2"/>
      <c r="F58" s="19">
        <f t="shared" si="5"/>
        <v>0</v>
      </c>
      <c r="G58" s="2"/>
      <c r="H58" s="2"/>
      <c r="I58" s="2"/>
      <c r="J58" s="19">
        <f t="shared" si="6"/>
        <v>0</v>
      </c>
      <c r="K58" s="2"/>
      <c r="L58" s="2">
        <f t="shared" si="7"/>
        <v>-72.790000000000006</v>
      </c>
      <c r="M58" s="2"/>
      <c r="N58" s="19">
        <f t="shared" si="8"/>
        <v>0</v>
      </c>
      <c r="O58" s="11"/>
      <c r="P58" s="2">
        <v>151965.68000000002</v>
      </c>
      <c r="Q58" s="2"/>
      <c r="R58" s="19">
        <f t="shared" si="9"/>
        <v>0.37015196026086394</v>
      </c>
      <c r="S58" s="2"/>
      <c r="T58" s="2"/>
      <c r="U58" s="2"/>
      <c r="V58" s="19">
        <f t="shared" si="10"/>
        <v>0</v>
      </c>
      <c r="W58" s="2"/>
      <c r="X58" s="2">
        <f t="shared" si="11"/>
        <v>151965.68000000002</v>
      </c>
      <c r="Y58" s="2"/>
      <c r="Z58" s="19">
        <f t="shared" si="12"/>
        <v>0</v>
      </c>
    </row>
    <row r="59" spans="1:26" s="24" customFormat="1" hidden="1" outlineLevel="1" x14ac:dyDescent="0.25">
      <c r="A59" s="44"/>
      <c r="B59" s="11" t="str">
        <f>CONCATENATE("          ", "5031", " - ", "PURCHASES @ COST-FOOD")</f>
        <v xml:space="preserve">          5031 - PURCHASES @ COST-FOOD</v>
      </c>
      <c r="C59" s="11"/>
      <c r="D59" s="2"/>
      <c r="E59" s="2"/>
      <c r="F59" s="19">
        <f t="shared" si="5"/>
        <v>0</v>
      </c>
      <c r="G59" s="2"/>
      <c r="H59" s="2"/>
      <c r="I59" s="2"/>
      <c r="J59" s="19">
        <f t="shared" si="6"/>
        <v>0</v>
      </c>
      <c r="K59" s="2"/>
      <c r="L59" s="2">
        <f t="shared" si="7"/>
        <v>0</v>
      </c>
      <c r="M59" s="2"/>
      <c r="N59" s="19">
        <f t="shared" si="8"/>
        <v>0</v>
      </c>
      <c r="O59" s="11"/>
      <c r="P59" s="2">
        <v>32459.350000000002</v>
      </c>
      <c r="Q59" s="2"/>
      <c r="R59" s="19">
        <f t="shared" si="9"/>
        <v>7.9063193948090596E-2</v>
      </c>
      <c r="S59" s="2"/>
      <c r="T59" s="2"/>
      <c r="U59" s="2"/>
      <c r="V59" s="19">
        <f t="shared" si="10"/>
        <v>0</v>
      </c>
      <c r="W59" s="2"/>
      <c r="X59" s="2">
        <f t="shared" si="11"/>
        <v>32459.350000000002</v>
      </c>
      <c r="Y59" s="2"/>
      <c r="Z59" s="19">
        <f t="shared" si="12"/>
        <v>0</v>
      </c>
    </row>
    <row r="60" spans="1:26" s="24" customFormat="1" hidden="1" outlineLevel="1" x14ac:dyDescent="0.25">
      <c r="A60" s="44"/>
      <c r="B60" s="11" t="str">
        <f>CONCATENATE("          ", "5032", " - ", "PURCHASES @ COST-JUICE")</f>
        <v xml:space="preserve">          5032 - PURCHASES @ COST-JUICE</v>
      </c>
      <c r="C60" s="11"/>
      <c r="D60" s="2"/>
      <c r="E60" s="2"/>
      <c r="F60" s="19">
        <f t="shared" si="5"/>
        <v>0</v>
      </c>
      <c r="G60" s="2"/>
      <c r="H60" s="2"/>
      <c r="I60" s="2"/>
      <c r="J60" s="19">
        <f t="shared" si="6"/>
        <v>0</v>
      </c>
      <c r="K60" s="2"/>
      <c r="L60" s="2">
        <f t="shared" si="7"/>
        <v>0</v>
      </c>
      <c r="M60" s="2"/>
      <c r="N60" s="19">
        <f t="shared" si="8"/>
        <v>0</v>
      </c>
      <c r="O60" s="11"/>
      <c r="P60" s="2">
        <v>7802.45</v>
      </c>
      <c r="Q60" s="2"/>
      <c r="R60" s="19">
        <f t="shared" si="9"/>
        <v>1.9004897436956669E-2</v>
      </c>
      <c r="S60" s="2"/>
      <c r="T60" s="2"/>
      <c r="U60" s="2"/>
      <c r="V60" s="19">
        <f t="shared" si="10"/>
        <v>0</v>
      </c>
      <c r="W60" s="2"/>
      <c r="X60" s="2">
        <f t="shared" si="11"/>
        <v>7802.45</v>
      </c>
      <c r="Y60" s="2"/>
      <c r="Z60" s="19">
        <f t="shared" si="12"/>
        <v>0</v>
      </c>
    </row>
    <row r="61" spans="1:26" s="24" customFormat="1" hidden="1" outlineLevel="1" x14ac:dyDescent="0.25">
      <c r="A61" s="44"/>
      <c r="B61" s="11" t="str">
        <f>CONCATENATE("          ", "5033", " - ", "PURCHASES @ COST-CANDY")</f>
        <v xml:space="preserve">          5033 - PURCHASES @ COST-CANDY</v>
      </c>
      <c r="C61" s="11"/>
      <c r="D61" s="2"/>
      <c r="E61" s="2"/>
      <c r="F61" s="19">
        <f t="shared" si="5"/>
        <v>0</v>
      </c>
      <c r="G61" s="2"/>
      <c r="H61" s="2"/>
      <c r="I61" s="2"/>
      <c r="J61" s="19">
        <f t="shared" si="6"/>
        <v>0</v>
      </c>
      <c r="K61" s="2"/>
      <c r="L61" s="2">
        <f t="shared" si="7"/>
        <v>0</v>
      </c>
      <c r="M61" s="2"/>
      <c r="N61" s="19">
        <f t="shared" si="8"/>
        <v>0</v>
      </c>
      <c r="O61" s="11"/>
      <c r="P61" s="2">
        <v>8879.33</v>
      </c>
      <c r="Q61" s="2"/>
      <c r="R61" s="19">
        <f t="shared" si="9"/>
        <v>2.1627918917633878E-2</v>
      </c>
      <c r="S61" s="2"/>
      <c r="T61" s="2"/>
      <c r="U61" s="2"/>
      <c r="V61" s="19">
        <f t="shared" si="10"/>
        <v>0</v>
      </c>
      <c r="W61" s="2"/>
      <c r="X61" s="2">
        <f t="shared" si="11"/>
        <v>8879.33</v>
      </c>
      <c r="Y61" s="2"/>
      <c r="Z61" s="19">
        <f t="shared" si="12"/>
        <v>0</v>
      </c>
    </row>
    <row r="62" spans="1:26" s="24" customFormat="1" hidden="1" outlineLevel="1" x14ac:dyDescent="0.25">
      <c r="A62" s="44"/>
      <c r="B62" s="11" t="str">
        <f>CONCATENATE("          ", "5034", " - ", "PURCHASES @ COST-SODA")</f>
        <v xml:space="preserve">          5034 - PURCHASES @ COST-SODA</v>
      </c>
      <c r="C62" s="11"/>
      <c r="D62" s="2"/>
      <c r="E62" s="2"/>
      <c r="F62" s="19">
        <f t="shared" si="5"/>
        <v>0</v>
      </c>
      <c r="G62" s="2"/>
      <c r="H62" s="2"/>
      <c r="I62" s="2"/>
      <c r="J62" s="19">
        <f t="shared" si="6"/>
        <v>0</v>
      </c>
      <c r="K62" s="2"/>
      <c r="L62" s="2">
        <f t="shared" si="7"/>
        <v>0</v>
      </c>
      <c r="M62" s="2"/>
      <c r="N62" s="19">
        <f t="shared" si="8"/>
        <v>0</v>
      </c>
      <c r="O62" s="11"/>
      <c r="P62" s="2">
        <v>4033.88</v>
      </c>
      <c r="Q62" s="2"/>
      <c r="R62" s="19">
        <f t="shared" si="9"/>
        <v>9.8255644923057207E-3</v>
      </c>
      <c r="S62" s="2"/>
      <c r="T62" s="2"/>
      <c r="U62" s="2"/>
      <c r="V62" s="19">
        <f t="shared" si="10"/>
        <v>0</v>
      </c>
      <c r="W62" s="2"/>
      <c r="X62" s="2">
        <f t="shared" si="11"/>
        <v>4033.88</v>
      </c>
      <c r="Y62" s="2"/>
      <c r="Z62" s="19">
        <f t="shared" si="12"/>
        <v>0</v>
      </c>
    </row>
    <row r="63" spans="1:26" s="24" customFormat="1" hidden="1" outlineLevel="1" x14ac:dyDescent="0.25">
      <c r="A63" s="44"/>
      <c r="B63" s="11" t="str">
        <f>CONCATENATE("          ", "5035", " - ", "PURCHASES @ COST-HEALTH &amp; BEAU")</f>
        <v xml:space="preserve">          5035 - PURCHASES @ COST-HEALTH &amp; BEAU</v>
      </c>
      <c r="C63" s="11"/>
      <c r="D63" s="2"/>
      <c r="E63" s="2"/>
      <c r="F63" s="19">
        <f t="shared" si="5"/>
        <v>0</v>
      </c>
      <c r="G63" s="2"/>
      <c r="H63" s="2"/>
      <c r="I63" s="2"/>
      <c r="J63" s="19">
        <f t="shared" si="6"/>
        <v>0</v>
      </c>
      <c r="K63" s="2"/>
      <c r="L63" s="2">
        <f t="shared" si="7"/>
        <v>0</v>
      </c>
      <c r="M63" s="2"/>
      <c r="N63" s="19">
        <f t="shared" si="8"/>
        <v>0</v>
      </c>
      <c r="O63" s="11"/>
      <c r="P63" s="2">
        <v>1081.4000000000001</v>
      </c>
      <c r="Q63" s="2"/>
      <c r="R63" s="19">
        <f t="shared" si="9"/>
        <v>2.6340311169344172E-3</v>
      </c>
      <c r="S63" s="2"/>
      <c r="T63" s="2"/>
      <c r="U63" s="2"/>
      <c r="V63" s="19">
        <f t="shared" si="10"/>
        <v>0</v>
      </c>
      <c r="W63" s="2"/>
      <c r="X63" s="2">
        <f t="shared" si="11"/>
        <v>1081.4000000000001</v>
      </c>
      <c r="Y63" s="2"/>
      <c r="Z63" s="19">
        <f t="shared" si="12"/>
        <v>0</v>
      </c>
    </row>
    <row r="64" spans="1:26" s="24" customFormat="1" hidden="1" outlineLevel="1" x14ac:dyDescent="0.25">
      <c r="A64" s="44"/>
      <c r="B64" s="11" t="str">
        <f>CONCATENATE("          ", "5037", " - ", "PURCHASES @ COST-WATER")</f>
        <v xml:space="preserve">          5037 - PURCHASES @ COST-WATER</v>
      </c>
      <c r="C64" s="11"/>
      <c r="D64" s="2"/>
      <c r="E64" s="2"/>
      <c r="F64" s="19">
        <f t="shared" si="5"/>
        <v>0</v>
      </c>
      <c r="G64" s="2"/>
      <c r="H64" s="2"/>
      <c r="I64" s="2"/>
      <c r="J64" s="19">
        <f t="shared" si="6"/>
        <v>0</v>
      </c>
      <c r="K64" s="2"/>
      <c r="L64" s="2">
        <f t="shared" si="7"/>
        <v>0</v>
      </c>
      <c r="M64" s="2"/>
      <c r="N64" s="19">
        <f t="shared" si="8"/>
        <v>0</v>
      </c>
      <c r="O64" s="11"/>
      <c r="P64" s="2">
        <v>5663.81</v>
      </c>
      <c r="Q64" s="2"/>
      <c r="R64" s="19">
        <f t="shared" si="9"/>
        <v>1.3795683170338746E-2</v>
      </c>
      <c r="S64" s="2"/>
      <c r="T64" s="2"/>
      <c r="U64" s="2"/>
      <c r="V64" s="19">
        <f t="shared" si="10"/>
        <v>0</v>
      </c>
      <c r="W64" s="2"/>
      <c r="X64" s="2">
        <f t="shared" si="11"/>
        <v>5663.81</v>
      </c>
      <c r="Y64" s="2"/>
      <c r="Z64" s="19">
        <f t="shared" si="12"/>
        <v>0</v>
      </c>
    </row>
    <row r="65" spans="1:26" s="24" customFormat="1" hidden="1" outlineLevel="1" x14ac:dyDescent="0.25">
      <c r="A65" s="44"/>
      <c r="B65" s="11" t="str">
        <f>CONCATENATE("          ", "5081", " - ", "PURCHASES @ COST-ELECTRONICS")</f>
        <v xml:space="preserve">          5081 - PURCHASES @ COST-ELECTRONICS</v>
      </c>
      <c r="C65" s="11"/>
      <c r="D65" s="2"/>
      <c r="E65" s="2"/>
      <c r="F65" s="19">
        <f t="shared" si="5"/>
        <v>0</v>
      </c>
      <c r="G65" s="2"/>
      <c r="H65" s="2"/>
      <c r="I65" s="2"/>
      <c r="J65" s="19">
        <f t="shared" si="6"/>
        <v>0</v>
      </c>
      <c r="K65" s="2"/>
      <c r="L65" s="2">
        <f t="shared" si="7"/>
        <v>0</v>
      </c>
      <c r="M65" s="2"/>
      <c r="N65" s="19">
        <f t="shared" si="8"/>
        <v>0</v>
      </c>
      <c r="O65" s="11"/>
      <c r="P65" s="2">
        <v>2008.03</v>
      </c>
      <c r="Q65" s="2"/>
      <c r="R65" s="19">
        <f t="shared" si="9"/>
        <v>4.8910796224688529E-3</v>
      </c>
      <c r="S65" s="2"/>
      <c r="T65" s="2"/>
      <c r="U65" s="2"/>
      <c r="V65" s="19">
        <f t="shared" si="10"/>
        <v>0</v>
      </c>
      <c r="W65" s="2"/>
      <c r="X65" s="2">
        <f t="shared" si="11"/>
        <v>2008.03</v>
      </c>
      <c r="Y65" s="2"/>
      <c r="Z65" s="19">
        <f t="shared" si="12"/>
        <v>0</v>
      </c>
    </row>
    <row r="66" spans="1:26" s="24" customFormat="1" hidden="1" outlineLevel="1" x14ac:dyDescent="0.25">
      <c r="A66" s="44"/>
      <c r="B66" s="11" t="str">
        <f>CONCATENATE("          ", "5082", " - ", "PURCHASES @ COST-COMPUTER HARD")</f>
        <v xml:space="preserve">          5082 - PURCHASES @ COST-COMPUTER HARD</v>
      </c>
      <c r="C66" s="11"/>
      <c r="D66" s="2"/>
      <c r="E66" s="2"/>
      <c r="F66" s="19">
        <f t="shared" si="5"/>
        <v>0</v>
      </c>
      <c r="G66" s="2"/>
      <c r="H66" s="2"/>
      <c r="I66" s="2"/>
      <c r="J66" s="19">
        <f t="shared" si="6"/>
        <v>0</v>
      </c>
      <c r="K66" s="2"/>
      <c r="L66" s="2">
        <f t="shared" si="7"/>
        <v>0</v>
      </c>
      <c r="M66" s="2"/>
      <c r="N66" s="19">
        <f t="shared" si="8"/>
        <v>0</v>
      </c>
      <c r="O66" s="11"/>
      <c r="P66" s="2">
        <v>349.6</v>
      </c>
      <c r="Q66" s="2"/>
      <c r="R66" s="19">
        <f t="shared" si="9"/>
        <v>8.5154177776980975E-4</v>
      </c>
      <c r="S66" s="2"/>
      <c r="T66" s="2"/>
      <c r="U66" s="2"/>
      <c r="V66" s="19">
        <f t="shared" si="10"/>
        <v>0</v>
      </c>
      <c r="W66" s="2"/>
      <c r="X66" s="2">
        <f t="shared" si="11"/>
        <v>349.6</v>
      </c>
      <c r="Y66" s="2"/>
      <c r="Z66" s="19">
        <f t="shared" si="12"/>
        <v>0</v>
      </c>
    </row>
    <row r="67" spans="1:26" s="24" customFormat="1" hidden="1" outlineLevel="1" x14ac:dyDescent="0.25">
      <c r="A67" s="44"/>
      <c r="B67" s="11" t="str">
        <f>CONCATENATE("          ", "5083", " - ", "PURCHASES @ COST-COMPUTER EQUI")</f>
        <v xml:space="preserve">          5083 - PURCHASES @ COST-COMPUTER EQUI</v>
      </c>
      <c r="C67" s="11"/>
      <c r="D67" s="2"/>
      <c r="E67" s="2"/>
      <c r="F67" s="19">
        <f t="shared" si="5"/>
        <v>0</v>
      </c>
      <c r="G67" s="2"/>
      <c r="H67" s="2"/>
      <c r="I67" s="2"/>
      <c r="J67" s="19">
        <f t="shared" si="6"/>
        <v>0</v>
      </c>
      <c r="K67" s="2"/>
      <c r="L67" s="2">
        <f t="shared" si="7"/>
        <v>0</v>
      </c>
      <c r="M67" s="2"/>
      <c r="N67" s="19">
        <f t="shared" si="8"/>
        <v>0</v>
      </c>
      <c r="O67" s="11"/>
      <c r="P67" s="2">
        <v>304.70999999999998</v>
      </c>
      <c r="Q67" s="2"/>
      <c r="R67" s="19">
        <f t="shared" si="9"/>
        <v>7.4220050087024799E-4</v>
      </c>
      <c r="S67" s="2"/>
      <c r="T67" s="2"/>
      <c r="U67" s="2"/>
      <c r="V67" s="19">
        <f t="shared" si="10"/>
        <v>0</v>
      </c>
      <c r="W67" s="2"/>
      <c r="X67" s="2">
        <f t="shared" si="11"/>
        <v>304.70999999999998</v>
      </c>
      <c r="Y67" s="2"/>
      <c r="Z67" s="19">
        <f t="shared" si="12"/>
        <v>0</v>
      </c>
    </row>
    <row r="68" spans="1:26" s="24" customFormat="1" hidden="1" outlineLevel="1" x14ac:dyDescent="0.25">
      <c r="A68" s="44"/>
      <c r="B68" s="11" t="str">
        <f>CONCATENATE("          ", "5086", " - ", "PURCHASES @ COST-COMPUTER SUPP")</f>
        <v xml:space="preserve">          5086 - PURCHASES @ COST-COMPUTER SUPP</v>
      </c>
      <c r="C68" s="11"/>
      <c r="D68" s="2"/>
      <c r="E68" s="2"/>
      <c r="F68" s="19">
        <f t="shared" si="5"/>
        <v>0</v>
      </c>
      <c r="G68" s="2"/>
      <c r="H68" s="2"/>
      <c r="I68" s="2"/>
      <c r="J68" s="19">
        <f t="shared" si="6"/>
        <v>0</v>
      </c>
      <c r="K68" s="2"/>
      <c r="L68" s="2">
        <f t="shared" si="7"/>
        <v>0</v>
      </c>
      <c r="M68" s="2"/>
      <c r="N68" s="19">
        <f t="shared" si="8"/>
        <v>0</v>
      </c>
      <c r="O68" s="11"/>
      <c r="P68" s="2">
        <v>426.22</v>
      </c>
      <c r="Q68" s="2"/>
      <c r="R68" s="19">
        <f t="shared" si="9"/>
        <v>1.0381697268908704E-3</v>
      </c>
      <c r="S68" s="2"/>
      <c r="T68" s="2"/>
      <c r="U68" s="2"/>
      <c r="V68" s="19">
        <f t="shared" si="10"/>
        <v>0</v>
      </c>
      <c r="W68" s="2"/>
      <c r="X68" s="2">
        <f t="shared" si="11"/>
        <v>426.22</v>
      </c>
      <c r="Y68" s="2"/>
      <c r="Z68" s="19">
        <f t="shared" si="12"/>
        <v>0</v>
      </c>
    </row>
    <row r="69" spans="1:26" s="24" customFormat="1" hidden="1" outlineLevel="1" x14ac:dyDescent="0.25">
      <c r="A69" s="44"/>
      <c r="B69" s="11" t="str">
        <f>CONCATENATE("          ", "5200", " - ", "PURCHASES OFFSET")</f>
        <v xml:space="preserve">          5200 - PURCHASES OFFSET</v>
      </c>
      <c r="C69" s="11"/>
      <c r="D69" s="2"/>
      <c r="E69" s="2"/>
      <c r="F69" s="19">
        <f t="shared" si="5"/>
        <v>0</v>
      </c>
      <c r="G69" s="2"/>
      <c r="H69" s="2"/>
      <c r="I69" s="2"/>
      <c r="J69" s="19">
        <f t="shared" si="6"/>
        <v>0</v>
      </c>
      <c r="K69" s="2"/>
      <c r="L69" s="2">
        <f t="shared" si="7"/>
        <v>0</v>
      </c>
      <c r="M69" s="2"/>
      <c r="N69" s="19">
        <f t="shared" si="8"/>
        <v>0</v>
      </c>
      <c r="O69" s="11"/>
      <c r="P69" s="2">
        <v>-227521</v>
      </c>
      <c r="Q69" s="2"/>
      <c r="R69" s="19">
        <f t="shared" si="9"/>
        <v>-0.55418660417610088</v>
      </c>
      <c r="S69" s="2"/>
      <c r="T69" s="2"/>
      <c r="U69" s="2"/>
      <c r="V69" s="19">
        <f t="shared" si="10"/>
        <v>0</v>
      </c>
      <c r="W69" s="2"/>
      <c r="X69" s="2">
        <f t="shared" si="11"/>
        <v>-227521</v>
      </c>
      <c r="Y69" s="2"/>
      <c r="Z69" s="19">
        <f t="shared" si="12"/>
        <v>0</v>
      </c>
    </row>
    <row r="70" spans="1:26" s="24" customFormat="1" hidden="1" outlineLevel="1" x14ac:dyDescent="0.25">
      <c r="A70" s="44"/>
      <c r="B70" s="11" t="str">
        <f>CONCATENATE("          ", "5300", " - ", "COG$ OFFSET")</f>
        <v xml:space="preserve">          5300 - COG$ OFFSET</v>
      </c>
      <c r="C70" s="11"/>
      <c r="D70" s="2"/>
      <c r="E70" s="2"/>
      <c r="F70" s="19">
        <f t="shared" si="5"/>
        <v>0</v>
      </c>
      <c r="G70" s="2"/>
      <c r="H70" s="2"/>
      <c r="I70" s="2"/>
      <c r="J70" s="19">
        <f t="shared" si="6"/>
        <v>0</v>
      </c>
      <c r="K70" s="2"/>
      <c r="L70" s="2">
        <f t="shared" si="7"/>
        <v>0</v>
      </c>
      <c r="M70" s="2"/>
      <c r="N70" s="19">
        <f t="shared" si="8"/>
        <v>0</v>
      </c>
      <c r="O70" s="11"/>
      <c r="P70" s="2">
        <v>215717</v>
      </c>
      <c r="Q70" s="2"/>
      <c r="R70" s="19">
        <f t="shared" si="9"/>
        <v>0.5254348903752003</v>
      </c>
      <c r="S70" s="2"/>
      <c r="T70" s="2"/>
      <c r="U70" s="2"/>
      <c r="V70" s="19">
        <f t="shared" si="10"/>
        <v>0</v>
      </c>
      <c r="W70" s="2"/>
      <c r="X70" s="2">
        <f t="shared" si="11"/>
        <v>215717</v>
      </c>
      <c r="Y70" s="2"/>
      <c r="Z70" s="19">
        <f t="shared" si="12"/>
        <v>0</v>
      </c>
    </row>
    <row r="71" spans="1:26" s="24" customFormat="1" hidden="1" outlineLevel="1" x14ac:dyDescent="0.25">
      <c r="A71" s="44"/>
      <c r="B71" s="11" t="str">
        <f>CONCATENATE("          ", "5500", " - ", "FREIGHT-IN")</f>
        <v xml:space="preserve">          5500 - FREIGHT-IN</v>
      </c>
      <c r="C71" s="11"/>
      <c r="D71" s="2"/>
      <c r="E71" s="2"/>
      <c r="F71" s="19">
        <f t="shared" si="5"/>
        <v>0</v>
      </c>
      <c r="G71" s="2"/>
      <c r="H71" s="2"/>
      <c r="I71" s="2"/>
      <c r="J71" s="19">
        <f t="shared" si="6"/>
        <v>0</v>
      </c>
      <c r="K71" s="2"/>
      <c r="L71" s="2">
        <f t="shared" si="7"/>
        <v>0</v>
      </c>
      <c r="M71" s="2"/>
      <c r="N71" s="19">
        <f t="shared" si="8"/>
        <v>0</v>
      </c>
      <c r="O71" s="11"/>
      <c r="P71" s="2">
        <v>80</v>
      </c>
      <c r="Q71" s="2"/>
      <c r="R71" s="19">
        <f t="shared" si="9"/>
        <v>1.9486081871162691E-4</v>
      </c>
      <c r="S71" s="2"/>
      <c r="T71" s="2"/>
      <c r="U71" s="2"/>
      <c r="V71" s="19">
        <f t="shared" si="10"/>
        <v>0</v>
      </c>
      <c r="W71" s="2"/>
      <c r="X71" s="2">
        <f t="shared" si="11"/>
        <v>80</v>
      </c>
      <c r="Y71" s="2"/>
      <c r="Z71" s="19">
        <f t="shared" si="12"/>
        <v>0</v>
      </c>
    </row>
    <row r="72" spans="1:26" s="24" customFormat="1" hidden="1" outlineLevel="1" x14ac:dyDescent="0.25">
      <c r="A72" s="44"/>
      <c r="B72" s="11" t="str">
        <f>CONCATENATE("          ", "5527", " - ", "FREIGHT-IN-SCHOOL SUPPLIES")</f>
        <v xml:space="preserve">          5527 - FREIGHT-IN-SCHOOL SUPPLIES</v>
      </c>
      <c r="C72" s="11"/>
      <c r="D72" s="2">
        <v>-95.6</v>
      </c>
      <c r="E72" s="2"/>
      <c r="F72" s="19">
        <f t="shared" si="5"/>
        <v>0</v>
      </c>
      <c r="G72" s="2"/>
      <c r="H72" s="2"/>
      <c r="I72" s="2"/>
      <c r="J72" s="19">
        <f t="shared" si="6"/>
        <v>0</v>
      </c>
      <c r="K72" s="2"/>
      <c r="L72" s="2">
        <f t="shared" si="7"/>
        <v>-95.6</v>
      </c>
      <c r="M72" s="2"/>
      <c r="N72" s="19">
        <f t="shared" si="8"/>
        <v>0</v>
      </c>
      <c r="O72" s="11"/>
      <c r="P72" s="2">
        <v>369.28</v>
      </c>
      <c r="Q72" s="2"/>
      <c r="R72" s="19">
        <f t="shared" si="9"/>
        <v>8.9947753917286985E-4</v>
      </c>
      <c r="S72" s="2"/>
      <c r="T72" s="2"/>
      <c r="U72" s="2"/>
      <c r="V72" s="19">
        <f t="shared" si="10"/>
        <v>0</v>
      </c>
      <c r="W72" s="2"/>
      <c r="X72" s="2">
        <f t="shared" si="11"/>
        <v>369.28</v>
      </c>
      <c r="Y72" s="2"/>
      <c r="Z72" s="19">
        <f t="shared" si="12"/>
        <v>0</v>
      </c>
    </row>
    <row r="73" spans="1:26" s="24" customFormat="1" hidden="1" outlineLevel="1" x14ac:dyDescent="0.25">
      <c r="A73" s="44"/>
      <c r="B73" s="11" t="str">
        <f>CONCATENATE("          ", "5528", " - ", "FREIGHT-IN-ART/TECH")</f>
        <v xml:space="preserve">          5528 - FREIGHT-IN-ART/TECH</v>
      </c>
      <c r="C73" s="11"/>
      <c r="D73" s="2">
        <v>7.25</v>
      </c>
      <c r="E73" s="2"/>
      <c r="F73" s="19">
        <f t="shared" si="5"/>
        <v>0</v>
      </c>
      <c r="G73" s="2"/>
      <c r="H73" s="2"/>
      <c r="I73" s="2"/>
      <c r="J73" s="19">
        <f t="shared" si="6"/>
        <v>0</v>
      </c>
      <c r="K73" s="2"/>
      <c r="L73" s="2">
        <f t="shared" si="7"/>
        <v>7.25</v>
      </c>
      <c r="M73" s="2"/>
      <c r="N73" s="19">
        <f t="shared" si="8"/>
        <v>0</v>
      </c>
      <c r="O73" s="11"/>
      <c r="P73" s="2">
        <v>2723.59</v>
      </c>
      <c r="Q73" s="2"/>
      <c r="R73" s="19">
        <f t="shared" si="9"/>
        <v>6.6340122154349996E-3</v>
      </c>
      <c r="S73" s="2"/>
      <c r="T73" s="2"/>
      <c r="U73" s="2"/>
      <c r="V73" s="19">
        <f t="shared" si="10"/>
        <v>0</v>
      </c>
      <c r="W73" s="2"/>
      <c r="X73" s="2">
        <f t="shared" si="11"/>
        <v>2723.59</v>
      </c>
      <c r="Y73" s="2"/>
      <c r="Z73" s="19">
        <f t="shared" si="12"/>
        <v>0</v>
      </c>
    </row>
    <row r="74" spans="1:26" x14ac:dyDescent="0.25">
      <c r="A74" s="9"/>
      <c r="B74" s="10"/>
      <c r="C74" s="10"/>
      <c r="D74" s="3"/>
      <c r="E74" s="3"/>
      <c r="F74" s="8"/>
      <c r="G74" s="3"/>
      <c r="H74" s="3"/>
      <c r="I74" s="3"/>
      <c r="J74" s="8"/>
      <c r="K74" s="3"/>
      <c r="L74" s="3"/>
      <c r="M74" s="3"/>
      <c r="N74" s="8"/>
      <c r="O74" s="10"/>
      <c r="P74" s="3"/>
      <c r="Q74" s="3"/>
      <c r="R74" s="8"/>
      <c r="S74" s="3"/>
      <c r="T74" s="3"/>
      <c r="U74" s="3"/>
      <c r="V74" s="8"/>
      <c r="W74" s="3"/>
      <c r="X74" s="3"/>
      <c r="Y74" s="3"/>
      <c r="Z74" s="8"/>
    </row>
    <row r="75" spans="1:26" s="23" customFormat="1" x14ac:dyDescent="0.25">
      <c r="A75" s="10"/>
      <c r="B75" s="29" t="s">
        <v>6</v>
      </c>
      <c r="C75" s="29"/>
      <c r="D75" s="20">
        <f>D12-D52</f>
        <v>1526.4599999999998</v>
      </c>
      <c r="E75" s="14"/>
      <c r="F75" s="22">
        <f>IF(D$12=0,0,D75/D$12)</f>
        <v>0</v>
      </c>
      <c r="G75" s="14"/>
      <c r="H75" s="20">
        <f>H12-H52</f>
        <v>14452</v>
      </c>
      <c r="I75" s="14"/>
      <c r="J75" s="22">
        <f>IF(H$12=0,0,H75/H$12)</f>
        <v>0.54216686674669867</v>
      </c>
      <c r="K75" s="16"/>
      <c r="L75" s="20">
        <f>+D75-H75</f>
        <v>-12925.54</v>
      </c>
      <c r="M75" s="16"/>
      <c r="N75" s="22">
        <f>IF(H75=0,0,L75/H75)</f>
        <v>-0.89437724882369229</v>
      </c>
      <c r="O75" s="28"/>
      <c r="P75" s="20">
        <f>P12-P52</f>
        <v>196281.71000000022</v>
      </c>
      <c r="Q75" s="14"/>
      <c r="R75" s="22">
        <f>IF(P$12=0,0,P75/P$12)</f>
        <v>0.47809518385897715</v>
      </c>
      <c r="S75" s="14"/>
      <c r="T75" s="20">
        <f>T12-T52</f>
        <v>295719</v>
      </c>
      <c r="U75" s="14"/>
      <c r="V75" s="22">
        <f>IF(T$12=0,0,T75/T$12)</f>
        <v>0.5588334227812507</v>
      </c>
      <c r="W75" s="16"/>
      <c r="X75" s="20">
        <f>+P75-T75</f>
        <v>-99437.289999999775</v>
      </c>
      <c r="Y75" s="16"/>
      <c r="Z75" s="22">
        <f>IF(T75=0,0,X75/T75)</f>
        <v>-0.33625600654675475</v>
      </c>
    </row>
    <row r="76" spans="1:26" x14ac:dyDescent="0.25">
      <c r="A76" s="9"/>
      <c r="B76" s="10"/>
      <c r="C76" s="9"/>
      <c r="D76" s="1"/>
      <c r="E76" s="1"/>
      <c r="F76" s="5"/>
      <c r="G76" s="1"/>
      <c r="H76" s="1"/>
      <c r="I76" s="1"/>
      <c r="J76" s="5"/>
      <c r="K76" s="1"/>
      <c r="L76" s="1"/>
      <c r="M76" s="1"/>
      <c r="N76" s="5"/>
      <c r="O76" s="36"/>
      <c r="P76" s="1"/>
      <c r="Q76" s="1"/>
      <c r="R76" s="5"/>
      <c r="S76" s="1"/>
      <c r="T76" s="1"/>
      <c r="U76" s="1"/>
      <c r="V76" s="5"/>
      <c r="W76" s="1"/>
      <c r="X76" s="1"/>
      <c r="Y76" s="1"/>
      <c r="Z76" s="5"/>
    </row>
    <row r="77" spans="1:26" s="23" customFormat="1" x14ac:dyDescent="0.25">
      <c r="A77" s="10"/>
      <c r="B77" s="28" t="s">
        <v>9</v>
      </c>
      <c r="C77" s="10"/>
      <c r="D77" s="21">
        <f>SUM(OSRRefD22x_0)</f>
        <v>181.75</v>
      </c>
      <c r="E77" s="21"/>
      <c r="F77" s="30">
        <f t="shared" ref="F77:F87" si="13">IF(D$12=0,0,D77/D$12)</f>
        <v>0</v>
      </c>
      <c r="G77" s="21"/>
      <c r="H77" s="21">
        <f>SUM(OSRRefH22x_0)</f>
        <v>9777.21519248</v>
      </c>
      <c r="I77" s="21"/>
      <c r="J77" s="30">
        <f t="shared" ref="J77:J87" si="14">IF(H$12=0,0,H77/H$12)</f>
        <v>0.36679228663265306</v>
      </c>
      <c r="K77" s="4"/>
      <c r="L77" s="21">
        <f t="shared" ref="L77:L87" si="15">+D77-H77</f>
        <v>-9595.46519248</v>
      </c>
      <c r="M77" s="4"/>
      <c r="N77" s="30">
        <f t="shared" ref="N77:N87" si="16">IF(H77=0,0,L77/H77)</f>
        <v>-0.98141086225249596</v>
      </c>
      <c r="O77" s="10"/>
      <c r="P77" s="21">
        <f>SUM(OSRRefP22x_0)</f>
        <v>108541.04</v>
      </c>
      <c r="Q77" s="21"/>
      <c r="R77" s="30">
        <f t="shared" ref="R77:R87" si="17">IF(P$12=0,0,P77/P$12)</f>
        <v>0.26437994897764305</v>
      </c>
      <c r="S77" s="21"/>
      <c r="T77" s="21">
        <f>SUM(OSRRefT22x_0)</f>
        <v>133080.29860478197</v>
      </c>
      <c r="U77" s="21"/>
      <c r="V77" s="30">
        <f t="shared" ref="V77:V87" si="18">IF(T$12=0,0,T77/T$12)</f>
        <v>0.25148779339190652</v>
      </c>
      <c r="W77" s="4"/>
      <c r="X77" s="21">
        <f t="shared" ref="X77:X87" si="19">+P77-T77</f>
        <v>-24539.258604781979</v>
      </c>
      <c r="Y77" s="4"/>
      <c r="Z77" s="30">
        <f t="shared" ref="Z77:Z87" si="20">IF(T77=0,0,X77/T77)</f>
        <v>-0.18439437589224203</v>
      </c>
    </row>
    <row r="78" spans="1:26" s="27" customFormat="1" outlineLevel="1" collapsed="1" x14ac:dyDescent="0.25">
      <c r="A78" s="25"/>
      <c r="B78" s="12" t="str">
        <f>CONCATENATE("     ","*Benefits                                         ")</f>
        <v xml:space="preserve">     *Benefits                                         </v>
      </c>
      <c r="C78" s="12"/>
      <c r="D78" s="1">
        <f>SUM(OSRRefD22_0x_0)</f>
        <v>0</v>
      </c>
      <c r="E78" s="1"/>
      <c r="F78" s="5">
        <f t="shared" si="13"/>
        <v>0</v>
      </c>
      <c r="G78" s="1"/>
      <c r="H78" s="1">
        <f>SUM(OSRRefH22_0x_0)</f>
        <v>1367.74872648</v>
      </c>
      <c r="I78" s="1"/>
      <c r="J78" s="5">
        <f t="shared" si="14"/>
        <v>5.131110168367347E-2</v>
      </c>
      <c r="K78" s="1"/>
      <c r="L78" s="1">
        <f t="shared" si="15"/>
        <v>-1367.74872648</v>
      </c>
      <c r="M78" s="1"/>
      <c r="N78" s="5">
        <f t="shared" si="16"/>
        <v>-1</v>
      </c>
      <c r="O78" s="12"/>
      <c r="P78" s="1">
        <f>SUM(OSRRefP22_0x_0)</f>
        <v>17660.419999999998</v>
      </c>
      <c r="Q78" s="1"/>
      <c r="R78" s="5">
        <f t="shared" si="17"/>
        <v>4.3016548749889874E-2</v>
      </c>
      <c r="S78" s="1"/>
      <c r="T78" s="1">
        <f>SUM(OSRRefT22_0x_0)</f>
        <v>20481.694300781997</v>
      </c>
      <c r="U78" s="1"/>
      <c r="V78" s="5">
        <f t="shared" si="18"/>
        <v>3.8705173933583026E-2</v>
      </c>
      <c r="W78" s="1"/>
      <c r="X78" s="1">
        <f t="shared" si="19"/>
        <v>-2821.274300781999</v>
      </c>
      <c r="Y78" s="1"/>
      <c r="Z78" s="5">
        <f t="shared" si="20"/>
        <v>-0.13774613854451884</v>
      </c>
    </row>
    <row r="79" spans="1:26" s="24" customFormat="1" hidden="1" outlineLevel="2" x14ac:dyDescent="0.25">
      <c r="A79" s="26"/>
      <c r="B79" s="11" t="str">
        <f>CONCATENATE("          ", "6111", " - ", "F.I.C.A.")</f>
        <v xml:space="preserve">          6111 - F.I.C.A.</v>
      </c>
      <c r="C79" s="11"/>
      <c r="D79" s="7"/>
      <c r="E79" s="2"/>
      <c r="F79" s="6">
        <f t="shared" si="13"/>
        <v>0</v>
      </c>
      <c r="G79" s="2"/>
      <c r="H79" s="7">
        <v>227.01859200000001</v>
      </c>
      <c r="I79" s="2"/>
      <c r="J79" s="6">
        <f t="shared" si="14"/>
        <v>8.5166038415366158E-3</v>
      </c>
      <c r="K79" s="2"/>
      <c r="L79" s="7">
        <f t="shared" si="15"/>
        <v>-227.01859200000001</v>
      </c>
      <c r="M79" s="2"/>
      <c r="N79" s="6">
        <f t="shared" si="16"/>
        <v>-1</v>
      </c>
      <c r="O79" s="11"/>
      <c r="P79" s="7">
        <v>2534.9299999999998</v>
      </c>
      <c r="Q79" s="2"/>
      <c r="R79" s="6">
        <f t="shared" si="17"/>
        <v>6.1744816897083051E-3</v>
      </c>
      <c r="S79" s="2"/>
      <c r="T79" s="7">
        <v>6555.0153196620004</v>
      </c>
      <c r="U79" s="2"/>
      <c r="V79" s="6">
        <f t="shared" si="18"/>
        <v>1.2387305676910343E-2</v>
      </c>
      <c r="W79" s="2"/>
      <c r="X79" s="7">
        <f t="shared" si="19"/>
        <v>-4020.0853196620005</v>
      </c>
      <c r="Y79" s="2"/>
      <c r="Z79" s="6">
        <f t="shared" si="20"/>
        <v>-0.61328389387643567</v>
      </c>
    </row>
    <row r="80" spans="1:26" s="24" customFormat="1" hidden="1" outlineLevel="2" x14ac:dyDescent="0.25">
      <c r="A80" s="26"/>
      <c r="B80" s="11" t="str">
        <f>CONCATENATE("          ", "6112", " - ", "COMPENSATION INSURANCE")</f>
        <v xml:space="preserve">          6112 - COMPENSATION INSURANCE</v>
      </c>
      <c r="C80" s="11"/>
      <c r="D80" s="7"/>
      <c r="E80" s="2"/>
      <c r="F80" s="6">
        <f t="shared" si="13"/>
        <v>0</v>
      </c>
      <c r="G80" s="2"/>
      <c r="H80" s="7">
        <v>121.1587782</v>
      </c>
      <c r="I80" s="2"/>
      <c r="J80" s="6">
        <f t="shared" si="14"/>
        <v>4.5452722914165666E-3</v>
      </c>
      <c r="K80" s="2"/>
      <c r="L80" s="7">
        <f t="shared" si="15"/>
        <v>-121.1587782</v>
      </c>
      <c r="M80" s="2"/>
      <c r="N80" s="6">
        <f t="shared" si="16"/>
        <v>-1</v>
      </c>
      <c r="O80" s="11"/>
      <c r="P80" s="7">
        <v>1326.62</v>
      </c>
      <c r="Q80" s="2"/>
      <c r="R80" s="6">
        <f t="shared" si="17"/>
        <v>3.2313282414902309E-3</v>
      </c>
      <c r="S80" s="2"/>
      <c r="T80" s="7">
        <v>1724.6065008</v>
      </c>
      <c r="U80" s="2"/>
      <c r="V80" s="6">
        <f t="shared" si="18"/>
        <v>3.2590660518697135E-3</v>
      </c>
      <c r="W80" s="2"/>
      <c r="X80" s="7">
        <f t="shared" si="19"/>
        <v>-397.98650080000016</v>
      </c>
      <c r="Y80" s="2"/>
      <c r="Z80" s="6">
        <f t="shared" si="20"/>
        <v>-0.23076945414237079</v>
      </c>
    </row>
    <row r="81" spans="1:26" s="24" customFormat="1" hidden="1" outlineLevel="2" x14ac:dyDescent="0.25">
      <c r="A81" s="26"/>
      <c r="B81" s="11" t="str">
        <f>CONCATENATE("          ", "6113", " - ", "GROUP INSURANCE")</f>
        <v xml:space="preserve">          6113 - GROUP INSURANCE</v>
      </c>
      <c r="C81" s="11"/>
      <c r="D81" s="7"/>
      <c r="E81" s="2"/>
      <c r="F81" s="6">
        <f t="shared" si="13"/>
        <v>0</v>
      </c>
      <c r="G81" s="2"/>
      <c r="H81" s="7">
        <v>497.25</v>
      </c>
      <c r="I81" s="2"/>
      <c r="J81" s="6">
        <f t="shared" si="14"/>
        <v>1.8654336734693879E-2</v>
      </c>
      <c r="K81" s="2"/>
      <c r="L81" s="7">
        <f t="shared" si="15"/>
        <v>-497.25</v>
      </c>
      <c r="M81" s="2"/>
      <c r="N81" s="6">
        <f t="shared" si="16"/>
        <v>-1</v>
      </c>
      <c r="O81" s="11"/>
      <c r="P81" s="7">
        <v>8133.54</v>
      </c>
      <c r="Q81" s="2"/>
      <c r="R81" s="6">
        <f t="shared" si="17"/>
        <v>1.9811353292797075E-2</v>
      </c>
      <c r="S81" s="2"/>
      <c r="T81" s="7">
        <v>5469.75</v>
      </c>
      <c r="U81" s="2"/>
      <c r="V81" s="6">
        <f t="shared" si="18"/>
        <v>1.0336431254866092E-2</v>
      </c>
      <c r="W81" s="2"/>
      <c r="X81" s="7">
        <f t="shared" si="19"/>
        <v>2663.79</v>
      </c>
      <c r="Y81" s="2"/>
      <c r="Z81" s="6">
        <f t="shared" si="20"/>
        <v>0.48700397641574111</v>
      </c>
    </row>
    <row r="82" spans="1:26" s="24" customFormat="1" hidden="1" outlineLevel="2" x14ac:dyDescent="0.25">
      <c r="A82" s="26"/>
      <c r="B82" s="11" t="str">
        <f>CONCATENATE("          ", "6114", " - ", "STATE UNEMPLOYMENT INSURANCE")</f>
        <v xml:space="preserve">          6114 - STATE UNEMPLOYMENT INSURANCE</v>
      </c>
      <c r="C82" s="11"/>
      <c r="D82" s="7"/>
      <c r="E82" s="2"/>
      <c r="F82" s="6">
        <f t="shared" si="13"/>
        <v>0</v>
      </c>
      <c r="G82" s="2"/>
      <c r="H82" s="7">
        <v>16.579622279999999</v>
      </c>
      <c r="I82" s="2"/>
      <c r="J82" s="6">
        <f t="shared" si="14"/>
        <v>6.2198462935174066E-4</v>
      </c>
      <c r="K82" s="2"/>
      <c r="L82" s="7">
        <f t="shared" si="15"/>
        <v>-16.579622279999999</v>
      </c>
      <c r="M82" s="2"/>
      <c r="N82" s="6">
        <f t="shared" si="16"/>
        <v>-1</v>
      </c>
      <c r="O82" s="11"/>
      <c r="P82" s="7">
        <v>203.94</v>
      </c>
      <c r="Q82" s="2"/>
      <c r="R82" s="6">
        <f t="shared" si="17"/>
        <v>4.9674894210061495E-4</v>
      </c>
      <c r="S82" s="2"/>
      <c r="T82" s="7">
        <v>235.99878432</v>
      </c>
      <c r="U82" s="2"/>
      <c r="V82" s="6">
        <f t="shared" si="18"/>
        <v>4.4597745972953972E-4</v>
      </c>
      <c r="W82" s="2"/>
      <c r="X82" s="7">
        <f t="shared" si="19"/>
        <v>-32.058784320000001</v>
      </c>
      <c r="Y82" s="2"/>
      <c r="Z82" s="6">
        <f t="shared" si="20"/>
        <v>-0.13584300619332954</v>
      </c>
    </row>
    <row r="83" spans="1:26" s="24" customFormat="1" hidden="1" outlineLevel="2" x14ac:dyDescent="0.25">
      <c r="A83" s="26"/>
      <c r="B83" s="11" t="str">
        <f>CONCATENATE("          ", "6115", " - ", "P.E.R.S.")</f>
        <v xml:space="preserve">          6115 - P.E.R.S.</v>
      </c>
      <c r="C83" s="11"/>
      <c r="D83" s="7"/>
      <c r="E83" s="2"/>
      <c r="F83" s="6">
        <f t="shared" si="13"/>
        <v>0</v>
      </c>
      <c r="G83" s="2"/>
      <c r="H83" s="7">
        <v>255.1104</v>
      </c>
      <c r="I83" s="2"/>
      <c r="J83" s="6">
        <f t="shared" si="14"/>
        <v>9.5704681872749095E-3</v>
      </c>
      <c r="K83" s="2"/>
      <c r="L83" s="7">
        <f t="shared" si="15"/>
        <v>-255.1104</v>
      </c>
      <c r="M83" s="2"/>
      <c r="N83" s="6">
        <f t="shared" si="16"/>
        <v>-1</v>
      </c>
      <c r="O83" s="11"/>
      <c r="P83" s="7">
        <v>1788.49</v>
      </c>
      <c r="Q83" s="2"/>
      <c r="R83" s="6">
        <f t="shared" si="17"/>
        <v>4.3563328207194708E-3</v>
      </c>
      <c r="S83" s="2"/>
      <c r="T83" s="7">
        <v>3061.3247999999999</v>
      </c>
      <c r="U83" s="2"/>
      <c r="V83" s="6">
        <f t="shared" si="18"/>
        <v>5.7851224176638221E-3</v>
      </c>
      <c r="W83" s="2"/>
      <c r="X83" s="7">
        <f t="shared" si="19"/>
        <v>-1272.8347999999999</v>
      </c>
      <c r="Y83" s="2"/>
      <c r="Z83" s="6">
        <f t="shared" si="20"/>
        <v>-0.41577907708453538</v>
      </c>
    </row>
    <row r="84" spans="1:26" s="24" customFormat="1" hidden="1" outlineLevel="2" x14ac:dyDescent="0.25">
      <c r="A84" s="26"/>
      <c r="B84" s="11" t="str">
        <f>CONCATENATE("          ", "6116", " - ", "EDUCATIONAL BENEFITS")</f>
        <v xml:space="preserve">          6116 - EDUCATIONAL BENEFITS</v>
      </c>
      <c r="C84" s="11"/>
      <c r="D84" s="7"/>
      <c r="E84" s="2"/>
      <c r="F84" s="6">
        <f t="shared" si="13"/>
        <v>0</v>
      </c>
      <c r="G84" s="2"/>
      <c r="H84" s="7">
        <v>0</v>
      </c>
      <c r="I84" s="2"/>
      <c r="J84" s="6">
        <f t="shared" si="14"/>
        <v>0</v>
      </c>
      <c r="K84" s="2"/>
      <c r="L84" s="7">
        <f t="shared" si="15"/>
        <v>0</v>
      </c>
      <c r="M84" s="2"/>
      <c r="N84" s="6">
        <f t="shared" si="16"/>
        <v>0</v>
      </c>
      <c r="O84" s="11"/>
      <c r="P84" s="7"/>
      <c r="Q84" s="2"/>
      <c r="R84" s="6">
        <f t="shared" si="17"/>
        <v>0</v>
      </c>
      <c r="S84" s="2"/>
      <c r="T84" s="7">
        <v>0</v>
      </c>
      <c r="U84" s="2"/>
      <c r="V84" s="6">
        <f t="shared" si="18"/>
        <v>0</v>
      </c>
      <c r="W84" s="2"/>
      <c r="X84" s="7">
        <f t="shared" si="19"/>
        <v>0</v>
      </c>
      <c r="Y84" s="2"/>
      <c r="Z84" s="6">
        <f t="shared" si="20"/>
        <v>0</v>
      </c>
    </row>
    <row r="85" spans="1:26" s="24" customFormat="1" hidden="1" outlineLevel="2" x14ac:dyDescent="0.25">
      <c r="A85" s="26"/>
      <c r="B85" s="11" t="str">
        <f>CONCATENATE("          ", "6118", " - ", "VACATION")</f>
        <v xml:space="preserve">          6118 - VACATION</v>
      </c>
      <c r="C85" s="11"/>
      <c r="D85" s="7"/>
      <c r="E85" s="2"/>
      <c r="F85" s="6">
        <f t="shared" si="13"/>
        <v>0</v>
      </c>
      <c r="G85" s="2"/>
      <c r="H85" s="7">
        <v>88.992000000000004</v>
      </c>
      <c r="I85" s="2"/>
      <c r="J85" s="6">
        <f t="shared" si="14"/>
        <v>3.3385354141656663E-3</v>
      </c>
      <c r="K85" s="2"/>
      <c r="L85" s="7">
        <f t="shared" si="15"/>
        <v>-88.992000000000004</v>
      </c>
      <c r="M85" s="2"/>
      <c r="N85" s="6">
        <f t="shared" si="16"/>
        <v>-1</v>
      </c>
      <c r="O85" s="11"/>
      <c r="P85" s="7">
        <v>1686.84</v>
      </c>
      <c r="Q85" s="2"/>
      <c r="R85" s="6">
        <f t="shared" si="17"/>
        <v>4.1087377929440094E-3</v>
      </c>
      <c r="S85" s="2"/>
      <c r="T85" s="7">
        <v>1067.904</v>
      </c>
      <c r="U85" s="2"/>
      <c r="V85" s="6">
        <f t="shared" si="18"/>
        <v>2.0180659596501704E-3</v>
      </c>
      <c r="W85" s="2"/>
      <c r="X85" s="7">
        <f t="shared" si="19"/>
        <v>618.93599999999992</v>
      </c>
      <c r="Y85" s="2"/>
      <c r="Z85" s="6">
        <f t="shared" si="20"/>
        <v>0.57958018698309954</v>
      </c>
    </row>
    <row r="86" spans="1:26" s="24" customFormat="1" hidden="1" outlineLevel="2" x14ac:dyDescent="0.25">
      <c r="A86" s="26"/>
      <c r="B86" s="11" t="str">
        <f>CONCATENATE("          ", "6119", " - ", "SICK LEAVE")</f>
        <v xml:space="preserve">          6119 - SICK LEAVE</v>
      </c>
      <c r="C86" s="11"/>
      <c r="D86" s="7"/>
      <c r="E86" s="2"/>
      <c r="F86" s="6">
        <f t="shared" si="13"/>
        <v>0</v>
      </c>
      <c r="G86" s="2"/>
      <c r="H86" s="7">
        <v>161.63933399999999</v>
      </c>
      <c r="I86" s="2"/>
      <c r="J86" s="6">
        <f t="shared" si="14"/>
        <v>6.0639005852340935E-3</v>
      </c>
      <c r="K86" s="2"/>
      <c r="L86" s="7">
        <f t="shared" si="15"/>
        <v>-161.63933399999999</v>
      </c>
      <c r="M86" s="2"/>
      <c r="N86" s="6">
        <f t="shared" si="16"/>
        <v>-1</v>
      </c>
      <c r="O86" s="11"/>
      <c r="P86" s="7">
        <v>684.81</v>
      </c>
      <c r="Q86" s="2"/>
      <c r="R86" s="6">
        <f t="shared" si="17"/>
        <v>1.6680329657738652E-3</v>
      </c>
      <c r="S86" s="2"/>
      <c r="T86" s="7">
        <v>2367.0948960000001</v>
      </c>
      <c r="U86" s="2"/>
      <c r="V86" s="6">
        <f t="shared" si="18"/>
        <v>4.4732051128933501E-3</v>
      </c>
      <c r="W86" s="2"/>
      <c r="X86" s="7">
        <f t="shared" si="19"/>
        <v>-1682.2848960000001</v>
      </c>
      <c r="Y86" s="2"/>
      <c r="Z86" s="6">
        <f t="shared" si="20"/>
        <v>-0.71069600920638376</v>
      </c>
    </row>
    <row r="87" spans="1:26" s="24" customFormat="1" hidden="1" outlineLevel="2" x14ac:dyDescent="0.25">
      <c r="A87" s="26"/>
      <c r="B87" s="11" t="str">
        <f>CONCATENATE("          ", "6156", " - ", "EMPLOYEE MEALS")</f>
        <v xml:space="preserve">          6156 - EMPLOYEE MEALS</v>
      </c>
      <c r="C87" s="11"/>
      <c r="D87" s="7"/>
      <c r="E87" s="2"/>
      <c r="F87" s="6">
        <f t="shared" si="13"/>
        <v>0</v>
      </c>
      <c r="G87" s="2"/>
      <c r="H87" s="7"/>
      <c r="I87" s="2"/>
      <c r="J87" s="6">
        <f t="shared" si="14"/>
        <v>0</v>
      </c>
      <c r="K87" s="2"/>
      <c r="L87" s="7">
        <f t="shared" si="15"/>
        <v>0</v>
      </c>
      <c r="M87" s="2"/>
      <c r="N87" s="6">
        <f t="shared" si="16"/>
        <v>0</v>
      </c>
      <c r="O87" s="11"/>
      <c r="P87" s="7">
        <v>1301.25</v>
      </c>
      <c r="Q87" s="2"/>
      <c r="R87" s="6">
        <f t="shared" si="17"/>
        <v>3.1695330043563065E-3</v>
      </c>
      <c r="S87" s="2"/>
      <c r="T87" s="7"/>
      <c r="U87" s="2"/>
      <c r="V87" s="6">
        <f t="shared" si="18"/>
        <v>0</v>
      </c>
      <c r="W87" s="2"/>
      <c r="X87" s="7">
        <f t="shared" si="19"/>
        <v>1301.25</v>
      </c>
      <c r="Y87" s="2"/>
      <c r="Z87" s="6">
        <f t="shared" si="20"/>
        <v>0</v>
      </c>
    </row>
    <row r="88" spans="1:26" s="27" customFormat="1" outlineLevel="1" collapsed="1" x14ac:dyDescent="0.25">
      <c r="A88" s="25"/>
      <c r="B88" s="12" t="str">
        <f>CONCATENATE("     ","*Payroll                                          ")</f>
        <v xml:space="preserve">     *Payroll                                          </v>
      </c>
      <c r="C88" s="12"/>
      <c r="D88" s="1">
        <f>SUM(OSRRefD22_1x_0)</f>
        <v>0</v>
      </c>
      <c r="E88" s="1"/>
      <c r="F88" s="5">
        <f t="shared" ref="F88:F98" si="21">IF(D$12=0,0,D88/D$12)</f>
        <v>0</v>
      </c>
      <c r="G88" s="1"/>
      <c r="H88" s="1">
        <f>SUM(OSRRefH22_1x_0)</f>
        <v>6274.4664659999999</v>
      </c>
      <c r="I88" s="1"/>
      <c r="J88" s="5">
        <f t="shared" ref="J88:J98" si="22">IF(H$12=0,0,H88/H$12)</f>
        <v>0.23538664713385354</v>
      </c>
      <c r="K88" s="1"/>
      <c r="L88" s="1">
        <f t="shared" ref="L88:L98" si="23">+D88-H88</f>
        <v>-6274.4664659999999</v>
      </c>
      <c r="M88" s="1"/>
      <c r="N88" s="5">
        <f t="shared" ref="N88:N98" si="24">IF(H88=0,0,L88/H88)</f>
        <v>-1</v>
      </c>
      <c r="O88" s="12"/>
      <c r="P88" s="1">
        <f>SUM(OSRRefP22_1x_0)</f>
        <v>74046.41</v>
      </c>
      <c r="Q88" s="1"/>
      <c r="R88" s="5">
        <f t="shared" ref="R88:R98" si="25">IF(P$12=0,0,P88/P$12)</f>
        <v>0.18035930094070998</v>
      </c>
      <c r="S88" s="1"/>
      <c r="T88" s="1">
        <f>SUM(OSRRefT22_1x_0)</f>
        <v>89113.604303999993</v>
      </c>
      <c r="U88" s="1"/>
      <c r="V88" s="5">
        <f t="shared" ref="V88:V98" si="26">IF(T$12=0,0,T88/T$12)</f>
        <v>0.16840196439720923</v>
      </c>
      <c r="W88" s="1"/>
      <c r="X88" s="1">
        <f t="shared" ref="X88:X98" si="27">+P88-T88</f>
        <v>-15067.19430399999</v>
      </c>
      <c r="Y88" s="1"/>
      <c r="Z88" s="5">
        <f t="shared" ref="Z88:Z98" si="28">IF(T88=0,0,X88/T88)</f>
        <v>-0.16907849729206473</v>
      </c>
    </row>
    <row r="89" spans="1:26" s="24" customFormat="1" hidden="1" outlineLevel="2" x14ac:dyDescent="0.25">
      <c r="A89" s="26"/>
      <c r="B89" s="11" t="str">
        <f>CONCATENATE("          ", "6001", " - ", "ADMINISTRATIVE SALARIES")</f>
        <v xml:space="preserve">          6001 - ADMINISTRATIVE SALARIES</v>
      </c>
      <c r="C89" s="11"/>
      <c r="D89" s="7"/>
      <c r="E89" s="2"/>
      <c r="F89" s="6">
        <f t="shared" si="21"/>
        <v>0</v>
      </c>
      <c r="G89" s="2"/>
      <c r="H89" s="7">
        <v>2966.4</v>
      </c>
      <c r="I89" s="2"/>
      <c r="J89" s="6">
        <f t="shared" si="22"/>
        <v>0.11128451380552221</v>
      </c>
      <c r="K89" s="2"/>
      <c r="L89" s="7">
        <f t="shared" si="23"/>
        <v>-2966.4</v>
      </c>
      <c r="M89" s="2"/>
      <c r="N89" s="6">
        <f t="shared" si="24"/>
        <v>-1</v>
      </c>
      <c r="O89" s="11"/>
      <c r="P89" s="7"/>
      <c r="Q89" s="2"/>
      <c r="R89" s="6">
        <f t="shared" si="25"/>
        <v>0</v>
      </c>
      <c r="S89" s="2"/>
      <c r="T89" s="7">
        <v>35596.800000000003</v>
      </c>
      <c r="U89" s="2"/>
      <c r="V89" s="6">
        <f t="shared" si="26"/>
        <v>6.7268865321672353E-2</v>
      </c>
      <c r="W89" s="2"/>
      <c r="X89" s="7">
        <f t="shared" si="27"/>
        <v>-35596.800000000003</v>
      </c>
      <c r="Y89" s="2"/>
      <c r="Z89" s="6">
        <f t="shared" si="28"/>
        <v>-1</v>
      </c>
    </row>
    <row r="90" spans="1:26" s="24" customFormat="1" hidden="1" outlineLevel="2" x14ac:dyDescent="0.25">
      <c r="A90" s="26"/>
      <c r="B90" s="11" t="str">
        <f>CONCATENATE("          ", "6002", " - ", "STAFF SALARIES")</f>
        <v xml:space="preserve">          6002 - STAFF SALARIES</v>
      </c>
      <c r="C90" s="11"/>
      <c r="D90" s="7"/>
      <c r="E90" s="2"/>
      <c r="F90" s="6">
        <f t="shared" si="21"/>
        <v>0</v>
      </c>
      <c r="G90" s="2"/>
      <c r="H90" s="7">
        <v>0</v>
      </c>
      <c r="I90" s="2"/>
      <c r="J90" s="6">
        <f t="shared" si="22"/>
        <v>0</v>
      </c>
      <c r="K90" s="2"/>
      <c r="L90" s="7">
        <f t="shared" si="23"/>
        <v>0</v>
      </c>
      <c r="M90" s="2"/>
      <c r="N90" s="6">
        <f t="shared" si="24"/>
        <v>0</v>
      </c>
      <c r="O90" s="11"/>
      <c r="P90" s="7">
        <v>20966.809999999998</v>
      </c>
      <c r="Q90" s="2"/>
      <c r="R90" s="6">
        <f t="shared" si="25"/>
        <v>5.1070122029639078E-2</v>
      </c>
      <c r="S90" s="2"/>
      <c r="T90" s="7">
        <v>0</v>
      </c>
      <c r="U90" s="2"/>
      <c r="V90" s="6">
        <f t="shared" si="26"/>
        <v>0</v>
      </c>
      <c r="W90" s="2"/>
      <c r="X90" s="7">
        <f t="shared" si="27"/>
        <v>20966.809999999998</v>
      </c>
      <c r="Y90" s="2"/>
      <c r="Z90" s="6">
        <f t="shared" si="28"/>
        <v>0</v>
      </c>
    </row>
    <row r="91" spans="1:26" s="24" customFormat="1" hidden="1" outlineLevel="2" x14ac:dyDescent="0.25">
      <c r="A91" s="26"/>
      <c r="B91" s="11" t="str">
        <f>CONCATENATE("          ", "6003", " - ", "STAFF HOURLY-9 MONTH")</f>
        <v xml:space="preserve">          6003 - STAFF HOURLY-9 MONTH</v>
      </c>
      <c r="C91" s="11"/>
      <c r="D91" s="7"/>
      <c r="E91" s="2"/>
      <c r="F91" s="6">
        <f t="shared" si="21"/>
        <v>0</v>
      </c>
      <c r="G91" s="2"/>
      <c r="H91" s="7">
        <v>0</v>
      </c>
      <c r="I91" s="2"/>
      <c r="J91" s="6">
        <f t="shared" si="22"/>
        <v>0</v>
      </c>
      <c r="K91" s="2"/>
      <c r="L91" s="7">
        <f t="shared" si="23"/>
        <v>0</v>
      </c>
      <c r="M91" s="2"/>
      <c r="N91" s="6">
        <f t="shared" si="24"/>
        <v>0</v>
      </c>
      <c r="O91" s="11"/>
      <c r="P91" s="7"/>
      <c r="Q91" s="2"/>
      <c r="R91" s="6">
        <f t="shared" si="25"/>
        <v>0</v>
      </c>
      <c r="S91" s="2"/>
      <c r="T91" s="7">
        <v>0</v>
      </c>
      <c r="U91" s="2"/>
      <c r="V91" s="6">
        <f t="shared" si="26"/>
        <v>0</v>
      </c>
      <c r="W91" s="2"/>
      <c r="X91" s="7">
        <f t="shared" si="27"/>
        <v>0</v>
      </c>
      <c r="Y91" s="2"/>
      <c r="Z91" s="6">
        <f t="shared" si="28"/>
        <v>0</v>
      </c>
    </row>
    <row r="92" spans="1:26" s="24" customFormat="1" hidden="1" outlineLevel="2" x14ac:dyDescent="0.25">
      <c r="A92" s="26"/>
      <c r="B92" s="11" t="str">
        <f>CONCATENATE("          ", "6004", " - ", "STAFF HOURLY")</f>
        <v xml:space="preserve">          6004 - STAFF HOURLY</v>
      </c>
      <c r="C92" s="11"/>
      <c r="D92" s="7"/>
      <c r="E92" s="2"/>
      <c r="F92" s="6">
        <f t="shared" si="21"/>
        <v>0</v>
      </c>
      <c r="G92" s="2"/>
      <c r="H92" s="7">
        <v>0</v>
      </c>
      <c r="I92" s="2"/>
      <c r="J92" s="6">
        <f t="shared" si="22"/>
        <v>0</v>
      </c>
      <c r="K92" s="2"/>
      <c r="L92" s="7">
        <f t="shared" si="23"/>
        <v>0</v>
      </c>
      <c r="M92" s="2"/>
      <c r="N92" s="6">
        <f t="shared" si="24"/>
        <v>0</v>
      </c>
      <c r="O92" s="11"/>
      <c r="P92" s="7"/>
      <c r="Q92" s="2"/>
      <c r="R92" s="6">
        <f t="shared" si="25"/>
        <v>0</v>
      </c>
      <c r="S92" s="2"/>
      <c r="T92" s="7">
        <v>0</v>
      </c>
      <c r="U92" s="2"/>
      <c r="V92" s="6">
        <f t="shared" si="26"/>
        <v>0</v>
      </c>
      <c r="W92" s="2"/>
      <c r="X92" s="7">
        <f t="shared" si="27"/>
        <v>0</v>
      </c>
      <c r="Y92" s="2"/>
      <c r="Z92" s="6">
        <f t="shared" si="28"/>
        <v>0</v>
      </c>
    </row>
    <row r="93" spans="1:26" s="24" customFormat="1" hidden="1" outlineLevel="2" x14ac:dyDescent="0.25">
      <c r="A93" s="26"/>
      <c r="B93" s="11" t="str">
        <f>CONCATENATE("          ", "6005", " - ", "TEMPORARY WAGES-HOURLY")</f>
        <v xml:space="preserve">          6005 - TEMPORARY WAGES-HOURLY</v>
      </c>
      <c r="C93" s="11"/>
      <c r="D93" s="7"/>
      <c r="E93" s="2"/>
      <c r="F93" s="6">
        <f t="shared" si="21"/>
        <v>0</v>
      </c>
      <c r="G93" s="2"/>
      <c r="H93" s="7">
        <v>0</v>
      </c>
      <c r="I93" s="2"/>
      <c r="J93" s="6">
        <f t="shared" si="22"/>
        <v>0</v>
      </c>
      <c r="K93" s="2"/>
      <c r="L93" s="7">
        <f t="shared" si="23"/>
        <v>0</v>
      </c>
      <c r="M93" s="2"/>
      <c r="N93" s="6">
        <f t="shared" si="24"/>
        <v>0</v>
      </c>
      <c r="O93" s="11"/>
      <c r="P93" s="7">
        <v>7121.65</v>
      </c>
      <c r="Q93" s="2"/>
      <c r="R93" s="6">
        <f t="shared" si="25"/>
        <v>1.7346631869720724E-2</v>
      </c>
      <c r="S93" s="2"/>
      <c r="T93" s="7">
        <v>0</v>
      </c>
      <c r="U93" s="2"/>
      <c r="V93" s="6">
        <f t="shared" si="26"/>
        <v>0</v>
      </c>
      <c r="W93" s="2"/>
      <c r="X93" s="7">
        <f t="shared" si="27"/>
        <v>7121.65</v>
      </c>
      <c r="Y93" s="2"/>
      <c r="Z93" s="6">
        <f t="shared" si="28"/>
        <v>0</v>
      </c>
    </row>
    <row r="94" spans="1:26" s="24" customFormat="1" hidden="1" outlineLevel="2" x14ac:dyDescent="0.25">
      <c r="A94" s="26"/>
      <c r="B94" s="11" t="str">
        <f>CONCATENATE("          ", "6006", " - ", "TEMPORARY PART TIME")</f>
        <v xml:space="preserve">          6006 - TEMPORARY PART TIME</v>
      </c>
      <c r="C94" s="11"/>
      <c r="D94" s="7"/>
      <c r="E94" s="2"/>
      <c r="F94" s="6">
        <f t="shared" si="21"/>
        <v>0</v>
      </c>
      <c r="G94" s="2"/>
      <c r="H94" s="7">
        <v>0</v>
      </c>
      <c r="I94" s="2"/>
      <c r="J94" s="6">
        <f t="shared" si="22"/>
        <v>0</v>
      </c>
      <c r="K94" s="2"/>
      <c r="L94" s="7">
        <f t="shared" si="23"/>
        <v>0</v>
      </c>
      <c r="M94" s="2"/>
      <c r="N94" s="6">
        <f t="shared" si="24"/>
        <v>0</v>
      </c>
      <c r="O94" s="11"/>
      <c r="P94" s="7">
        <v>25.5</v>
      </c>
      <c r="Q94" s="2"/>
      <c r="R94" s="6">
        <f t="shared" si="25"/>
        <v>6.2111885964331076E-5</v>
      </c>
      <c r="S94" s="2"/>
      <c r="T94" s="7">
        <v>0</v>
      </c>
      <c r="U94" s="2"/>
      <c r="V94" s="6">
        <f t="shared" si="26"/>
        <v>0</v>
      </c>
      <c r="W94" s="2"/>
      <c r="X94" s="7">
        <f t="shared" si="27"/>
        <v>25.5</v>
      </c>
      <c r="Y94" s="2"/>
      <c r="Z94" s="6">
        <f t="shared" si="28"/>
        <v>0</v>
      </c>
    </row>
    <row r="95" spans="1:26" s="24" customFormat="1" hidden="1" outlineLevel="2" x14ac:dyDescent="0.25">
      <c r="A95" s="26"/>
      <c r="B95" s="11" t="str">
        <f>CONCATENATE("          ", "6007", " - ", "STUDENT HOURLY")</f>
        <v xml:space="preserve">          6007 - STUDENT HOURLY</v>
      </c>
      <c r="C95" s="11"/>
      <c r="D95" s="7"/>
      <c r="E95" s="2"/>
      <c r="F95" s="6">
        <f t="shared" si="21"/>
        <v>0</v>
      </c>
      <c r="G95" s="2"/>
      <c r="H95" s="7">
        <v>0</v>
      </c>
      <c r="I95" s="2"/>
      <c r="J95" s="6">
        <f t="shared" si="22"/>
        <v>0</v>
      </c>
      <c r="K95" s="2"/>
      <c r="L95" s="7">
        <f t="shared" si="23"/>
        <v>0</v>
      </c>
      <c r="M95" s="2"/>
      <c r="N95" s="6">
        <f t="shared" si="24"/>
        <v>0</v>
      </c>
      <c r="O95" s="11"/>
      <c r="P95" s="7">
        <v>45932.45</v>
      </c>
      <c r="Q95" s="2"/>
      <c r="R95" s="6">
        <f t="shared" si="25"/>
        <v>0.11188043515538584</v>
      </c>
      <c r="S95" s="2"/>
      <c r="T95" s="7">
        <v>48554.402838000002</v>
      </c>
      <c r="U95" s="2"/>
      <c r="V95" s="6">
        <f t="shared" si="26"/>
        <v>9.1755427040735346E-2</v>
      </c>
      <c r="W95" s="2"/>
      <c r="X95" s="7">
        <f t="shared" si="27"/>
        <v>-2621.9528380000047</v>
      </c>
      <c r="Y95" s="2"/>
      <c r="Z95" s="6">
        <f t="shared" si="28"/>
        <v>-5.4000310677242903E-2</v>
      </c>
    </row>
    <row r="96" spans="1:26" s="24" customFormat="1" hidden="1" outlineLevel="2" x14ac:dyDescent="0.25">
      <c r="A96" s="26"/>
      <c r="B96" s="11" t="str">
        <f>CONCATENATE("          ", "6008", " - ", "STUDENT HOURLY-FICA EXEMPT")</f>
        <v xml:space="preserve">          6008 - STUDENT HOURLY-FICA EXEMPT</v>
      </c>
      <c r="C96" s="11"/>
      <c r="D96" s="7"/>
      <c r="E96" s="2"/>
      <c r="F96" s="6">
        <f t="shared" si="21"/>
        <v>0</v>
      </c>
      <c r="G96" s="2"/>
      <c r="H96" s="7">
        <v>3308.0664659999998</v>
      </c>
      <c r="I96" s="2"/>
      <c r="J96" s="6">
        <f t="shared" si="22"/>
        <v>0.12410213332833132</v>
      </c>
      <c r="K96" s="2"/>
      <c r="L96" s="7">
        <f t="shared" si="23"/>
        <v>-3308.0664659999998</v>
      </c>
      <c r="M96" s="2"/>
      <c r="N96" s="6">
        <f t="shared" si="24"/>
        <v>-1</v>
      </c>
      <c r="O96" s="11"/>
      <c r="P96" s="7"/>
      <c r="Q96" s="2"/>
      <c r="R96" s="6">
        <f t="shared" si="25"/>
        <v>0</v>
      </c>
      <c r="S96" s="2"/>
      <c r="T96" s="7">
        <v>4962.4014659999993</v>
      </c>
      <c r="U96" s="2"/>
      <c r="V96" s="6">
        <f t="shared" si="26"/>
        <v>9.3776720348015385E-3</v>
      </c>
      <c r="W96" s="2"/>
      <c r="X96" s="7">
        <f t="shared" si="27"/>
        <v>-4962.4014659999993</v>
      </c>
      <c r="Y96" s="2"/>
      <c r="Z96" s="6">
        <f t="shared" si="28"/>
        <v>-1</v>
      </c>
    </row>
    <row r="97" spans="1:26" s="24" customFormat="1" hidden="1" outlineLevel="2" x14ac:dyDescent="0.25">
      <c r="A97" s="26"/>
      <c r="B97" s="11" t="str">
        <f>CONCATENATE("          ", "6009", " - ", "TEMPORARY-SEASONAL")</f>
        <v xml:space="preserve">          6009 - TEMPORARY-SEASONAL</v>
      </c>
      <c r="C97" s="11"/>
      <c r="D97" s="7"/>
      <c r="E97" s="2"/>
      <c r="F97" s="6">
        <f t="shared" si="21"/>
        <v>0</v>
      </c>
      <c r="G97" s="2"/>
      <c r="H97" s="7">
        <v>0</v>
      </c>
      <c r="I97" s="2"/>
      <c r="J97" s="6">
        <f t="shared" si="22"/>
        <v>0</v>
      </c>
      <c r="K97" s="2"/>
      <c r="L97" s="7">
        <f t="shared" si="23"/>
        <v>0</v>
      </c>
      <c r="M97" s="2"/>
      <c r="N97" s="6">
        <f t="shared" si="24"/>
        <v>0</v>
      </c>
      <c r="O97" s="11"/>
      <c r="P97" s="7"/>
      <c r="Q97" s="2"/>
      <c r="R97" s="6">
        <f t="shared" si="25"/>
        <v>0</v>
      </c>
      <c r="S97" s="2"/>
      <c r="T97" s="7">
        <v>0</v>
      </c>
      <c r="U97" s="2"/>
      <c r="V97" s="6">
        <f t="shared" si="26"/>
        <v>0</v>
      </c>
      <c r="W97" s="2"/>
      <c r="X97" s="7">
        <f t="shared" si="27"/>
        <v>0</v>
      </c>
      <c r="Y97" s="2"/>
      <c r="Z97" s="6">
        <f t="shared" si="28"/>
        <v>0</v>
      </c>
    </row>
    <row r="98" spans="1:26" s="24" customFormat="1" hidden="1" outlineLevel="2" x14ac:dyDescent="0.25">
      <c r="A98" s="26"/>
      <c r="B98" s="11" t="str">
        <f>CONCATENATE("          ", "6010", " - ", "GRATUITY")</f>
        <v xml:space="preserve">          6010 - GRATUITY</v>
      </c>
      <c r="C98" s="11"/>
      <c r="D98" s="7"/>
      <c r="E98" s="2"/>
      <c r="F98" s="6">
        <f t="shared" si="21"/>
        <v>0</v>
      </c>
      <c r="G98" s="2"/>
      <c r="H98" s="7">
        <v>0</v>
      </c>
      <c r="I98" s="2"/>
      <c r="J98" s="6">
        <f t="shared" si="22"/>
        <v>0</v>
      </c>
      <c r="K98" s="2"/>
      <c r="L98" s="7">
        <f t="shared" si="23"/>
        <v>0</v>
      </c>
      <c r="M98" s="2"/>
      <c r="N98" s="6">
        <f t="shared" si="24"/>
        <v>0</v>
      </c>
      <c r="O98" s="11"/>
      <c r="P98" s="7"/>
      <c r="Q98" s="2"/>
      <c r="R98" s="6">
        <f t="shared" si="25"/>
        <v>0</v>
      </c>
      <c r="S98" s="2"/>
      <c r="T98" s="7">
        <v>0</v>
      </c>
      <c r="U98" s="2"/>
      <c r="V98" s="6">
        <f t="shared" si="26"/>
        <v>0</v>
      </c>
      <c r="W98" s="2"/>
      <c r="X98" s="7">
        <f t="shared" si="27"/>
        <v>0</v>
      </c>
      <c r="Y98" s="2"/>
      <c r="Z98" s="6">
        <f t="shared" si="28"/>
        <v>0</v>
      </c>
    </row>
    <row r="99" spans="1:26" s="27" customFormat="1" outlineLevel="1" collapsed="1" x14ac:dyDescent="0.25">
      <c r="A99" s="25"/>
      <c r="B99" s="12" t="str">
        <f>CONCATENATE("     ","Advertising/Promo                                 ")</f>
        <v xml:space="preserve">     Advertising/Promo                                 </v>
      </c>
      <c r="C99" s="12"/>
      <c r="D99" s="1">
        <f>SUM(OSRRefD22_2x_0)</f>
        <v>0</v>
      </c>
      <c r="E99" s="1"/>
      <c r="F99" s="5">
        <f t="shared" ref="F99:F105" si="29">IF(D$12=0,0,D99/D$12)</f>
        <v>0</v>
      </c>
      <c r="G99" s="1"/>
      <c r="H99" s="1">
        <f>SUM(OSRRefH22_2x_0)</f>
        <v>40</v>
      </c>
      <c r="I99" s="1"/>
      <c r="J99" s="5">
        <f t="shared" ref="J99:J105" si="30">IF(H$12=0,0,H99/H$12)</f>
        <v>1.5006002400960385E-3</v>
      </c>
      <c r="K99" s="1"/>
      <c r="L99" s="1">
        <f t="shared" ref="L99:L105" si="31">+D99-H99</f>
        <v>-40</v>
      </c>
      <c r="M99" s="1"/>
      <c r="N99" s="5">
        <f t="shared" ref="N99:N105" si="32">IF(H99=0,0,L99/H99)</f>
        <v>-1</v>
      </c>
      <c r="O99" s="12"/>
      <c r="P99" s="1">
        <f>SUM(OSRRefP22_2x_0)</f>
        <v>963.62</v>
      </c>
      <c r="Q99" s="1"/>
      <c r="R99" s="5">
        <f t="shared" ref="R99:R105" si="33">IF(P$12=0,0,P99/P$12)</f>
        <v>2.3471472765862244E-3</v>
      </c>
      <c r="S99" s="1"/>
      <c r="T99" s="1">
        <f>SUM(OSRRefT22_2x_0)</f>
        <v>440</v>
      </c>
      <c r="U99" s="1"/>
      <c r="V99" s="5">
        <f t="shared" ref="V99:V105" si="34">IF(T$12=0,0,T99/T$12)</f>
        <v>8.3148768264382851E-4</v>
      </c>
      <c r="W99" s="1"/>
      <c r="X99" s="1">
        <f t="shared" ref="X99:X105" si="35">+P99-T99</f>
        <v>523.62</v>
      </c>
      <c r="Y99" s="1"/>
      <c r="Z99" s="5">
        <f t="shared" ref="Z99:Z105" si="36">IF(T99=0,0,X99/T99)</f>
        <v>1.1900454545454546</v>
      </c>
    </row>
    <row r="100" spans="1:26" s="24" customFormat="1" hidden="1" outlineLevel="2" x14ac:dyDescent="0.25">
      <c r="A100" s="26"/>
      <c r="B100" s="11" t="str">
        <f>CONCATENATE("          ", "6362", " - ", "ADVERTISING EXPENSE")</f>
        <v xml:space="preserve">          6362 - ADVERTISING EXPENSE</v>
      </c>
      <c r="C100" s="11"/>
      <c r="D100" s="7"/>
      <c r="E100" s="2"/>
      <c r="F100" s="6">
        <f t="shared" si="29"/>
        <v>0</v>
      </c>
      <c r="G100" s="2"/>
      <c r="H100" s="7">
        <v>40</v>
      </c>
      <c r="I100" s="2"/>
      <c r="J100" s="6">
        <f t="shared" si="30"/>
        <v>1.5006002400960385E-3</v>
      </c>
      <c r="K100" s="2"/>
      <c r="L100" s="7">
        <f t="shared" si="31"/>
        <v>-40</v>
      </c>
      <c r="M100" s="2"/>
      <c r="N100" s="6">
        <f t="shared" si="32"/>
        <v>-1</v>
      </c>
      <c r="O100" s="11"/>
      <c r="P100" s="7">
        <v>963.62</v>
      </c>
      <c r="Q100" s="2"/>
      <c r="R100" s="6">
        <f t="shared" si="33"/>
        <v>2.3471472765862244E-3</v>
      </c>
      <c r="S100" s="2"/>
      <c r="T100" s="7">
        <v>440</v>
      </c>
      <c r="U100" s="2"/>
      <c r="V100" s="6">
        <f t="shared" si="34"/>
        <v>8.3148768264382851E-4</v>
      </c>
      <c r="W100" s="2"/>
      <c r="X100" s="7">
        <f t="shared" si="35"/>
        <v>523.62</v>
      </c>
      <c r="Y100" s="2"/>
      <c r="Z100" s="6">
        <f t="shared" si="36"/>
        <v>1.1900454545454546</v>
      </c>
    </row>
    <row r="101" spans="1:26" s="27" customFormat="1" outlineLevel="1" collapsed="1" x14ac:dyDescent="0.25">
      <c r="A101" s="25"/>
      <c r="B101" s="12" t="str">
        <f>CONCATENATE("     ","Bad Debts/Over/Short                              ")</f>
        <v xml:space="preserve">     Bad Debts/Over/Short                              </v>
      </c>
      <c r="C101" s="12"/>
      <c r="D101" s="1">
        <f>SUM(OSRRefD22_3x_0)</f>
        <v>0</v>
      </c>
      <c r="E101" s="1"/>
      <c r="F101" s="5">
        <f t="shared" si="29"/>
        <v>0</v>
      </c>
      <c r="G101" s="1"/>
      <c r="H101" s="1">
        <f>SUM(OSRRefH22_3x_0)</f>
        <v>0</v>
      </c>
      <c r="I101" s="1"/>
      <c r="J101" s="5">
        <f t="shared" si="30"/>
        <v>0</v>
      </c>
      <c r="K101" s="1"/>
      <c r="L101" s="1">
        <f t="shared" si="31"/>
        <v>0</v>
      </c>
      <c r="M101" s="1"/>
      <c r="N101" s="5">
        <f t="shared" si="32"/>
        <v>0</v>
      </c>
      <c r="O101" s="12"/>
      <c r="P101" s="1">
        <f>SUM(OSRRefP22_3x_0)</f>
        <v>-55.84</v>
      </c>
      <c r="Q101" s="1"/>
      <c r="R101" s="5">
        <f t="shared" si="33"/>
        <v>-1.360128514607156E-4</v>
      </c>
      <c r="S101" s="1"/>
      <c r="T101" s="1">
        <f>SUM(OSRRefT22_3x_0)</f>
        <v>0</v>
      </c>
      <c r="U101" s="1"/>
      <c r="V101" s="5">
        <f t="shared" si="34"/>
        <v>0</v>
      </c>
      <c r="W101" s="1"/>
      <c r="X101" s="1">
        <f t="shared" si="35"/>
        <v>-55.84</v>
      </c>
      <c r="Y101" s="1"/>
      <c r="Z101" s="5">
        <f t="shared" si="36"/>
        <v>0</v>
      </c>
    </row>
    <row r="102" spans="1:26" s="24" customFormat="1" hidden="1" outlineLevel="2" x14ac:dyDescent="0.25">
      <c r="A102" s="26"/>
      <c r="B102" s="11" t="str">
        <f>CONCATENATE("          ", "6272", " - ", "CASH (OVER/SHORT)")</f>
        <v xml:space="preserve">          6272 - CASH (OVER/SHORT)</v>
      </c>
      <c r="C102" s="11"/>
      <c r="D102" s="7"/>
      <c r="E102" s="2"/>
      <c r="F102" s="6">
        <f t="shared" si="29"/>
        <v>0</v>
      </c>
      <c r="G102" s="2"/>
      <c r="H102" s="7"/>
      <c r="I102" s="2"/>
      <c r="J102" s="6">
        <f t="shared" si="30"/>
        <v>0</v>
      </c>
      <c r="K102" s="2"/>
      <c r="L102" s="7">
        <f t="shared" si="31"/>
        <v>0</v>
      </c>
      <c r="M102" s="2"/>
      <c r="N102" s="6">
        <f t="shared" si="32"/>
        <v>0</v>
      </c>
      <c r="O102" s="11"/>
      <c r="P102" s="7">
        <v>-55.84</v>
      </c>
      <c r="Q102" s="2"/>
      <c r="R102" s="6">
        <f t="shared" si="33"/>
        <v>-1.360128514607156E-4</v>
      </c>
      <c r="S102" s="2"/>
      <c r="T102" s="7"/>
      <c r="U102" s="2"/>
      <c r="V102" s="6">
        <f t="shared" si="34"/>
        <v>0</v>
      </c>
      <c r="W102" s="2"/>
      <c r="X102" s="7">
        <f t="shared" si="35"/>
        <v>-55.84</v>
      </c>
      <c r="Y102" s="2"/>
      <c r="Z102" s="6">
        <f t="shared" si="36"/>
        <v>0</v>
      </c>
    </row>
    <row r="103" spans="1:26" s="27" customFormat="1" outlineLevel="1" collapsed="1" x14ac:dyDescent="0.25">
      <c r="A103" s="25"/>
      <c r="B103" s="12" t="str">
        <f>CONCATENATE("     ","Discounts and Markdowns                           ")</f>
        <v xml:space="preserve">     Discounts and Markdowns                           </v>
      </c>
      <c r="C103" s="12"/>
      <c r="D103" s="1">
        <f>SUM(OSRRefD22_4x_0)</f>
        <v>0</v>
      </c>
      <c r="E103" s="1"/>
      <c r="F103" s="5">
        <f t="shared" si="29"/>
        <v>0</v>
      </c>
      <c r="G103" s="1"/>
      <c r="H103" s="1">
        <f>SUM(OSRRefH22_4x_0)</f>
        <v>1250</v>
      </c>
      <c r="I103" s="1"/>
      <c r="J103" s="5">
        <f t="shared" si="30"/>
        <v>4.6893757503001197E-2</v>
      </c>
      <c r="K103" s="1"/>
      <c r="L103" s="1">
        <f t="shared" si="31"/>
        <v>-1250</v>
      </c>
      <c r="M103" s="1"/>
      <c r="N103" s="5">
        <f t="shared" si="32"/>
        <v>-1</v>
      </c>
      <c r="O103" s="12"/>
      <c r="P103" s="1">
        <f>SUM(OSRRefP22_4x_0)</f>
        <v>8936.44</v>
      </c>
      <c r="Q103" s="1"/>
      <c r="R103" s="5">
        <f t="shared" si="33"/>
        <v>2.1767025184591643E-2</v>
      </c>
      <c r="S103" s="1"/>
      <c r="T103" s="1">
        <f>SUM(OSRRefT22_4x_0)</f>
        <v>13750</v>
      </c>
      <c r="U103" s="1"/>
      <c r="V103" s="5">
        <f t="shared" si="34"/>
        <v>2.5983990082619639E-2</v>
      </c>
      <c r="W103" s="1"/>
      <c r="X103" s="1">
        <f t="shared" si="35"/>
        <v>-4813.5599999999995</v>
      </c>
      <c r="Y103" s="1"/>
      <c r="Z103" s="5">
        <f t="shared" si="36"/>
        <v>-0.35007709090909089</v>
      </c>
    </row>
    <row r="104" spans="1:26" s="24" customFormat="1" hidden="1" outlineLevel="2" x14ac:dyDescent="0.25">
      <c r="A104" s="26"/>
      <c r="B104" s="11" t="str">
        <f>CONCATENATE("          ", "6382", " - ", "DISCOUNTS/MARK DOWNS")</f>
        <v xml:space="preserve">          6382 - DISCOUNTS/MARK DOWNS</v>
      </c>
      <c r="C104" s="11"/>
      <c r="D104" s="7"/>
      <c r="E104" s="2"/>
      <c r="F104" s="6">
        <f t="shared" si="29"/>
        <v>0</v>
      </c>
      <c r="G104" s="2"/>
      <c r="H104" s="7">
        <v>1250</v>
      </c>
      <c r="I104" s="2"/>
      <c r="J104" s="6">
        <f t="shared" si="30"/>
        <v>4.6893757503001197E-2</v>
      </c>
      <c r="K104" s="2"/>
      <c r="L104" s="7">
        <f t="shared" si="31"/>
        <v>-1250</v>
      </c>
      <c r="M104" s="2"/>
      <c r="N104" s="6">
        <f t="shared" si="32"/>
        <v>-1</v>
      </c>
      <c r="O104" s="11"/>
      <c r="P104" s="7">
        <v>8936.44</v>
      </c>
      <c r="Q104" s="2"/>
      <c r="R104" s="6">
        <f t="shared" si="33"/>
        <v>2.1767025184591643E-2</v>
      </c>
      <c r="S104" s="2"/>
      <c r="T104" s="7">
        <v>13750</v>
      </c>
      <c r="U104" s="2"/>
      <c r="V104" s="6">
        <f t="shared" si="34"/>
        <v>2.5983990082619639E-2</v>
      </c>
      <c r="W104" s="2"/>
      <c r="X104" s="7">
        <f t="shared" si="35"/>
        <v>-4813.5599999999995</v>
      </c>
      <c r="Y104" s="2"/>
      <c r="Z104" s="6">
        <f t="shared" si="36"/>
        <v>-0.35007709090909089</v>
      </c>
    </row>
    <row r="105" spans="1:26" s="24" customFormat="1" hidden="1" outlineLevel="2" x14ac:dyDescent="0.25">
      <c r="A105" s="26"/>
      <c r="B105" s="11" t="str">
        <f>CONCATENATE("          ", "9175", " - ", "EARNED DISCOUNTS")</f>
        <v xml:space="preserve">          9175 - EARNED DISCOUNTS</v>
      </c>
      <c r="C105" s="11"/>
      <c r="D105" s="7"/>
      <c r="E105" s="2"/>
      <c r="F105" s="6">
        <f t="shared" si="29"/>
        <v>0</v>
      </c>
      <c r="G105" s="2"/>
      <c r="H105" s="7"/>
      <c r="I105" s="2"/>
      <c r="J105" s="6">
        <f t="shared" si="30"/>
        <v>0</v>
      </c>
      <c r="K105" s="2"/>
      <c r="L105" s="7">
        <f t="shared" si="31"/>
        <v>0</v>
      </c>
      <c r="M105" s="2"/>
      <c r="N105" s="6">
        <f t="shared" si="32"/>
        <v>0</v>
      </c>
      <c r="O105" s="11"/>
      <c r="P105" s="7">
        <v>0</v>
      </c>
      <c r="Q105" s="2"/>
      <c r="R105" s="6">
        <f t="shared" si="33"/>
        <v>0</v>
      </c>
      <c r="S105" s="2"/>
      <c r="T105" s="7"/>
      <c r="U105" s="2"/>
      <c r="V105" s="6">
        <f t="shared" si="34"/>
        <v>0</v>
      </c>
      <c r="W105" s="2"/>
      <c r="X105" s="7">
        <f t="shared" si="35"/>
        <v>0</v>
      </c>
      <c r="Y105" s="2"/>
      <c r="Z105" s="6">
        <f t="shared" si="36"/>
        <v>0</v>
      </c>
    </row>
    <row r="106" spans="1:26" s="27" customFormat="1" outlineLevel="1" collapsed="1" x14ac:dyDescent="0.25">
      <c r="A106" s="25"/>
      <c r="B106" s="12" t="str">
        <f>CONCATENATE("     ","Employees' Appreciation                           ")</f>
        <v xml:space="preserve">     Employees' Appreciation                           </v>
      </c>
      <c r="C106" s="12"/>
      <c r="D106" s="1">
        <f>SUM(OSRRefD22_5x_0)</f>
        <v>0</v>
      </c>
      <c r="E106" s="1"/>
      <c r="F106" s="5">
        <f t="shared" ref="F106:F114" si="37">IF(D$12=0,0,D106/D$12)</f>
        <v>0</v>
      </c>
      <c r="G106" s="1"/>
      <c r="H106" s="1">
        <f>SUM(OSRRefH22_5x_0)</f>
        <v>25</v>
      </c>
      <c r="I106" s="1"/>
      <c r="J106" s="5">
        <f t="shared" ref="J106:J114" si="38">IF(H$12=0,0,H106/H$12)</f>
        <v>9.3787515006002399E-4</v>
      </c>
      <c r="K106" s="1"/>
      <c r="L106" s="1">
        <f t="shared" ref="L106:L114" si="39">+D106-H106</f>
        <v>-25</v>
      </c>
      <c r="M106" s="1"/>
      <c r="N106" s="5">
        <f t="shared" ref="N106:N114" si="40">IF(H106=0,0,L106/H106)</f>
        <v>-1</v>
      </c>
      <c r="O106" s="12"/>
      <c r="P106" s="1">
        <f>SUM(OSRRefP22_5x_0)</f>
        <v>0</v>
      </c>
      <c r="Q106" s="1"/>
      <c r="R106" s="5">
        <f t="shared" ref="R106:R114" si="41">IF(P$12=0,0,P106/P$12)</f>
        <v>0</v>
      </c>
      <c r="S106" s="1"/>
      <c r="T106" s="1">
        <f>SUM(OSRRefT22_5x_0)</f>
        <v>275</v>
      </c>
      <c r="U106" s="1"/>
      <c r="V106" s="5">
        <f t="shared" ref="V106:V114" si="42">IF(T$12=0,0,T106/T$12)</f>
        <v>5.1967980165239279E-4</v>
      </c>
      <c r="W106" s="1"/>
      <c r="X106" s="1">
        <f t="shared" ref="X106:X114" si="43">+P106-T106</f>
        <v>-275</v>
      </c>
      <c r="Y106" s="1"/>
      <c r="Z106" s="5">
        <f t="shared" ref="Z106:Z114" si="44">IF(T106=0,0,X106/T106)</f>
        <v>-1</v>
      </c>
    </row>
    <row r="107" spans="1:26" s="24" customFormat="1" hidden="1" outlineLevel="2" x14ac:dyDescent="0.25">
      <c r="A107" s="26"/>
      <c r="B107" s="11" t="str">
        <f>CONCATENATE("          ", "6277", " - ", "EMPLOYEE APPRECIATION")</f>
        <v xml:space="preserve">          6277 - EMPLOYEE APPRECIATION</v>
      </c>
      <c r="C107" s="11"/>
      <c r="D107" s="7"/>
      <c r="E107" s="2"/>
      <c r="F107" s="6">
        <f t="shared" si="37"/>
        <v>0</v>
      </c>
      <c r="G107" s="2"/>
      <c r="H107" s="7">
        <v>25</v>
      </c>
      <c r="I107" s="2"/>
      <c r="J107" s="6">
        <f t="shared" si="38"/>
        <v>9.3787515006002399E-4</v>
      </c>
      <c r="K107" s="2"/>
      <c r="L107" s="7">
        <f t="shared" si="39"/>
        <v>-25</v>
      </c>
      <c r="M107" s="2"/>
      <c r="N107" s="6">
        <f t="shared" si="40"/>
        <v>-1</v>
      </c>
      <c r="O107" s="11"/>
      <c r="P107" s="7"/>
      <c r="Q107" s="2"/>
      <c r="R107" s="6">
        <f t="shared" si="41"/>
        <v>0</v>
      </c>
      <c r="S107" s="2"/>
      <c r="T107" s="7">
        <v>275</v>
      </c>
      <c r="U107" s="2"/>
      <c r="V107" s="6">
        <f t="shared" si="42"/>
        <v>5.1967980165239279E-4</v>
      </c>
      <c r="W107" s="2"/>
      <c r="X107" s="7">
        <f t="shared" si="43"/>
        <v>-275</v>
      </c>
      <c r="Y107" s="2"/>
      <c r="Z107" s="6">
        <f t="shared" si="44"/>
        <v>-1</v>
      </c>
    </row>
    <row r="108" spans="1:26" s="27" customFormat="1" outlineLevel="1" collapsed="1" x14ac:dyDescent="0.25">
      <c r="A108" s="25"/>
      <c r="B108" s="12" t="str">
        <f>CONCATENATE("     ","General                                           ")</f>
        <v xml:space="preserve">     General                                           </v>
      </c>
      <c r="C108" s="12"/>
      <c r="D108" s="1">
        <f>SUM(OSRRefD22_6x_0)</f>
        <v>0</v>
      </c>
      <c r="E108" s="1"/>
      <c r="F108" s="5">
        <f t="shared" si="37"/>
        <v>0</v>
      </c>
      <c r="G108" s="1"/>
      <c r="H108" s="1">
        <f>SUM(OSRRefH22_6x_0)</f>
        <v>80</v>
      </c>
      <c r="I108" s="1"/>
      <c r="J108" s="5">
        <f t="shared" si="38"/>
        <v>3.0012004801920769E-3</v>
      </c>
      <c r="K108" s="1"/>
      <c r="L108" s="1">
        <f t="shared" si="39"/>
        <v>-80</v>
      </c>
      <c r="M108" s="1"/>
      <c r="N108" s="5">
        <f t="shared" si="40"/>
        <v>-1</v>
      </c>
      <c r="O108" s="12"/>
      <c r="P108" s="1">
        <f>SUM(OSRRefP22_6x_0)</f>
        <v>954.05</v>
      </c>
      <c r="Q108" s="1"/>
      <c r="R108" s="5">
        <f t="shared" si="41"/>
        <v>2.3238370511478455E-3</v>
      </c>
      <c r="S108" s="1"/>
      <c r="T108" s="1">
        <f>SUM(OSRRefT22_6x_0)</f>
        <v>880</v>
      </c>
      <c r="U108" s="1"/>
      <c r="V108" s="5">
        <f t="shared" si="42"/>
        <v>1.662975365287657E-3</v>
      </c>
      <c r="W108" s="1"/>
      <c r="X108" s="1">
        <f t="shared" si="43"/>
        <v>74.049999999999955</v>
      </c>
      <c r="Y108" s="1"/>
      <c r="Z108" s="5">
        <f t="shared" si="44"/>
        <v>8.4147727272727221E-2</v>
      </c>
    </row>
    <row r="109" spans="1:26" s="24" customFormat="1" hidden="1" outlineLevel="2" x14ac:dyDescent="0.25">
      <c r="A109" s="26"/>
      <c r="B109" s="11" t="str">
        <f>CONCATENATE("          ", "6279", " - ", "GENERAL EXPENSE")</f>
        <v xml:space="preserve">          6279 - GENERAL EXPENSE</v>
      </c>
      <c r="C109" s="11"/>
      <c r="D109" s="7"/>
      <c r="E109" s="2"/>
      <c r="F109" s="6">
        <f t="shared" si="37"/>
        <v>0</v>
      </c>
      <c r="G109" s="2"/>
      <c r="H109" s="7">
        <v>80</v>
      </c>
      <c r="I109" s="2"/>
      <c r="J109" s="6">
        <f t="shared" si="38"/>
        <v>3.0012004801920769E-3</v>
      </c>
      <c r="K109" s="2"/>
      <c r="L109" s="7">
        <f t="shared" si="39"/>
        <v>-80</v>
      </c>
      <c r="M109" s="2"/>
      <c r="N109" s="6">
        <f t="shared" si="40"/>
        <v>-1</v>
      </c>
      <c r="O109" s="11"/>
      <c r="P109" s="7">
        <v>954.05</v>
      </c>
      <c r="Q109" s="2"/>
      <c r="R109" s="6">
        <f t="shared" si="41"/>
        <v>2.3238370511478455E-3</v>
      </c>
      <c r="S109" s="2"/>
      <c r="T109" s="7">
        <v>880</v>
      </c>
      <c r="U109" s="2"/>
      <c r="V109" s="6">
        <f t="shared" si="42"/>
        <v>1.662975365287657E-3</v>
      </c>
      <c r="W109" s="2"/>
      <c r="X109" s="7">
        <f t="shared" si="43"/>
        <v>74.049999999999955</v>
      </c>
      <c r="Y109" s="2"/>
      <c r="Z109" s="6">
        <f t="shared" si="44"/>
        <v>8.4147727272727221E-2</v>
      </c>
    </row>
    <row r="110" spans="1:26" s="27" customFormat="1" outlineLevel="1" collapsed="1" x14ac:dyDescent="0.25">
      <c r="A110" s="25"/>
      <c r="B110" s="12" t="str">
        <f>CONCATENATE("     ","Professional Services                             ")</f>
        <v xml:space="preserve">     Professional Services                             </v>
      </c>
      <c r="C110" s="12"/>
      <c r="D110" s="1">
        <f>SUM(OSRRefD22_7x_0)</f>
        <v>0</v>
      </c>
      <c r="E110" s="1"/>
      <c r="F110" s="5">
        <f t="shared" si="37"/>
        <v>0</v>
      </c>
      <c r="G110" s="1"/>
      <c r="H110" s="1">
        <f>SUM(OSRRefH22_7x_0)</f>
        <v>115</v>
      </c>
      <c r="I110" s="1"/>
      <c r="J110" s="5">
        <f t="shared" si="38"/>
        <v>4.3142256902761102E-3</v>
      </c>
      <c r="K110" s="1"/>
      <c r="L110" s="1">
        <f t="shared" si="39"/>
        <v>-115</v>
      </c>
      <c r="M110" s="1"/>
      <c r="N110" s="5">
        <f t="shared" si="40"/>
        <v>-1</v>
      </c>
      <c r="O110" s="12"/>
      <c r="P110" s="1">
        <f>SUM(OSRRefP22_7x_0)</f>
        <v>791.15</v>
      </c>
      <c r="Q110" s="1"/>
      <c r="R110" s="5">
        <f t="shared" si="41"/>
        <v>1.9270517090462954E-3</v>
      </c>
      <c r="S110" s="1"/>
      <c r="T110" s="1">
        <f>SUM(OSRRefT22_7x_0)</f>
        <v>1265</v>
      </c>
      <c r="U110" s="1"/>
      <c r="V110" s="5">
        <f t="shared" si="42"/>
        <v>2.3905270876010067E-3</v>
      </c>
      <c r="W110" s="1"/>
      <c r="X110" s="1">
        <f t="shared" si="43"/>
        <v>-473.85</v>
      </c>
      <c r="Y110" s="1"/>
      <c r="Z110" s="5">
        <f t="shared" si="44"/>
        <v>-0.37458498023715414</v>
      </c>
    </row>
    <row r="111" spans="1:26" s="24" customFormat="1" hidden="1" outlineLevel="2" x14ac:dyDescent="0.25">
      <c r="A111" s="26"/>
      <c r="B111" s="11" t="str">
        <f>CONCATENATE("          ", "6336", " - ", "PROFESSIONAL SERVICES")</f>
        <v xml:space="preserve">          6336 - PROFESSIONAL SERVICES</v>
      </c>
      <c r="C111" s="11"/>
      <c r="D111" s="7"/>
      <c r="E111" s="2"/>
      <c r="F111" s="6">
        <f t="shared" si="37"/>
        <v>0</v>
      </c>
      <c r="G111" s="2"/>
      <c r="H111" s="7">
        <v>115</v>
      </c>
      <c r="I111" s="2"/>
      <c r="J111" s="6">
        <f t="shared" si="38"/>
        <v>4.3142256902761102E-3</v>
      </c>
      <c r="K111" s="2"/>
      <c r="L111" s="7">
        <f t="shared" si="39"/>
        <v>-115</v>
      </c>
      <c r="M111" s="2"/>
      <c r="N111" s="6">
        <f t="shared" si="40"/>
        <v>-1</v>
      </c>
      <c r="O111" s="11"/>
      <c r="P111" s="7">
        <v>791.15</v>
      </c>
      <c r="Q111" s="2"/>
      <c r="R111" s="6">
        <f t="shared" si="41"/>
        <v>1.9270517090462954E-3</v>
      </c>
      <c r="S111" s="2"/>
      <c r="T111" s="7">
        <v>1265</v>
      </c>
      <c r="U111" s="2"/>
      <c r="V111" s="6">
        <f t="shared" si="42"/>
        <v>2.3905270876010067E-3</v>
      </c>
      <c r="W111" s="2"/>
      <c r="X111" s="7">
        <f t="shared" si="43"/>
        <v>-473.85</v>
      </c>
      <c r="Y111" s="2"/>
      <c r="Z111" s="6">
        <f t="shared" si="44"/>
        <v>-0.37458498023715414</v>
      </c>
    </row>
    <row r="112" spans="1:26" s="27" customFormat="1" outlineLevel="1" collapsed="1" x14ac:dyDescent="0.25">
      <c r="A112" s="25"/>
      <c r="B112" s="12" t="str">
        <f>CONCATENATE("     ","Repair and Maintenance                            ")</f>
        <v xml:space="preserve">     Repair and Maintenance                            </v>
      </c>
      <c r="C112" s="12"/>
      <c r="D112" s="1">
        <f>SUM(OSRRefD22_8x_0)</f>
        <v>0</v>
      </c>
      <c r="E112" s="1"/>
      <c r="F112" s="5">
        <f t="shared" si="37"/>
        <v>0</v>
      </c>
      <c r="G112" s="1"/>
      <c r="H112" s="1">
        <f>SUM(OSRRefH22_8x_0)</f>
        <v>125</v>
      </c>
      <c r="I112" s="1"/>
      <c r="J112" s="5">
        <f t="shared" si="38"/>
        <v>4.6893757503001197E-3</v>
      </c>
      <c r="K112" s="1"/>
      <c r="L112" s="1">
        <f t="shared" si="39"/>
        <v>-125</v>
      </c>
      <c r="M112" s="1"/>
      <c r="N112" s="5">
        <f t="shared" si="40"/>
        <v>-1</v>
      </c>
      <c r="O112" s="12"/>
      <c r="P112" s="1">
        <f>SUM(OSRRefP22_8x_0)</f>
        <v>190.64000000000001</v>
      </c>
      <c r="Q112" s="1"/>
      <c r="R112" s="5">
        <f t="shared" si="41"/>
        <v>4.6435333098980699E-4</v>
      </c>
      <c r="S112" s="1"/>
      <c r="T112" s="1">
        <f>SUM(OSRRefT22_8x_0)</f>
        <v>1375</v>
      </c>
      <c r="U112" s="1"/>
      <c r="V112" s="5">
        <f t="shared" si="42"/>
        <v>2.598399008261964E-3</v>
      </c>
      <c r="W112" s="1"/>
      <c r="X112" s="1">
        <f t="shared" si="43"/>
        <v>-1184.3599999999999</v>
      </c>
      <c r="Y112" s="1"/>
      <c r="Z112" s="5">
        <f t="shared" si="44"/>
        <v>-0.86135272727272716</v>
      </c>
    </row>
    <row r="113" spans="1:26" s="24" customFormat="1" hidden="1" outlineLevel="2" x14ac:dyDescent="0.25">
      <c r="A113" s="26"/>
      <c r="B113" s="11" t="str">
        <f>CONCATENATE("          ", "6373", " - ", "MAINTENANCE CONTRACTS")</f>
        <v xml:space="preserve">          6373 - MAINTENANCE CONTRACTS</v>
      </c>
      <c r="C113" s="11"/>
      <c r="D113" s="7"/>
      <c r="E113" s="2"/>
      <c r="F113" s="6">
        <f t="shared" si="37"/>
        <v>0</v>
      </c>
      <c r="G113" s="2"/>
      <c r="H113" s="7"/>
      <c r="I113" s="2"/>
      <c r="J113" s="6">
        <f t="shared" si="38"/>
        <v>0</v>
      </c>
      <c r="K113" s="2"/>
      <c r="L113" s="7">
        <f t="shared" si="39"/>
        <v>0</v>
      </c>
      <c r="M113" s="2"/>
      <c r="N113" s="6">
        <f t="shared" si="40"/>
        <v>0</v>
      </c>
      <c r="O113" s="11"/>
      <c r="P113" s="7">
        <v>180.84</v>
      </c>
      <c r="Q113" s="2"/>
      <c r="R113" s="6">
        <f t="shared" si="41"/>
        <v>4.4048288069763268E-4</v>
      </c>
      <c r="S113" s="2"/>
      <c r="T113" s="7"/>
      <c r="U113" s="2"/>
      <c r="V113" s="6">
        <f t="shared" si="42"/>
        <v>0</v>
      </c>
      <c r="W113" s="2"/>
      <c r="X113" s="7">
        <f t="shared" si="43"/>
        <v>180.84</v>
      </c>
      <c r="Y113" s="2"/>
      <c r="Z113" s="6">
        <f t="shared" si="44"/>
        <v>0</v>
      </c>
    </row>
    <row r="114" spans="1:26" s="24" customFormat="1" hidden="1" outlineLevel="2" x14ac:dyDescent="0.25">
      <c r="A114" s="26"/>
      <c r="B114" s="11" t="str">
        <f>CONCATENATE("          ", "6375", " - ", "OUTSIDE REPAIRS &amp; MAINTENANCE")</f>
        <v xml:space="preserve">          6375 - OUTSIDE REPAIRS &amp; MAINTENANCE</v>
      </c>
      <c r="C114" s="11"/>
      <c r="D114" s="7"/>
      <c r="E114" s="2"/>
      <c r="F114" s="6">
        <f t="shared" si="37"/>
        <v>0</v>
      </c>
      <c r="G114" s="2"/>
      <c r="H114" s="7">
        <v>125</v>
      </c>
      <c r="I114" s="2"/>
      <c r="J114" s="6">
        <f t="shared" si="38"/>
        <v>4.6893757503001197E-3</v>
      </c>
      <c r="K114" s="2"/>
      <c r="L114" s="7">
        <f t="shared" si="39"/>
        <v>-125</v>
      </c>
      <c r="M114" s="2"/>
      <c r="N114" s="6">
        <f t="shared" si="40"/>
        <v>-1</v>
      </c>
      <c r="O114" s="11"/>
      <c r="P114" s="7">
        <v>9.8000000000000007</v>
      </c>
      <c r="Q114" s="2"/>
      <c r="R114" s="6">
        <f t="shared" si="41"/>
        <v>2.3870450292174299E-5</v>
      </c>
      <c r="S114" s="2"/>
      <c r="T114" s="7">
        <v>1375</v>
      </c>
      <c r="U114" s="2"/>
      <c r="V114" s="6">
        <f t="shared" si="42"/>
        <v>2.598399008261964E-3</v>
      </c>
      <c r="W114" s="2"/>
      <c r="X114" s="7">
        <f t="shared" si="43"/>
        <v>-1365.2</v>
      </c>
      <c r="Y114" s="2"/>
      <c r="Z114" s="6">
        <f t="shared" si="44"/>
        <v>-0.99287272727272735</v>
      </c>
    </row>
    <row r="115" spans="1:26" s="27" customFormat="1" outlineLevel="1" collapsed="1" x14ac:dyDescent="0.25">
      <c r="A115" s="25"/>
      <c r="B115" s="12" t="str">
        <f>CONCATENATE("     ","Services                                          ")</f>
        <v xml:space="preserve">     Services                                          </v>
      </c>
      <c r="C115" s="12"/>
      <c r="D115" s="1">
        <f>SUM(OSRRefD22_9x_0)</f>
        <v>78.75</v>
      </c>
      <c r="E115" s="1"/>
      <c r="F115" s="5">
        <f t="shared" ref="F115:F117" si="45">IF(D$12=0,0,D115/D$12)</f>
        <v>0</v>
      </c>
      <c r="G115" s="1"/>
      <c r="H115" s="1">
        <f>SUM(OSRRefH22_9x_0)</f>
        <v>100</v>
      </c>
      <c r="I115" s="1"/>
      <c r="J115" s="5">
        <f t="shared" ref="J115:J117" si="46">IF(H$12=0,0,H115/H$12)</f>
        <v>3.751500600240096E-3</v>
      </c>
      <c r="K115" s="1"/>
      <c r="L115" s="1">
        <f t="shared" ref="L115:L117" si="47">+D115-H115</f>
        <v>-21.25</v>
      </c>
      <c r="M115" s="1"/>
      <c r="N115" s="5">
        <f t="shared" ref="N115:N117" si="48">IF(H115=0,0,L115/H115)</f>
        <v>-0.21249999999999999</v>
      </c>
      <c r="O115" s="12"/>
      <c r="P115" s="1">
        <f>SUM(OSRRefP22_9x_0)</f>
        <v>2093.91</v>
      </c>
      <c r="Q115" s="1"/>
      <c r="R115" s="5">
        <f t="shared" ref="R115:R117" si="49">IF(P$12=0,0,P115/P$12)</f>
        <v>5.1002627113557837E-3</v>
      </c>
      <c r="S115" s="1"/>
      <c r="T115" s="1">
        <f>SUM(OSRRefT22_9x_0)</f>
        <v>1100</v>
      </c>
      <c r="U115" s="1"/>
      <c r="V115" s="5">
        <f t="shared" ref="V115:V117" si="50">IF(T$12=0,0,T115/T$12)</f>
        <v>2.0787192066095712E-3</v>
      </c>
      <c r="W115" s="1"/>
      <c r="X115" s="1">
        <f t="shared" ref="X115:X117" si="51">+P115-T115</f>
        <v>993.90999999999985</v>
      </c>
      <c r="Y115" s="1"/>
      <c r="Z115" s="5">
        <f t="shared" ref="Z115:Z117" si="52">IF(T115=0,0,X115/T115)</f>
        <v>0.90355454545454528</v>
      </c>
    </row>
    <row r="116" spans="1:26" s="24" customFormat="1" hidden="1" outlineLevel="2" x14ac:dyDescent="0.25">
      <c r="A116" s="26"/>
      <c r="B116" s="11" t="str">
        <f>CONCATENATE("          ", "6282", " - ", "JANITORIAL/EXTERMINATOR EXPENS")</f>
        <v xml:space="preserve">          6282 - JANITORIAL/EXTERMINATOR EXPENS</v>
      </c>
      <c r="C116" s="11"/>
      <c r="D116" s="7"/>
      <c r="E116" s="2"/>
      <c r="F116" s="6">
        <f t="shared" si="45"/>
        <v>0</v>
      </c>
      <c r="G116" s="2"/>
      <c r="H116" s="7">
        <v>50</v>
      </c>
      <c r="I116" s="2"/>
      <c r="J116" s="6">
        <f t="shared" si="46"/>
        <v>1.875750300120048E-3</v>
      </c>
      <c r="K116" s="2"/>
      <c r="L116" s="7">
        <f t="shared" si="47"/>
        <v>-50</v>
      </c>
      <c r="M116" s="2"/>
      <c r="N116" s="6">
        <f t="shared" si="48"/>
        <v>-1</v>
      </c>
      <c r="O116" s="11"/>
      <c r="P116" s="7">
        <v>461.02</v>
      </c>
      <c r="Q116" s="2"/>
      <c r="R116" s="6">
        <f t="shared" si="49"/>
        <v>1.122934183030428E-3</v>
      </c>
      <c r="S116" s="2"/>
      <c r="T116" s="7">
        <v>550</v>
      </c>
      <c r="U116" s="2"/>
      <c r="V116" s="6">
        <f t="shared" si="50"/>
        <v>1.0393596033047856E-3</v>
      </c>
      <c r="W116" s="2"/>
      <c r="X116" s="7">
        <f t="shared" si="51"/>
        <v>-88.980000000000018</v>
      </c>
      <c r="Y116" s="2"/>
      <c r="Z116" s="6">
        <f t="shared" si="52"/>
        <v>-0.16178181818181822</v>
      </c>
    </row>
    <row r="117" spans="1:26" s="24" customFormat="1" hidden="1" outlineLevel="2" x14ac:dyDescent="0.25">
      <c r="A117" s="26"/>
      <c r="B117" s="11" t="str">
        <f>CONCATENATE("          ", "6285", " - ", "JANITORIAL SERVICES")</f>
        <v xml:space="preserve">          6285 - JANITORIAL SERVICES</v>
      </c>
      <c r="C117" s="11"/>
      <c r="D117" s="7">
        <v>78.75</v>
      </c>
      <c r="E117" s="2"/>
      <c r="F117" s="6">
        <f t="shared" si="45"/>
        <v>0</v>
      </c>
      <c r="G117" s="2"/>
      <c r="H117" s="7">
        <v>50</v>
      </c>
      <c r="I117" s="2"/>
      <c r="J117" s="6">
        <f t="shared" si="46"/>
        <v>1.875750300120048E-3</v>
      </c>
      <c r="K117" s="2"/>
      <c r="L117" s="7">
        <f t="shared" si="47"/>
        <v>28.75</v>
      </c>
      <c r="M117" s="2"/>
      <c r="N117" s="6">
        <f t="shared" si="48"/>
        <v>0.57499999999999996</v>
      </c>
      <c r="O117" s="11"/>
      <c r="P117" s="7">
        <v>1632.89</v>
      </c>
      <c r="Q117" s="2"/>
      <c r="R117" s="6">
        <f t="shared" si="49"/>
        <v>3.9773285283253561E-3</v>
      </c>
      <c r="S117" s="2"/>
      <c r="T117" s="7">
        <v>550</v>
      </c>
      <c r="U117" s="2"/>
      <c r="V117" s="6">
        <f t="shared" si="50"/>
        <v>1.0393596033047856E-3</v>
      </c>
      <c r="W117" s="2"/>
      <c r="X117" s="7">
        <f t="shared" si="51"/>
        <v>1082.8900000000001</v>
      </c>
      <c r="Y117" s="2"/>
      <c r="Z117" s="6">
        <f t="shared" si="52"/>
        <v>1.9688909090909092</v>
      </c>
    </row>
    <row r="118" spans="1:26" s="27" customFormat="1" outlineLevel="1" collapsed="1" x14ac:dyDescent="0.25">
      <c r="A118" s="25"/>
      <c r="B118" s="12" t="str">
        <f>CONCATENATE("     ","Supplies                                          ")</f>
        <v xml:space="preserve">     Supplies                                          </v>
      </c>
      <c r="C118" s="12"/>
      <c r="D118" s="1">
        <f>SUM(OSRRefD22_10x_0)</f>
        <v>0</v>
      </c>
      <c r="E118" s="1"/>
      <c r="F118" s="5">
        <f t="shared" ref="F118:F121" si="53">IF(D$12=0,0,D118/D$12)</f>
        <v>0</v>
      </c>
      <c r="G118" s="1"/>
      <c r="H118" s="1">
        <f>SUM(OSRRefH22_10x_0)</f>
        <v>150</v>
      </c>
      <c r="I118" s="1"/>
      <c r="J118" s="5">
        <f t="shared" ref="J118:J121" si="54">IF(H$12=0,0,H118/H$12)</f>
        <v>5.6272509003601444E-3</v>
      </c>
      <c r="K118" s="1"/>
      <c r="L118" s="1">
        <f t="shared" ref="L118:L121" si="55">+D118-H118</f>
        <v>-150</v>
      </c>
      <c r="M118" s="1"/>
      <c r="N118" s="5">
        <f t="shared" ref="N118:N121" si="56">IF(H118=0,0,L118/H118)</f>
        <v>-1</v>
      </c>
      <c r="O118" s="12"/>
      <c r="P118" s="1">
        <f>SUM(OSRRefP22_10x_0)</f>
        <v>1612.07</v>
      </c>
      <c r="Q118" s="1"/>
      <c r="R118" s="5">
        <f t="shared" ref="R118:R121" si="57">IF(P$12=0,0,P118/P$12)</f>
        <v>3.9266160002556548E-3</v>
      </c>
      <c r="S118" s="1"/>
      <c r="T118" s="1">
        <f>SUM(OSRRefT22_10x_0)</f>
        <v>1650</v>
      </c>
      <c r="U118" s="1"/>
      <c r="V118" s="5">
        <f t="shared" ref="V118:V121" si="58">IF(T$12=0,0,T118/T$12)</f>
        <v>3.1180788099143568E-3</v>
      </c>
      <c r="W118" s="1"/>
      <c r="X118" s="1">
        <f t="shared" ref="X118:X121" si="59">+P118-T118</f>
        <v>-37.930000000000064</v>
      </c>
      <c r="Y118" s="1"/>
      <c r="Z118" s="5">
        <f t="shared" ref="Z118:Z121" si="60">IF(T118=0,0,X118/T118)</f>
        <v>-2.2987878787878828E-2</v>
      </c>
    </row>
    <row r="119" spans="1:26" s="24" customFormat="1" hidden="1" outlineLevel="2" x14ac:dyDescent="0.25">
      <c r="A119" s="26"/>
      <c r="B119" s="11" t="str">
        <f>CONCATENATE("          ", "6241", " - ", "OFFICE EXPENSE")</f>
        <v xml:space="preserve">          6241 - OFFICE EXPENSE</v>
      </c>
      <c r="C119" s="11"/>
      <c r="D119" s="7"/>
      <c r="E119" s="2"/>
      <c r="F119" s="6">
        <f t="shared" si="53"/>
        <v>0</v>
      </c>
      <c r="G119" s="2"/>
      <c r="H119" s="7">
        <v>150</v>
      </c>
      <c r="I119" s="2"/>
      <c r="J119" s="6">
        <f t="shared" si="54"/>
        <v>5.6272509003601444E-3</v>
      </c>
      <c r="K119" s="2"/>
      <c r="L119" s="7">
        <f t="shared" si="55"/>
        <v>-150</v>
      </c>
      <c r="M119" s="2"/>
      <c r="N119" s="6">
        <f t="shared" si="56"/>
        <v>-1</v>
      </c>
      <c r="O119" s="11"/>
      <c r="P119" s="7">
        <v>1421.17</v>
      </c>
      <c r="Q119" s="2"/>
      <c r="R119" s="6">
        <f t="shared" si="57"/>
        <v>3.4616293716050357E-3</v>
      </c>
      <c r="S119" s="2"/>
      <c r="T119" s="7">
        <v>1650</v>
      </c>
      <c r="U119" s="2"/>
      <c r="V119" s="6">
        <f t="shared" si="58"/>
        <v>3.1180788099143568E-3</v>
      </c>
      <c r="W119" s="2"/>
      <c r="X119" s="7">
        <f t="shared" si="59"/>
        <v>-228.82999999999993</v>
      </c>
      <c r="Y119" s="2"/>
      <c r="Z119" s="6">
        <f t="shared" si="60"/>
        <v>-0.13868484848484844</v>
      </c>
    </row>
    <row r="120" spans="1:26" s="24" customFormat="1" hidden="1" outlineLevel="2" x14ac:dyDescent="0.25">
      <c r="A120" s="26"/>
      <c r="B120" s="11" t="str">
        <f>CONCATENATE("          ", "6245", " - ", "PRINTING")</f>
        <v xml:space="preserve">          6245 - PRINTING</v>
      </c>
      <c r="C120" s="11"/>
      <c r="D120" s="7"/>
      <c r="E120" s="2"/>
      <c r="F120" s="6">
        <f t="shared" si="53"/>
        <v>0</v>
      </c>
      <c r="G120" s="2"/>
      <c r="H120" s="7"/>
      <c r="I120" s="2"/>
      <c r="J120" s="6">
        <f t="shared" si="54"/>
        <v>0</v>
      </c>
      <c r="K120" s="2"/>
      <c r="L120" s="7">
        <f t="shared" si="55"/>
        <v>0</v>
      </c>
      <c r="M120" s="2"/>
      <c r="N120" s="6">
        <f t="shared" si="56"/>
        <v>0</v>
      </c>
      <c r="O120" s="11"/>
      <c r="P120" s="7">
        <v>22.05</v>
      </c>
      <c r="Q120" s="2"/>
      <c r="R120" s="6">
        <f t="shared" si="57"/>
        <v>5.3708513157392171E-5</v>
      </c>
      <c r="S120" s="2"/>
      <c r="T120" s="7"/>
      <c r="U120" s="2"/>
      <c r="V120" s="6">
        <f t="shared" si="58"/>
        <v>0</v>
      </c>
      <c r="W120" s="2"/>
      <c r="X120" s="7">
        <f t="shared" si="59"/>
        <v>22.05</v>
      </c>
      <c r="Y120" s="2"/>
      <c r="Z120" s="6">
        <f t="shared" si="60"/>
        <v>0</v>
      </c>
    </row>
    <row r="121" spans="1:26" s="24" customFormat="1" hidden="1" outlineLevel="2" x14ac:dyDescent="0.25">
      <c r="A121" s="26"/>
      <c r="B121" s="11" t="str">
        <f>CONCATENATE("          ", "6247", " - ", "STORE SUPPLIES")</f>
        <v xml:space="preserve">          6247 - STORE SUPPLIES</v>
      </c>
      <c r="C121" s="11"/>
      <c r="D121" s="7"/>
      <c r="E121" s="2"/>
      <c r="F121" s="6">
        <f t="shared" si="53"/>
        <v>0</v>
      </c>
      <c r="G121" s="2"/>
      <c r="H121" s="7"/>
      <c r="I121" s="2"/>
      <c r="J121" s="6">
        <f t="shared" si="54"/>
        <v>0</v>
      </c>
      <c r="K121" s="2"/>
      <c r="L121" s="7">
        <f t="shared" si="55"/>
        <v>0</v>
      </c>
      <c r="M121" s="2"/>
      <c r="N121" s="6">
        <f t="shared" si="56"/>
        <v>0</v>
      </c>
      <c r="O121" s="11"/>
      <c r="P121" s="7">
        <v>168.85</v>
      </c>
      <c r="Q121" s="2"/>
      <c r="R121" s="6">
        <f t="shared" si="57"/>
        <v>4.1127811549322756E-4</v>
      </c>
      <c r="S121" s="2"/>
      <c r="T121" s="7"/>
      <c r="U121" s="2"/>
      <c r="V121" s="6">
        <f t="shared" si="58"/>
        <v>0</v>
      </c>
      <c r="W121" s="2"/>
      <c r="X121" s="7">
        <f t="shared" si="59"/>
        <v>168.85</v>
      </c>
      <c r="Y121" s="2"/>
      <c r="Z121" s="6">
        <f t="shared" si="60"/>
        <v>0</v>
      </c>
    </row>
    <row r="122" spans="1:26" s="27" customFormat="1" outlineLevel="1" collapsed="1" x14ac:dyDescent="0.25">
      <c r="A122" s="25"/>
      <c r="B122" s="12" t="str">
        <f>CONCATENATE("     ","Telephone/Data Lines                              ")</f>
        <v xml:space="preserve">     Telephone/Data Lines                              </v>
      </c>
      <c r="C122" s="12"/>
      <c r="D122" s="1">
        <f>SUM(OSRRefD22_11x_0)</f>
        <v>103</v>
      </c>
      <c r="E122" s="1"/>
      <c r="F122" s="5">
        <f t="shared" ref="F122:F125" si="61">IF(D$12=0,0,D122/D$12)</f>
        <v>0</v>
      </c>
      <c r="G122" s="1"/>
      <c r="H122" s="1">
        <f>SUM(OSRRefH22_11x_0)</f>
        <v>75</v>
      </c>
      <c r="I122" s="1"/>
      <c r="J122" s="5">
        <f t="shared" ref="J122:J125" si="62">IF(H$12=0,0,H122/H$12)</f>
        <v>2.8136254501800722E-3</v>
      </c>
      <c r="K122" s="1"/>
      <c r="L122" s="1">
        <f t="shared" ref="L122:L125" si="63">+D122-H122</f>
        <v>28</v>
      </c>
      <c r="M122" s="1"/>
      <c r="N122" s="5">
        <f t="shared" ref="N122:N125" si="64">IF(H122=0,0,L122/H122)</f>
        <v>0.37333333333333335</v>
      </c>
      <c r="O122" s="12"/>
      <c r="P122" s="1">
        <f>SUM(OSRRefP22_11x_0)</f>
        <v>1093.3699999999999</v>
      </c>
      <c r="Q122" s="1"/>
      <c r="R122" s="5">
        <f t="shared" ref="R122:R125" si="65">IF(P$12=0,0,P122/P$12)</f>
        <v>2.6631871669341436E-3</v>
      </c>
      <c r="S122" s="1"/>
      <c r="T122" s="1">
        <f>SUM(OSRRefT22_11x_0)</f>
        <v>825</v>
      </c>
      <c r="U122" s="1"/>
      <c r="V122" s="5">
        <f t="shared" ref="V122:V125" si="66">IF(T$12=0,0,T122/T$12)</f>
        <v>1.5590394049571784E-3</v>
      </c>
      <c r="W122" s="1"/>
      <c r="X122" s="1">
        <f t="shared" ref="X122:X125" si="67">+P122-T122</f>
        <v>268.36999999999989</v>
      </c>
      <c r="Y122" s="1"/>
      <c r="Z122" s="5">
        <f t="shared" ref="Z122:Z125" si="68">IF(T122=0,0,X122/T122)</f>
        <v>0.32529696969696958</v>
      </c>
    </row>
    <row r="123" spans="1:26" s="24" customFormat="1" hidden="1" outlineLevel="2" x14ac:dyDescent="0.25">
      <c r="A123" s="26"/>
      <c r="B123" s="11" t="str">
        <f>CONCATENATE("          ", "6309", " - ", "TELEPHONE")</f>
        <v xml:space="preserve">          6309 - TELEPHONE</v>
      </c>
      <c r="C123" s="11"/>
      <c r="D123" s="7">
        <v>103</v>
      </c>
      <c r="E123" s="2"/>
      <c r="F123" s="6">
        <f t="shared" si="61"/>
        <v>0</v>
      </c>
      <c r="G123" s="2"/>
      <c r="H123" s="7">
        <v>75</v>
      </c>
      <c r="I123" s="2"/>
      <c r="J123" s="6">
        <f t="shared" si="62"/>
        <v>2.8136254501800722E-3</v>
      </c>
      <c r="K123" s="2"/>
      <c r="L123" s="7">
        <f t="shared" si="63"/>
        <v>28</v>
      </c>
      <c r="M123" s="2"/>
      <c r="N123" s="6">
        <f t="shared" si="64"/>
        <v>0.37333333333333335</v>
      </c>
      <c r="O123" s="11"/>
      <c r="P123" s="7">
        <v>1093.3699999999999</v>
      </c>
      <c r="Q123" s="2"/>
      <c r="R123" s="6">
        <f t="shared" si="65"/>
        <v>2.6631871669341436E-3</v>
      </c>
      <c r="S123" s="2"/>
      <c r="T123" s="7">
        <v>825</v>
      </c>
      <c r="U123" s="2"/>
      <c r="V123" s="6">
        <f t="shared" si="66"/>
        <v>1.5590394049571784E-3</v>
      </c>
      <c r="W123" s="2"/>
      <c r="X123" s="7">
        <f t="shared" si="67"/>
        <v>268.36999999999989</v>
      </c>
      <c r="Y123" s="2"/>
      <c r="Z123" s="6">
        <f t="shared" si="68"/>
        <v>0.32529696969696958</v>
      </c>
    </row>
    <row r="124" spans="1:26" s="27" customFormat="1" outlineLevel="1" collapsed="1" x14ac:dyDescent="0.25">
      <c r="A124" s="25"/>
      <c r="B124" s="12" t="str">
        <f>CONCATENATE("     ","Training                                          ")</f>
        <v xml:space="preserve">     Training                                          </v>
      </c>
      <c r="C124" s="12"/>
      <c r="D124" s="1">
        <f>SUM(OSRRefD22_12x_0)</f>
        <v>0</v>
      </c>
      <c r="E124" s="1"/>
      <c r="F124" s="5">
        <f t="shared" si="61"/>
        <v>0</v>
      </c>
      <c r="G124" s="1"/>
      <c r="H124" s="1">
        <f>SUM(OSRRefH22_12x_0)</f>
        <v>175</v>
      </c>
      <c r="I124" s="1"/>
      <c r="J124" s="5">
        <f t="shared" si="62"/>
        <v>6.5651260504201682E-3</v>
      </c>
      <c r="K124" s="1"/>
      <c r="L124" s="1">
        <f t="shared" si="63"/>
        <v>-175</v>
      </c>
      <c r="M124" s="1"/>
      <c r="N124" s="5">
        <f t="shared" si="64"/>
        <v>-1</v>
      </c>
      <c r="O124" s="12"/>
      <c r="P124" s="1">
        <f>SUM(OSRRefP22_12x_0)</f>
        <v>254.8</v>
      </c>
      <c r="Q124" s="1"/>
      <c r="R124" s="5">
        <f t="shared" si="65"/>
        <v>6.2063170759653178E-4</v>
      </c>
      <c r="S124" s="1"/>
      <c r="T124" s="1">
        <f>SUM(OSRRefT22_12x_0)</f>
        <v>1925</v>
      </c>
      <c r="U124" s="1"/>
      <c r="V124" s="5">
        <f t="shared" si="66"/>
        <v>3.6377586115667495E-3</v>
      </c>
      <c r="W124" s="1"/>
      <c r="X124" s="1">
        <f t="shared" si="67"/>
        <v>-1670.2</v>
      </c>
      <c r="Y124" s="1"/>
      <c r="Z124" s="5">
        <f t="shared" si="68"/>
        <v>-0.86763636363636365</v>
      </c>
    </row>
    <row r="125" spans="1:26" s="24" customFormat="1" hidden="1" outlineLevel="2" x14ac:dyDescent="0.25">
      <c r="A125" s="26"/>
      <c r="B125" s="11" t="str">
        <f>CONCATENATE("          ", "6376", " - ", "TRAINING")</f>
        <v xml:space="preserve">          6376 - TRAINING</v>
      </c>
      <c r="C125" s="11"/>
      <c r="D125" s="7"/>
      <c r="E125" s="2"/>
      <c r="F125" s="6">
        <f t="shared" si="61"/>
        <v>0</v>
      </c>
      <c r="G125" s="2"/>
      <c r="H125" s="7">
        <v>175</v>
      </c>
      <c r="I125" s="2"/>
      <c r="J125" s="6">
        <f t="shared" si="62"/>
        <v>6.5651260504201682E-3</v>
      </c>
      <c r="K125" s="2"/>
      <c r="L125" s="7">
        <f t="shared" si="63"/>
        <v>-175</v>
      </c>
      <c r="M125" s="2"/>
      <c r="N125" s="6">
        <f t="shared" si="64"/>
        <v>-1</v>
      </c>
      <c r="O125" s="11"/>
      <c r="P125" s="7">
        <v>254.8</v>
      </c>
      <c r="Q125" s="2"/>
      <c r="R125" s="6">
        <f t="shared" si="65"/>
        <v>6.2063170759653178E-4</v>
      </c>
      <c r="S125" s="2"/>
      <c r="T125" s="7">
        <v>1925</v>
      </c>
      <c r="U125" s="2"/>
      <c r="V125" s="6">
        <f t="shared" si="66"/>
        <v>3.6377586115667495E-3</v>
      </c>
      <c r="W125" s="2"/>
      <c r="X125" s="7">
        <f t="shared" si="67"/>
        <v>-1670.2</v>
      </c>
      <c r="Y125" s="2"/>
      <c r="Z125" s="6">
        <f t="shared" si="68"/>
        <v>-0.86763636363636365</v>
      </c>
    </row>
    <row r="126" spans="1:26" s="62" customFormat="1" x14ac:dyDescent="0.25">
      <c r="A126" s="36"/>
      <c r="B126" s="36"/>
      <c r="C126" s="36"/>
      <c r="D126" s="1"/>
      <c r="E126" s="1"/>
      <c r="F126" s="5"/>
      <c r="G126" s="1"/>
      <c r="H126" s="1"/>
      <c r="I126" s="1"/>
      <c r="J126" s="5"/>
      <c r="K126" s="1"/>
      <c r="L126" s="1"/>
      <c r="M126" s="1"/>
      <c r="N126" s="5"/>
      <c r="O126" s="36"/>
      <c r="P126" s="1"/>
      <c r="Q126" s="1"/>
      <c r="R126" s="5"/>
      <c r="S126" s="1"/>
      <c r="T126" s="1"/>
      <c r="U126" s="1"/>
      <c r="V126" s="5"/>
      <c r="W126" s="1"/>
      <c r="X126" s="1"/>
      <c r="Y126" s="1"/>
      <c r="Z126" s="5"/>
    </row>
    <row r="127" spans="1:26" s="23" customFormat="1" collapsed="1" x14ac:dyDescent="0.25">
      <c r="A127" s="10"/>
      <c r="B127" s="28" t="s">
        <v>0</v>
      </c>
      <c r="C127" s="10"/>
      <c r="D127" s="4">
        <f>SUM(OSRRefD25x_0)</f>
        <v>0</v>
      </c>
      <c r="E127" s="4"/>
      <c r="F127" s="13">
        <f t="shared" ref="F127:F128" si="69">IF(D$12=0,0,D127/D$12)</f>
        <v>0</v>
      </c>
      <c r="G127" s="4"/>
      <c r="H127" s="4">
        <f>SUM(OSRRefH25x_0)</f>
        <v>0</v>
      </c>
      <c r="I127" s="4"/>
      <c r="J127" s="13">
        <f t="shared" ref="J127:J128" si="70">IF(H$12=0,0,H127/H$12)</f>
        <v>0</v>
      </c>
      <c r="K127" s="4"/>
      <c r="L127" s="4">
        <f t="shared" ref="L127:L128" si="71">+D127-H127</f>
        <v>0</v>
      </c>
      <c r="M127" s="4"/>
      <c r="N127" s="13">
        <f t="shared" ref="N127:N128" si="72">IF(H127=0,0,L127/H127)</f>
        <v>0</v>
      </c>
      <c r="O127" s="10"/>
      <c r="P127" s="4">
        <f>SUM(OSRRefP25x_0)</f>
        <v>68.760000000000005</v>
      </c>
      <c r="Q127" s="4"/>
      <c r="R127" s="13">
        <f t="shared" ref="R127:R128" si="73">IF(P$12=0,0,P127/P$12)</f>
        <v>1.6748287368264334E-4</v>
      </c>
      <c r="S127" s="4"/>
      <c r="T127" s="4">
        <f>SUM(OSRRefT25x_0)</f>
        <v>0</v>
      </c>
      <c r="U127" s="4"/>
      <c r="V127" s="13">
        <f t="shared" ref="V127:V128" si="74">IF(T$12=0,0,T127/T$12)</f>
        <v>0</v>
      </c>
      <c r="W127" s="4"/>
      <c r="X127" s="4">
        <f t="shared" ref="X127:X128" si="75">+P127-T127</f>
        <v>68.760000000000005</v>
      </c>
      <c r="Y127" s="4"/>
      <c r="Z127" s="13">
        <f t="shared" ref="Z127:Z128" si="76">IF(T127=0,0,X127/T127)</f>
        <v>0</v>
      </c>
    </row>
    <row r="128" spans="1:26" s="24" customFormat="1" hidden="1" outlineLevel="1" x14ac:dyDescent="0.25">
      <c r="A128" s="44"/>
      <c r="B128" s="11" t="str">
        <f>CONCATENATE("          ", "9150", " - ", "MISC. INCOME")</f>
        <v xml:space="preserve">          9150 - MISC. INCOME</v>
      </c>
      <c r="C128" s="11"/>
      <c r="D128" s="2">
        <f>0</f>
        <v>0</v>
      </c>
      <c r="E128" s="2"/>
      <c r="F128" s="19">
        <f t="shared" si="69"/>
        <v>0</v>
      </c>
      <c r="G128" s="2"/>
      <c r="H128" s="2"/>
      <c r="I128" s="2"/>
      <c r="J128" s="19">
        <f t="shared" si="70"/>
        <v>0</v>
      </c>
      <c r="K128" s="2"/>
      <c r="L128" s="2">
        <f t="shared" si="71"/>
        <v>0</v>
      </c>
      <c r="M128" s="2"/>
      <c r="N128" s="19">
        <f t="shared" si="72"/>
        <v>0</v>
      </c>
      <c r="O128" s="11"/>
      <c r="P128" s="2">
        <f>--68.76</f>
        <v>68.760000000000005</v>
      </c>
      <c r="Q128" s="2"/>
      <c r="R128" s="19">
        <f t="shared" si="73"/>
        <v>1.6748287368264334E-4</v>
      </c>
      <c r="S128" s="2"/>
      <c r="T128" s="2"/>
      <c r="U128" s="2"/>
      <c r="V128" s="19">
        <f t="shared" si="74"/>
        <v>0</v>
      </c>
      <c r="W128" s="2"/>
      <c r="X128" s="2">
        <f t="shared" si="75"/>
        <v>68.760000000000005</v>
      </c>
      <c r="Y128" s="2"/>
      <c r="Z128" s="19">
        <f t="shared" si="76"/>
        <v>0</v>
      </c>
    </row>
    <row r="129" spans="1:26" x14ac:dyDescent="0.25">
      <c r="A129" s="9"/>
      <c r="B129" s="10"/>
      <c r="C129" s="10"/>
      <c r="D129" s="3"/>
      <c r="E129" s="3"/>
      <c r="F129" s="8"/>
      <c r="G129" s="3"/>
      <c r="H129" s="3"/>
      <c r="I129" s="3"/>
      <c r="J129" s="8"/>
      <c r="K129" s="3"/>
      <c r="L129" s="3"/>
      <c r="M129" s="3"/>
      <c r="N129" s="8"/>
      <c r="O129" s="10"/>
      <c r="P129" s="3"/>
      <c r="Q129" s="3"/>
      <c r="R129" s="8"/>
      <c r="S129" s="3"/>
      <c r="T129" s="3"/>
      <c r="U129" s="3"/>
      <c r="V129" s="8"/>
      <c r="W129" s="3"/>
      <c r="X129" s="3"/>
      <c r="Y129" s="3"/>
      <c r="Z129" s="8"/>
    </row>
    <row r="130" spans="1:26" s="23" customFormat="1" x14ac:dyDescent="0.25">
      <c r="A130" s="10"/>
      <c r="B130" s="29" t="s">
        <v>3</v>
      </c>
      <c r="C130" s="29"/>
      <c r="D130" s="20">
        <f>+D75-D77+D127</f>
        <v>1344.7099999999998</v>
      </c>
      <c r="E130" s="14"/>
      <c r="F130" s="22">
        <f>IF(D$12=0,0,D130/D$12)</f>
        <v>0</v>
      </c>
      <c r="G130" s="14"/>
      <c r="H130" s="20">
        <f>+H75-H77+H127</f>
        <v>4674.78480752</v>
      </c>
      <c r="I130" s="14"/>
      <c r="J130" s="22">
        <f>IF(H$12=0,0,H130/H$12)</f>
        <v>0.17537458011404561</v>
      </c>
      <c r="K130" s="16"/>
      <c r="L130" s="20">
        <f>+D130-H130</f>
        <v>-3330.0748075199999</v>
      </c>
      <c r="M130" s="16"/>
      <c r="N130" s="22">
        <f>IF(H130=0,0,L130/H130)</f>
        <v>-0.71234825657924217</v>
      </c>
      <c r="O130" s="28"/>
      <c r="P130" s="20">
        <f>+P75-P77+P127</f>
        <v>87809.430000000226</v>
      </c>
      <c r="Q130" s="14"/>
      <c r="R130" s="22">
        <f>IF(P$12=0,0,P130/P$12)</f>
        <v>0.21388271775501672</v>
      </c>
      <c r="S130" s="14"/>
      <c r="T130" s="20">
        <f>+T75-T77+T127</f>
        <v>162638.70139521803</v>
      </c>
      <c r="U130" s="14"/>
      <c r="V130" s="22">
        <f>IF(T$12=0,0,T130/T$12)</f>
        <v>0.30734562938934418</v>
      </c>
      <c r="W130" s="16"/>
      <c r="X130" s="20">
        <f>+P130-T130</f>
        <v>-74829.271395217802</v>
      </c>
      <c r="Y130" s="16"/>
      <c r="Z130" s="22">
        <f>IF(T130=0,0,X130/T130)</f>
        <v>-0.46009511114688451</v>
      </c>
    </row>
    <row r="131" spans="1:26" x14ac:dyDescent="0.25">
      <c r="A131" s="9"/>
      <c r="B131" s="10"/>
      <c r="C131" s="9"/>
      <c r="D131" s="3"/>
      <c r="E131" s="3"/>
      <c r="F131" s="8"/>
      <c r="G131" s="3"/>
      <c r="H131" s="3"/>
      <c r="I131" s="3"/>
      <c r="J131" s="8"/>
      <c r="K131" s="3"/>
      <c r="L131" s="3"/>
      <c r="M131" s="3"/>
      <c r="N131" s="8"/>
      <c r="P131" s="3"/>
      <c r="Q131" s="3"/>
      <c r="R131" s="8"/>
      <c r="S131" s="3"/>
      <c r="T131" s="3"/>
      <c r="U131" s="3"/>
      <c r="V131" s="8"/>
      <c r="W131" s="3"/>
      <c r="X131" s="3"/>
      <c r="Y131" s="3"/>
      <c r="Z131" s="8"/>
    </row>
    <row r="132" spans="1:26" s="23" customFormat="1" x14ac:dyDescent="0.25">
      <c r="A132" s="52"/>
      <c r="B132" s="10" t="s">
        <v>14</v>
      </c>
      <c r="C132" s="10"/>
      <c r="D132" s="4">
        <v>2000.52</v>
      </c>
      <c r="E132" s="4"/>
      <c r="F132" s="13">
        <f>IF(D$12=0,0,D132/D$12)</f>
        <v>0</v>
      </c>
      <c r="G132" s="4"/>
      <c r="H132" s="4">
        <v>2577</v>
      </c>
      <c r="I132" s="4"/>
      <c r="J132" s="13">
        <f>IF(H$12=0,0,H132/H$12)</f>
        <v>9.6676170468187272E-2</v>
      </c>
      <c r="K132" s="4"/>
      <c r="L132" s="4">
        <f>+D132-H132</f>
        <v>-576.48</v>
      </c>
      <c r="M132" s="4"/>
      <c r="N132" s="13">
        <f>IF(H132=0,0,L132/H132)</f>
        <v>-0.22370197904540165</v>
      </c>
      <c r="O132" s="10"/>
      <c r="P132" s="4">
        <v>48615.47</v>
      </c>
      <c r="Q132" s="4"/>
      <c r="R132" s="13">
        <f>IF(P$12=0,0,P132/P$12)</f>
        <v>0.11841562857813172</v>
      </c>
      <c r="S132" s="4"/>
      <c r="T132" s="4">
        <v>61291.000000000007</v>
      </c>
      <c r="U132" s="4"/>
      <c r="V132" s="13">
        <f>IF(T$12=0,0,T132/T$12)</f>
        <v>0.11582434444755203</v>
      </c>
      <c r="W132" s="4"/>
      <c r="X132" s="4">
        <f>+P132-T132</f>
        <v>-12675.530000000006</v>
      </c>
      <c r="Y132" s="4"/>
      <c r="Z132" s="13">
        <f>IF(T132=0,0,X132/T132)</f>
        <v>-0.20680899316375984</v>
      </c>
    </row>
    <row r="133" spans="1:26" x14ac:dyDescent="0.25">
      <c r="A133" s="9"/>
      <c r="B133" s="10"/>
      <c r="C133" s="10"/>
      <c r="D133" s="3"/>
      <c r="E133" s="3"/>
      <c r="F133" s="8"/>
      <c r="G133" s="3"/>
      <c r="H133" s="3"/>
      <c r="I133" s="3"/>
      <c r="J133" s="8"/>
      <c r="K133" s="3"/>
      <c r="L133" s="3"/>
      <c r="M133" s="3"/>
      <c r="N133" s="8"/>
      <c r="O133" s="10"/>
      <c r="P133" s="3"/>
      <c r="Q133" s="3"/>
      <c r="R133" s="8"/>
      <c r="S133" s="3"/>
      <c r="T133" s="3"/>
      <c r="U133" s="3"/>
      <c r="V133" s="8"/>
      <c r="W133" s="3"/>
      <c r="X133" s="3"/>
      <c r="Y133" s="3"/>
      <c r="Z133" s="8"/>
    </row>
    <row r="134" spans="1:26" s="23" customFormat="1" ht="15.75" thickBot="1" x14ac:dyDescent="0.3">
      <c r="A134" s="10"/>
      <c r="B134" s="29" t="s">
        <v>4</v>
      </c>
      <c r="C134" s="29"/>
      <c r="D134" s="35">
        <f>+D130-D132</f>
        <v>-655.81000000000017</v>
      </c>
      <c r="E134" s="14"/>
      <c r="F134" s="32">
        <f>IF(D$12=0,0,D134/D$12)</f>
        <v>0</v>
      </c>
      <c r="G134" s="14"/>
      <c r="H134" s="35">
        <f>+H130-H132</f>
        <v>2097.78480752</v>
      </c>
      <c r="I134" s="14"/>
      <c r="J134" s="32">
        <f>IF(H$12=0,0,H134/H$12)</f>
        <v>7.8698409645858336E-2</v>
      </c>
      <c r="K134" s="16"/>
      <c r="L134" s="35">
        <f>D134-H134</f>
        <v>-2753.5948075200004</v>
      </c>
      <c r="M134" s="16"/>
      <c r="N134" s="32">
        <f>IF(H134=0,0,L134/H134)</f>
        <v>-1.3126202447691948</v>
      </c>
      <c r="O134" s="28"/>
      <c r="P134" s="35">
        <f>+P130-P132</f>
        <v>39193.960000000225</v>
      </c>
      <c r="Q134" s="14"/>
      <c r="R134" s="32">
        <f>IF(P$12=0,0,P134/P$12)</f>
        <v>9.5467089176885012E-2</v>
      </c>
      <c r="S134" s="14"/>
      <c r="T134" s="35">
        <f>+T130-T132</f>
        <v>101347.70139521803</v>
      </c>
      <c r="U134" s="14"/>
      <c r="V134" s="32">
        <f>IF(T$12=0,0,T134/T$12)</f>
        <v>0.19152128494179213</v>
      </c>
      <c r="W134" s="16"/>
      <c r="X134" s="35">
        <f>P134-T134</f>
        <v>-62153.741395217803</v>
      </c>
      <c r="Y134" s="16"/>
      <c r="Z134" s="32">
        <f>IF(T134=0,0,X134/T134)</f>
        <v>-0.61327233414837423</v>
      </c>
    </row>
    <row r="135" spans="1:26" ht="15.75" thickTop="1" x14ac:dyDescent="0.25">
      <c r="A135" s="9"/>
      <c r="B135" s="9"/>
      <c r="C135" s="9"/>
      <c r="D135" s="3"/>
      <c r="E135" s="3"/>
      <c r="F135" s="8"/>
      <c r="G135" s="3"/>
      <c r="H135" s="3"/>
      <c r="I135" s="3"/>
      <c r="J135" s="8"/>
      <c r="K135" s="3"/>
      <c r="L135" s="3"/>
      <c r="M135" s="3"/>
      <c r="N135" s="8"/>
      <c r="P135" s="3"/>
      <c r="Q135" s="3"/>
      <c r="R135" s="8"/>
      <c r="S135" s="3"/>
      <c r="T135" s="3"/>
      <c r="U135" s="3"/>
      <c r="V135" s="8"/>
      <c r="W135" s="3"/>
      <c r="X135" s="3"/>
      <c r="Y135" s="3"/>
      <c r="Z135" s="8"/>
    </row>
    <row r="136" spans="1:26" x14ac:dyDescent="0.25">
      <c r="A136" s="9"/>
      <c r="B136" s="9"/>
      <c r="C136" s="9"/>
      <c r="D136" s="3"/>
      <c r="E136" s="3"/>
      <c r="F136" s="8"/>
      <c r="G136" s="3"/>
      <c r="H136" s="3"/>
      <c r="I136" s="3"/>
      <c r="J136" s="8"/>
      <c r="K136" s="3"/>
      <c r="L136" s="3"/>
      <c r="M136" s="3"/>
      <c r="N136" s="8"/>
      <c r="P136" s="3"/>
      <c r="Q136" s="3"/>
      <c r="R136" s="8"/>
      <c r="S136" s="3"/>
      <c r="T136" s="3"/>
      <c r="U136" s="3"/>
      <c r="V136" s="8"/>
      <c r="W136" s="3"/>
      <c r="X136" s="3"/>
      <c r="Y136" s="3"/>
      <c r="Z136" s="8"/>
    </row>
    <row r="137" spans="1:26" s="23" customFormat="1" ht="15.75" thickBot="1" x14ac:dyDescent="0.3">
      <c r="A137" s="10"/>
      <c r="B137" s="29" t="s">
        <v>5</v>
      </c>
      <c r="C137" s="29"/>
      <c r="D137" s="34">
        <f>SUM(D134:D136)</f>
        <v>-655.81000000000017</v>
      </c>
      <c r="E137" s="14"/>
      <c r="F137" s="31">
        <f>IF(D$12=0,0,D137/D$12)</f>
        <v>0</v>
      </c>
      <c r="G137" s="14"/>
      <c r="H137" s="34">
        <f>SUM(H134:H136)</f>
        <v>2097.78480752</v>
      </c>
      <c r="I137" s="14"/>
      <c r="J137" s="31">
        <f>IF(H$12=0,0,H137/H$12)</f>
        <v>7.8698409645858336E-2</v>
      </c>
      <c r="K137" s="16"/>
      <c r="L137" s="34">
        <f>+D137-H137</f>
        <v>-2753.5948075200004</v>
      </c>
      <c r="M137" s="16"/>
      <c r="N137" s="31">
        <f>IF(H137=0,0,L137/H137)</f>
        <v>-1.3126202447691948</v>
      </c>
      <c r="O137" s="28"/>
      <c r="P137" s="34">
        <f>SUM(P134:P136)</f>
        <v>39193.960000000225</v>
      </c>
      <c r="Q137" s="14"/>
      <c r="R137" s="31">
        <f>IF(P$12=0,0,P137/P$12)</f>
        <v>9.5467089176885012E-2</v>
      </c>
      <c r="S137" s="14"/>
      <c r="T137" s="34">
        <f>SUM(T134:T136)</f>
        <v>101347.70139521803</v>
      </c>
      <c r="U137" s="14"/>
      <c r="V137" s="31">
        <f>IF(T$12=0,0,T137/T$12)</f>
        <v>0.19152128494179213</v>
      </c>
      <c r="W137" s="16"/>
      <c r="X137" s="34">
        <f>+P137-T137</f>
        <v>-62153.741395217803</v>
      </c>
      <c r="Y137" s="16"/>
      <c r="Z137" s="31">
        <f>IF(T137=0,0,X137/T137)</f>
        <v>-0.61327233414837423</v>
      </c>
    </row>
    <row r="138" spans="1:26" ht="15.75" thickTop="1" x14ac:dyDescent="0.25">
      <c r="A138" s="9"/>
      <c r="C138" s="9"/>
      <c r="D138" s="18"/>
      <c r="E138" s="18"/>
      <c r="G138" s="18"/>
      <c r="H138" s="18"/>
      <c r="I138" s="18"/>
      <c r="J138" s="42"/>
      <c r="K138" s="18"/>
      <c r="L138" s="18"/>
      <c r="M138" s="18"/>
      <c r="P138" s="18"/>
      <c r="Q138" s="18"/>
      <c r="R138" s="42"/>
      <c r="S138" s="18"/>
      <c r="T138" s="18"/>
      <c r="U138" s="18"/>
      <c r="V138" s="42"/>
      <c r="W138" s="18"/>
      <c r="X138" s="18"/>
    </row>
    <row r="139" spans="1:26" x14ac:dyDescent="0.25">
      <c r="A139" s="9"/>
      <c r="B139" s="59">
        <v>43992.371519097222</v>
      </c>
      <c r="D139" s="18"/>
      <c r="E139" s="18"/>
      <c r="G139" s="18"/>
      <c r="H139" s="18"/>
      <c r="I139" s="18"/>
      <c r="J139" s="42"/>
      <c r="K139" s="18"/>
      <c r="L139" s="18"/>
      <c r="M139" s="18"/>
      <c r="P139" s="18"/>
      <c r="Q139" s="18"/>
      <c r="R139" s="42"/>
      <c r="S139" s="18"/>
      <c r="T139" s="18"/>
      <c r="U139" s="18"/>
      <c r="V139" s="42"/>
      <c r="W139" s="18"/>
      <c r="X139" s="18"/>
    </row>
    <row r="140" spans="1:26" x14ac:dyDescent="0.25">
      <c r="A140" s="9"/>
      <c r="B140" s="56" t="s">
        <v>314</v>
      </c>
      <c r="D140" s="18"/>
      <c r="E140" s="18"/>
      <c r="G140" s="18"/>
      <c r="H140" s="18"/>
      <c r="I140" s="18"/>
      <c r="J140" s="42"/>
      <c r="K140" s="18"/>
      <c r="L140" s="18"/>
      <c r="M140" s="18"/>
      <c r="P140" s="18"/>
      <c r="Q140" s="18"/>
      <c r="R140" s="42"/>
      <c r="S140" s="18"/>
      <c r="T140" s="18"/>
      <c r="U140" s="18"/>
      <c r="V140" s="42"/>
      <c r="W140" s="18"/>
      <c r="X140" s="18"/>
    </row>
    <row r="141" spans="1:26" x14ac:dyDescent="0.25">
      <c r="A141" s="9"/>
      <c r="B141" s="54"/>
      <c r="D141" s="18"/>
      <c r="E141" s="18"/>
      <c r="G141" s="18"/>
      <c r="H141" s="18"/>
      <c r="I141" s="18"/>
      <c r="J141" s="42"/>
      <c r="K141" s="18"/>
      <c r="L141" s="18"/>
      <c r="M141" s="18"/>
      <c r="P141" s="18"/>
      <c r="Q141" s="18"/>
      <c r="R141" s="42"/>
      <c r="S141" s="18"/>
      <c r="T141" s="18"/>
      <c r="U141" s="18"/>
      <c r="V141" s="42"/>
      <c r="W141" s="18"/>
      <c r="X141" s="18"/>
    </row>
    <row r="142" spans="1:26" x14ac:dyDescent="0.25">
      <c r="D142" s="18"/>
      <c r="E142" s="18"/>
      <c r="G142" s="18"/>
      <c r="H142" s="18"/>
      <c r="I142" s="18"/>
      <c r="J142" s="42"/>
      <c r="K142" s="18"/>
      <c r="L142" s="18"/>
      <c r="M142" s="18"/>
      <c r="P142" s="18"/>
      <c r="Q142" s="18"/>
      <c r="R142" s="42"/>
      <c r="S142" s="18"/>
      <c r="T142" s="18"/>
      <c r="U142" s="18"/>
      <c r="V142" s="42"/>
      <c r="W142" s="18"/>
      <c r="X142" s="18"/>
    </row>
  </sheetData>
  <pageMargins left="0.25" right="0.25" top="0.75" bottom="0.75" header="0.3" footer="0.3"/>
  <pageSetup scale="55" fitToWidth="2" orientation="landscape"/>
  <drawing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114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63" t="s">
        <v>13</v>
      </c>
    </row>
    <row r="3" spans="1:26" x14ac:dyDescent="0.25">
      <c r="D3" s="63" t="s">
        <v>296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61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63" t="str">
        <f>CONCATENATE("Period ",RIGHT(202011,2),", ",2020)</f>
        <v>Period 11, 2020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61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4">
        <v>43981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61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51"/>
      <c r="C6" s="51"/>
      <c r="D6" s="23" t="str">
        <f>CONCATENATE("Department ","314", " - ", "Tech/Supplies")</f>
        <v>Department 314 - Tech/Supplies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57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5" t="s">
        <v>294</v>
      </c>
      <c r="E9" s="15"/>
      <c r="F9" s="38"/>
      <c r="G9" s="15"/>
      <c r="H9" s="15"/>
      <c r="I9" s="15"/>
      <c r="J9" s="46"/>
      <c r="K9" s="15"/>
      <c r="L9" s="15"/>
      <c r="M9" s="15"/>
      <c r="N9" s="38"/>
      <c r="P9" s="15" t="s">
        <v>295</v>
      </c>
      <c r="Q9" s="15"/>
      <c r="R9" s="38"/>
      <c r="S9" s="15"/>
      <c r="T9" s="15"/>
      <c r="U9" s="15"/>
      <c r="V9" s="46"/>
      <c r="W9" s="15"/>
      <c r="X9" s="15"/>
      <c r="Y9" s="15"/>
      <c r="Z9" s="38"/>
    </row>
    <row r="10" spans="1:26" x14ac:dyDescent="0.25">
      <c r="A10" s="10"/>
      <c r="B10" s="55"/>
      <c r="C10" s="10"/>
      <c r="D10" s="43" t="s">
        <v>10</v>
      </c>
      <c r="E10" s="33"/>
      <c r="F10" s="40" t="s">
        <v>15</v>
      </c>
      <c r="G10" s="33"/>
      <c r="H10" s="47" t="s">
        <v>11</v>
      </c>
      <c r="I10" s="33"/>
      <c r="J10" s="45" t="s">
        <v>16</v>
      </c>
      <c r="K10" s="10"/>
      <c r="L10" s="43" t="s">
        <v>12</v>
      </c>
      <c r="M10" s="10"/>
      <c r="N10" s="40" t="s">
        <v>17</v>
      </c>
      <c r="O10" s="10"/>
      <c r="P10" s="53" t="s">
        <v>10</v>
      </c>
      <c r="Q10" s="33"/>
      <c r="R10" s="40" t="s">
        <v>15</v>
      </c>
      <c r="S10" s="33"/>
      <c r="T10" s="47" t="s">
        <v>11</v>
      </c>
      <c r="U10" s="33"/>
      <c r="V10" s="45" t="s">
        <v>16</v>
      </c>
      <c r="W10" s="10"/>
      <c r="X10" s="43" t="s">
        <v>12</v>
      </c>
      <c r="Y10" s="10"/>
      <c r="Z10" s="40" t="s">
        <v>17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6982.2300000000014</v>
      </c>
      <c r="E12" s="4"/>
      <c r="F12" s="13"/>
      <c r="G12" s="4"/>
      <c r="H12" s="4">
        <f>SUM(OSRRefH13x_0)</f>
        <v>39557</v>
      </c>
      <c r="I12" s="4"/>
      <c r="J12" s="13"/>
      <c r="K12" s="4"/>
      <c r="L12" s="4">
        <f t="shared" ref="L12:L34" si="0">+D12-H12</f>
        <v>-32574.769999999997</v>
      </c>
      <c r="M12" s="4"/>
      <c r="N12" s="13">
        <f t="shared" ref="N12:N34" si="1">IF(H12=0,0,L12/H12)</f>
        <v>-0.82348939505018071</v>
      </c>
      <c r="O12" s="10"/>
      <c r="P12" s="4">
        <f>SUM(OSRRefP13x_0)</f>
        <v>411132.75000000006</v>
      </c>
      <c r="Q12" s="4"/>
      <c r="R12" s="13"/>
      <c r="S12" s="4"/>
      <c r="T12" s="4">
        <f>SUM(OSRRefT13x_0)</f>
        <v>513639.00000000006</v>
      </c>
      <c r="U12" s="4"/>
      <c r="V12" s="13"/>
      <c r="W12" s="4"/>
      <c r="X12" s="4">
        <f t="shared" ref="X12:X34" si="2">+P12-T12</f>
        <v>-102506.25</v>
      </c>
      <c r="Y12" s="4"/>
      <c r="Z12" s="13">
        <f t="shared" ref="Z12:Z34" si="3">IF(T12=0,0,X12/T12)</f>
        <v>-0.19956866593074121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 t="shared" ref="D13:D15" si="4">0</f>
        <v>0</v>
      </c>
      <c r="E13" s="2"/>
      <c r="F13" s="19"/>
      <c r="G13" s="2"/>
      <c r="H13" s="2">
        <v>36392</v>
      </c>
      <c r="I13" s="2"/>
      <c r="J13" s="19"/>
      <c r="K13" s="2"/>
      <c r="L13" s="2">
        <f t="shared" si="0"/>
        <v>-36392</v>
      </c>
      <c r="M13" s="2"/>
      <c r="N13" s="19">
        <f t="shared" si="1"/>
        <v>-1</v>
      </c>
      <c r="O13" s="11"/>
      <c r="P13" s="2">
        <f>0</f>
        <v>0</v>
      </c>
      <c r="Q13" s="2"/>
      <c r="R13" s="19"/>
      <c r="S13" s="2"/>
      <c r="T13" s="2">
        <v>472538.00000000006</v>
      </c>
      <c r="U13" s="2"/>
      <c r="V13" s="19"/>
      <c r="W13" s="2"/>
      <c r="X13" s="2">
        <f t="shared" si="2"/>
        <v>-472538.00000000006</v>
      </c>
      <c r="Y13" s="2"/>
      <c r="Z13" s="19">
        <f t="shared" si="3"/>
        <v>-1</v>
      </c>
    </row>
    <row r="14" spans="1:26" s="24" customFormat="1" hidden="1" outlineLevel="1" x14ac:dyDescent="0.25">
      <c r="A14" s="44"/>
      <c r="B14" s="11" t="str">
        <f>CONCATENATE("          ", "4017", " - ", "TAXABLE SALES-DORM/HOUSEWARES")</f>
        <v xml:space="preserve">          4017 - TAXABLE SALES-DORM/HOUSEWARES</v>
      </c>
      <c r="C14" s="11"/>
      <c r="D14" s="2">
        <f t="shared" si="4"/>
        <v>0</v>
      </c>
      <c r="E14" s="2"/>
      <c r="F14" s="19"/>
      <c r="G14" s="2"/>
      <c r="H14" s="2"/>
      <c r="I14" s="2"/>
      <c r="J14" s="19"/>
      <c r="K14" s="2"/>
      <c r="L14" s="2">
        <f t="shared" si="0"/>
        <v>0</v>
      </c>
      <c r="M14" s="2"/>
      <c r="N14" s="19">
        <f t="shared" si="1"/>
        <v>0</v>
      </c>
      <c r="O14" s="11"/>
      <c r="P14" s="2">
        <f>--276.15</f>
        <v>276.14999999999998</v>
      </c>
      <c r="Q14" s="2"/>
      <c r="R14" s="19"/>
      <c r="S14" s="2"/>
      <c r="T14" s="2"/>
      <c r="U14" s="2"/>
      <c r="V14" s="19"/>
      <c r="W14" s="2"/>
      <c r="X14" s="2">
        <f t="shared" si="2"/>
        <v>276.14999999999998</v>
      </c>
      <c r="Y14" s="2"/>
      <c r="Z14" s="19">
        <f t="shared" si="3"/>
        <v>0</v>
      </c>
    </row>
    <row r="15" spans="1:26" s="24" customFormat="1" hidden="1" outlineLevel="1" x14ac:dyDescent="0.25">
      <c r="A15" s="44"/>
      <c r="B15" s="11" t="str">
        <f>CONCATENATE("          ", "4019", " - ", "TAXABLE SALES-BOOK RELATED")</f>
        <v xml:space="preserve">          4019 - TAXABLE SALES-BOOK RELATED</v>
      </c>
      <c r="C15" s="11"/>
      <c r="D15" s="2">
        <f t="shared" si="4"/>
        <v>0</v>
      </c>
      <c r="E15" s="2"/>
      <c r="F15" s="19"/>
      <c r="G15" s="2"/>
      <c r="H15" s="2"/>
      <c r="I15" s="2"/>
      <c r="J15" s="19"/>
      <c r="K15" s="2"/>
      <c r="L15" s="2">
        <f t="shared" si="0"/>
        <v>0</v>
      </c>
      <c r="M15" s="2"/>
      <c r="N15" s="19">
        <f t="shared" si="1"/>
        <v>0</v>
      </c>
      <c r="O15" s="11"/>
      <c r="P15" s="2">
        <f>--42.85</f>
        <v>42.85</v>
      </c>
      <c r="Q15" s="2"/>
      <c r="R15" s="19"/>
      <c r="S15" s="2"/>
      <c r="T15" s="2"/>
      <c r="U15" s="2"/>
      <c r="V15" s="19"/>
      <c r="W15" s="2"/>
      <c r="X15" s="2">
        <f t="shared" si="2"/>
        <v>42.85</v>
      </c>
      <c r="Y15" s="2"/>
      <c r="Z15" s="19">
        <f t="shared" si="3"/>
        <v>0</v>
      </c>
    </row>
    <row r="16" spans="1:26" s="24" customFormat="1" hidden="1" outlineLevel="1" x14ac:dyDescent="0.25">
      <c r="A16" s="44"/>
      <c r="B16" s="11" t="str">
        <f>CONCATENATE("          ", "4025", " - ", "TAXABLE SALES-TEST FORMS")</f>
        <v xml:space="preserve">          4025 - TAXABLE SALES-TEST FORMS</v>
      </c>
      <c r="C16" s="11"/>
      <c r="D16" s="2">
        <f>--17.25</f>
        <v>17.25</v>
      </c>
      <c r="E16" s="2"/>
      <c r="F16" s="19"/>
      <c r="G16" s="2"/>
      <c r="H16" s="2"/>
      <c r="I16" s="2"/>
      <c r="J16" s="19"/>
      <c r="K16" s="2"/>
      <c r="L16" s="2">
        <f t="shared" si="0"/>
        <v>17.25</v>
      </c>
      <c r="M16" s="2"/>
      <c r="N16" s="19">
        <f t="shared" si="1"/>
        <v>0</v>
      </c>
      <c r="O16" s="11"/>
      <c r="P16" s="2">
        <f>--52443.55</f>
        <v>52443.55</v>
      </c>
      <c r="Q16" s="2"/>
      <c r="R16" s="19"/>
      <c r="S16" s="2"/>
      <c r="T16" s="2"/>
      <c r="U16" s="2"/>
      <c r="V16" s="19"/>
      <c r="W16" s="2"/>
      <c r="X16" s="2">
        <f t="shared" si="2"/>
        <v>52443.55</v>
      </c>
      <c r="Y16" s="2"/>
      <c r="Z16" s="19">
        <f t="shared" si="3"/>
        <v>0</v>
      </c>
    </row>
    <row r="17" spans="1:26" s="24" customFormat="1" hidden="1" outlineLevel="1" x14ac:dyDescent="0.25">
      <c r="A17" s="44"/>
      <c r="B17" s="11" t="str">
        <f>CONCATENATE("          ", "4026", " - ", "TAXABLE SALES-WRITING INSTRUME")</f>
        <v xml:space="preserve">          4026 - TAXABLE SALES-WRITING INSTRUME</v>
      </c>
      <c r="C17" s="11"/>
      <c r="D17" s="2">
        <f>--859.78</f>
        <v>859.78</v>
      </c>
      <c r="E17" s="2"/>
      <c r="F17" s="19"/>
      <c r="G17" s="2"/>
      <c r="H17" s="2"/>
      <c r="I17" s="2"/>
      <c r="J17" s="19"/>
      <c r="K17" s="2"/>
      <c r="L17" s="2">
        <f t="shared" si="0"/>
        <v>859.78</v>
      </c>
      <c r="M17" s="2"/>
      <c r="N17" s="19">
        <f t="shared" si="1"/>
        <v>0</v>
      </c>
      <c r="O17" s="11"/>
      <c r="P17" s="2">
        <f>--73916.6</f>
        <v>73916.600000000006</v>
      </c>
      <c r="Q17" s="2"/>
      <c r="R17" s="19"/>
      <c r="S17" s="2"/>
      <c r="T17" s="2"/>
      <c r="U17" s="2"/>
      <c r="V17" s="19"/>
      <c r="W17" s="2"/>
      <c r="X17" s="2">
        <f t="shared" si="2"/>
        <v>73916.600000000006</v>
      </c>
      <c r="Y17" s="2"/>
      <c r="Z17" s="19">
        <f t="shared" si="3"/>
        <v>0</v>
      </c>
    </row>
    <row r="18" spans="1:26" s="24" customFormat="1" hidden="1" outlineLevel="1" x14ac:dyDescent="0.25">
      <c r="A18" s="44"/>
      <c r="B18" s="11" t="str">
        <f>CONCATENATE("          ", "4027", " - ", "TAXABLE SALES-SCHOOL SUPPLIES")</f>
        <v xml:space="preserve">          4027 - TAXABLE SALES-SCHOOL SUPPLIES</v>
      </c>
      <c r="C18" s="11"/>
      <c r="D18" s="2">
        <f>--5530.51</f>
        <v>5530.51</v>
      </c>
      <c r="E18" s="2"/>
      <c r="F18" s="19"/>
      <c r="G18" s="2"/>
      <c r="H18" s="2"/>
      <c r="I18" s="2"/>
      <c r="J18" s="19"/>
      <c r="K18" s="2"/>
      <c r="L18" s="2">
        <f t="shared" si="0"/>
        <v>5530.51</v>
      </c>
      <c r="M18" s="2"/>
      <c r="N18" s="19">
        <f t="shared" si="1"/>
        <v>0</v>
      </c>
      <c r="O18" s="11"/>
      <c r="P18" s="2">
        <f>--267384.35</f>
        <v>267384.34999999998</v>
      </c>
      <c r="Q18" s="2"/>
      <c r="R18" s="19"/>
      <c r="S18" s="2"/>
      <c r="T18" s="2"/>
      <c r="U18" s="2"/>
      <c r="V18" s="19"/>
      <c r="W18" s="2"/>
      <c r="X18" s="2">
        <f t="shared" si="2"/>
        <v>267384.34999999998</v>
      </c>
      <c r="Y18" s="2"/>
      <c r="Z18" s="19">
        <f t="shared" si="3"/>
        <v>0</v>
      </c>
    </row>
    <row r="19" spans="1:26" s="24" customFormat="1" hidden="1" outlineLevel="1" x14ac:dyDescent="0.25">
      <c r="A19" s="44"/>
      <c r="B19" s="11" t="str">
        <f>CONCATENATE("          ", "4028", " - ", "TAXABLE SALES-ART/TECH")</f>
        <v xml:space="preserve">          4028 - TAXABLE SALES-ART/TECH</v>
      </c>
      <c r="C19" s="11"/>
      <c r="D19" s="2">
        <f>--425.18</f>
        <v>425.18</v>
      </c>
      <c r="E19" s="2"/>
      <c r="F19" s="19"/>
      <c r="G19" s="2"/>
      <c r="H19" s="2"/>
      <c r="I19" s="2"/>
      <c r="J19" s="19"/>
      <c r="K19" s="2"/>
      <c r="L19" s="2">
        <f t="shared" si="0"/>
        <v>425.18</v>
      </c>
      <c r="M19" s="2"/>
      <c r="N19" s="19">
        <f t="shared" si="1"/>
        <v>0</v>
      </c>
      <c r="O19" s="11"/>
      <c r="P19" s="2">
        <f>--12697.33</f>
        <v>12697.33</v>
      </c>
      <c r="Q19" s="2"/>
      <c r="R19" s="19"/>
      <c r="S19" s="2"/>
      <c r="T19" s="2"/>
      <c r="U19" s="2"/>
      <c r="V19" s="19"/>
      <c r="W19" s="2"/>
      <c r="X19" s="2">
        <f t="shared" si="2"/>
        <v>12697.33</v>
      </c>
      <c r="Y19" s="2"/>
      <c r="Z19" s="19">
        <f t="shared" si="3"/>
        <v>0</v>
      </c>
    </row>
    <row r="20" spans="1:26" s="24" customFormat="1" hidden="1" outlineLevel="1" x14ac:dyDescent="0.25">
      <c r="A20" s="44"/>
      <c r="B20" s="11" t="str">
        <f>CONCATENATE("          ", "4035", " - ", "TAXABLE SALES-HEALTH &amp; BEAUTY")</f>
        <v xml:space="preserve">          4035 - TAXABLE SALES-HEALTH &amp; BEAUTY</v>
      </c>
      <c r="C20" s="11"/>
      <c r="D20" s="2">
        <f t="shared" ref="D20:D22" si="5">0</f>
        <v>0</v>
      </c>
      <c r="E20" s="2"/>
      <c r="F20" s="19"/>
      <c r="G20" s="2"/>
      <c r="H20" s="2"/>
      <c r="I20" s="2"/>
      <c r="J20" s="19"/>
      <c r="K20" s="2"/>
      <c r="L20" s="2">
        <f t="shared" si="0"/>
        <v>0</v>
      </c>
      <c r="M20" s="2"/>
      <c r="N20" s="19">
        <f t="shared" si="1"/>
        <v>0</v>
      </c>
      <c r="O20" s="11"/>
      <c r="P20" s="2">
        <f>--20.15</f>
        <v>20.149999999999999</v>
      </c>
      <c r="Q20" s="2"/>
      <c r="R20" s="19"/>
      <c r="S20" s="2"/>
      <c r="T20" s="2"/>
      <c r="U20" s="2"/>
      <c r="V20" s="19"/>
      <c r="W20" s="2"/>
      <c r="X20" s="2">
        <f t="shared" si="2"/>
        <v>20.149999999999999</v>
      </c>
      <c r="Y20" s="2"/>
      <c r="Z20" s="19">
        <f t="shared" si="3"/>
        <v>0</v>
      </c>
    </row>
    <row r="21" spans="1:26" s="24" customFormat="1" hidden="1" outlineLevel="1" x14ac:dyDescent="0.25">
      <c r="A21" s="44"/>
      <c r="B21" s="11" t="str">
        <f>CONCATENATE("          ", "4100", " - ", "NON-TAXABLE SALES")</f>
        <v xml:space="preserve">          4100 - NON-TAXABLE SALES</v>
      </c>
      <c r="C21" s="11"/>
      <c r="D21" s="2">
        <f t="shared" si="5"/>
        <v>0</v>
      </c>
      <c r="E21" s="2"/>
      <c r="F21" s="19"/>
      <c r="G21" s="2"/>
      <c r="H21" s="2">
        <v>3165</v>
      </c>
      <c r="I21" s="2"/>
      <c r="J21" s="19"/>
      <c r="K21" s="2"/>
      <c r="L21" s="2">
        <f t="shared" si="0"/>
        <v>-3165</v>
      </c>
      <c r="M21" s="2"/>
      <c r="N21" s="19">
        <f t="shared" si="1"/>
        <v>-1</v>
      </c>
      <c r="O21" s="11"/>
      <c r="P21" s="2">
        <f>0</f>
        <v>0</v>
      </c>
      <c r="Q21" s="2"/>
      <c r="R21" s="19"/>
      <c r="S21" s="2"/>
      <c r="T21" s="2">
        <v>41101</v>
      </c>
      <c r="U21" s="2"/>
      <c r="V21" s="19"/>
      <c r="W21" s="2"/>
      <c r="X21" s="2">
        <f t="shared" si="2"/>
        <v>-41101</v>
      </c>
      <c r="Y21" s="2"/>
      <c r="Z21" s="19">
        <f t="shared" si="3"/>
        <v>-1</v>
      </c>
    </row>
    <row r="22" spans="1:26" s="24" customFormat="1" hidden="1" outlineLevel="1" x14ac:dyDescent="0.25">
      <c r="A22" s="44"/>
      <c r="B22" s="11" t="str">
        <f>CONCATENATE("          ", "4125", " - ", "NON-TAXABLE SALES-TEST FORMS")</f>
        <v xml:space="preserve">          4125 - NON-TAXABLE SALES-TEST FORMS</v>
      </c>
      <c r="C22" s="11"/>
      <c r="D22" s="2">
        <f t="shared" si="5"/>
        <v>0</v>
      </c>
      <c r="E22" s="2"/>
      <c r="F22" s="19"/>
      <c r="G22" s="2"/>
      <c r="H22" s="2"/>
      <c r="I22" s="2"/>
      <c r="J22" s="19"/>
      <c r="K22" s="2"/>
      <c r="L22" s="2">
        <f t="shared" si="0"/>
        <v>0</v>
      </c>
      <c r="M22" s="2"/>
      <c r="N22" s="19">
        <f t="shared" si="1"/>
        <v>0</v>
      </c>
      <c r="O22" s="11"/>
      <c r="P22" s="2">
        <f>--267.61</f>
        <v>267.61</v>
      </c>
      <c r="Q22" s="2"/>
      <c r="R22" s="19"/>
      <c r="S22" s="2"/>
      <c r="T22" s="2"/>
      <c r="U22" s="2"/>
      <c r="V22" s="19"/>
      <c r="W22" s="2"/>
      <c r="X22" s="2">
        <f t="shared" si="2"/>
        <v>267.61</v>
      </c>
      <c r="Y22" s="2"/>
      <c r="Z22" s="19">
        <f t="shared" si="3"/>
        <v>0</v>
      </c>
    </row>
    <row r="23" spans="1:26" s="24" customFormat="1" hidden="1" outlineLevel="1" x14ac:dyDescent="0.25">
      <c r="A23" s="44"/>
      <c r="B23" s="11" t="str">
        <f>CONCATENATE("          ", "4126", " - ", "NON-TAXABLE SALES-WRITING INST")</f>
        <v xml:space="preserve">          4126 - NON-TAXABLE SALES-WRITING INST</v>
      </c>
      <c r="C23" s="11"/>
      <c r="D23" s="2">
        <f>--110.56</f>
        <v>110.56</v>
      </c>
      <c r="E23" s="2"/>
      <c r="F23" s="19"/>
      <c r="G23" s="2"/>
      <c r="H23" s="2"/>
      <c r="I23" s="2"/>
      <c r="J23" s="19"/>
      <c r="K23" s="2"/>
      <c r="L23" s="2">
        <f t="shared" si="0"/>
        <v>110.56</v>
      </c>
      <c r="M23" s="2"/>
      <c r="N23" s="19">
        <f t="shared" si="1"/>
        <v>0</v>
      </c>
      <c r="O23" s="11"/>
      <c r="P23" s="2">
        <f>--3130.93</f>
        <v>3130.93</v>
      </c>
      <c r="Q23" s="2"/>
      <c r="R23" s="19"/>
      <c r="S23" s="2"/>
      <c r="T23" s="2"/>
      <c r="U23" s="2"/>
      <c r="V23" s="19"/>
      <c r="W23" s="2"/>
      <c r="X23" s="2">
        <f t="shared" si="2"/>
        <v>3130.93</v>
      </c>
      <c r="Y23" s="2"/>
      <c r="Z23" s="19">
        <f t="shared" si="3"/>
        <v>0</v>
      </c>
    </row>
    <row r="24" spans="1:26" s="24" customFormat="1" hidden="1" outlineLevel="1" x14ac:dyDescent="0.25">
      <c r="A24" s="44"/>
      <c r="B24" s="11" t="str">
        <f>CONCATENATE("          ", "4127", " - ", "NON-TAXABLE SALES-SCHOOL SUPPL")</f>
        <v xml:space="preserve">          4127 - NON-TAXABLE SALES-SCHOOL SUPPL</v>
      </c>
      <c r="C24" s="11"/>
      <c r="D24" s="2">
        <f>--226.84</f>
        <v>226.84</v>
      </c>
      <c r="E24" s="2"/>
      <c r="F24" s="19"/>
      <c r="G24" s="2"/>
      <c r="H24" s="2"/>
      <c r="I24" s="2"/>
      <c r="J24" s="19"/>
      <c r="K24" s="2"/>
      <c r="L24" s="2">
        <f t="shared" si="0"/>
        <v>226.84</v>
      </c>
      <c r="M24" s="2"/>
      <c r="N24" s="19">
        <f t="shared" si="1"/>
        <v>0</v>
      </c>
      <c r="O24" s="11"/>
      <c r="P24" s="2">
        <f>--6357.26</f>
        <v>6357.26</v>
      </c>
      <c r="Q24" s="2"/>
      <c r="R24" s="19"/>
      <c r="S24" s="2"/>
      <c r="T24" s="2"/>
      <c r="U24" s="2"/>
      <c r="V24" s="19"/>
      <c r="W24" s="2"/>
      <c r="X24" s="2">
        <f t="shared" si="2"/>
        <v>6357.26</v>
      </c>
      <c r="Y24" s="2"/>
      <c r="Z24" s="19">
        <f t="shared" si="3"/>
        <v>0</v>
      </c>
    </row>
    <row r="25" spans="1:26" s="24" customFormat="1" hidden="1" outlineLevel="1" x14ac:dyDescent="0.25">
      <c r="A25" s="44"/>
      <c r="B25" s="11" t="str">
        <f>CONCATENATE("          ", "4128", " - ", "NON-TAXABLE SALES-ART/TECH")</f>
        <v xml:space="preserve">          4128 - NON-TAXABLE SALES-ART/TECH</v>
      </c>
      <c r="C25" s="11"/>
      <c r="D25" s="2">
        <f>0</f>
        <v>0</v>
      </c>
      <c r="E25" s="2"/>
      <c r="F25" s="19"/>
      <c r="G25" s="2"/>
      <c r="H25" s="2"/>
      <c r="I25" s="2"/>
      <c r="J25" s="19"/>
      <c r="K25" s="2"/>
      <c r="L25" s="2">
        <f t="shared" si="0"/>
        <v>0</v>
      </c>
      <c r="M25" s="2"/>
      <c r="N25" s="19">
        <f t="shared" si="1"/>
        <v>0</v>
      </c>
      <c r="O25" s="11"/>
      <c r="P25" s="2">
        <f>--488.53</f>
        <v>488.53</v>
      </c>
      <c r="Q25" s="2"/>
      <c r="R25" s="19"/>
      <c r="S25" s="2"/>
      <c r="T25" s="2"/>
      <c r="U25" s="2"/>
      <c r="V25" s="19"/>
      <c r="W25" s="2"/>
      <c r="X25" s="2">
        <f t="shared" si="2"/>
        <v>488.53</v>
      </c>
      <c r="Y25" s="2"/>
      <c r="Z25" s="19">
        <f t="shared" si="3"/>
        <v>0</v>
      </c>
    </row>
    <row r="26" spans="1:26" s="24" customFormat="1" hidden="1" outlineLevel="1" x14ac:dyDescent="0.25">
      <c r="A26" s="44"/>
      <c r="B26" s="11" t="str">
        <f>CONCATENATE("          ", "4131", " - ", "NON-TAXABLE SALES-FOOD")</f>
        <v xml:space="preserve">          4131 - NON-TAXABLE SALES-FOOD</v>
      </c>
      <c r="C26" s="11"/>
      <c r="D26" s="2">
        <f>--6.16</f>
        <v>6.16</v>
      </c>
      <c r="E26" s="2"/>
      <c r="F26" s="19"/>
      <c r="G26" s="2"/>
      <c r="H26" s="2"/>
      <c r="I26" s="2"/>
      <c r="J26" s="19"/>
      <c r="K26" s="2"/>
      <c r="L26" s="2">
        <f t="shared" si="0"/>
        <v>6.16</v>
      </c>
      <c r="M26" s="2"/>
      <c r="N26" s="19">
        <f t="shared" si="1"/>
        <v>0</v>
      </c>
      <c r="O26" s="11"/>
      <c r="P26" s="2">
        <f>--1583.56</f>
        <v>1583.56</v>
      </c>
      <c r="Q26" s="2"/>
      <c r="R26" s="19"/>
      <c r="S26" s="2"/>
      <c r="T26" s="2"/>
      <c r="U26" s="2"/>
      <c r="V26" s="19"/>
      <c r="W26" s="2"/>
      <c r="X26" s="2">
        <f t="shared" si="2"/>
        <v>1583.56</v>
      </c>
      <c r="Y26" s="2"/>
      <c r="Z26" s="19">
        <f t="shared" si="3"/>
        <v>0</v>
      </c>
    </row>
    <row r="27" spans="1:26" s="24" customFormat="1" hidden="1" outlineLevel="1" x14ac:dyDescent="0.25">
      <c r="A27" s="44"/>
      <c r="B27" s="11" t="str">
        <f>CONCATENATE("          ", "4133", " - ", "NON-TAXABLE SALES-CANDY")</f>
        <v xml:space="preserve">          4133 - NON-TAXABLE SALES-CANDY</v>
      </c>
      <c r="C27" s="11"/>
      <c r="D27" s="2">
        <f>--48.27</f>
        <v>48.27</v>
      </c>
      <c r="E27" s="2"/>
      <c r="F27" s="19"/>
      <c r="G27" s="2"/>
      <c r="H27" s="2"/>
      <c r="I27" s="2"/>
      <c r="J27" s="19"/>
      <c r="K27" s="2"/>
      <c r="L27" s="2">
        <f t="shared" si="0"/>
        <v>48.27</v>
      </c>
      <c r="M27" s="2"/>
      <c r="N27" s="19">
        <f t="shared" si="1"/>
        <v>0</v>
      </c>
      <c r="O27" s="11"/>
      <c r="P27" s="2">
        <f>--2312.89</f>
        <v>2312.89</v>
      </c>
      <c r="Q27" s="2"/>
      <c r="R27" s="19"/>
      <c r="S27" s="2"/>
      <c r="T27" s="2"/>
      <c r="U27" s="2"/>
      <c r="V27" s="19"/>
      <c r="W27" s="2"/>
      <c r="X27" s="2">
        <f t="shared" si="2"/>
        <v>2312.89</v>
      </c>
      <c r="Y27" s="2"/>
      <c r="Z27" s="19">
        <f t="shared" si="3"/>
        <v>0</v>
      </c>
    </row>
    <row r="28" spans="1:26" s="24" customFormat="1" hidden="1" outlineLevel="1" x14ac:dyDescent="0.25">
      <c r="A28" s="44"/>
      <c r="B28" s="11" t="str">
        <f>CONCATENATE("          ", "4135", " - ", "NON-TAXABLE SALES")</f>
        <v xml:space="preserve">          4135 - NON-TAXABLE SALES</v>
      </c>
      <c r="C28" s="11"/>
      <c r="D28" s="2">
        <f t="shared" ref="D28:D29" si="6">0</f>
        <v>0</v>
      </c>
      <c r="E28" s="2"/>
      <c r="F28" s="19"/>
      <c r="G28" s="2"/>
      <c r="H28" s="2"/>
      <c r="I28" s="2"/>
      <c r="J28" s="19"/>
      <c r="K28" s="2"/>
      <c r="L28" s="2">
        <f t="shared" si="0"/>
        <v>0</v>
      </c>
      <c r="M28" s="2"/>
      <c r="N28" s="19">
        <f t="shared" si="1"/>
        <v>0</v>
      </c>
      <c r="O28" s="11"/>
      <c r="P28" s="2">
        <f>--50.16</f>
        <v>50.16</v>
      </c>
      <c r="Q28" s="2"/>
      <c r="R28" s="19"/>
      <c r="S28" s="2"/>
      <c r="T28" s="2"/>
      <c r="U28" s="2"/>
      <c r="V28" s="19"/>
      <c r="W28" s="2"/>
      <c r="X28" s="2">
        <f t="shared" si="2"/>
        <v>50.16</v>
      </c>
      <c r="Y28" s="2"/>
      <c r="Z28" s="19">
        <f t="shared" si="3"/>
        <v>0</v>
      </c>
    </row>
    <row r="29" spans="1:26" s="24" customFormat="1" hidden="1" outlineLevel="1" x14ac:dyDescent="0.25">
      <c r="A29" s="44"/>
      <c r="B29" s="11" t="str">
        <f>CONCATENATE("          ", "4217", " - ", "NON-TAXABLE SALES-DORM/HOUSEWA")</f>
        <v xml:space="preserve">          4217 - NON-TAXABLE SALES-DORM/HOUSEWA</v>
      </c>
      <c r="C29" s="11"/>
      <c r="D29" s="2">
        <f t="shared" si="6"/>
        <v>0</v>
      </c>
      <c r="E29" s="2"/>
      <c r="F29" s="19"/>
      <c r="G29" s="2"/>
      <c r="H29" s="2"/>
      <c r="I29" s="2"/>
      <c r="J29" s="19"/>
      <c r="K29" s="2"/>
      <c r="L29" s="2">
        <f t="shared" si="0"/>
        <v>0</v>
      </c>
      <c r="M29" s="2"/>
      <c r="N29" s="19">
        <f t="shared" si="1"/>
        <v>0</v>
      </c>
      <c r="O29" s="11"/>
      <c r="P29" s="2">
        <f>-2.98</f>
        <v>-2.98</v>
      </c>
      <c r="Q29" s="2"/>
      <c r="R29" s="19"/>
      <c r="S29" s="2"/>
      <c r="T29" s="2"/>
      <c r="U29" s="2"/>
      <c r="V29" s="19"/>
      <c r="W29" s="2"/>
      <c r="X29" s="2">
        <f t="shared" si="2"/>
        <v>-2.98</v>
      </c>
      <c r="Y29" s="2"/>
      <c r="Z29" s="19">
        <f t="shared" si="3"/>
        <v>0</v>
      </c>
    </row>
    <row r="30" spans="1:26" s="24" customFormat="1" hidden="1" outlineLevel="1" x14ac:dyDescent="0.25">
      <c r="A30" s="44"/>
      <c r="B30" s="11" t="str">
        <f>CONCATENATE("          ", "4225", " - ", "SALES RETURN TAXABLE-TEST FORM")</f>
        <v xml:space="preserve">          4225 - SALES RETURN TAXABLE-TEST FORM</v>
      </c>
      <c r="C30" s="11"/>
      <c r="D30" s="2">
        <f>-29.5</f>
        <v>-29.5</v>
      </c>
      <c r="E30" s="2"/>
      <c r="F30" s="19"/>
      <c r="G30" s="2"/>
      <c r="H30" s="2"/>
      <c r="I30" s="2"/>
      <c r="J30" s="19"/>
      <c r="K30" s="2"/>
      <c r="L30" s="2">
        <f t="shared" si="0"/>
        <v>-29.5</v>
      </c>
      <c r="M30" s="2"/>
      <c r="N30" s="19">
        <f t="shared" si="1"/>
        <v>0</v>
      </c>
      <c r="O30" s="11"/>
      <c r="P30" s="2">
        <f>-170.78</f>
        <v>-170.78</v>
      </c>
      <c r="Q30" s="2"/>
      <c r="R30" s="19"/>
      <c r="S30" s="2"/>
      <c r="T30" s="2"/>
      <c r="U30" s="2"/>
      <c r="V30" s="19"/>
      <c r="W30" s="2"/>
      <c r="X30" s="2">
        <f t="shared" si="2"/>
        <v>-170.78</v>
      </c>
      <c r="Y30" s="2"/>
      <c r="Z30" s="19">
        <f t="shared" si="3"/>
        <v>0</v>
      </c>
    </row>
    <row r="31" spans="1:26" s="24" customFormat="1" hidden="1" outlineLevel="1" x14ac:dyDescent="0.25">
      <c r="A31" s="44"/>
      <c r="B31" s="11" t="str">
        <f>CONCATENATE("          ", "4226", " - ", "SALES RETURN TAXABLE-WRITING I")</f>
        <v xml:space="preserve">          4226 - SALES RETURN TAXABLE-WRITING I</v>
      </c>
      <c r="C31" s="11"/>
      <c r="D31" s="2">
        <f>-159.4</f>
        <v>-159.4</v>
      </c>
      <c r="E31" s="2"/>
      <c r="F31" s="19"/>
      <c r="G31" s="2"/>
      <c r="H31" s="2"/>
      <c r="I31" s="2"/>
      <c r="J31" s="19"/>
      <c r="K31" s="2"/>
      <c r="L31" s="2">
        <f t="shared" si="0"/>
        <v>-159.4</v>
      </c>
      <c r="M31" s="2"/>
      <c r="N31" s="19">
        <f t="shared" si="1"/>
        <v>0</v>
      </c>
      <c r="O31" s="11"/>
      <c r="P31" s="2">
        <f>-778.59</f>
        <v>-778.59</v>
      </c>
      <c r="Q31" s="2"/>
      <c r="R31" s="19"/>
      <c r="S31" s="2"/>
      <c r="T31" s="2"/>
      <c r="U31" s="2"/>
      <c r="V31" s="19"/>
      <c r="W31" s="2"/>
      <c r="X31" s="2">
        <f t="shared" si="2"/>
        <v>-778.59</v>
      </c>
      <c r="Y31" s="2"/>
      <c r="Z31" s="19">
        <f t="shared" si="3"/>
        <v>0</v>
      </c>
    </row>
    <row r="32" spans="1:26" s="24" customFormat="1" hidden="1" outlineLevel="1" x14ac:dyDescent="0.25">
      <c r="A32" s="44"/>
      <c r="B32" s="11" t="str">
        <f>CONCATENATE("          ", "4227", " - ", "SALES RETURN TAXABLE-SCHOOL SU")</f>
        <v xml:space="preserve">          4227 - SALES RETURN TAXABLE-SCHOOL SU</v>
      </c>
      <c r="C32" s="11"/>
      <c r="D32" s="2">
        <f>-53.42</f>
        <v>-53.42</v>
      </c>
      <c r="E32" s="2"/>
      <c r="F32" s="19"/>
      <c r="G32" s="2"/>
      <c r="H32" s="2"/>
      <c r="I32" s="2"/>
      <c r="J32" s="19"/>
      <c r="K32" s="2"/>
      <c r="L32" s="2">
        <f t="shared" si="0"/>
        <v>-53.42</v>
      </c>
      <c r="M32" s="2"/>
      <c r="N32" s="19">
        <f t="shared" si="1"/>
        <v>0</v>
      </c>
      <c r="O32" s="11"/>
      <c r="P32" s="2">
        <f>-8604.97</f>
        <v>-8604.9699999999993</v>
      </c>
      <c r="Q32" s="2"/>
      <c r="R32" s="19"/>
      <c r="S32" s="2"/>
      <c r="T32" s="2"/>
      <c r="U32" s="2"/>
      <c r="V32" s="19"/>
      <c r="W32" s="2"/>
      <c r="X32" s="2">
        <f t="shared" si="2"/>
        <v>-8604.9699999999993</v>
      </c>
      <c r="Y32" s="2"/>
      <c r="Z32" s="19">
        <f t="shared" si="3"/>
        <v>0</v>
      </c>
    </row>
    <row r="33" spans="1:26" s="24" customFormat="1" hidden="1" outlineLevel="1" x14ac:dyDescent="0.25">
      <c r="A33" s="44"/>
      <c r="B33" s="11" t="str">
        <f>CONCATENATE("          ", "4228", " - ", "SALES RETURN TAXABLE-ART/TECH")</f>
        <v xml:space="preserve">          4228 - SALES RETURN TAXABLE-ART/TECH</v>
      </c>
      <c r="C33" s="11"/>
      <c r="D33" s="2">
        <f t="shared" ref="D33:D34" si="7">0</f>
        <v>0</v>
      </c>
      <c r="E33" s="2"/>
      <c r="F33" s="19"/>
      <c r="G33" s="2"/>
      <c r="H33" s="2"/>
      <c r="I33" s="2"/>
      <c r="J33" s="19"/>
      <c r="K33" s="2"/>
      <c r="L33" s="2">
        <f t="shared" si="0"/>
        <v>0</v>
      </c>
      <c r="M33" s="2"/>
      <c r="N33" s="19">
        <f t="shared" si="1"/>
        <v>0</v>
      </c>
      <c r="O33" s="11"/>
      <c r="P33" s="2">
        <f>-259.98</f>
        <v>-259.98</v>
      </c>
      <c r="Q33" s="2"/>
      <c r="R33" s="19"/>
      <c r="S33" s="2"/>
      <c r="T33" s="2"/>
      <c r="U33" s="2"/>
      <c r="V33" s="19"/>
      <c r="W33" s="2"/>
      <c r="X33" s="2">
        <f t="shared" si="2"/>
        <v>-259.98</v>
      </c>
      <c r="Y33" s="2"/>
      <c r="Z33" s="19">
        <f t="shared" si="3"/>
        <v>0</v>
      </c>
    </row>
    <row r="34" spans="1:26" s="24" customFormat="1" hidden="1" outlineLevel="1" x14ac:dyDescent="0.25">
      <c r="A34" s="44"/>
      <c r="B34" s="11" t="str">
        <f>CONCATENATE("          ", "4327", " - ", "SALES RETURN NON TAXABLE-SCHOO")</f>
        <v xml:space="preserve">          4327 - SALES RETURN NON TAXABLE-SCHOO</v>
      </c>
      <c r="C34" s="11"/>
      <c r="D34" s="2">
        <f t="shared" si="7"/>
        <v>0</v>
      </c>
      <c r="E34" s="2"/>
      <c r="F34" s="19"/>
      <c r="G34" s="2"/>
      <c r="H34" s="2"/>
      <c r="I34" s="2"/>
      <c r="J34" s="19"/>
      <c r="K34" s="2"/>
      <c r="L34" s="2">
        <f t="shared" si="0"/>
        <v>0</v>
      </c>
      <c r="M34" s="2"/>
      <c r="N34" s="19">
        <f t="shared" si="1"/>
        <v>0</v>
      </c>
      <c r="O34" s="11"/>
      <c r="P34" s="2">
        <f>-21.87</f>
        <v>-21.87</v>
      </c>
      <c r="Q34" s="2"/>
      <c r="R34" s="19"/>
      <c r="S34" s="2"/>
      <c r="T34" s="2"/>
      <c r="U34" s="2"/>
      <c r="V34" s="19"/>
      <c r="W34" s="2"/>
      <c r="X34" s="2">
        <f t="shared" si="2"/>
        <v>-21.87</v>
      </c>
      <c r="Y34" s="2"/>
      <c r="Z34" s="19">
        <f t="shared" si="3"/>
        <v>0</v>
      </c>
    </row>
    <row r="35" spans="1:26" x14ac:dyDescent="0.25">
      <c r="A35" s="9"/>
      <c r="B35" s="10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collapsed="1" x14ac:dyDescent="0.25">
      <c r="A36" s="10"/>
      <c r="B36" s="28" t="s">
        <v>8</v>
      </c>
      <c r="C36" s="10"/>
      <c r="D36" s="4">
        <f>SUM(OSRRefD16x_0)</f>
        <v>6103.1799999999994</v>
      </c>
      <c r="E36" s="4"/>
      <c r="F36" s="13">
        <f t="shared" ref="F36:F52" si="8">IF(D$12=0,0,D36/D$12)</f>
        <v>0.87410182706671047</v>
      </c>
      <c r="G36" s="4"/>
      <c r="H36" s="4">
        <f>SUM(OSRRefH16x_0)</f>
        <v>20174</v>
      </c>
      <c r="I36" s="4"/>
      <c r="J36" s="13">
        <f t="shared" ref="J36:J52" si="9">IF(H$12=0,0,H36/H$12)</f>
        <v>0.50999823040169878</v>
      </c>
      <c r="K36" s="4"/>
      <c r="L36" s="4">
        <f t="shared" ref="L36:L52" si="10">+D36-H36</f>
        <v>-14070.82</v>
      </c>
      <c r="M36" s="4"/>
      <c r="N36" s="13">
        <f t="shared" ref="N36:N52" si="11">IF(H36=0,0,L36/H36)</f>
        <v>-0.69747298503023691</v>
      </c>
      <c r="O36" s="10"/>
      <c r="P36" s="4">
        <f>SUM(OSRRefP16x_0)</f>
        <v>198323.69</v>
      </c>
      <c r="Q36" s="4"/>
      <c r="R36" s="13">
        <f t="shared" ref="R36:R52" si="12">IF(P$12=0,0,P36/P$12)</f>
        <v>0.48238358535047371</v>
      </c>
      <c r="S36" s="4"/>
      <c r="T36" s="4">
        <f>SUM(OSRRefT16x_0)</f>
        <v>262003.99999999997</v>
      </c>
      <c r="U36" s="4"/>
      <c r="V36" s="13">
        <f t="shared" ref="V36:V52" si="13">IF(T$12=0,0,T36/T$12)</f>
        <v>0.51009366500596709</v>
      </c>
      <c r="W36" s="4"/>
      <c r="X36" s="4">
        <f t="shared" ref="X36:X52" si="14">+P36-T36</f>
        <v>-63680.309999999969</v>
      </c>
      <c r="Y36" s="4"/>
      <c r="Z36" s="13">
        <f t="shared" ref="Z36:Z52" si="15">IF(T36=0,0,X36/T36)</f>
        <v>-0.24305090761973092</v>
      </c>
    </row>
    <row r="37" spans="1:26" s="24" customFormat="1" hidden="1" outlineLevel="1" x14ac:dyDescent="0.25">
      <c r="A37" s="44"/>
      <c r="B37" s="11" t="str">
        <f>CONCATENATE("          ", "5000", " - ", "PURCHASES @ COST")</f>
        <v xml:space="preserve">          5000 - PURCHASES @ COST</v>
      </c>
      <c r="C37" s="11"/>
      <c r="D37" s="2"/>
      <c r="E37" s="2"/>
      <c r="F37" s="19">
        <f t="shared" si="8"/>
        <v>0</v>
      </c>
      <c r="G37" s="2"/>
      <c r="H37" s="2">
        <v>20174</v>
      </c>
      <c r="I37" s="2"/>
      <c r="J37" s="19">
        <f t="shared" si="9"/>
        <v>0.50999823040169878</v>
      </c>
      <c r="K37" s="2"/>
      <c r="L37" s="2">
        <f t="shared" si="10"/>
        <v>-20174</v>
      </c>
      <c r="M37" s="2"/>
      <c r="N37" s="19">
        <f t="shared" si="11"/>
        <v>-1</v>
      </c>
      <c r="O37" s="11"/>
      <c r="P37" s="2"/>
      <c r="Q37" s="2"/>
      <c r="R37" s="19">
        <f t="shared" si="12"/>
        <v>0</v>
      </c>
      <c r="S37" s="2"/>
      <c r="T37" s="2">
        <v>262003.99999999997</v>
      </c>
      <c r="U37" s="2"/>
      <c r="V37" s="19">
        <f t="shared" si="13"/>
        <v>0.51009366500596709</v>
      </c>
      <c r="W37" s="2"/>
      <c r="X37" s="2">
        <f t="shared" si="14"/>
        <v>-262003.99999999997</v>
      </c>
      <c r="Y37" s="2"/>
      <c r="Z37" s="19">
        <f t="shared" si="15"/>
        <v>-1</v>
      </c>
    </row>
    <row r="38" spans="1:26" s="24" customFormat="1" hidden="1" outlineLevel="1" x14ac:dyDescent="0.25">
      <c r="A38" s="44"/>
      <c r="B38" s="11" t="str">
        <f>CONCATENATE("          ", "5017", " - ", "PURCHASES @ COST-DORM/HOUSEWAR")</f>
        <v xml:space="preserve">          5017 - PURCHASES @ COST-DORM/HOUSEWAR</v>
      </c>
      <c r="C38" s="11"/>
      <c r="D38" s="2"/>
      <c r="E38" s="2"/>
      <c r="F38" s="19">
        <f t="shared" si="8"/>
        <v>0</v>
      </c>
      <c r="G38" s="2"/>
      <c r="H38" s="2"/>
      <c r="I38" s="2"/>
      <c r="J38" s="19">
        <f t="shared" si="9"/>
        <v>0</v>
      </c>
      <c r="K38" s="2"/>
      <c r="L38" s="2">
        <f t="shared" si="10"/>
        <v>0</v>
      </c>
      <c r="M38" s="2"/>
      <c r="N38" s="19">
        <f t="shared" si="11"/>
        <v>0</v>
      </c>
      <c r="O38" s="11"/>
      <c r="P38" s="2">
        <v>14.46</v>
      </c>
      <c r="Q38" s="2"/>
      <c r="R38" s="19">
        <f t="shared" si="12"/>
        <v>3.5171121736227529E-5</v>
      </c>
      <c r="S38" s="2"/>
      <c r="T38" s="2"/>
      <c r="U38" s="2"/>
      <c r="V38" s="19">
        <f t="shared" si="13"/>
        <v>0</v>
      </c>
      <c r="W38" s="2"/>
      <c r="X38" s="2">
        <f t="shared" si="14"/>
        <v>14.46</v>
      </c>
      <c r="Y38" s="2"/>
      <c r="Z38" s="19">
        <f t="shared" si="15"/>
        <v>0</v>
      </c>
    </row>
    <row r="39" spans="1:26" s="24" customFormat="1" hidden="1" outlineLevel="1" x14ac:dyDescent="0.25">
      <c r="A39" s="44"/>
      <c r="B39" s="11" t="str">
        <f>CONCATENATE("          ", "5025", " - ", "PURCHASES @ COST-TEST FORMS")</f>
        <v xml:space="preserve">          5025 - PURCHASES @ COST-TEST FORMS</v>
      </c>
      <c r="C39" s="11"/>
      <c r="D39" s="2"/>
      <c r="E39" s="2"/>
      <c r="F39" s="19">
        <f t="shared" si="8"/>
        <v>0</v>
      </c>
      <c r="G39" s="2"/>
      <c r="H39" s="2"/>
      <c r="I39" s="2"/>
      <c r="J39" s="19">
        <f t="shared" si="9"/>
        <v>0</v>
      </c>
      <c r="K39" s="2"/>
      <c r="L39" s="2">
        <f t="shared" si="10"/>
        <v>0</v>
      </c>
      <c r="M39" s="2"/>
      <c r="N39" s="19">
        <f t="shared" si="11"/>
        <v>0</v>
      </c>
      <c r="O39" s="11"/>
      <c r="P39" s="2">
        <v>25706.15</v>
      </c>
      <c r="Q39" s="2"/>
      <c r="R39" s="19">
        <f t="shared" si="12"/>
        <v>6.2525181951571598E-2</v>
      </c>
      <c r="S39" s="2"/>
      <c r="T39" s="2"/>
      <c r="U39" s="2"/>
      <c r="V39" s="19">
        <f t="shared" si="13"/>
        <v>0</v>
      </c>
      <c r="W39" s="2"/>
      <c r="X39" s="2">
        <f t="shared" si="14"/>
        <v>25706.15</v>
      </c>
      <c r="Y39" s="2"/>
      <c r="Z39" s="19">
        <f t="shared" si="15"/>
        <v>0</v>
      </c>
    </row>
    <row r="40" spans="1:26" s="24" customFormat="1" hidden="1" outlineLevel="1" x14ac:dyDescent="0.25">
      <c r="A40" s="44"/>
      <c r="B40" s="11" t="str">
        <f>CONCATENATE("          ", "5026", " - ", "PURCHASES @ COST-WRITING INSTR")</f>
        <v xml:space="preserve">          5026 - PURCHASES @ COST-WRITING INSTR</v>
      </c>
      <c r="C40" s="11"/>
      <c r="D40" s="2">
        <v>-6087.14</v>
      </c>
      <c r="E40" s="2"/>
      <c r="F40" s="19">
        <f t="shared" si="8"/>
        <v>-0.87180456673584217</v>
      </c>
      <c r="G40" s="2"/>
      <c r="H40" s="2"/>
      <c r="I40" s="2"/>
      <c r="J40" s="19">
        <f t="shared" si="9"/>
        <v>0</v>
      </c>
      <c r="K40" s="2"/>
      <c r="L40" s="2">
        <f t="shared" si="10"/>
        <v>-6087.14</v>
      </c>
      <c r="M40" s="2"/>
      <c r="N40" s="19">
        <f t="shared" si="11"/>
        <v>0</v>
      </c>
      <c r="O40" s="11"/>
      <c r="P40" s="2">
        <v>39626.85</v>
      </c>
      <c r="Q40" s="2"/>
      <c r="R40" s="19">
        <f t="shared" si="12"/>
        <v>9.6384561920693487E-2</v>
      </c>
      <c r="S40" s="2"/>
      <c r="T40" s="2"/>
      <c r="U40" s="2"/>
      <c r="V40" s="19">
        <f t="shared" si="13"/>
        <v>0</v>
      </c>
      <c r="W40" s="2"/>
      <c r="X40" s="2">
        <f t="shared" si="14"/>
        <v>39626.85</v>
      </c>
      <c r="Y40" s="2"/>
      <c r="Z40" s="19">
        <f t="shared" si="15"/>
        <v>0</v>
      </c>
    </row>
    <row r="41" spans="1:26" s="24" customFormat="1" hidden="1" outlineLevel="1" x14ac:dyDescent="0.25">
      <c r="A41" s="44"/>
      <c r="B41" s="11" t="str">
        <f>CONCATENATE("          ", "5027", " - ", "PURCHASES @ COST-SCHOOL SUPPLI")</f>
        <v xml:space="preserve">          5027 - PURCHASES @ COST-SCHOOL SUPPLI</v>
      </c>
      <c r="C41" s="11"/>
      <c r="D41" s="2">
        <v>-2165.11</v>
      </c>
      <c r="E41" s="2"/>
      <c r="F41" s="19">
        <f t="shared" si="8"/>
        <v>-0.3100886106587723</v>
      </c>
      <c r="G41" s="2"/>
      <c r="H41" s="2"/>
      <c r="I41" s="2"/>
      <c r="J41" s="19">
        <f t="shared" si="9"/>
        <v>0</v>
      </c>
      <c r="K41" s="2"/>
      <c r="L41" s="2">
        <f t="shared" si="10"/>
        <v>-2165.11</v>
      </c>
      <c r="M41" s="2"/>
      <c r="N41" s="19">
        <f t="shared" si="11"/>
        <v>0</v>
      </c>
      <c r="O41" s="11"/>
      <c r="P41" s="2">
        <v>137053.04</v>
      </c>
      <c r="Q41" s="2"/>
      <c r="R41" s="19">
        <f t="shared" si="12"/>
        <v>0.33335471328907751</v>
      </c>
      <c r="S41" s="2"/>
      <c r="T41" s="2"/>
      <c r="U41" s="2"/>
      <c r="V41" s="19">
        <f t="shared" si="13"/>
        <v>0</v>
      </c>
      <c r="W41" s="2"/>
      <c r="X41" s="2">
        <f t="shared" si="14"/>
        <v>137053.04</v>
      </c>
      <c r="Y41" s="2"/>
      <c r="Z41" s="19">
        <f t="shared" si="15"/>
        <v>0</v>
      </c>
    </row>
    <row r="42" spans="1:26" s="24" customFormat="1" hidden="1" outlineLevel="1" x14ac:dyDescent="0.25">
      <c r="A42" s="44"/>
      <c r="B42" s="11" t="str">
        <f>CONCATENATE("          ", "5028", " - ", "PURCHASES @ COST-ART/TECH")</f>
        <v xml:space="preserve">          5028 - PURCHASES @ COST-ART/TECH</v>
      </c>
      <c r="C42" s="11"/>
      <c r="D42" s="2">
        <v>12.49</v>
      </c>
      <c r="E42" s="2"/>
      <c r="F42" s="19">
        <f t="shared" si="8"/>
        <v>1.7888267788371333E-3</v>
      </c>
      <c r="G42" s="2"/>
      <c r="H42" s="2"/>
      <c r="I42" s="2"/>
      <c r="J42" s="19">
        <f t="shared" si="9"/>
        <v>0</v>
      </c>
      <c r="K42" s="2"/>
      <c r="L42" s="2">
        <f t="shared" si="10"/>
        <v>12.49</v>
      </c>
      <c r="M42" s="2"/>
      <c r="N42" s="19">
        <f t="shared" si="11"/>
        <v>0</v>
      </c>
      <c r="O42" s="11"/>
      <c r="P42" s="2">
        <v>7662.01</v>
      </c>
      <c r="Q42" s="2"/>
      <c r="R42" s="19">
        <f t="shared" si="12"/>
        <v>1.8636340695310699E-2</v>
      </c>
      <c r="S42" s="2"/>
      <c r="T42" s="2"/>
      <c r="U42" s="2"/>
      <c r="V42" s="19">
        <f t="shared" si="13"/>
        <v>0</v>
      </c>
      <c r="W42" s="2"/>
      <c r="X42" s="2">
        <f t="shared" si="14"/>
        <v>7662.01</v>
      </c>
      <c r="Y42" s="2"/>
      <c r="Z42" s="19">
        <f t="shared" si="15"/>
        <v>0</v>
      </c>
    </row>
    <row r="43" spans="1:26" s="24" customFormat="1" hidden="1" outlineLevel="1" x14ac:dyDescent="0.25">
      <c r="A43" s="44"/>
      <c r="B43" s="11" t="str">
        <f>CONCATENATE("          ", "5031", " - ", "PURCHASES @ COST-FOOD")</f>
        <v xml:space="preserve">          5031 - PURCHASES @ COST-FOOD</v>
      </c>
      <c r="C43" s="11"/>
      <c r="D43" s="2"/>
      <c r="E43" s="2"/>
      <c r="F43" s="19">
        <f t="shared" si="8"/>
        <v>0</v>
      </c>
      <c r="G43" s="2"/>
      <c r="H43" s="2"/>
      <c r="I43" s="2"/>
      <c r="J43" s="19">
        <f t="shared" si="9"/>
        <v>0</v>
      </c>
      <c r="K43" s="2"/>
      <c r="L43" s="2">
        <f t="shared" si="10"/>
        <v>0</v>
      </c>
      <c r="M43" s="2"/>
      <c r="N43" s="19">
        <f t="shared" si="11"/>
        <v>0</v>
      </c>
      <c r="O43" s="11"/>
      <c r="P43" s="2">
        <v>780.53</v>
      </c>
      <c r="Q43" s="2"/>
      <c r="R43" s="19">
        <f t="shared" si="12"/>
        <v>1.8984865593898803E-3</v>
      </c>
      <c r="S43" s="2"/>
      <c r="T43" s="2"/>
      <c r="U43" s="2"/>
      <c r="V43" s="19">
        <f t="shared" si="13"/>
        <v>0</v>
      </c>
      <c r="W43" s="2"/>
      <c r="X43" s="2">
        <f t="shared" si="14"/>
        <v>780.53</v>
      </c>
      <c r="Y43" s="2"/>
      <c r="Z43" s="19">
        <f t="shared" si="15"/>
        <v>0</v>
      </c>
    </row>
    <row r="44" spans="1:26" s="24" customFormat="1" hidden="1" outlineLevel="1" x14ac:dyDescent="0.25">
      <c r="A44" s="44"/>
      <c r="B44" s="11" t="str">
        <f>CONCATENATE("          ", "5033", " - ", "PURCHASES @ COST-CANDY")</f>
        <v xml:space="preserve">          5033 - PURCHASES @ COST-CANDY</v>
      </c>
      <c r="C44" s="11"/>
      <c r="D44" s="2"/>
      <c r="E44" s="2"/>
      <c r="F44" s="19">
        <f t="shared" si="8"/>
        <v>0</v>
      </c>
      <c r="G44" s="2"/>
      <c r="H44" s="2"/>
      <c r="I44" s="2"/>
      <c r="J44" s="19">
        <f t="shared" si="9"/>
        <v>0</v>
      </c>
      <c r="K44" s="2"/>
      <c r="L44" s="2">
        <f t="shared" si="10"/>
        <v>0</v>
      </c>
      <c r="M44" s="2"/>
      <c r="N44" s="19">
        <f t="shared" si="11"/>
        <v>0</v>
      </c>
      <c r="O44" s="11"/>
      <c r="P44" s="2">
        <v>1119.08</v>
      </c>
      <c r="Q44" s="2"/>
      <c r="R44" s="19">
        <f t="shared" si="12"/>
        <v>2.7219432166374481E-3</v>
      </c>
      <c r="S44" s="2"/>
      <c r="T44" s="2"/>
      <c r="U44" s="2"/>
      <c r="V44" s="19">
        <f t="shared" si="13"/>
        <v>0</v>
      </c>
      <c r="W44" s="2"/>
      <c r="X44" s="2">
        <f t="shared" si="14"/>
        <v>1119.08</v>
      </c>
      <c r="Y44" s="2"/>
      <c r="Z44" s="19">
        <f t="shared" si="15"/>
        <v>0</v>
      </c>
    </row>
    <row r="45" spans="1:26" s="24" customFormat="1" hidden="1" outlineLevel="1" x14ac:dyDescent="0.25">
      <c r="A45" s="44"/>
      <c r="B45" s="11" t="str">
        <f>CONCATENATE("          ", "5035", " - ", "PURCHASES @ COST-HEALTH &amp; BEAU")</f>
        <v xml:space="preserve">          5035 - PURCHASES @ COST-HEALTH &amp; BEAU</v>
      </c>
      <c r="C45" s="11"/>
      <c r="D45" s="2"/>
      <c r="E45" s="2"/>
      <c r="F45" s="19">
        <f t="shared" si="8"/>
        <v>0</v>
      </c>
      <c r="G45" s="2"/>
      <c r="H45" s="2"/>
      <c r="I45" s="2"/>
      <c r="J45" s="19">
        <f t="shared" si="9"/>
        <v>0</v>
      </c>
      <c r="K45" s="2"/>
      <c r="L45" s="2">
        <f t="shared" si="10"/>
        <v>0</v>
      </c>
      <c r="M45" s="2"/>
      <c r="N45" s="19">
        <f t="shared" si="11"/>
        <v>0</v>
      </c>
      <c r="O45" s="11"/>
      <c r="P45" s="2">
        <v>36.25</v>
      </c>
      <c r="Q45" s="2"/>
      <c r="R45" s="19">
        <f t="shared" si="12"/>
        <v>8.8171034781344939E-5</v>
      </c>
      <c r="S45" s="2"/>
      <c r="T45" s="2"/>
      <c r="U45" s="2"/>
      <c r="V45" s="19">
        <f t="shared" si="13"/>
        <v>0</v>
      </c>
      <c r="W45" s="2"/>
      <c r="X45" s="2">
        <f t="shared" si="14"/>
        <v>36.25</v>
      </c>
      <c r="Y45" s="2"/>
      <c r="Z45" s="19">
        <f t="shared" si="15"/>
        <v>0</v>
      </c>
    </row>
    <row r="46" spans="1:26" s="24" customFormat="1" hidden="1" outlineLevel="1" x14ac:dyDescent="0.25">
      <c r="A46" s="44"/>
      <c r="B46" s="11" t="str">
        <f>CONCATENATE("          ", "5200", " - ", "PURCHASES OFFSET")</f>
        <v xml:space="preserve">          5200 - PURCHASES OFFSET</v>
      </c>
      <c r="C46" s="11"/>
      <c r="D46" s="2">
        <v>8031</v>
      </c>
      <c r="E46" s="2"/>
      <c r="F46" s="19">
        <f t="shared" si="8"/>
        <v>1.150205593341955</v>
      </c>
      <c r="G46" s="2"/>
      <c r="H46" s="2"/>
      <c r="I46" s="2"/>
      <c r="J46" s="19">
        <f t="shared" si="9"/>
        <v>0</v>
      </c>
      <c r="K46" s="2"/>
      <c r="L46" s="2">
        <f t="shared" si="10"/>
        <v>8031</v>
      </c>
      <c r="M46" s="2"/>
      <c r="N46" s="19">
        <f t="shared" si="11"/>
        <v>0</v>
      </c>
      <c r="O46" s="11"/>
      <c r="P46" s="2">
        <v>-215427</v>
      </c>
      <c r="Q46" s="2"/>
      <c r="R46" s="19">
        <f t="shared" si="12"/>
        <v>-0.52398404165078061</v>
      </c>
      <c r="S46" s="2"/>
      <c r="T46" s="2"/>
      <c r="U46" s="2"/>
      <c r="V46" s="19">
        <f t="shared" si="13"/>
        <v>0</v>
      </c>
      <c r="W46" s="2"/>
      <c r="X46" s="2">
        <f t="shared" si="14"/>
        <v>-215427</v>
      </c>
      <c r="Y46" s="2"/>
      <c r="Z46" s="19">
        <f t="shared" si="15"/>
        <v>0</v>
      </c>
    </row>
    <row r="47" spans="1:26" s="24" customFormat="1" hidden="1" outlineLevel="1" x14ac:dyDescent="0.25">
      <c r="A47" s="44"/>
      <c r="B47" s="11" t="str">
        <f>CONCATENATE("          ", "5300", " - ", "COG$ OFFSET")</f>
        <v xml:space="preserve">          5300 - COG$ OFFSET</v>
      </c>
      <c r="C47" s="11"/>
      <c r="D47" s="2">
        <v>6103</v>
      </c>
      <c r="E47" s="2"/>
      <c r="F47" s="19">
        <f t="shared" si="8"/>
        <v>0.87407604733731181</v>
      </c>
      <c r="G47" s="2"/>
      <c r="H47" s="2"/>
      <c r="I47" s="2"/>
      <c r="J47" s="19">
        <f t="shared" si="9"/>
        <v>0</v>
      </c>
      <c r="K47" s="2"/>
      <c r="L47" s="2">
        <f t="shared" si="10"/>
        <v>6103</v>
      </c>
      <c r="M47" s="2"/>
      <c r="N47" s="19">
        <f t="shared" si="11"/>
        <v>0</v>
      </c>
      <c r="O47" s="11"/>
      <c r="P47" s="2">
        <v>198318</v>
      </c>
      <c r="Q47" s="2"/>
      <c r="R47" s="19">
        <f t="shared" si="12"/>
        <v>0.48236974553839357</v>
      </c>
      <c r="S47" s="2"/>
      <c r="T47" s="2"/>
      <c r="U47" s="2"/>
      <c r="V47" s="19">
        <f t="shared" si="13"/>
        <v>0</v>
      </c>
      <c r="W47" s="2"/>
      <c r="X47" s="2">
        <f t="shared" si="14"/>
        <v>198318</v>
      </c>
      <c r="Y47" s="2"/>
      <c r="Z47" s="19">
        <f t="shared" si="15"/>
        <v>0</v>
      </c>
    </row>
    <row r="48" spans="1:26" s="24" customFormat="1" hidden="1" outlineLevel="1" x14ac:dyDescent="0.25">
      <c r="A48" s="44"/>
      <c r="B48" s="11" t="str">
        <f>CONCATENATE("          ", "5500", " - ", "FREIGHT-IN")</f>
        <v xml:space="preserve">          5500 - FREIGHT-IN</v>
      </c>
      <c r="C48" s="11"/>
      <c r="D48" s="2"/>
      <c r="E48" s="2"/>
      <c r="F48" s="19">
        <f t="shared" si="8"/>
        <v>0</v>
      </c>
      <c r="G48" s="2"/>
      <c r="H48" s="2"/>
      <c r="I48" s="2"/>
      <c r="J48" s="19">
        <f t="shared" si="9"/>
        <v>0</v>
      </c>
      <c r="K48" s="2"/>
      <c r="L48" s="2">
        <f t="shared" si="10"/>
        <v>0</v>
      </c>
      <c r="M48" s="2"/>
      <c r="N48" s="19">
        <f t="shared" si="11"/>
        <v>0</v>
      </c>
      <c r="O48" s="11"/>
      <c r="P48" s="2">
        <v>6</v>
      </c>
      <c r="Q48" s="2"/>
      <c r="R48" s="19">
        <f t="shared" si="12"/>
        <v>1.4593826446567439E-5</v>
      </c>
      <c r="S48" s="2"/>
      <c r="T48" s="2"/>
      <c r="U48" s="2"/>
      <c r="V48" s="19">
        <f t="shared" si="13"/>
        <v>0</v>
      </c>
      <c r="W48" s="2"/>
      <c r="X48" s="2">
        <f t="shared" si="14"/>
        <v>6</v>
      </c>
      <c r="Y48" s="2"/>
      <c r="Z48" s="19">
        <f t="shared" si="15"/>
        <v>0</v>
      </c>
    </row>
    <row r="49" spans="1:26" s="24" customFormat="1" hidden="1" outlineLevel="1" x14ac:dyDescent="0.25">
      <c r="A49" s="44"/>
      <c r="B49" s="11" t="str">
        <f>CONCATENATE("          ", "5525", " - ", "FREIGHT-IN-TEST FORMS")</f>
        <v xml:space="preserve">          5525 - FREIGHT-IN-TEST FORMS</v>
      </c>
      <c r="C49" s="11"/>
      <c r="D49" s="2">
        <v>377.1</v>
      </c>
      <c r="E49" s="2"/>
      <c r="F49" s="19">
        <f t="shared" si="8"/>
        <v>5.4008533090430987E-2</v>
      </c>
      <c r="G49" s="2"/>
      <c r="H49" s="2"/>
      <c r="I49" s="2"/>
      <c r="J49" s="19">
        <f t="shared" si="9"/>
        <v>0</v>
      </c>
      <c r="K49" s="2"/>
      <c r="L49" s="2">
        <f t="shared" si="10"/>
        <v>377.1</v>
      </c>
      <c r="M49" s="2"/>
      <c r="N49" s="19">
        <f t="shared" si="11"/>
        <v>0</v>
      </c>
      <c r="O49" s="11"/>
      <c r="P49" s="2">
        <v>1614.32</v>
      </c>
      <c r="Q49" s="2"/>
      <c r="R49" s="19">
        <f t="shared" si="12"/>
        <v>3.9265176515371246E-3</v>
      </c>
      <c r="S49" s="2"/>
      <c r="T49" s="2"/>
      <c r="U49" s="2"/>
      <c r="V49" s="19">
        <f t="shared" si="13"/>
        <v>0</v>
      </c>
      <c r="W49" s="2"/>
      <c r="X49" s="2">
        <f t="shared" si="14"/>
        <v>1614.32</v>
      </c>
      <c r="Y49" s="2"/>
      <c r="Z49" s="19">
        <f t="shared" si="15"/>
        <v>0</v>
      </c>
    </row>
    <row r="50" spans="1:26" s="24" customFormat="1" hidden="1" outlineLevel="1" x14ac:dyDescent="0.25">
      <c r="A50" s="44"/>
      <c r="B50" s="11" t="str">
        <f>CONCATENATE("          ", "5526", " - ", "FREIGHT-IN-WRITING INSTRUMENTS")</f>
        <v xml:space="preserve">          5526 - FREIGHT-IN-WRITING INSTRUMENTS</v>
      </c>
      <c r="C50" s="11"/>
      <c r="D50" s="2">
        <v>14.15</v>
      </c>
      <c r="E50" s="2"/>
      <c r="F50" s="19">
        <f t="shared" si="8"/>
        <v>2.0265731721813801E-3</v>
      </c>
      <c r="G50" s="2"/>
      <c r="H50" s="2"/>
      <c r="I50" s="2"/>
      <c r="J50" s="19">
        <f t="shared" si="9"/>
        <v>0</v>
      </c>
      <c r="K50" s="2"/>
      <c r="L50" s="2">
        <f t="shared" si="10"/>
        <v>14.15</v>
      </c>
      <c r="M50" s="2"/>
      <c r="N50" s="19">
        <f t="shared" si="11"/>
        <v>0</v>
      </c>
      <c r="O50" s="11"/>
      <c r="P50" s="2">
        <v>274.5</v>
      </c>
      <c r="Q50" s="2"/>
      <c r="R50" s="19">
        <f t="shared" si="12"/>
        <v>6.6766755993046033E-4</v>
      </c>
      <c r="S50" s="2"/>
      <c r="T50" s="2"/>
      <c r="U50" s="2"/>
      <c r="V50" s="19">
        <f t="shared" si="13"/>
        <v>0</v>
      </c>
      <c r="W50" s="2"/>
      <c r="X50" s="2">
        <f t="shared" si="14"/>
        <v>274.5</v>
      </c>
      <c r="Y50" s="2"/>
      <c r="Z50" s="19">
        <f t="shared" si="15"/>
        <v>0</v>
      </c>
    </row>
    <row r="51" spans="1:26" s="24" customFormat="1" hidden="1" outlineLevel="1" x14ac:dyDescent="0.25">
      <c r="A51" s="44"/>
      <c r="B51" s="11" t="str">
        <f>CONCATENATE("          ", "5527", " - ", "FREIGHT-IN-SCHOOL SUPPLIES")</f>
        <v xml:space="preserve">          5527 - FREIGHT-IN-SCHOOL SUPPLIES</v>
      </c>
      <c r="C51" s="11"/>
      <c r="D51" s="2">
        <v>-155.31</v>
      </c>
      <c r="E51" s="2"/>
      <c r="F51" s="19">
        <f t="shared" si="8"/>
        <v>-2.2243609849575276E-2</v>
      </c>
      <c r="G51" s="2"/>
      <c r="H51" s="2"/>
      <c r="I51" s="2"/>
      <c r="J51" s="19">
        <f t="shared" si="9"/>
        <v>0</v>
      </c>
      <c r="K51" s="2"/>
      <c r="L51" s="2">
        <f t="shared" si="10"/>
        <v>-155.31</v>
      </c>
      <c r="M51" s="2"/>
      <c r="N51" s="19">
        <f t="shared" si="11"/>
        <v>0</v>
      </c>
      <c r="O51" s="11"/>
      <c r="P51" s="2">
        <v>1438.72</v>
      </c>
      <c r="Q51" s="2"/>
      <c r="R51" s="19">
        <f t="shared" si="12"/>
        <v>3.4994049975342512E-3</v>
      </c>
      <c r="S51" s="2"/>
      <c r="T51" s="2"/>
      <c r="U51" s="2"/>
      <c r="V51" s="19">
        <f t="shared" si="13"/>
        <v>0</v>
      </c>
      <c r="W51" s="2"/>
      <c r="X51" s="2">
        <f t="shared" si="14"/>
        <v>1438.72</v>
      </c>
      <c r="Y51" s="2"/>
      <c r="Z51" s="19">
        <f t="shared" si="15"/>
        <v>0</v>
      </c>
    </row>
    <row r="52" spans="1:26" s="24" customFormat="1" hidden="1" outlineLevel="1" x14ac:dyDescent="0.25">
      <c r="A52" s="44"/>
      <c r="B52" s="11" t="str">
        <f>CONCATENATE("          ", "5528", " - ", "FREIGHT-IN-ART/TECH")</f>
        <v xml:space="preserve">          5528 - FREIGHT-IN-ART/TECH</v>
      </c>
      <c r="C52" s="11"/>
      <c r="D52" s="2">
        <v>-27</v>
      </c>
      <c r="E52" s="2"/>
      <c r="F52" s="19">
        <f t="shared" si="8"/>
        <v>-3.866959409816061E-3</v>
      </c>
      <c r="G52" s="2"/>
      <c r="H52" s="2"/>
      <c r="I52" s="2"/>
      <c r="J52" s="19">
        <f t="shared" si="9"/>
        <v>0</v>
      </c>
      <c r="K52" s="2"/>
      <c r="L52" s="2">
        <f t="shared" si="10"/>
        <v>-27</v>
      </c>
      <c r="M52" s="2"/>
      <c r="N52" s="19">
        <f t="shared" si="11"/>
        <v>0</v>
      </c>
      <c r="O52" s="11"/>
      <c r="P52" s="2">
        <v>100.78</v>
      </c>
      <c r="Q52" s="2"/>
      <c r="R52" s="19">
        <f t="shared" si="12"/>
        <v>2.4512763821417773E-4</v>
      </c>
      <c r="S52" s="2"/>
      <c r="T52" s="2"/>
      <c r="U52" s="2"/>
      <c r="V52" s="19">
        <f t="shared" si="13"/>
        <v>0</v>
      </c>
      <c r="W52" s="2"/>
      <c r="X52" s="2">
        <f t="shared" si="14"/>
        <v>100.78</v>
      </c>
      <c r="Y52" s="2"/>
      <c r="Z52" s="19">
        <f t="shared" si="15"/>
        <v>0</v>
      </c>
    </row>
    <row r="53" spans="1:26" x14ac:dyDescent="0.25">
      <c r="A53" s="9"/>
      <c r="B53" s="10"/>
      <c r="C53" s="10"/>
      <c r="D53" s="3"/>
      <c r="E53" s="3"/>
      <c r="F53" s="8"/>
      <c r="G53" s="3"/>
      <c r="H53" s="3"/>
      <c r="I53" s="3"/>
      <c r="J53" s="8"/>
      <c r="K53" s="3"/>
      <c r="L53" s="3"/>
      <c r="M53" s="3"/>
      <c r="N53" s="8"/>
      <c r="O53" s="10"/>
      <c r="P53" s="3"/>
      <c r="Q53" s="3"/>
      <c r="R53" s="8"/>
      <c r="S53" s="3"/>
      <c r="T53" s="3"/>
      <c r="U53" s="3"/>
      <c r="V53" s="8"/>
      <c r="W53" s="3"/>
      <c r="X53" s="3"/>
      <c r="Y53" s="3"/>
      <c r="Z53" s="8"/>
    </row>
    <row r="54" spans="1:26" s="23" customFormat="1" x14ac:dyDescent="0.25">
      <c r="A54" s="10"/>
      <c r="B54" s="29" t="s">
        <v>6</v>
      </c>
      <c r="C54" s="29"/>
      <c r="D54" s="20">
        <f>D12-D36</f>
        <v>879.050000000002</v>
      </c>
      <c r="E54" s="14"/>
      <c r="F54" s="22">
        <f>IF(D$12=0,0,D54/D$12)</f>
        <v>0.12589817293328948</v>
      </c>
      <c r="G54" s="14"/>
      <c r="H54" s="20">
        <f>H12-H36</f>
        <v>19383</v>
      </c>
      <c r="I54" s="14"/>
      <c r="J54" s="22">
        <f>IF(H$12=0,0,H54/H$12)</f>
        <v>0.49000176959830116</v>
      </c>
      <c r="K54" s="16"/>
      <c r="L54" s="20">
        <f>+D54-H54</f>
        <v>-18503.949999999997</v>
      </c>
      <c r="M54" s="16"/>
      <c r="N54" s="22">
        <f>IF(H54=0,0,L54/H54)</f>
        <v>-0.95464840323995237</v>
      </c>
      <c r="O54" s="28"/>
      <c r="P54" s="20">
        <f>P12-P36</f>
        <v>212809.06000000006</v>
      </c>
      <c r="Q54" s="14"/>
      <c r="R54" s="22">
        <f>IF(P$12=0,0,P54/P$12)</f>
        <v>0.51761641464952624</v>
      </c>
      <c r="S54" s="14"/>
      <c r="T54" s="20">
        <f>T12-T36</f>
        <v>251635.00000000009</v>
      </c>
      <c r="U54" s="14"/>
      <c r="V54" s="22">
        <f>IF(T$12=0,0,T54/T$12)</f>
        <v>0.48990633499403291</v>
      </c>
      <c r="W54" s="16"/>
      <c r="X54" s="20">
        <f>+P54-T54</f>
        <v>-38825.940000000031</v>
      </c>
      <c r="Y54" s="16"/>
      <c r="Z54" s="22">
        <f>IF(T54=0,0,X54/T54)</f>
        <v>-0.15429467283962889</v>
      </c>
    </row>
    <row r="55" spans="1:26" x14ac:dyDescent="0.25">
      <c r="A55" s="9"/>
      <c r="B55" s="10"/>
      <c r="C55" s="9"/>
      <c r="D55" s="1"/>
      <c r="E55" s="1"/>
      <c r="F55" s="5"/>
      <c r="G55" s="1"/>
      <c r="H55" s="1"/>
      <c r="I55" s="1"/>
      <c r="J55" s="5"/>
      <c r="K55" s="1"/>
      <c r="L55" s="1"/>
      <c r="M55" s="1"/>
      <c r="N55" s="5"/>
      <c r="O55" s="36"/>
      <c r="P55" s="1"/>
      <c r="Q55" s="1"/>
      <c r="R55" s="5"/>
      <c r="S55" s="1"/>
      <c r="T55" s="1"/>
      <c r="U55" s="1"/>
      <c r="V55" s="5"/>
      <c r="W55" s="1"/>
      <c r="X55" s="1"/>
      <c r="Y55" s="1"/>
      <c r="Z55" s="5"/>
    </row>
    <row r="56" spans="1:26" s="23" customFormat="1" x14ac:dyDescent="0.25">
      <c r="A56" s="10"/>
      <c r="B56" s="28" t="s">
        <v>9</v>
      </c>
      <c r="C56" s="10"/>
      <c r="D56" s="21">
        <f>SUM(OSRRefD22x_0)</f>
        <v>8541.9599999999991</v>
      </c>
      <c r="E56" s="21"/>
      <c r="F56" s="30">
        <f t="shared" ref="F56:F67" si="16">IF(D$12=0,0,D56/D$12)</f>
        <v>1.2233856518619406</v>
      </c>
      <c r="G56" s="21"/>
      <c r="H56" s="21">
        <f>SUM(OSRRefH22x_0)</f>
        <v>9148.0730755446111</v>
      </c>
      <c r="I56" s="21"/>
      <c r="J56" s="30">
        <f t="shared" ref="J56:J67" si="17">IF(H$12=0,0,H56/H$12)</f>
        <v>0.23126306533722504</v>
      </c>
      <c r="K56" s="4"/>
      <c r="L56" s="21">
        <f t="shared" ref="L56:L67" si="18">+D56-H56</f>
        <v>-606.113075544612</v>
      </c>
      <c r="M56" s="4"/>
      <c r="N56" s="30">
        <f t="shared" ref="N56:N67" si="19">IF(H56=0,0,L56/H56)</f>
        <v>-6.6255819180645131E-2</v>
      </c>
      <c r="O56" s="10"/>
      <c r="P56" s="21">
        <f>SUM(OSRRefP22x_0)</f>
        <v>108242.78999999998</v>
      </c>
      <c r="Q56" s="21"/>
      <c r="R56" s="30">
        <f t="shared" ref="R56:R67" si="20">IF(P$12=0,0,P56/P$12)</f>
        <v>0.26327941522537418</v>
      </c>
      <c r="S56" s="21"/>
      <c r="T56" s="21">
        <f>SUM(OSRRefT22x_0)</f>
        <v>111268.38925953535</v>
      </c>
      <c r="U56" s="21"/>
      <c r="V56" s="30">
        <f t="shared" ref="V56:V67" si="21">IF(T$12=0,0,T56/T$12)</f>
        <v>0.21662761055826241</v>
      </c>
      <c r="W56" s="4"/>
      <c r="X56" s="21">
        <f t="shared" ref="X56:X67" si="22">+P56-T56</f>
        <v>-3025.5992595353746</v>
      </c>
      <c r="Y56" s="4"/>
      <c r="Z56" s="30">
        <f t="shared" ref="Z56:Z67" si="23">IF(T56=0,0,X56/T56)</f>
        <v>-2.7191903106264209E-2</v>
      </c>
    </row>
    <row r="57" spans="1:26" s="27" customFormat="1" outlineLevel="1" collapsed="1" x14ac:dyDescent="0.25">
      <c r="A57" s="25"/>
      <c r="B57" s="12" t="str">
        <f>CONCATENATE("     ","*Benefits                                         ")</f>
        <v xml:space="preserve">     *Benefits                                         </v>
      </c>
      <c r="C57" s="12"/>
      <c r="D57" s="1">
        <f>SUM(OSRRefD22_0x_0)</f>
        <v>2869.59</v>
      </c>
      <c r="E57" s="1"/>
      <c r="F57" s="5">
        <f t="shared" si="16"/>
        <v>0.41098474269681745</v>
      </c>
      <c r="G57" s="1"/>
      <c r="H57" s="1">
        <f>SUM(OSRRefH22_0x_0)</f>
        <v>1522.340481698461</v>
      </c>
      <c r="I57" s="1"/>
      <c r="J57" s="5">
        <f t="shared" si="17"/>
        <v>3.8484730431995878E-2</v>
      </c>
      <c r="K57" s="1"/>
      <c r="L57" s="1">
        <f t="shared" si="18"/>
        <v>1347.2495183015392</v>
      </c>
      <c r="M57" s="1"/>
      <c r="N57" s="5">
        <f t="shared" si="19"/>
        <v>0.88498567468850697</v>
      </c>
      <c r="O57" s="12"/>
      <c r="P57" s="1">
        <f>SUM(OSRRefP22_0x_0)</f>
        <v>15927.260000000002</v>
      </c>
      <c r="Q57" s="1"/>
      <c r="R57" s="5">
        <f t="shared" si="20"/>
        <v>3.8739944701559288E-2</v>
      </c>
      <c r="S57" s="1"/>
      <c r="T57" s="1">
        <f>SUM(OSRRefT22_0x_0)</f>
        <v>18312.643133381534</v>
      </c>
      <c r="U57" s="1"/>
      <c r="V57" s="5">
        <f t="shared" si="21"/>
        <v>3.5652750537598456E-2</v>
      </c>
      <c r="W57" s="1"/>
      <c r="X57" s="1">
        <f t="shared" si="22"/>
        <v>-2385.3831333815324</v>
      </c>
      <c r="Y57" s="1"/>
      <c r="Z57" s="5">
        <f t="shared" si="23"/>
        <v>-0.13025881168586162</v>
      </c>
    </row>
    <row r="58" spans="1:26" s="24" customFormat="1" hidden="1" outlineLevel="2" x14ac:dyDescent="0.25">
      <c r="A58" s="26"/>
      <c r="B58" s="11" t="str">
        <f>CONCATENATE("          ", "6111", " - ", "F.I.C.A.")</f>
        <v xml:space="preserve">          6111 - F.I.C.A.</v>
      </c>
      <c r="C58" s="11"/>
      <c r="D58" s="7">
        <v>318.24</v>
      </c>
      <c r="E58" s="2"/>
      <c r="F58" s="6">
        <f t="shared" si="16"/>
        <v>4.5578561577031974E-2</v>
      </c>
      <c r="G58" s="2"/>
      <c r="H58" s="7">
        <v>174.43080234461499</v>
      </c>
      <c r="I58" s="2"/>
      <c r="J58" s="6">
        <f t="shared" si="17"/>
        <v>4.4096064500496746E-3</v>
      </c>
      <c r="K58" s="2"/>
      <c r="L58" s="7">
        <f t="shared" si="18"/>
        <v>143.80919765538502</v>
      </c>
      <c r="M58" s="2"/>
      <c r="N58" s="6">
        <f t="shared" si="19"/>
        <v>0.82444841004209646</v>
      </c>
      <c r="O58" s="11"/>
      <c r="P58" s="7">
        <v>3575.9</v>
      </c>
      <c r="Q58" s="2"/>
      <c r="R58" s="6">
        <f t="shared" si="20"/>
        <v>8.697677331713418E-3</v>
      </c>
      <c r="S58" s="2"/>
      <c r="T58" s="7">
        <v>2837.6152031353813</v>
      </c>
      <c r="U58" s="2"/>
      <c r="V58" s="6">
        <f t="shared" si="21"/>
        <v>5.5245322164698962E-3</v>
      </c>
      <c r="W58" s="2"/>
      <c r="X58" s="7">
        <f t="shared" si="22"/>
        <v>738.28479686461878</v>
      </c>
      <c r="Y58" s="2"/>
      <c r="Z58" s="6">
        <f t="shared" si="23"/>
        <v>0.26017791138448293</v>
      </c>
    </row>
    <row r="59" spans="1:26" s="24" customFormat="1" hidden="1" outlineLevel="2" x14ac:dyDescent="0.25">
      <c r="A59" s="26"/>
      <c r="B59" s="11" t="str">
        <f>CONCATENATE("          ", "6112", " - ", "COMPENSATION INSURANCE")</f>
        <v xml:space="preserve">          6112 - COMPENSATION INSURANCE</v>
      </c>
      <c r="C59" s="11"/>
      <c r="D59" s="7">
        <v>118.56</v>
      </c>
      <c r="E59" s="2"/>
      <c r="F59" s="6">
        <f t="shared" si="16"/>
        <v>1.698024843065897E-2</v>
      </c>
      <c r="G59" s="2"/>
      <c r="H59" s="7">
        <v>121.183375307692</v>
      </c>
      <c r="I59" s="2"/>
      <c r="J59" s="6">
        <f t="shared" si="17"/>
        <v>3.0635127868061784E-3</v>
      </c>
      <c r="K59" s="2"/>
      <c r="L59" s="7">
        <f t="shared" si="18"/>
        <v>-2.623375307692001</v>
      </c>
      <c r="M59" s="2"/>
      <c r="N59" s="6">
        <f t="shared" si="19"/>
        <v>-2.1647980187307795E-2</v>
      </c>
      <c r="O59" s="11"/>
      <c r="P59" s="7">
        <v>1429.37</v>
      </c>
      <c r="Q59" s="2"/>
      <c r="R59" s="6">
        <f t="shared" si="20"/>
        <v>3.476662951321683E-3</v>
      </c>
      <c r="S59" s="2"/>
      <c r="T59" s="7">
        <v>1508.8626486923038</v>
      </c>
      <c r="U59" s="2"/>
      <c r="V59" s="6">
        <f t="shared" si="21"/>
        <v>2.9375936186549377E-3</v>
      </c>
      <c r="W59" s="2"/>
      <c r="X59" s="7">
        <f t="shared" si="22"/>
        <v>-79.492648692303874</v>
      </c>
      <c r="Y59" s="2"/>
      <c r="Z59" s="6">
        <f t="shared" si="23"/>
        <v>-5.2683820333943789E-2</v>
      </c>
    </row>
    <row r="60" spans="1:26" s="24" customFormat="1" hidden="1" outlineLevel="2" x14ac:dyDescent="0.25">
      <c r="A60" s="26"/>
      <c r="B60" s="11" t="str">
        <f>CONCATENATE("          ", "6113", " - ", "GROUP INSURANCE")</f>
        <v xml:space="preserve">          6113 - GROUP INSURANCE</v>
      </c>
      <c r="C60" s="11"/>
      <c r="D60" s="7">
        <v>1367.58</v>
      </c>
      <c r="E60" s="2"/>
      <c r="F60" s="6">
        <f t="shared" si="16"/>
        <v>0.19586579072874993</v>
      </c>
      <c r="G60" s="2"/>
      <c r="H60" s="7">
        <v>790.8</v>
      </c>
      <c r="I60" s="2"/>
      <c r="J60" s="6">
        <f t="shared" si="17"/>
        <v>1.9991404808251383E-2</v>
      </c>
      <c r="K60" s="2"/>
      <c r="L60" s="7">
        <f t="shared" si="18"/>
        <v>576.78</v>
      </c>
      <c r="M60" s="2"/>
      <c r="N60" s="6">
        <f t="shared" si="19"/>
        <v>0.72936267071320182</v>
      </c>
      <c r="O60" s="11"/>
      <c r="P60" s="7">
        <v>11397.86</v>
      </c>
      <c r="Q60" s="2"/>
      <c r="R60" s="6">
        <f t="shared" si="20"/>
        <v>2.7723065117045528E-2</v>
      </c>
      <c r="S60" s="2"/>
      <c r="T60" s="7">
        <v>8698.7999999999993</v>
      </c>
      <c r="U60" s="2"/>
      <c r="V60" s="6">
        <f t="shared" si="21"/>
        <v>1.6935629887917386E-2</v>
      </c>
      <c r="W60" s="2"/>
      <c r="X60" s="7">
        <f t="shared" si="22"/>
        <v>2699.0600000000013</v>
      </c>
      <c r="Y60" s="2"/>
      <c r="Z60" s="6">
        <f t="shared" si="23"/>
        <v>0.31027957879247731</v>
      </c>
    </row>
    <row r="61" spans="1:26" s="24" customFormat="1" hidden="1" outlineLevel="2" x14ac:dyDescent="0.25">
      <c r="A61" s="26"/>
      <c r="B61" s="11" t="str">
        <f>CONCATENATE("          ", "6114", " - ", "STATE UNEMPLOYMENT INSURANCE")</f>
        <v xml:space="preserve">          6114 - STATE UNEMPLOYMENT INSURANCE</v>
      </c>
      <c r="C61" s="11"/>
      <c r="D61" s="7">
        <v>16.22</v>
      </c>
      <c r="E61" s="2"/>
      <c r="F61" s="6">
        <f t="shared" si="16"/>
        <v>2.3230400602672779E-3</v>
      </c>
      <c r="G61" s="2"/>
      <c r="H61" s="7">
        <v>16.582988199999999</v>
      </c>
      <c r="I61" s="2"/>
      <c r="J61" s="6">
        <f t="shared" si="17"/>
        <v>4.1921753924716233E-4</v>
      </c>
      <c r="K61" s="2"/>
      <c r="L61" s="7">
        <f t="shared" si="18"/>
        <v>-0.36298820000000021</v>
      </c>
      <c r="M61" s="2"/>
      <c r="N61" s="6">
        <f t="shared" si="19"/>
        <v>-2.188919123755996E-2</v>
      </c>
      <c r="O61" s="11"/>
      <c r="P61" s="7">
        <v>215.17</v>
      </c>
      <c r="Q61" s="2"/>
      <c r="R61" s="6">
        <f t="shared" si="20"/>
        <v>5.2335893941798592E-4</v>
      </c>
      <c r="S61" s="2"/>
      <c r="T61" s="7">
        <v>206.47594140000001</v>
      </c>
      <c r="U61" s="2"/>
      <c r="V61" s="6">
        <f t="shared" si="21"/>
        <v>4.0198649518436097E-4</v>
      </c>
      <c r="W61" s="2"/>
      <c r="X61" s="7">
        <f t="shared" si="22"/>
        <v>8.6940585999999769</v>
      </c>
      <c r="Y61" s="2"/>
      <c r="Z61" s="6">
        <f t="shared" si="23"/>
        <v>4.2106884419803772E-2</v>
      </c>
    </row>
    <row r="62" spans="1:26" s="24" customFormat="1" hidden="1" outlineLevel="2" x14ac:dyDescent="0.25">
      <c r="A62" s="26"/>
      <c r="B62" s="11" t="str">
        <f>CONCATENATE("          ", "6115", " - ", "P.E.R.S.")</f>
        <v xml:space="preserve">          6115 - P.E.R.S.</v>
      </c>
      <c r="C62" s="11"/>
      <c r="D62" s="7">
        <v>425.19</v>
      </c>
      <c r="E62" s="2"/>
      <c r="F62" s="6">
        <f t="shared" si="16"/>
        <v>6.0896017461470033E-2</v>
      </c>
      <c r="G62" s="2"/>
      <c r="H62" s="7">
        <v>196.01527507692302</v>
      </c>
      <c r="I62" s="2"/>
      <c r="J62" s="6">
        <f t="shared" si="17"/>
        <v>4.9552613968936732E-3</v>
      </c>
      <c r="K62" s="2"/>
      <c r="L62" s="7">
        <f t="shared" si="18"/>
        <v>229.17472492307698</v>
      </c>
      <c r="M62" s="2"/>
      <c r="N62" s="6">
        <f t="shared" si="19"/>
        <v>1.1691676826366775</v>
      </c>
      <c r="O62" s="11"/>
      <c r="P62" s="7">
        <v>2838.73</v>
      </c>
      <c r="Q62" s="2"/>
      <c r="R62" s="6">
        <f t="shared" si="20"/>
        <v>6.9046554914440643E-3</v>
      </c>
      <c r="S62" s="2"/>
      <c r="T62" s="7">
        <v>2352.1833009230772</v>
      </c>
      <c r="U62" s="2"/>
      <c r="V62" s="6">
        <f t="shared" si="21"/>
        <v>4.5794484081681432E-3</v>
      </c>
      <c r="W62" s="2"/>
      <c r="X62" s="7">
        <f t="shared" si="22"/>
        <v>486.54669907692278</v>
      </c>
      <c r="Y62" s="2"/>
      <c r="Z62" s="6">
        <f t="shared" si="23"/>
        <v>0.20684897256348397</v>
      </c>
    </row>
    <row r="63" spans="1:26" s="24" customFormat="1" hidden="1" outlineLevel="2" x14ac:dyDescent="0.25">
      <c r="A63" s="26"/>
      <c r="B63" s="11" t="str">
        <f>CONCATENATE("          ", "6116", " - ", "EDUCATIONAL BENEFITS")</f>
        <v xml:space="preserve">          6116 - EDUCATIONAL BENEFITS</v>
      </c>
      <c r="C63" s="11"/>
      <c r="D63" s="7"/>
      <c r="E63" s="2"/>
      <c r="F63" s="6">
        <f t="shared" si="16"/>
        <v>0</v>
      </c>
      <c r="G63" s="2"/>
      <c r="H63" s="7">
        <v>0</v>
      </c>
      <c r="I63" s="2"/>
      <c r="J63" s="6">
        <f t="shared" si="17"/>
        <v>0</v>
      </c>
      <c r="K63" s="2"/>
      <c r="L63" s="7">
        <f t="shared" si="18"/>
        <v>0</v>
      </c>
      <c r="M63" s="2"/>
      <c r="N63" s="6">
        <f t="shared" si="19"/>
        <v>0</v>
      </c>
      <c r="O63" s="11"/>
      <c r="P63" s="7"/>
      <c r="Q63" s="2"/>
      <c r="R63" s="6">
        <f t="shared" si="20"/>
        <v>0</v>
      </c>
      <c r="S63" s="2"/>
      <c r="T63" s="7">
        <v>0</v>
      </c>
      <c r="U63" s="2"/>
      <c r="V63" s="6">
        <f t="shared" si="21"/>
        <v>0</v>
      </c>
      <c r="W63" s="2"/>
      <c r="X63" s="7">
        <f t="shared" si="22"/>
        <v>0</v>
      </c>
      <c r="Y63" s="2"/>
      <c r="Z63" s="6">
        <f t="shared" si="23"/>
        <v>0</v>
      </c>
    </row>
    <row r="64" spans="1:26" s="24" customFormat="1" hidden="1" outlineLevel="2" x14ac:dyDescent="0.25">
      <c r="A64" s="26"/>
      <c r="B64" s="11" t="str">
        <f>CONCATENATE("          ", "6117", " - ", "RETIREMENT STAFF HOURLY")</f>
        <v xml:space="preserve">          6117 - RETIREMENT STAFF HOURLY</v>
      </c>
      <c r="C64" s="11"/>
      <c r="D64" s="7"/>
      <c r="E64" s="2"/>
      <c r="F64" s="6">
        <f t="shared" si="16"/>
        <v>0</v>
      </c>
      <c r="G64" s="2"/>
      <c r="H64" s="7"/>
      <c r="I64" s="2"/>
      <c r="J64" s="6">
        <f t="shared" si="17"/>
        <v>0</v>
      </c>
      <c r="K64" s="2"/>
      <c r="L64" s="7">
        <f t="shared" si="18"/>
        <v>0</v>
      </c>
      <c r="M64" s="2"/>
      <c r="N64" s="6">
        <f t="shared" si="19"/>
        <v>0</v>
      </c>
      <c r="O64" s="11"/>
      <c r="P64" s="7">
        <v>46.65</v>
      </c>
      <c r="Q64" s="2"/>
      <c r="R64" s="6">
        <f t="shared" si="20"/>
        <v>1.1346700062206183E-4</v>
      </c>
      <c r="S64" s="2"/>
      <c r="T64" s="7"/>
      <c r="U64" s="2"/>
      <c r="V64" s="6">
        <f t="shared" si="21"/>
        <v>0</v>
      </c>
      <c r="W64" s="2"/>
      <c r="X64" s="7">
        <f t="shared" si="22"/>
        <v>46.65</v>
      </c>
      <c r="Y64" s="2"/>
      <c r="Z64" s="6">
        <f t="shared" si="23"/>
        <v>0</v>
      </c>
    </row>
    <row r="65" spans="1:26" s="24" customFormat="1" hidden="1" outlineLevel="2" x14ac:dyDescent="0.25">
      <c r="A65" s="26"/>
      <c r="B65" s="11" t="str">
        <f>CONCATENATE("          ", "6118", " - ", "VACATION")</f>
        <v xml:space="preserve">          6118 - VACATION</v>
      </c>
      <c r="C65" s="11"/>
      <c r="D65" s="7">
        <v>335.92</v>
      </c>
      <c r="E65" s="2"/>
      <c r="F65" s="6">
        <f t="shared" si="16"/>
        <v>4.8110703886867084E-2</v>
      </c>
      <c r="G65" s="2"/>
      <c r="H65" s="7">
        <v>113.962369230769</v>
      </c>
      <c r="I65" s="2"/>
      <c r="J65" s="6">
        <f t="shared" si="17"/>
        <v>2.8809659284265488E-3</v>
      </c>
      <c r="K65" s="2"/>
      <c r="L65" s="7">
        <f t="shared" si="18"/>
        <v>221.957630769231</v>
      </c>
      <c r="M65" s="2"/>
      <c r="N65" s="6">
        <f t="shared" si="19"/>
        <v>1.9476396662110116</v>
      </c>
      <c r="O65" s="11"/>
      <c r="P65" s="7">
        <v>2413.56</v>
      </c>
      <c r="Q65" s="2"/>
      <c r="R65" s="6">
        <f t="shared" si="20"/>
        <v>5.8705126263962175E-3</v>
      </c>
      <c r="S65" s="2"/>
      <c r="T65" s="7">
        <v>1367.5484307692311</v>
      </c>
      <c r="U65" s="2"/>
      <c r="V65" s="6">
        <f t="shared" si="21"/>
        <v>2.662470004748921E-3</v>
      </c>
      <c r="W65" s="2"/>
      <c r="X65" s="7">
        <f t="shared" si="22"/>
        <v>1046.0115692307688</v>
      </c>
      <c r="Y65" s="2"/>
      <c r="Z65" s="6">
        <f t="shared" si="23"/>
        <v>0.76488082300851212</v>
      </c>
    </row>
    <row r="66" spans="1:26" s="24" customFormat="1" hidden="1" outlineLevel="2" x14ac:dyDescent="0.25">
      <c r="A66" s="26"/>
      <c r="B66" s="11" t="str">
        <f>CONCATENATE("          ", "6119", " - ", "SICK LEAVE")</f>
        <v xml:space="preserve">          6119 - SICK LEAVE</v>
      </c>
      <c r="C66" s="11"/>
      <c r="D66" s="7">
        <v>191.88</v>
      </c>
      <c r="E66" s="2"/>
      <c r="F66" s="6">
        <f t="shared" si="16"/>
        <v>2.7481191539092804E-2</v>
      </c>
      <c r="G66" s="2"/>
      <c r="H66" s="7">
        <v>109.36567153846201</v>
      </c>
      <c r="I66" s="2"/>
      <c r="J66" s="6">
        <f t="shared" si="17"/>
        <v>2.764761522321258E-3</v>
      </c>
      <c r="K66" s="2"/>
      <c r="L66" s="7">
        <f t="shared" si="18"/>
        <v>82.514328461537986</v>
      </c>
      <c r="M66" s="2"/>
      <c r="N66" s="6">
        <f t="shared" si="19"/>
        <v>0.75448106614075083</v>
      </c>
      <c r="O66" s="11"/>
      <c r="P66" s="7">
        <v>-6474.83</v>
      </c>
      <c r="Q66" s="2"/>
      <c r="R66" s="6">
        <f t="shared" si="20"/>
        <v>-1.5748757548504709E-2</v>
      </c>
      <c r="S66" s="2"/>
      <c r="T66" s="7">
        <v>1341.1576084615419</v>
      </c>
      <c r="U66" s="2"/>
      <c r="V66" s="6">
        <f t="shared" si="21"/>
        <v>2.6110899064548092E-3</v>
      </c>
      <c r="W66" s="2"/>
      <c r="X66" s="7">
        <f t="shared" si="22"/>
        <v>-7815.9876084615416</v>
      </c>
      <c r="Y66" s="2"/>
      <c r="Z66" s="6">
        <f t="shared" si="23"/>
        <v>-5.8277920202289684</v>
      </c>
    </row>
    <row r="67" spans="1:26" s="24" customFormat="1" hidden="1" outlineLevel="2" x14ac:dyDescent="0.25">
      <c r="A67" s="26"/>
      <c r="B67" s="11" t="str">
        <f>CONCATENATE("          ", "6156", " - ", "EMPLOYEE MEALS")</f>
        <v xml:space="preserve">          6156 - EMPLOYEE MEALS</v>
      </c>
      <c r="C67" s="11"/>
      <c r="D67" s="7">
        <v>96</v>
      </c>
      <c r="E67" s="2"/>
      <c r="F67" s="6">
        <f t="shared" si="16"/>
        <v>1.3749189012679328E-2</v>
      </c>
      <c r="G67" s="2"/>
      <c r="H67" s="7"/>
      <c r="I67" s="2"/>
      <c r="J67" s="6">
        <f t="shared" si="17"/>
        <v>0</v>
      </c>
      <c r="K67" s="2"/>
      <c r="L67" s="7">
        <f t="shared" si="18"/>
        <v>96</v>
      </c>
      <c r="M67" s="2"/>
      <c r="N67" s="6">
        <f t="shared" si="19"/>
        <v>0</v>
      </c>
      <c r="O67" s="11"/>
      <c r="P67" s="7">
        <v>484.85</v>
      </c>
      <c r="Q67" s="2"/>
      <c r="R67" s="6">
        <f t="shared" si="20"/>
        <v>1.1793027921030372E-3</v>
      </c>
      <c r="S67" s="2"/>
      <c r="T67" s="7"/>
      <c r="U67" s="2"/>
      <c r="V67" s="6">
        <f t="shared" si="21"/>
        <v>0</v>
      </c>
      <c r="W67" s="2"/>
      <c r="X67" s="7">
        <f t="shared" si="22"/>
        <v>484.85</v>
      </c>
      <c r="Y67" s="2"/>
      <c r="Z67" s="6">
        <f t="shared" si="23"/>
        <v>0</v>
      </c>
    </row>
    <row r="68" spans="1:26" s="27" customFormat="1" outlineLevel="1" collapsed="1" x14ac:dyDescent="0.25">
      <c r="A68" s="25"/>
      <c r="B68" s="12" t="str">
        <f>CONCATENATE("     ","*Payroll                                          ")</f>
        <v xml:space="preserve">     *Payroll                                          </v>
      </c>
      <c r="C68" s="12"/>
      <c r="D68" s="1">
        <f>SUM(OSRRefD22_1x_0)</f>
        <v>3952</v>
      </c>
      <c r="E68" s="1"/>
      <c r="F68" s="5">
        <f t="shared" ref="F68:F78" si="24">IF(D$12=0,0,D68/D$12)</f>
        <v>0.56600828102196565</v>
      </c>
      <c r="G68" s="1"/>
      <c r="H68" s="1">
        <f>SUM(OSRRefH22_1x_0)</f>
        <v>6195.7325938461499</v>
      </c>
      <c r="I68" s="1"/>
      <c r="J68" s="5">
        <f t="shared" ref="J68:J78" si="25">IF(H$12=0,0,H68/H$12)</f>
        <v>0.15662796960957984</v>
      </c>
      <c r="K68" s="1"/>
      <c r="L68" s="1">
        <f t="shared" ref="L68:L78" si="26">+D68-H68</f>
        <v>-2243.7325938461499</v>
      </c>
      <c r="M68" s="1"/>
      <c r="N68" s="5">
        <f t="shared" ref="N68:N78" si="27">IF(H68=0,0,L68/H68)</f>
        <v>-0.36214161277307466</v>
      </c>
      <c r="O68" s="12"/>
      <c r="P68" s="1">
        <f>SUM(OSRRefP22_1x_0)</f>
        <v>78978.859999999986</v>
      </c>
      <c r="Q68" s="1"/>
      <c r="R68" s="5">
        <f t="shared" ref="R68:R78" si="28">IF(P$12=0,0,P68/P$12)</f>
        <v>0.19210062929795785</v>
      </c>
      <c r="S68" s="1"/>
      <c r="T68" s="1">
        <f>SUM(OSRRefT22_1x_0)</f>
        <v>77225.746126153812</v>
      </c>
      <c r="U68" s="1"/>
      <c r="V68" s="5">
        <f t="shared" ref="V68:V78" si="29">IF(T$12=0,0,T68/T$12)</f>
        <v>0.15035023844792511</v>
      </c>
      <c r="W68" s="1"/>
      <c r="X68" s="1">
        <f t="shared" ref="X68:X78" si="30">+P68-T68</f>
        <v>1753.1138738461741</v>
      </c>
      <c r="Y68" s="1"/>
      <c r="Z68" s="5">
        <f t="shared" ref="Z68:Z78" si="31">IF(T68=0,0,X68/T68)</f>
        <v>2.2701158121312761E-2</v>
      </c>
    </row>
    <row r="69" spans="1:26" s="24" customFormat="1" hidden="1" outlineLevel="2" x14ac:dyDescent="0.25">
      <c r="A69" s="26"/>
      <c r="B69" s="11" t="str">
        <f>CONCATENATE("          ", "6001", " - ", "ADMINISTRATIVE SALARIES")</f>
        <v xml:space="preserve">          6001 - ADMINISTRATIVE SALARIES</v>
      </c>
      <c r="C69" s="11"/>
      <c r="D69" s="7"/>
      <c r="E69" s="2"/>
      <c r="F69" s="6">
        <f t="shared" si="24"/>
        <v>0</v>
      </c>
      <c r="G69" s="2"/>
      <c r="H69" s="7">
        <v>2096.9075938461501</v>
      </c>
      <c r="I69" s="2"/>
      <c r="J69" s="6">
        <f t="shared" si="25"/>
        <v>5.3009773083048516E-2</v>
      </c>
      <c r="K69" s="2"/>
      <c r="L69" s="7">
        <f t="shared" si="26"/>
        <v>-2096.9075938461501</v>
      </c>
      <c r="M69" s="2"/>
      <c r="N69" s="6">
        <f t="shared" si="27"/>
        <v>-1</v>
      </c>
      <c r="O69" s="11"/>
      <c r="P69" s="7"/>
      <c r="Q69" s="2"/>
      <c r="R69" s="6">
        <f t="shared" si="28"/>
        <v>0</v>
      </c>
      <c r="S69" s="2"/>
      <c r="T69" s="7">
        <v>25162.891126153809</v>
      </c>
      <c r="U69" s="2"/>
      <c r="V69" s="6">
        <f t="shared" si="29"/>
        <v>4.8989448087380059E-2</v>
      </c>
      <c r="W69" s="2"/>
      <c r="X69" s="7">
        <f t="shared" si="30"/>
        <v>-25162.891126153809</v>
      </c>
      <c r="Y69" s="2"/>
      <c r="Z69" s="6">
        <f t="shared" si="31"/>
        <v>-1</v>
      </c>
    </row>
    <row r="70" spans="1:26" s="24" customFormat="1" hidden="1" outlineLevel="2" x14ac:dyDescent="0.25">
      <c r="A70" s="26"/>
      <c r="B70" s="11" t="str">
        <f>CONCATENATE("          ", "6002", " - ", "STAFF SALARIES")</f>
        <v xml:space="preserve">          6002 - STAFF SALARIES</v>
      </c>
      <c r="C70" s="11"/>
      <c r="D70" s="7">
        <v>3952</v>
      </c>
      <c r="E70" s="2"/>
      <c r="F70" s="6">
        <f t="shared" si="24"/>
        <v>0.56600828102196565</v>
      </c>
      <c r="G70" s="2"/>
      <c r="H70" s="7">
        <v>0</v>
      </c>
      <c r="I70" s="2"/>
      <c r="J70" s="6">
        <f t="shared" si="25"/>
        <v>0</v>
      </c>
      <c r="K70" s="2"/>
      <c r="L70" s="7">
        <f t="shared" si="26"/>
        <v>3952</v>
      </c>
      <c r="M70" s="2"/>
      <c r="N70" s="6">
        <f t="shared" si="27"/>
        <v>0</v>
      </c>
      <c r="O70" s="11"/>
      <c r="P70" s="7">
        <v>34777.009999999995</v>
      </c>
      <c r="Q70" s="2"/>
      <c r="R70" s="6">
        <f t="shared" si="28"/>
        <v>8.45882747117567E-2</v>
      </c>
      <c r="S70" s="2"/>
      <c r="T70" s="7">
        <v>0</v>
      </c>
      <c r="U70" s="2"/>
      <c r="V70" s="6">
        <f t="shared" si="29"/>
        <v>0</v>
      </c>
      <c r="W70" s="2"/>
      <c r="X70" s="7">
        <f t="shared" si="30"/>
        <v>34777.009999999995</v>
      </c>
      <c r="Y70" s="2"/>
      <c r="Z70" s="6">
        <f t="shared" si="31"/>
        <v>0</v>
      </c>
    </row>
    <row r="71" spans="1:26" s="24" customFormat="1" hidden="1" outlineLevel="2" x14ac:dyDescent="0.25">
      <c r="A71" s="26"/>
      <c r="B71" s="11" t="str">
        <f>CONCATENATE("          ", "6003", " - ", "STAFF HOURLY-9 MONTH")</f>
        <v xml:space="preserve">          6003 - STAFF HOURLY-9 MONTH</v>
      </c>
      <c r="C71" s="11"/>
      <c r="D71" s="7"/>
      <c r="E71" s="2"/>
      <c r="F71" s="6">
        <f t="shared" si="24"/>
        <v>0</v>
      </c>
      <c r="G71" s="2"/>
      <c r="H71" s="7">
        <v>0</v>
      </c>
      <c r="I71" s="2"/>
      <c r="J71" s="6">
        <f t="shared" si="25"/>
        <v>0</v>
      </c>
      <c r="K71" s="2"/>
      <c r="L71" s="7">
        <f t="shared" si="26"/>
        <v>0</v>
      </c>
      <c r="M71" s="2"/>
      <c r="N71" s="6">
        <f t="shared" si="27"/>
        <v>0</v>
      </c>
      <c r="O71" s="11"/>
      <c r="P71" s="7"/>
      <c r="Q71" s="2"/>
      <c r="R71" s="6">
        <f t="shared" si="28"/>
        <v>0</v>
      </c>
      <c r="S71" s="2"/>
      <c r="T71" s="7">
        <v>0</v>
      </c>
      <c r="U71" s="2"/>
      <c r="V71" s="6">
        <f t="shared" si="29"/>
        <v>0</v>
      </c>
      <c r="W71" s="2"/>
      <c r="X71" s="7">
        <f t="shared" si="30"/>
        <v>0</v>
      </c>
      <c r="Y71" s="2"/>
      <c r="Z71" s="6">
        <f t="shared" si="31"/>
        <v>0</v>
      </c>
    </row>
    <row r="72" spans="1:26" s="24" customFormat="1" hidden="1" outlineLevel="2" x14ac:dyDescent="0.25">
      <c r="A72" s="26"/>
      <c r="B72" s="11" t="str">
        <f>CONCATENATE("          ", "6004", " - ", "STAFF HOURLY")</f>
        <v xml:space="preserve">          6004 - STAFF HOURLY</v>
      </c>
      <c r="C72" s="11"/>
      <c r="D72" s="7"/>
      <c r="E72" s="2"/>
      <c r="F72" s="6">
        <f t="shared" si="24"/>
        <v>0</v>
      </c>
      <c r="G72" s="2"/>
      <c r="H72" s="7">
        <v>0</v>
      </c>
      <c r="I72" s="2"/>
      <c r="J72" s="6">
        <f t="shared" si="25"/>
        <v>0</v>
      </c>
      <c r="K72" s="2"/>
      <c r="L72" s="7">
        <f t="shared" si="26"/>
        <v>0</v>
      </c>
      <c r="M72" s="2"/>
      <c r="N72" s="6">
        <f t="shared" si="27"/>
        <v>0</v>
      </c>
      <c r="O72" s="11"/>
      <c r="P72" s="7">
        <v>-48</v>
      </c>
      <c r="Q72" s="2"/>
      <c r="R72" s="6">
        <f t="shared" si="28"/>
        <v>-1.1675061157253951E-4</v>
      </c>
      <c r="S72" s="2"/>
      <c r="T72" s="7">
        <v>0</v>
      </c>
      <c r="U72" s="2"/>
      <c r="V72" s="6">
        <f t="shared" si="29"/>
        <v>0</v>
      </c>
      <c r="W72" s="2"/>
      <c r="X72" s="7">
        <f t="shared" si="30"/>
        <v>-48</v>
      </c>
      <c r="Y72" s="2"/>
      <c r="Z72" s="6">
        <f t="shared" si="31"/>
        <v>0</v>
      </c>
    </row>
    <row r="73" spans="1:26" s="24" customFormat="1" hidden="1" outlineLevel="2" x14ac:dyDescent="0.25">
      <c r="A73" s="26"/>
      <c r="B73" s="11" t="str">
        <f>CONCATENATE("          ", "6005", " - ", "TEMPORARY WAGES-HOURLY")</f>
        <v xml:space="preserve">          6005 - TEMPORARY WAGES-HOURLY</v>
      </c>
      <c r="C73" s="11"/>
      <c r="D73" s="7"/>
      <c r="E73" s="2"/>
      <c r="F73" s="6">
        <f t="shared" si="24"/>
        <v>0</v>
      </c>
      <c r="G73" s="2"/>
      <c r="H73" s="7">
        <v>0</v>
      </c>
      <c r="I73" s="2"/>
      <c r="J73" s="6">
        <f t="shared" si="25"/>
        <v>0</v>
      </c>
      <c r="K73" s="2"/>
      <c r="L73" s="7">
        <f t="shared" si="26"/>
        <v>0</v>
      </c>
      <c r="M73" s="2"/>
      <c r="N73" s="6">
        <f t="shared" si="27"/>
        <v>0</v>
      </c>
      <c r="O73" s="11"/>
      <c r="P73" s="7"/>
      <c r="Q73" s="2"/>
      <c r="R73" s="6">
        <f t="shared" si="28"/>
        <v>0</v>
      </c>
      <c r="S73" s="2"/>
      <c r="T73" s="7">
        <v>0</v>
      </c>
      <c r="U73" s="2"/>
      <c r="V73" s="6">
        <f t="shared" si="29"/>
        <v>0</v>
      </c>
      <c r="W73" s="2"/>
      <c r="X73" s="7">
        <f t="shared" si="30"/>
        <v>0</v>
      </c>
      <c r="Y73" s="2"/>
      <c r="Z73" s="6">
        <f t="shared" si="31"/>
        <v>0</v>
      </c>
    </row>
    <row r="74" spans="1:26" s="24" customFormat="1" hidden="1" outlineLevel="2" x14ac:dyDescent="0.25">
      <c r="A74" s="26"/>
      <c r="B74" s="11" t="str">
        <f>CONCATENATE("          ", "6006", " - ", "TEMPORARY PART TIME")</f>
        <v xml:space="preserve">          6006 - TEMPORARY PART TIME</v>
      </c>
      <c r="C74" s="11"/>
      <c r="D74" s="7"/>
      <c r="E74" s="2"/>
      <c r="F74" s="6">
        <f t="shared" si="24"/>
        <v>0</v>
      </c>
      <c r="G74" s="2"/>
      <c r="H74" s="7">
        <v>0</v>
      </c>
      <c r="I74" s="2"/>
      <c r="J74" s="6">
        <f t="shared" si="25"/>
        <v>0</v>
      </c>
      <c r="K74" s="2"/>
      <c r="L74" s="7">
        <f t="shared" si="26"/>
        <v>0</v>
      </c>
      <c r="M74" s="2"/>
      <c r="N74" s="6">
        <f t="shared" si="27"/>
        <v>0</v>
      </c>
      <c r="O74" s="11"/>
      <c r="P74" s="7"/>
      <c r="Q74" s="2"/>
      <c r="R74" s="6">
        <f t="shared" si="28"/>
        <v>0</v>
      </c>
      <c r="S74" s="2"/>
      <c r="T74" s="7">
        <v>0</v>
      </c>
      <c r="U74" s="2"/>
      <c r="V74" s="6">
        <f t="shared" si="29"/>
        <v>0</v>
      </c>
      <c r="W74" s="2"/>
      <c r="X74" s="7">
        <f t="shared" si="30"/>
        <v>0</v>
      </c>
      <c r="Y74" s="2"/>
      <c r="Z74" s="6">
        <f t="shared" si="31"/>
        <v>0</v>
      </c>
    </row>
    <row r="75" spans="1:26" s="24" customFormat="1" hidden="1" outlineLevel="2" x14ac:dyDescent="0.25">
      <c r="A75" s="26"/>
      <c r="B75" s="11" t="str">
        <f>CONCATENATE("          ", "6007", " - ", "STUDENT HOURLY")</f>
        <v xml:space="preserve">          6007 - STUDENT HOURLY</v>
      </c>
      <c r="C75" s="11"/>
      <c r="D75" s="7"/>
      <c r="E75" s="2"/>
      <c r="F75" s="6">
        <f t="shared" si="24"/>
        <v>0</v>
      </c>
      <c r="G75" s="2"/>
      <c r="H75" s="7">
        <v>0</v>
      </c>
      <c r="I75" s="2"/>
      <c r="J75" s="6">
        <f t="shared" si="25"/>
        <v>0</v>
      </c>
      <c r="K75" s="2"/>
      <c r="L75" s="7">
        <f t="shared" si="26"/>
        <v>0</v>
      </c>
      <c r="M75" s="2"/>
      <c r="N75" s="6">
        <f t="shared" si="27"/>
        <v>0</v>
      </c>
      <c r="O75" s="11"/>
      <c r="P75" s="7">
        <v>44249.85</v>
      </c>
      <c r="Q75" s="2"/>
      <c r="R75" s="6">
        <f t="shared" si="28"/>
        <v>0.10762910519777369</v>
      </c>
      <c r="S75" s="2"/>
      <c r="T75" s="7">
        <v>9727.5</v>
      </c>
      <c r="U75" s="2"/>
      <c r="V75" s="6">
        <f t="shared" si="29"/>
        <v>1.8938398369282704E-2</v>
      </c>
      <c r="W75" s="2"/>
      <c r="X75" s="7">
        <f t="shared" si="30"/>
        <v>34522.35</v>
      </c>
      <c r="Y75" s="2"/>
      <c r="Z75" s="6">
        <f t="shared" si="31"/>
        <v>3.5489437162683113</v>
      </c>
    </row>
    <row r="76" spans="1:26" s="24" customFormat="1" hidden="1" outlineLevel="2" x14ac:dyDescent="0.25">
      <c r="A76" s="26"/>
      <c r="B76" s="11" t="str">
        <f>CONCATENATE("          ", "6008", " - ", "STUDENT HOURLY-FICA EXEMPT")</f>
        <v xml:space="preserve">          6008 - STUDENT HOURLY-FICA EXEMPT</v>
      </c>
      <c r="C76" s="11"/>
      <c r="D76" s="7"/>
      <c r="E76" s="2"/>
      <c r="F76" s="6">
        <f t="shared" si="24"/>
        <v>0</v>
      </c>
      <c r="G76" s="2"/>
      <c r="H76" s="7">
        <v>4098.8249999999998</v>
      </c>
      <c r="I76" s="2"/>
      <c r="J76" s="6">
        <f t="shared" si="25"/>
        <v>0.10361819652653133</v>
      </c>
      <c r="K76" s="2"/>
      <c r="L76" s="7">
        <f t="shared" si="26"/>
        <v>-4098.8249999999998</v>
      </c>
      <c r="M76" s="2"/>
      <c r="N76" s="6">
        <f t="shared" si="27"/>
        <v>-1</v>
      </c>
      <c r="O76" s="11"/>
      <c r="P76" s="7"/>
      <c r="Q76" s="2"/>
      <c r="R76" s="6">
        <f t="shared" si="28"/>
        <v>0</v>
      </c>
      <c r="S76" s="2"/>
      <c r="T76" s="7">
        <v>42335.355000000003</v>
      </c>
      <c r="U76" s="2"/>
      <c r="V76" s="6">
        <f t="shared" si="29"/>
        <v>8.2422391991262348E-2</v>
      </c>
      <c r="W76" s="2"/>
      <c r="X76" s="7">
        <f t="shared" si="30"/>
        <v>-42335.355000000003</v>
      </c>
      <c r="Y76" s="2"/>
      <c r="Z76" s="6">
        <f t="shared" si="31"/>
        <v>-1</v>
      </c>
    </row>
    <row r="77" spans="1:26" s="24" customFormat="1" hidden="1" outlineLevel="2" x14ac:dyDescent="0.25">
      <c r="A77" s="26"/>
      <c r="B77" s="11" t="str">
        <f>CONCATENATE("          ", "6009", " - ", "TEMPORARY-SEASONAL")</f>
        <v xml:space="preserve">          6009 - TEMPORARY-SEASONAL</v>
      </c>
      <c r="C77" s="11"/>
      <c r="D77" s="7"/>
      <c r="E77" s="2"/>
      <c r="F77" s="6">
        <f t="shared" si="24"/>
        <v>0</v>
      </c>
      <c r="G77" s="2"/>
      <c r="H77" s="7">
        <v>0</v>
      </c>
      <c r="I77" s="2"/>
      <c r="J77" s="6">
        <f t="shared" si="25"/>
        <v>0</v>
      </c>
      <c r="K77" s="2"/>
      <c r="L77" s="7">
        <f t="shared" si="26"/>
        <v>0</v>
      </c>
      <c r="M77" s="2"/>
      <c r="N77" s="6">
        <f t="shared" si="27"/>
        <v>0</v>
      </c>
      <c r="O77" s="11"/>
      <c r="P77" s="7"/>
      <c r="Q77" s="2"/>
      <c r="R77" s="6">
        <f t="shared" si="28"/>
        <v>0</v>
      </c>
      <c r="S77" s="2"/>
      <c r="T77" s="7">
        <v>0</v>
      </c>
      <c r="U77" s="2"/>
      <c r="V77" s="6">
        <f t="shared" si="29"/>
        <v>0</v>
      </c>
      <c r="W77" s="2"/>
      <c r="X77" s="7">
        <f t="shared" si="30"/>
        <v>0</v>
      </c>
      <c r="Y77" s="2"/>
      <c r="Z77" s="6">
        <f t="shared" si="31"/>
        <v>0</v>
      </c>
    </row>
    <row r="78" spans="1:26" s="24" customFormat="1" hidden="1" outlineLevel="2" x14ac:dyDescent="0.25">
      <c r="A78" s="26"/>
      <c r="B78" s="11" t="str">
        <f>CONCATENATE("          ", "6010", " - ", "GRATUITY")</f>
        <v xml:space="preserve">          6010 - GRATUITY</v>
      </c>
      <c r="C78" s="11"/>
      <c r="D78" s="7"/>
      <c r="E78" s="2"/>
      <c r="F78" s="6">
        <f t="shared" si="24"/>
        <v>0</v>
      </c>
      <c r="G78" s="2"/>
      <c r="H78" s="7">
        <v>0</v>
      </c>
      <c r="I78" s="2"/>
      <c r="J78" s="6">
        <f t="shared" si="25"/>
        <v>0</v>
      </c>
      <c r="K78" s="2"/>
      <c r="L78" s="7">
        <f t="shared" si="26"/>
        <v>0</v>
      </c>
      <c r="M78" s="2"/>
      <c r="N78" s="6">
        <f t="shared" si="27"/>
        <v>0</v>
      </c>
      <c r="O78" s="11"/>
      <c r="P78" s="7"/>
      <c r="Q78" s="2"/>
      <c r="R78" s="6">
        <f t="shared" si="28"/>
        <v>0</v>
      </c>
      <c r="S78" s="2"/>
      <c r="T78" s="7">
        <v>0</v>
      </c>
      <c r="U78" s="2"/>
      <c r="V78" s="6">
        <f t="shared" si="29"/>
        <v>0</v>
      </c>
      <c r="W78" s="2"/>
      <c r="X78" s="7">
        <f t="shared" si="30"/>
        <v>0</v>
      </c>
      <c r="Y78" s="2"/>
      <c r="Z78" s="6">
        <f t="shared" si="31"/>
        <v>0</v>
      </c>
    </row>
    <row r="79" spans="1:26" s="27" customFormat="1" outlineLevel="1" collapsed="1" x14ac:dyDescent="0.25">
      <c r="A79" s="25"/>
      <c r="B79" s="12" t="str">
        <f>CONCATENATE("     ","Advertising/Promo                                 ")</f>
        <v xml:space="preserve">     Advertising/Promo                                 </v>
      </c>
      <c r="C79" s="12"/>
      <c r="D79" s="1">
        <f>SUM(OSRRefD22_2x_0)</f>
        <v>0</v>
      </c>
      <c r="E79" s="1"/>
      <c r="F79" s="5">
        <f t="shared" ref="F79:F83" si="32">IF(D$12=0,0,D79/D$12)</f>
        <v>0</v>
      </c>
      <c r="G79" s="1"/>
      <c r="H79" s="1">
        <f>SUM(OSRRefH22_2x_0)</f>
        <v>80</v>
      </c>
      <c r="I79" s="1"/>
      <c r="J79" s="5">
        <f t="shared" ref="J79:J83" si="33">IF(H$12=0,0,H79/H$12)</f>
        <v>2.022398058497864E-3</v>
      </c>
      <c r="K79" s="1"/>
      <c r="L79" s="1">
        <f t="shared" ref="L79:L83" si="34">+D79-H79</f>
        <v>-80</v>
      </c>
      <c r="M79" s="1"/>
      <c r="N79" s="5">
        <f t="shared" ref="N79:N83" si="35">IF(H79=0,0,L79/H79)</f>
        <v>-1</v>
      </c>
      <c r="O79" s="12"/>
      <c r="P79" s="1">
        <f>SUM(OSRRefP22_2x_0)</f>
        <v>1181.76</v>
      </c>
      <c r="Q79" s="1"/>
      <c r="R79" s="5">
        <f t="shared" ref="R79:R83" si="36">IF(P$12=0,0,P79/P$12)</f>
        <v>2.8744000569159225E-3</v>
      </c>
      <c r="S79" s="1"/>
      <c r="T79" s="1">
        <f>SUM(OSRRefT22_2x_0)</f>
        <v>880</v>
      </c>
      <c r="U79" s="1"/>
      <c r="V79" s="5">
        <f t="shared" ref="V79:V83" si="37">IF(T$12=0,0,T79/T$12)</f>
        <v>1.7132655425308434E-3</v>
      </c>
      <c r="W79" s="1"/>
      <c r="X79" s="1">
        <f t="shared" ref="X79:X83" si="38">+P79-T79</f>
        <v>301.76</v>
      </c>
      <c r="Y79" s="1"/>
      <c r="Z79" s="5">
        <f t="shared" ref="Z79:Z83" si="39">IF(T79=0,0,X79/T79)</f>
        <v>0.34290909090909089</v>
      </c>
    </row>
    <row r="80" spans="1:26" s="24" customFormat="1" hidden="1" outlineLevel="2" x14ac:dyDescent="0.25">
      <c r="A80" s="26"/>
      <c r="B80" s="11" t="str">
        <f>CONCATENATE("          ", "6362", " - ", "ADVERTISING EXPENSE")</f>
        <v xml:space="preserve">          6362 - ADVERTISING EXPENSE</v>
      </c>
      <c r="C80" s="11"/>
      <c r="D80" s="7"/>
      <c r="E80" s="2"/>
      <c r="F80" s="6">
        <f t="shared" si="32"/>
        <v>0</v>
      </c>
      <c r="G80" s="2"/>
      <c r="H80" s="7">
        <v>80</v>
      </c>
      <c r="I80" s="2"/>
      <c r="J80" s="6">
        <f t="shared" si="33"/>
        <v>2.022398058497864E-3</v>
      </c>
      <c r="K80" s="2"/>
      <c r="L80" s="7">
        <f t="shared" si="34"/>
        <v>-80</v>
      </c>
      <c r="M80" s="2"/>
      <c r="N80" s="6">
        <f t="shared" si="35"/>
        <v>-1</v>
      </c>
      <c r="O80" s="11"/>
      <c r="P80" s="7">
        <v>1181.76</v>
      </c>
      <c r="Q80" s="2"/>
      <c r="R80" s="6">
        <f t="shared" si="36"/>
        <v>2.8744000569159225E-3</v>
      </c>
      <c r="S80" s="2"/>
      <c r="T80" s="7">
        <v>880</v>
      </c>
      <c r="U80" s="2"/>
      <c r="V80" s="6">
        <f t="shared" si="37"/>
        <v>1.7132655425308434E-3</v>
      </c>
      <c r="W80" s="2"/>
      <c r="X80" s="7">
        <f t="shared" si="38"/>
        <v>301.76</v>
      </c>
      <c r="Y80" s="2"/>
      <c r="Z80" s="6">
        <f t="shared" si="39"/>
        <v>0.34290909090909089</v>
      </c>
    </row>
    <row r="81" spans="1:26" s="27" customFormat="1" outlineLevel="1" collapsed="1" x14ac:dyDescent="0.25">
      <c r="A81" s="25"/>
      <c r="B81" s="12" t="str">
        <f>CONCATENATE("     ","Discounts and Markdowns                           ")</f>
        <v xml:space="preserve">     Discounts and Markdowns                           </v>
      </c>
      <c r="C81" s="12"/>
      <c r="D81" s="1">
        <f>SUM(OSRRefD22_3x_0)</f>
        <v>1720.37</v>
      </c>
      <c r="E81" s="1"/>
      <c r="F81" s="5">
        <f t="shared" si="32"/>
        <v>0.24639262814315763</v>
      </c>
      <c r="G81" s="1"/>
      <c r="H81" s="1">
        <f>SUM(OSRRefH22_3x_0)</f>
        <v>1250</v>
      </c>
      <c r="I81" s="1"/>
      <c r="J81" s="5">
        <f t="shared" si="33"/>
        <v>3.1599969664029122E-2</v>
      </c>
      <c r="K81" s="1"/>
      <c r="L81" s="1">
        <f t="shared" si="34"/>
        <v>470.36999999999989</v>
      </c>
      <c r="M81" s="1"/>
      <c r="N81" s="5">
        <f t="shared" si="35"/>
        <v>0.37629599999999991</v>
      </c>
      <c r="O81" s="12"/>
      <c r="P81" s="1">
        <f>SUM(OSRRefP22_3x_0)</f>
        <v>11926.59</v>
      </c>
      <c r="Q81" s="1"/>
      <c r="R81" s="5">
        <f t="shared" si="36"/>
        <v>2.9009097426561124E-2</v>
      </c>
      <c r="S81" s="1"/>
      <c r="T81" s="1">
        <f>SUM(OSRRefT22_3x_0)</f>
        <v>13750</v>
      </c>
      <c r="U81" s="1"/>
      <c r="V81" s="5">
        <f t="shared" si="37"/>
        <v>2.6769774102044428E-2</v>
      </c>
      <c r="W81" s="1"/>
      <c r="X81" s="1">
        <f t="shared" si="38"/>
        <v>-1823.4099999999999</v>
      </c>
      <c r="Y81" s="1"/>
      <c r="Z81" s="5">
        <f t="shared" si="39"/>
        <v>-0.13261163636363635</v>
      </c>
    </row>
    <row r="82" spans="1:26" s="24" customFormat="1" hidden="1" outlineLevel="2" x14ac:dyDescent="0.25">
      <c r="A82" s="26"/>
      <c r="B82" s="11" t="str">
        <f>CONCATENATE("          ", "6382", " - ", "DISCOUNTS/MARK DOWNS")</f>
        <v xml:space="preserve">          6382 - DISCOUNTS/MARK DOWNS</v>
      </c>
      <c r="C82" s="11"/>
      <c r="D82" s="7">
        <v>1720.37</v>
      </c>
      <c r="E82" s="2"/>
      <c r="F82" s="6">
        <f t="shared" si="32"/>
        <v>0.24639262814315763</v>
      </c>
      <c r="G82" s="2"/>
      <c r="H82" s="7">
        <v>1250</v>
      </c>
      <c r="I82" s="2"/>
      <c r="J82" s="6">
        <f t="shared" si="33"/>
        <v>3.1599969664029122E-2</v>
      </c>
      <c r="K82" s="2"/>
      <c r="L82" s="7">
        <f t="shared" si="34"/>
        <v>470.36999999999989</v>
      </c>
      <c r="M82" s="2"/>
      <c r="N82" s="6">
        <f t="shared" si="35"/>
        <v>0.37629599999999991</v>
      </c>
      <c r="O82" s="11"/>
      <c r="P82" s="7">
        <v>11926.59</v>
      </c>
      <c r="Q82" s="2"/>
      <c r="R82" s="6">
        <f t="shared" si="36"/>
        <v>2.9009097426561124E-2</v>
      </c>
      <c r="S82" s="2"/>
      <c r="T82" s="7">
        <v>13750</v>
      </c>
      <c r="U82" s="2"/>
      <c r="V82" s="6">
        <f t="shared" si="37"/>
        <v>2.6769774102044428E-2</v>
      </c>
      <c r="W82" s="2"/>
      <c r="X82" s="7">
        <f t="shared" si="38"/>
        <v>-1823.4099999999999</v>
      </c>
      <c r="Y82" s="2"/>
      <c r="Z82" s="6">
        <f t="shared" si="39"/>
        <v>-0.13261163636363635</v>
      </c>
    </row>
    <row r="83" spans="1:26" s="24" customFormat="1" hidden="1" outlineLevel="2" x14ac:dyDescent="0.25">
      <c r="A83" s="26"/>
      <c r="B83" s="11" t="str">
        <f>CONCATENATE("          ", "9175", " - ", "EARNED DISCOUNTS")</f>
        <v xml:space="preserve">          9175 - EARNED DISCOUNTS</v>
      </c>
      <c r="C83" s="11"/>
      <c r="D83" s="7"/>
      <c r="E83" s="2"/>
      <c r="F83" s="6">
        <f t="shared" si="32"/>
        <v>0</v>
      </c>
      <c r="G83" s="2"/>
      <c r="H83" s="7"/>
      <c r="I83" s="2"/>
      <c r="J83" s="6">
        <f t="shared" si="33"/>
        <v>0</v>
      </c>
      <c r="K83" s="2"/>
      <c r="L83" s="7">
        <f t="shared" si="34"/>
        <v>0</v>
      </c>
      <c r="M83" s="2"/>
      <c r="N83" s="6">
        <f t="shared" si="35"/>
        <v>0</v>
      </c>
      <c r="O83" s="11"/>
      <c r="P83" s="7">
        <v>0</v>
      </c>
      <c r="Q83" s="2"/>
      <c r="R83" s="6">
        <f t="shared" si="36"/>
        <v>0</v>
      </c>
      <c r="S83" s="2"/>
      <c r="T83" s="7"/>
      <c r="U83" s="2"/>
      <c r="V83" s="6">
        <f t="shared" si="37"/>
        <v>0</v>
      </c>
      <c r="W83" s="2"/>
      <c r="X83" s="7">
        <f t="shared" si="38"/>
        <v>0</v>
      </c>
      <c r="Y83" s="2"/>
      <c r="Z83" s="6">
        <f t="shared" si="39"/>
        <v>0</v>
      </c>
    </row>
    <row r="84" spans="1:26" s="27" customFormat="1" outlineLevel="1" collapsed="1" x14ac:dyDescent="0.25">
      <c r="A84" s="25"/>
      <c r="B84" s="12" t="str">
        <f>CONCATENATE("     ","Employees' Appreciation                           ")</f>
        <v xml:space="preserve">     Employees' Appreciation                           </v>
      </c>
      <c r="C84" s="12"/>
      <c r="D84" s="1">
        <f>SUM(OSRRefD22_4x_0)</f>
        <v>0</v>
      </c>
      <c r="E84" s="1"/>
      <c r="F84" s="5">
        <f t="shared" ref="F84:F94" si="40">IF(D$12=0,0,D84/D$12)</f>
        <v>0</v>
      </c>
      <c r="G84" s="1"/>
      <c r="H84" s="1">
        <f>SUM(OSRRefH22_4x_0)</f>
        <v>25</v>
      </c>
      <c r="I84" s="1"/>
      <c r="J84" s="5">
        <f t="shared" ref="J84:J94" si="41">IF(H$12=0,0,H84/H$12)</f>
        <v>6.3199939328058242E-4</v>
      </c>
      <c r="K84" s="1"/>
      <c r="L84" s="1">
        <f t="shared" ref="L84:L94" si="42">+D84-H84</f>
        <v>-25</v>
      </c>
      <c r="M84" s="1"/>
      <c r="N84" s="5">
        <f t="shared" ref="N84:N94" si="43">IF(H84=0,0,L84/H84)</f>
        <v>-1</v>
      </c>
      <c r="O84" s="12"/>
      <c r="P84" s="1">
        <f>SUM(OSRRefP22_4x_0)</f>
        <v>0</v>
      </c>
      <c r="Q84" s="1"/>
      <c r="R84" s="5">
        <f t="shared" ref="R84:R94" si="44">IF(P$12=0,0,P84/P$12)</f>
        <v>0</v>
      </c>
      <c r="S84" s="1"/>
      <c r="T84" s="1">
        <f>SUM(OSRRefT22_4x_0)</f>
        <v>275</v>
      </c>
      <c r="U84" s="1"/>
      <c r="V84" s="5">
        <f t="shared" ref="V84:V94" si="45">IF(T$12=0,0,T84/T$12)</f>
        <v>5.3539548204088858E-4</v>
      </c>
      <c r="W84" s="1"/>
      <c r="X84" s="1">
        <f t="shared" ref="X84:X94" si="46">+P84-T84</f>
        <v>-275</v>
      </c>
      <c r="Y84" s="1"/>
      <c r="Z84" s="5">
        <f t="shared" ref="Z84:Z94" si="47">IF(T84=0,0,X84/T84)</f>
        <v>-1</v>
      </c>
    </row>
    <row r="85" spans="1:26" s="24" customFormat="1" hidden="1" outlineLevel="2" x14ac:dyDescent="0.25">
      <c r="A85" s="26"/>
      <c r="B85" s="11" t="str">
        <f>CONCATENATE("          ", "6277", " - ", "EMPLOYEE APPRECIATION")</f>
        <v xml:space="preserve">          6277 - EMPLOYEE APPRECIATION</v>
      </c>
      <c r="C85" s="11"/>
      <c r="D85" s="7"/>
      <c r="E85" s="2"/>
      <c r="F85" s="6">
        <f t="shared" si="40"/>
        <v>0</v>
      </c>
      <c r="G85" s="2"/>
      <c r="H85" s="7">
        <v>25</v>
      </c>
      <c r="I85" s="2"/>
      <c r="J85" s="6">
        <f t="shared" si="41"/>
        <v>6.3199939328058242E-4</v>
      </c>
      <c r="K85" s="2"/>
      <c r="L85" s="7">
        <f t="shared" si="42"/>
        <v>-25</v>
      </c>
      <c r="M85" s="2"/>
      <c r="N85" s="6">
        <f t="shared" si="43"/>
        <v>-1</v>
      </c>
      <c r="O85" s="11"/>
      <c r="P85" s="7"/>
      <c r="Q85" s="2"/>
      <c r="R85" s="6">
        <f t="shared" si="44"/>
        <v>0</v>
      </c>
      <c r="S85" s="2"/>
      <c r="T85" s="7">
        <v>275</v>
      </c>
      <c r="U85" s="2"/>
      <c r="V85" s="6">
        <f t="shared" si="45"/>
        <v>5.3539548204088858E-4</v>
      </c>
      <c r="W85" s="2"/>
      <c r="X85" s="7">
        <f t="shared" si="46"/>
        <v>-275</v>
      </c>
      <c r="Y85" s="2"/>
      <c r="Z85" s="6">
        <f t="shared" si="47"/>
        <v>-1</v>
      </c>
    </row>
    <row r="86" spans="1:26" s="27" customFormat="1" outlineLevel="1" collapsed="1" x14ac:dyDescent="0.25">
      <c r="A86" s="25"/>
      <c r="B86" s="12" t="str">
        <f>CONCATENATE("     ","Freight out/Postage                               ")</f>
        <v xml:space="preserve">     Freight out/Postage                               </v>
      </c>
      <c r="C86" s="12"/>
      <c r="D86" s="1">
        <f>SUM(OSRRefD22_5x_0)</f>
        <v>0</v>
      </c>
      <c r="E86" s="1"/>
      <c r="F86" s="5">
        <f t="shared" si="40"/>
        <v>0</v>
      </c>
      <c r="G86" s="1"/>
      <c r="H86" s="1">
        <f>SUM(OSRRefH22_5x_0)</f>
        <v>0</v>
      </c>
      <c r="I86" s="1"/>
      <c r="J86" s="5">
        <f t="shared" si="41"/>
        <v>0</v>
      </c>
      <c r="K86" s="1"/>
      <c r="L86" s="1">
        <f t="shared" si="42"/>
        <v>0</v>
      </c>
      <c r="M86" s="1"/>
      <c r="N86" s="5">
        <f t="shared" si="43"/>
        <v>0</v>
      </c>
      <c r="O86" s="12"/>
      <c r="P86" s="1">
        <f>SUM(OSRRefP22_5x_0)</f>
        <v>15.81</v>
      </c>
      <c r="Q86" s="1"/>
      <c r="R86" s="5">
        <f t="shared" si="44"/>
        <v>3.84547326867052E-5</v>
      </c>
      <c r="S86" s="1"/>
      <c r="T86" s="1">
        <f>SUM(OSRRefT22_5x_0)</f>
        <v>0</v>
      </c>
      <c r="U86" s="1"/>
      <c r="V86" s="5">
        <f t="shared" si="45"/>
        <v>0</v>
      </c>
      <c r="W86" s="1"/>
      <c r="X86" s="1">
        <f t="shared" si="46"/>
        <v>15.81</v>
      </c>
      <c r="Y86" s="1"/>
      <c r="Z86" s="5">
        <f t="shared" si="47"/>
        <v>0</v>
      </c>
    </row>
    <row r="87" spans="1:26" s="24" customFormat="1" hidden="1" outlineLevel="2" x14ac:dyDescent="0.25">
      <c r="A87" s="26"/>
      <c r="B87" s="11" t="str">
        <f>CONCATENATE("          ", "6305", " - ", "FREIGHT OUT")</f>
        <v xml:space="preserve">          6305 - FREIGHT OUT</v>
      </c>
      <c r="C87" s="11"/>
      <c r="D87" s="7"/>
      <c r="E87" s="2"/>
      <c r="F87" s="6">
        <f t="shared" si="40"/>
        <v>0</v>
      </c>
      <c r="G87" s="2"/>
      <c r="H87" s="7"/>
      <c r="I87" s="2"/>
      <c r="J87" s="6">
        <f t="shared" si="41"/>
        <v>0</v>
      </c>
      <c r="K87" s="2"/>
      <c r="L87" s="7">
        <f t="shared" si="42"/>
        <v>0</v>
      </c>
      <c r="M87" s="2"/>
      <c r="N87" s="6">
        <f t="shared" si="43"/>
        <v>0</v>
      </c>
      <c r="O87" s="11"/>
      <c r="P87" s="7">
        <v>15.81</v>
      </c>
      <c r="Q87" s="2"/>
      <c r="R87" s="6">
        <f t="shared" si="44"/>
        <v>3.84547326867052E-5</v>
      </c>
      <c r="S87" s="2"/>
      <c r="T87" s="7"/>
      <c r="U87" s="2"/>
      <c r="V87" s="6">
        <f t="shared" si="45"/>
        <v>0</v>
      </c>
      <c r="W87" s="2"/>
      <c r="X87" s="7">
        <f t="shared" si="46"/>
        <v>15.81</v>
      </c>
      <c r="Y87" s="2"/>
      <c r="Z87" s="6">
        <f t="shared" si="47"/>
        <v>0</v>
      </c>
    </row>
    <row r="88" spans="1:26" s="27" customFormat="1" outlineLevel="1" collapsed="1" x14ac:dyDescent="0.25">
      <c r="A88" s="25"/>
      <c r="B88" s="12" t="str">
        <f>CONCATENATE("     ","General                                           ")</f>
        <v xml:space="preserve">     General                                           </v>
      </c>
      <c r="C88" s="12"/>
      <c r="D88" s="1">
        <f>SUM(OSRRefD22_6x_0)</f>
        <v>0</v>
      </c>
      <c r="E88" s="1"/>
      <c r="F88" s="5">
        <f t="shared" si="40"/>
        <v>0</v>
      </c>
      <c r="G88" s="1"/>
      <c r="H88" s="1">
        <f>SUM(OSRRefH22_6x_0)</f>
        <v>0</v>
      </c>
      <c r="I88" s="1"/>
      <c r="J88" s="5">
        <f t="shared" si="41"/>
        <v>0</v>
      </c>
      <c r="K88" s="1"/>
      <c r="L88" s="1">
        <f t="shared" si="42"/>
        <v>0</v>
      </c>
      <c r="M88" s="1"/>
      <c r="N88" s="5">
        <f t="shared" si="43"/>
        <v>0</v>
      </c>
      <c r="O88" s="12"/>
      <c r="P88" s="1">
        <f>SUM(OSRRefP22_6x_0)</f>
        <v>0</v>
      </c>
      <c r="Q88" s="1"/>
      <c r="R88" s="5">
        <f t="shared" si="44"/>
        <v>0</v>
      </c>
      <c r="S88" s="1"/>
      <c r="T88" s="1">
        <f>SUM(OSRRefT22_6x_0)</f>
        <v>0</v>
      </c>
      <c r="U88" s="1"/>
      <c r="V88" s="5">
        <f t="shared" si="45"/>
        <v>0</v>
      </c>
      <c r="W88" s="1"/>
      <c r="X88" s="1">
        <f t="shared" si="46"/>
        <v>0</v>
      </c>
      <c r="Y88" s="1"/>
      <c r="Z88" s="5">
        <f t="shared" si="47"/>
        <v>0</v>
      </c>
    </row>
    <row r="89" spans="1:26" s="24" customFormat="1" hidden="1" outlineLevel="2" x14ac:dyDescent="0.25">
      <c r="A89" s="26"/>
      <c r="B89" s="11" t="str">
        <f>CONCATENATE("          ", "6279", " - ", "GENERAL EXPENSE")</f>
        <v xml:space="preserve">          6279 - GENERAL EXPENSE</v>
      </c>
      <c r="C89" s="11"/>
      <c r="D89" s="7"/>
      <c r="E89" s="2"/>
      <c r="F89" s="6">
        <f t="shared" si="40"/>
        <v>0</v>
      </c>
      <c r="G89" s="2"/>
      <c r="H89" s="7">
        <v>0</v>
      </c>
      <c r="I89" s="2"/>
      <c r="J89" s="6">
        <f t="shared" si="41"/>
        <v>0</v>
      </c>
      <c r="K89" s="2"/>
      <c r="L89" s="7">
        <f t="shared" si="42"/>
        <v>0</v>
      </c>
      <c r="M89" s="2"/>
      <c r="N89" s="6">
        <f t="shared" si="43"/>
        <v>0</v>
      </c>
      <c r="O89" s="11"/>
      <c r="P89" s="7"/>
      <c r="Q89" s="2"/>
      <c r="R89" s="6">
        <f t="shared" si="44"/>
        <v>0</v>
      </c>
      <c r="S89" s="2"/>
      <c r="T89" s="7">
        <v>0</v>
      </c>
      <c r="U89" s="2"/>
      <c r="V89" s="6">
        <f t="shared" si="45"/>
        <v>0</v>
      </c>
      <c r="W89" s="2"/>
      <c r="X89" s="7">
        <f t="shared" si="46"/>
        <v>0</v>
      </c>
      <c r="Y89" s="2"/>
      <c r="Z89" s="6">
        <f t="shared" si="47"/>
        <v>0</v>
      </c>
    </row>
    <row r="90" spans="1:26" s="27" customFormat="1" outlineLevel="1" collapsed="1" x14ac:dyDescent="0.25">
      <c r="A90" s="25"/>
      <c r="B90" s="12" t="str">
        <f>CONCATENATE("     ","Subscriptions &amp; Dues                              ")</f>
        <v xml:space="preserve">     Subscriptions &amp; Dues                              </v>
      </c>
      <c r="C90" s="12"/>
      <c r="D90" s="1">
        <f>SUM(OSRRefD22_7x_0)</f>
        <v>0</v>
      </c>
      <c r="E90" s="1"/>
      <c r="F90" s="5">
        <f t="shared" si="40"/>
        <v>0</v>
      </c>
      <c r="G90" s="1"/>
      <c r="H90" s="1">
        <f>SUM(OSRRefH22_7x_0)</f>
        <v>0</v>
      </c>
      <c r="I90" s="1"/>
      <c r="J90" s="5">
        <f t="shared" si="41"/>
        <v>0</v>
      </c>
      <c r="K90" s="1"/>
      <c r="L90" s="1">
        <f t="shared" si="42"/>
        <v>0</v>
      </c>
      <c r="M90" s="1"/>
      <c r="N90" s="5">
        <f t="shared" si="43"/>
        <v>0</v>
      </c>
      <c r="O90" s="12"/>
      <c r="P90" s="1">
        <f>SUM(OSRRefP22_7x_0)</f>
        <v>120</v>
      </c>
      <c r="Q90" s="1"/>
      <c r="R90" s="5">
        <f t="shared" si="44"/>
        <v>2.9187652893134875E-4</v>
      </c>
      <c r="S90" s="1"/>
      <c r="T90" s="1">
        <f>SUM(OSRRefT22_7x_0)</f>
        <v>0</v>
      </c>
      <c r="U90" s="1"/>
      <c r="V90" s="5">
        <f t="shared" si="45"/>
        <v>0</v>
      </c>
      <c r="W90" s="1"/>
      <c r="X90" s="1">
        <f t="shared" si="46"/>
        <v>120</v>
      </c>
      <c r="Y90" s="1"/>
      <c r="Z90" s="5">
        <f t="shared" si="47"/>
        <v>0</v>
      </c>
    </row>
    <row r="91" spans="1:26" s="24" customFormat="1" hidden="1" outlineLevel="2" x14ac:dyDescent="0.25">
      <c r="A91" s="26"/>
      <c r="B91" s="11" t="str">
        <f>CONCATENATE("          ", "6258", " - ", "MEMBERSHIP DUES")</f>
        <v xml:space="preserve">          6258 - MEMBERSHIP DUES</v>
      </c>
      <c r="C91" s="11"/>
      <c r="D91" s="7"/>
      <c r="E91" s="2"/>
      <c r="F91" s="6">
        <f t="shared" si="40"/>
        <v>0</v>
      </c>
      <c r="G91" s="2"/>
      <c r="H91" s="7"/>
      <c r="I91" s="2"/>
      <c r="J91" s="6">
        <f t="shared" si="41"/>
        <v>0</v>
      </c>
      <c r="K91" s="2"/>
      <c r="L91" s="7">
        <f t="shared" si="42"/>
        <v>0</v>
      </c>
      <c r="M91" s="2"/>
      <c r="N91" s="6">
        <f t="shared" si="43"/>
        <v>0</v>
      </c>
      <c r="O91" s="11"/>
      <c r="P91" s="7">
        <v>120</v>
      </c>
      <c r="Q91" s="2"/>
      <c r="R91" s="6">
        <f t="shared" si="44"/>
        <v>2.9187652893134875E-4</v>
      </c>
      <c r="S91" s="2"/>
      <c r="T91" s="7"/>
      <c r="U91" s="2"/>
      <c r="V91" s="6">
        <f t="shared" si="45"/>
        <v>0</v>
      </c>
      <c r="W91" s="2"/>
      <c r="X91" s="7">
        <f t="shared" si="46"/>
        <v>120</v>
      </c>
      <c r="Y91" s="2"/>
      <c r="Z91" s="6">
        <f t="shared" si="47"/>
        <v>0</v>
      </c>
    </row>
    <row r="92" spans="1:26" s="27" customFormat="1" outlineLevel="1" collapsed="1" x14ac:dyDescent="0.25">
      <c r="A92" s="25"/>
      <c r="B92" s="12" t="str">
        <f>CONCATENATE("     ","Supplies                                          ")</f>
        <v xml:space="preserve">     Supplies                                          </v>
      </c>
      <c r="C92" s="12"/>
      <c r="D92" s="1">
        <f>SUM(OSRRefD22_8x_0)</f>
        <v>0</v>
      </c>
      <c r="E92" s="1"/>
      <c r="F92" s="5">
        <f t="shared" si="40"/>
        <v>0</v>
      </c>
      <c r="G92" s="1"/>
      <c r="H92" s="1">
        <f>SUM(OSRRefH22_8x_0)</f>
        <v>75</v>
      </c>
      <c r="I92" s="1"/>
      <c r="J92" s="5">
        <f t="shared" si="41"/>
        <v>1.8959981798417473E-3</v>
      </c>
      <c r="K92" s="1"/>
      <c r="L92" s="1">
        <f t="shared" si="42"/>
        <v>-75</v>
      </c>
      <c r="M92" s="1"/>
      <c r="N92" s="5">
        <f t="shared" si="43"/>
        <v>-1</v>
      </c>
      <c r="O92" s="12"/>
      <c r="P92" s="1">
        <f>SUM(OSRRefP22_8x_0)</f>
        <v>355.52</v>
      </c>
      <c r="Q92" s="1"/>
      <c r="R92" s="5">
        <f t="shared" si="44"/>
        <v>8.647328630472759E-4</v>
      </c>
      <c r="S92" s="1"/>
      <c r="T92" s="1">
        <f>SUM(OSRRefT22_8x_0)</f>
        <v>825</v>
      </c>
      <c r="U92" s="1"/>
      <c r="V92" s="5">
        <f t="shared" si="45"/>
        <v>1.6061864461226658E-3</v>
      </c>
      <c r="W92" s="1"/>
      <c r="X92" s="1">
        <f t="shared" si="46"/>
        <v>-469.48</v>
      </c>
      <c r="Y92" s="1"/>
      <c r="Z92" s="5">
        <f t="shared" si="47"/>
        <v>-0.56906666666666672</v>
      </c>
    </row>
    <row r="93" spans="1:26" s="24" customFormat="1" hidden="1" outlineLevel="2" x14ac:dyDescent="0.25">
      <c r="A93" s="26"/>
      <c r="B93" s="11" t="str">
        <f>CONCATENATE("          ", "6241", " - ", "OFFICE EXPENSE")</f>
        <v xml:space="preserve">          6241 - OFFICE EXPENSE</v>
      </c>
      <c r="C93" s="11"/>
      <c r="D93" s="7"/>
      <c r="E93" s="2"/>
      <c r="F93" s="6">
        <f t="shared" si="40"/>
        <v>0</v>
      </c>
      <c r="G93" s="2"/>
      <c r="H93" s="7">
        <v>75</v>
      </c>
      <c r="I93" s="2"/>
      <c r="J93" s="6">
        <f t="shared" si="41"/>
        <v>1.8959981798417473E-3</v>
      </c>
      <c r="K93" s="2"/>
      <c r="L93" s="7">
        <f t="shared" si="42"/>
        <v>-75</v>
      </c>
      <c r="M93" s="2"/>
      <c r="N93" s="6">
        <f t="shared" si="43"/>
        <v>-1</v>
      </c>
      <c r="O93" s="11"/>
      <c r="P93" s="7">
        <v>252.29</v>
      </c>
      <c r="Q93" s="2"/>
      <c r="R93" s="6">
        <f t="shared" si="44"/>
        <v>6.1364607903408312E-4</v>
      </c>
      <c r="S93" s="2"/>
      <c r="T93" s="7">
        <v>825</v>
      </c>
      <c r="U93" s="2"/>
      <c r="V93" s="6">
        <f t="shared" si="45"/>
        <v>1.6061864461226658E-3</v>
      </c>
      <c r="W93" s="2"/>
      <c r="X93" s="7">
        <f t="shared" si="46"/>
        <v>-572.71</v>
      </c>
      <c r="Y93" s="2"/>
      <c r="Z93" s="6">
        <f t="shared" si="47"/>
        <v>-0.69419393939393947</v>
      </c>
    </row>
    <row r="94" spans="1:26" s="24" customFormat="1" hidden="1" outlineLevel="2" x14ac:dyDescent="0.25">
      <c r="A94" s="26"/>
      <c r="B94" s="11" t="str">
        <f>CONCATENATE("          ", "6247", " - ", "STORE SUPPLIES")</f>
        <v xml:space="preserve">          6247 - STORE SUPPLIES</v>
      </c>
      <c r="C94" s="11"/>
      <c r="D94" s="7"/>
      <c r="E94" s="2"/>
      <c r="F94" s="6">
        <f t="shared" si="40"/>
        <v>0</v>
      </c>
      <c r="G94" s="2"/>
      <c r="H94" s="7"/>
      <c r="I94" s="2"/>
      <c r="J94" s="6">
        <f t="shared" si="41"/>
        <v>0</v>
      </c>
      <c r="K94" s="2"/>
      <c r="L94" s="7">
        <f t="shared" si="42"/>
        <v>0</v>
      </c>
      <c r="M94" s="2"/>
      <c r="N94" s="6">
        <f t="shared" si="43"/>
        <v>0</v>
      </c>
      <c r="O94" s="11"/>
      <c r="P94" s="7">
        <v>103.23</v>
      </c>
      <c r="Q94" s="2"/>
      <c r="R94" s="6">
        <f t="shared" si="44"/>
        <v>2.5108678401319277E-4</v>
      </c>
      <c r="S94" s="2"/>
      <c r="T94" s="7"/>
      <c r="U94" s="2"/>
      <c r="V94" s="6">
        <f t="shared" si="45"/>
        <v>0</v>
      </c>
      <c r="W94" s="2"/>
      <c r="X94" s="7">
        <f t="shared" si="46"/>
        <v>103.23</v>
      </c>
      <c r="Y94" s="2"/>
      <c r="Z94" s="6">
        <f t="shared" si="47"/>
        <v>0</v>
      </c>
    </row>
    <row r="95" spans="1:26" s="27" customFormat="1" outlineLevel="1" collapsed="1" x14ac:dyDescent="0.25">
      <c r="A95" s="25"/>
      <c r="B95" s="12" t="str">
        <f>CONCATENATE("     ","Training                                          ")</f>
        <v xml:space="preserve">     Training                                          </v>
      </c>
      <c r="C95" s="12"/>
      <c r="D95" s="1">
        <f>SUM(OSRRefD22_9x_0)</f>
        <v>0</v>
      </c>
      <c r="E95" s="1"/>
      <c r="F95" s="5">
        <f t="shared" ref="F95:F98" si="48">IF(D$12=0,0,D95/D$12)</f>
        <v>0</v>
      </c>
      <c r="G95" s="1"/>
      <c r="H95" s="1">
        <f>SUM(OSRRefH22_9x_0)</f>
        <v>0</v>
      </c>
      <c r="I95" s="1"/>
      <c r="J95" s="5">
        <f t="shared" ref="J95:J98" si="49">IF(H$12=0,0,H95/H$12)</f>
        <v>0</v>
      </c>
      <c r="K95" s="1"/>
      <c r="L95" s="1">
        <f t="shared" ref="L95:L98" si="50">+D95-H95</f>
        <v>0</v>
      </c>
      <c r="M95" s="1"/>
      <c r="N95" s="5">
        <f t="shared" ref="N95:N98" si="51">IF(H95=0,0,L95/H95)</f>
        <v>0</v>
      </c>
      <c r="O95" s="12"/>
      <c r="P95" s="1">
        <f>SUM(OSRRefP22_9x_0)</f>
        <v>60</v>
      </c>
      <c r="Q95" s="1"/>
      <c r="R95" s="5">
        <f t="shared" ref="R95:R98" si="52">IF(P$12=0,0,P95/P$12)</f>
        <v>1.4593826446567437E-4</v>
      </c>
      <c r="S95" s="1"/>
      <c r="T95" s="1">
        <f>SUM(OSRRefT22_9x_0)</f>
        <v>0</v>
      </c>
      <c r="U95" s="1"/>
      <c r="V95" s="5">
        <f t="shared" ref="V95:V98" si="53">IF(T$12=0,0,T95/T$12)</f>
        <v>0</v>
      </c>
      <c r="W95" s="1"/>
      <c r="X95" s="1">
        <f t="shared" ref="X95:X98" si="54">+P95-T95</f>
        <v>60</v>
      </c>
      <c r="Y95" s="1"/>
      <c r="Z95" s="5">
        <f t="shared" ref="Z95:Z98" si="55">IF(T95=0,0,X95/T95)</f>
        <v>0</v>
      </c>
    </row>
    <row r="96" spans="1:26" s="24" customFormat="1" hidden="1" outlineLevel="2" x14ac:dyDescent="0.25">
      <c r="A96" s="26"/>
      <c r="B96" s="11" t="str">
        <f>CONCATENATE("          ", "6376", " - ", "TRAINING")</f>
        <v xml:space="preserve">          6376 - TRAINING</v>
      </c>
      <c r="C96" s="11"/>
      <c r="D96" s="7"/>
      <c r="E96" s="2"/>
      <c r="F96" s="6">
        <f t="shared" si="48"/>
        <v>0</v>
      </c>
      <c r="G96" s="2"/>
      <c r="H96" s="7"/>
      <c r="I96" s="2"/>
      <c r="J96" s="6">
        <f t="shared" si="49"/>
        <v>0</v>
      </c>
      <c r="K96" s="2"/>
      <c r="L96" s="7">
        <f t="shared" si="50"/>
        <v>0</v>
      </c>
      <c r="M96" s="2"/>
      <c r="N96" s="6">
        <f t="shared" si="51"/>
        <v>0</v>
      </c>
      <c r="O96" s="11"/>
      <c r="P96" s="7">
        <v>60</v>
      </c>
      <c r="Q96" s="2"/>
      <c r="R96" s="6">
        <f t="shared" si="52"/>
        <v>1.4593826446567437E-4</v>
      </c>
      <c r="S96" s="2"/>
      <c r="T96" s="7"/>
      <c r="U96" s="2"/>
      <c r="V96" s="6">
        <f t="shared" si="53"/>
        <v>0</v>
      </c>
      <c r="W96" s="2"/>
      <c r="X96" s="7">
        <f t="shared" si="54"/>
        <v>60</v>
      </c>
      <c r="Y96" s="2"/>
      <c r="Z96" s="6">
        <f t="shared" si="55"/>
        <v>0</v>
      </c>
    </row>
    <row r="97" spans="1:26" s="27" customFormat="1" outlineLevel="1" collapsed="1" x14ac:dyDescent="0.25">
      <c r="A97" s="25"/>
      <c r="B97" s="12" t="str">
        <f>CONCATENATE("     ","Travel                                            ")</f>
        <v xml:space="preserve">     Travel                                            </v>
      </c>
      <c r="C97" s="12"/>
      <c r="D97" s="1">
        <f>SUM(OSRRefD22_10x_0)</f>
        <v>0</v>
      </c>
      <c r="E97" s="1"/>
      <c r="F97" s="5">
        <f t="shared" si="48"/>
        <v>0</v>
      </c>
      <c r="G97" s="1"/>
      <c r="H97" s="1">
        <f>SUM(OSRRefH22_10x_0)</f>
        <v>0</v>
      </c>
      <c r="I97" s="1"/>
      <c r="J97" s="5">
        <f t="shared" si="49"/>
        <v>0</v>
      </c>
      <c r="K97" s="1"/>
      <c r="L97" s="1">
        <f t="shared" si="50"/>
        <v>0</v>
      </c>
      <c r="M97" s="1"/>
      <c r="N97" s="5">
        <f t="shared" si="51"/>
        <v>0</v>
      </c>
      <c r="O97" s="12"/>
      <c r="P97" s="1">
        <f>SUM(OSRRefP22_10x_0)</f>
        <v>-323.01</v>
      </c>
      <c r="Q97" s="1"/>
      <c r="R97" s="5">
        <f t="shared" si="52"/>
        <v>-7.8565864675095808E-4</v>
      </c>
      <c r="S97" s="1"/>
      <c r="T97" s="1">
        <f>SUM(OSRRefT22_10x_0)</f>
        <v>0</v>
      </c>
      <c r="U97" s="1"/>
      <c r="V97" s="5">
        <f t="shared" si="53"/>
        <v>0</v>
      </c>
      <c r="W97" s="1"/>
      <c r="X97" s="1">
        <f t="shared" si="54"/>
        <v>-323.01</v>
      </c>
      <c r="Y97" s="1"/>
      <c r="Z97" s="5">
        <f t="shared" si="55"/>
        <v>0</v>
      </c>
    </row>
    <row r="98" spans="1:26" s="24" customFormat="1" hidden="1" outlineLevel="2" x14ac:dyDescent="0.25">
      <c r="A98" s="26"/>
      <c r="B98" s="11" t="str">
        <f>CONCATENATE("          ", "6292", " - ", "TRAVEL/CONFERENCE")</f>
        <v xml:space="preserve">          6292 - TRAVEL/CONFERENCE</v>
      </c>
      <c r="C98" s="11"/>
      <c r="D98" s="7"/>
      <c r="E98" s="2"/>
      <c r="F98" s="6">
        <f t="shared" si="48"/>
        <v>0</v>
      </c>
      <c r="G98" s="2"/>
      <c r="H98" s="7"/>
      <c r="I98" s="2"/>
      <c r="J98" s="6">
        <f t="shared" si="49"/>
        <v>0</v>
      </c>
      <c r="K98" s="2"/>
      <c r="L98" s="7">
        <f t="shared" si="50"/>
        <v>0</v>
      </c>
      <c r="M98" s="2"/>
      <c r="N98" s="6">
        <f t="shared" si="51"/>
        <v>0</v>
      </c>
      <c r="O98" s="11"/>
      <c r="P98" s="7">
        <v>-323.01</v>
      </c>
      <c r="Q98" s="2"/>
      <c r="R98" s="6">
        <f t="shared" si="52"/>
        <v>-7.8565864675095808E-4</v>
      </c>
      <c r="S98" s="2"/>
      <c r="T98" s="7"/>
      <c r="U98" s="2"/>
      <c r="V98" s="6">
        <f t="shared" si="53"/>
        <v>0</v>
      </c>
      <c r="W98" s="2"/>
      <c r="X98" s="7">
        <f t="shared" si="54"/>
        <v>-323.01</v>
      </c>
      <c r="Y98" s="2"/>
      <c r="Z98" s="6">
        <f t="shared" si="55"/>
        <v>0</v>
      </c>
    </row>
    <row r="99" spans="1:26" s="62" customFormat="1" x14ac:dyDescent="0.25">
      <c r="A99" s="36"/>
      <c r="B99" s="36"/>
      <c r="C99" s="36"/>
      <c r="D99" s="1"/>
      <c r="E99" s="1"/>
      <c r="F99" s="5"/>
      <c r="G99" s="1"/>
      <c r="H99" s="1"/>
      <c r="I99" s="1"/>
      <c r="J99" s="5"/>
      <c r="K99" s="1"/>
      <c r="L99" s="1"/>
      <c r="M99" s="1"/>
      <c r="N99" s="5"/>
      <c r="O99" s="36"/>
      <c r="P99" s="1"/>
      <c r="Q99" s="1"/>
      <c r="R99" s="5"/>
      <c r="S99" s="1"/>
      <c r="T99" s="1"/>
      <c r="U99" s="1"/>
      <c r="V99" s="5"/>
      <c r="W99" s="1"/>
      <c r="X99" s="1"/>
      <c r="Y99" s="1"/>
      <c r="Z99" s="5"/>
    </row>
    <row r="100" spans="1:26" s="23" customFormat="1" x14ac:dyDescent="0.25">
      <c r="A100" s="10"/>
      <c r="B100" s="28" t="s">
        <v>0</v>
      </c>
      <c r="C100" s="10"/>
      <c r="D100" s="4">
        <f>SUM(0)</f>
        <v>0</v>
      </c>
      <c r="E100" s="4"/>
      <c r="F100" s="13">
        <f>IF(D$12=0,0,D100/D$12)</f>
        <v>0</v>
      </c>
      <c r="G100" s="4"/>
      <c r="H100" s="4">
        <f>SUM(0)</f>
        <v>0</v>
      </c>
      <c r="I100" s="4"/>
      <c r="J100" s="13">
        <f>IF(H$12=0,0,H100/H$12)</f>
        <v>0</v>
      </c>
      <c r="K100" s="4"/>
      <c r="L100" s="4">
        <f>+D100-H100</f>
        <v>0</v>
      </c>
      <c r="M100" s="4"/>
      <c r="N100" s="13">
        <f>IF(H100=0,0,L100/H100)</f>
        <v>0</v>
      </c>
      <c r="O100" s="10"/>
      <c r="P100" s="4">
        <f>SUM(0)</f>
        <v>0</v>
      </c>
      <c r="Q100" s="4"/>
      <c r="R100" s="13">
        <f>IF(P$12=0,0,P100/P$12)</f>
        <v>0</v>
      </c>
      <c r="S100" s="4"/>
      <c r="T100" s="4">
        <f>SUM(0)</f>
        <v>0</v>
      </c>
      <c r="U100" s="4"/>
      <c r="V100" s="13">
        <f>IF(T$12=0,0,T100/T$12)</f>
        <v>0</v>
      </c>
      <c r="W100" s="4"/>
      <c r="X100" s="4">
        <f>+P100-T100</f>
        <v>0</v>
      </c>
      <c r="Y100" s="4"/>
      <c r="Z100" s="13">
        <f>IF(T100=0,0,X100/T100)</f>
        <v>0</v>
      </c>
    </row>
    <row r="101" spans="1:26" x14ac:dyDescent="0.25">
      <c r="A101" s="9"/>
      <c r="B101" s="10"/>
      <c r="C101" s="10"/>
      <c r="D101" s="3"/>
      <c r="E101" s="3"/>
      <c r="F101" s="8"/>
      <c r="G101" s="3"/>
      <c r="H101" s="3"/>
      <c r="I101" s="3"/>
      <c r="J101" s="8"/>
      <c r="K101" s="3"/>
      <c r="L101" s="3"/>
      <c r="M101" s="3"/>
      <c r="N101" s="8"/>
      <c r="O101" s="10"/>
      <c r="P101" s="3"/>
      <c r="Q101" s="3"/>
      <c r="R101" s="8"/>
      <c r="S101" s="3"/>
      <c r="T101" s="3"/>
      <c r="U101" s="3"/>
      <c r="V101" s="8"/>
      <c r="W101" s="3"/>
      <c r="X101" s="3"/>
      <c r="Y101" s="3"/>
      <c r="Z101" s="8"/>
    </row>
    <row r="102" spans="1:26" s="23" customFormat="1" x14ac:dyDescent="0.25">
      <c r="A102" s="10"/>
      <c r="B102" s="29" t="s">
        <v>3</v>
      </c>
      <c r="C102" s="29"/>
      <c r="D102" s="20">
        <f>+D54-D56+D100</f>
        <v>-7662.9099999999971</v>
      </c>
      <c r="E102" s="14"/>
      <c r="F102" s="22">
        <f>IF(D$12=0,0,D102/D$12)</f>
        <v>-1.0974874789286511</v>
      </c>
      <c r="G102" s="14"/>
      <c r="H102" s="20">
        <f>+H54-H56+H100</f>
        <v>10234.926924455389</v>
      </c>
      <c r="I102" s="14"/>
      <c r="J102" s="22">
        <f>IF(H$12=0,0,H102/H$12)</f>
        <v>0.25873870426107615</v>
      </c>
      <c r="K102" s="16"/>
      <c r="L102" s="20">
        <f>+D102-H102</f>
        <v>-17897.836924455387</v>
      </c>
      <c r="M102" s="16"/>
      <c r="N102" s="22">
        <f>IF(H102=0,0,L102/H102)</f>
        <v>-1.7487019747732835</v>
      </c>
      <c r="O102" s="28"/>
      <c r="P102" s="20">
        <f>+P54-P56+P100</f>
        <v>104566.27000000008</v>
      </c>
      <c r="Q102" s="14"/>
      <c r="R102" s="22">
        <f>IF(P$12=0,0,P102/P$12)</f>
        <v>0.25433699942415205</v>
      </c>
      <c r="S102" s="14"/>
      <c r="T102" s="20">
        <f>+T54-T56+T100</f>
        <v>140366.61074046473</v>
      </c>
      <c r="U102" s="14"/>
      <c r="V102" s="22">
        <f>IF(T$12=0,0,T102/T$12)</f>
        <v>0.2732787244357705</v>
      </c>
      <c r="W102" s="16"/>
      <c r="X102" s="20">
        <f>+P102-T102</f>
        <v>-35800.340740464657</v>
      </c>
      <c r="Y102" s="16"/>
      <c r="Z102" s="22">
        <f>IF(T102=0,0,X102/T102)</f>
        <v>-0.25504883641209253</v>
      </c>
    </row>
    <row r="103" spans="1:26" x14ac:dyDescent="0.25">
      <c r="A103" s="9"/>
      <c r="B103" s="10"/>
      <c r="C103" s="9"/>
      <c r="D103" s="3"/>
      <c r="E103" s="3"/>
      <c r="F103" s="8"/>
      <c r="G103" s="3"/>
      <c r="H103" s="3"/>
      <c r="I103" s="3"/>
      <c r="J103" s="8"/>
      <c r="K103" s="3"/>
      <c r="L103" s="3"/>
      <c r="M103" s="3"/>
      <c r="N103" s="8"/>
      <c r="P103" s="3"/>
      <c r="Q103" s="3"/>
      <c r="R103" s="8"/>
      <c r="S103" s="3"/>
      <c r="T103" s="3"/>
      <c r="U103" s="3"/>
      <c r="V103" s="8"/>
      <c r="W103" s="3"/>
      <c r="X103" s="3"/>
      <c r="Y103" s="3"/>
      <c r="Z103" s="8"/>
    </row>
    <row r="104" spans="1:26" s="23" customFormat="1" x14ac:dyDescent="0.25">
      <c r="A104" s="52"/>
      <c r="B104" s="10" t="s">
        <v>14</v>
      </c>
      <c r="C104" s="10"/>
      <c r="D104" s="4">
        <v>2796.14</v>
      </c>
      <c r="E104" s="4"/>
      <c r="F104" s="13">
        <f>IF(D$12=0,0,D104/D$12)</f>
        <v>0.40046518089492888</v>
      </c>
      <c r="G104" s="4"/>
      <c r="H104" s="4">
        <v>4100</v>
      </c>
      <c r="I104" s="4"/>
      <c r="J104" s="13">
        <f>IF(H$12=0,0,H104/H$12)</f>
        <v>0.10364790049801552</v>
      </c>
      <c r="K104" s="4"/>
      <c r="L104" s="4">
        <f>+D104-H104</f>
        <v>-1303.8600000000001</v>
      </c>
      <c r="M104" s="4"/>
      <c r="N104" s="13">
        <f>IF(H104=0,0,L104/H104)</f>
        <v>-0.31801463414634151</v>
      </c>
      <c r="O104" s="10"/>
      <c r="P104" s="4">
        <v>48684.54</v>
      </c>
      <c r="Q104" s="4"/>
      <c r="R104" s="13">
        <f>IF(P$12=0,0,P104/P$12)</f>
        <v>0.11841562123182839</v>
      </c>
      <c r="S104" s="4"/>
      <c r="T104" s="4">
        <v>59491.000000000007</v>
      </c>
      <c r="U104" s="4"/>
      <c r="V104" s="13">
        <f>IF(T$12=0,0,T104/T$12)</f>
        <v>0.11582259135307094</v>
      </c>
      <c r="W104" s="4"/>
      <c r="X104" s="4">
        <f>+P104-T104</f>
        <v>-10806.460000000006</v>
      </c>
      <c r="Y104" s="4"/>
      <c r="Z104" s="13">
        <f>IF(T104=0,0,X104/T104)</f>
        <v>-0.18164865273738892</v>
      </c>
    </row>
    <row r="105" spans="1:26" x14ac:dyDescent="0.25">
      <c r="A105" s="9"/>
      <c r="B105" s="10"/>
      <c r="C105" s="10"/>
      <c r="D105" s="3"/>
      <c r="E105" s="3"/>
      <c r="F105" s="8"/>
      <c r="G105" s="3"/>
      <c r="H105" s="3"/>
      <c r="I105" s="3"/>
      <c r="J105" s="8"/>
      <c r="K105" s="3"/>
      <c r="L105" s="3"/>
      <c r="M105" s="3"/>
      <c r="N105" s="8"/>
      <c r="O105" s="10"/>
      <c r="P105" s="3"/>
      <c r="Q105" s="3"/>
      <c r="R105" s="8"/>
      <c r="S105" s="3"/>
      <c r="T105" s="3"/>
      <c r="U105" s="3"/>
      <c r="V105" s="8"/>
      <c r="W105" s="3"/>
      <c r="X105" s="3"/>
      <c r="Y105" s="3"/>
      <c r="Z105" s="8"/>
    </row>
    <row r="106" spans="1:26" s="23" customFormat="1" ht="15.75" thickBot="1" x14ac:dyDescent="0.3">
      <c r="A106" s="10"/>
      <c r="B106" s="29" t="s">
        <v>4</v>
      </c>
      <c r="C106" s="29"/>
      <c r="D106" s="35">
        <f>+D102-D104</f>
        <v>-10459.049999999997</v>
      </c>
      <c r="E106" s="14"/>
      <c r="F106" s="32">
        <f>IF(D$12=0,0,D106/D$12)</f>
        <v>-1.4979526598235799</v>
      </c>
      <c r="G106" s="14"/>
      <c r="H106" s="35">
        <f>+H102-H104</f>
        <v>6134.9269244553889</v>
      </c>
      <c r="I106" s="14"/>
      <c r="J106" s="32">
        <f>IF(H$12=0,0,H106/H$12)</f>
        <v>0.15509080376306061</v>
      </c>
      <c r="K106" s="16"/>
      <c r="L106" s="35">
        <f>D106-H106</f>
        <v>-16593.976924455386</v>
      </c>
      <c r="M106" s="16"/>
      <c r="N106" s="32">
        <f>IF(H106=0,0,L106/H106)</f>
        <v>-2.7048369326629706</v>
      </c>
      <c r="O106" s="28"/>
      <c r="P106" s="35">
        <f>+P102-P104</f>
        <v>55881.730000000076</v>
      </c>
      <c r="Q106" s="14"/>
      <c r="R106" s="32">
        <f>IF(P$12=0,0,P106/P$12)</f>
        <v>0.13592137819232369</v>
      </c>
      <c r="S106" s="14"/>
      <c r="T106" s="35">
        <f>+T102-T104</f>
        <v>80875.610740464734</v>
      </c>
      <c r="U106" s="14"/>
      <c r="V106" s="32">
        <f>IF(T$12=0,0,T106/T$12)</f>
        <v>0.15745613308269957</v>
      </c>
      <c r="W106" s="16"/>
      <c r="X106" s="35">
        <f>P106-T106</f>
        <v>-24993.880740464658</v>
      </c>
      <c r="Y106" s="16"/>
      <c r="Z106" s="32">
        <f>IF(T106=0,0,X106/T106)</f>
        <v>-0.3090410138684665</v>
      </c>
    </row>
    <row r="107" spans="1:26" ht="15.75" thickTop="1" x14ac:dyDescent="0.25">
      <c r="A107" s="9"/>
      <c r="B107" s="9"/>
      <c r="C107" s="9"/>
      <c r="D107" s="3"/>
      <c r="E107" s="3"/>
      <c r="F107" s="8"/>
      <c r="G107" s="3"/>
      <c r="H107" s="3"/>
      <c r="I107" s="3"/>
      <c r="J107" s="8"/>
      <c r="K107" s="3"/>
      <c r="L107" s="3"/>
      <c r="M107" s="3"/>
      <c r="N107" s="8"/>
      <c r="P107" s="3"/>
      <c r="Q107" s="3"/>
      <c r="R107" s="8"/>
      <c r="S107" s="3"/>
      <c r="T107" s="3"/>
      <c r="U107" s="3"/>
      <c r="V107" s="8"/>
      <c r="W107" s="3"/>
      <c r="X107" s="3"/>
      <c r="Y107" s="3"/>
      <c r="Z107" s="8"/>
    </row>
    <row r="108" spans="1:26" x14ac:dyDescent="0.25">
      <c r="A108" s="9"/>
      <c r="B108" s="9"/>
      <c r="C108" s="9"/>
      <c r="D108" s="3"/>
      <c r="E108" s="3"/>
      <c r="F108" s="8"/>
      <c r="G108" s="3"/>
      <c r="H108" s="3"/>
      <c r="I108" s="3"/>
      <c r="J108" s="8"/>
      <c r="K108" s="3"/>
      <c r="L108" s="3"/>
      <c r="M108" s="3"/>
      <c r="N108" s="8"/>
      <c r="P108" s="3"/>
      <c r="Q108" s="3"/>
      <c r="R108" s="8"/>
      <c r="S108" s="3"/>
      <c r="T108" s="3"/>
      <c r="U108" s="3"/>
      <c r="V108" s="8"/>
      <c r="W108" s="3"/>
      <c r="X108" s="3"/>
      <c r="Y108" s="3"/>
      <c r="Z108" s="8"/>
    </row>
    <row r="109" spans="1:26" s="23" customFormat="1" ht="15.75" thickBot="1" x14ac:dyDescent="0.3">
      <c r="A109" s="10"/>
      <c r="B109" s="29" t="s">
        <v>5</v>
      </c>
      <c r="C109" s="29"/>
      <c r="D109" s="34">
        <f>SUM(D106:D108)</f>
        <v>-10459.049999999997</v>
      </c>
      <c r="E109" s="14"/>
      <c r="F109" s="31">
        <f>IF(D$12=0,0,D109/D$12)</f>
        <v>-1.4979526598235799</v>
      </c>
      <c r="G109" s="14"/>
      <c r="H109" s="34">
        <f>SUM(H106:H108)</f>
        <v>6134.9269244553889</v>
      </c>
      <c r="I109" s="14"/>
      <c r="J109" s="31">
        <f>IF(H$12=0,0,H109/H$12)</f>
        <v>0.15509080376306061</v>
      </c>
      <c r="K109" s="16"/>
      <c r="L109" s="34">
        <f>+D109-H109</f>
        <v>-16593.976924455386</v>
      </c>
      <c r="M109" s="16"/>
      <c r="N109" s="31">
        <f>IF(H109=0,0,L109/H109)</f>
        <v>-2.7048369326629706</v>
      </c>
      <c r="O109" s="28"/>
      <c r="P109" s="34">
        <f>SUM(P106:P108)</f>
        <v>55881.730000000076</v>
      </c>
      <c r="Q109" s="14"/>
      <c r="R109" s="31">
        <f>IF(P$12=0,0,P109/P$12)</f>
        <v>0.13592137819232369</v>
      </c>
      <c r="S109" s="14"/>
      <c r="T109" s="34">
        <f>SUM(T106:T108)</f>
        <v>80875.610740464734</v>
      </c>
      <c r="U109" s="14"/>
      <c r="V109" s="31">
        <f>IF(T$12=0,0,T109/T$12)</f>
        <v>0.15745613308269957</v>
      </c>
      <c r="W109" s="16"/>
      <c r="X109" s="34">
        <f>+P109-T109</f>
        <v>-24993.880740464658</v>
      </c>
      <c r="Y109" s="16"/>
      <c r="Z109" s="31">
        <f>IF(T109=0,0,X109/T109)</f>
        <v>-0.3090410138684665</v>
      </c>
    </row>
    <row r="110" spans="1:26" ht="15.75" thickTop="1" x14ac:dyDescent="0.25">
      <c r="A110" s="9"/>
      <c r="C110" s="9"/>
      <c r="D110" s="18"/>
      <c r="E110" s="18"/>
      <c r="G110" s="18"/>
      <c r="H110" s="18"/>
      <c r="I110" s="18"/>
      <c r="J110" s="42"/>
      <c r="K110" s="18"/>
      <c r="L110" s="18"/>
      <c r="M110" s="18"/>
      <c r="P110" s="18"/>
      <c r="Q110" s="18"/>
      <c r="R110" s="42"/>
      <c r="S110" s="18"/>
      <c r="T110" s="18"/>
      <c r="U110" s="18"/>
      <c r="V110" s="42"/>
      <c r="W110" s="18"/>
      <c r="X110" s="18"/>
    </row>
    <row r="111" spans="1:26" x14ac:dyDescent="0.25">
      <c r="A111" s="9"/>
      <c r="B111" s="59">
        <v>43992.37162395833</v>
      </c>
      <c r="D111" s="18"/>
      <c r="E111" s="18"/>
      <c r="G111" s="18"/>
      <c r="H111" s="18"/>
      <c r="I111" s="18"/>
      <c r="J111" s="42"/>
      <c r="K111" s="18"/>
      <c r="L111" s="18"/>
      <c r="M111" s="18"/>
      <c r="P111" s="18"/>
      <c r="Q111" s="18"/>
      <c r="R111" s="42"/>
      <c r="S111" s="18"/>
      <c r="T111" s="18"/>
      <c r="U111" s="18"/>
      <c r="V111" s="42"/>
      <c r="W111" s="18"/>
      <c r="X111" s="18"/>
    </row>
    <row r="112" spans="1:26" x14ac:dyDescent="0.25">
      <c r="A112" s="9"/>
      <c r="B112" s="56" t="s">
        <v>314</v>
      </c>
      <c r="D112" s="18"/>
      <c r="E112" s="18"/>
      <c r="G112" s="18"/>
      <c r="H112" s="18"/>
      <c r="I112" s="18"/>
      <c r="J112" s="42"/>
      <c r="K112" s="18"/>
      <c r="L112" s="18"/>
      <c r="M112" s="18"/>
      <c r="P112" s="18"/>
      <c r="Q112" s="18"/>
      <c r="R112" s="42"/>
      <c r="S112" s="18"/>
      <c r="T112" s="18"/>
      <c r="U112" s="18"/>
      <c r="V112" s="42"/>
      <c r="W112" s="18"/>
      <c r="X112" s="18"/>
    </row>
    <row r="113" spans="1:24" x14ac:dyDescent="0.25">
      <c r="A113" s="9"/>
      <c r="B113" s="54"/>
      <c r="D113" s="18"/>
      <c r="E113" s="18"/>
      <c r="G113" s="18"/>
      <c r="H113" s="18"/>
      <c r="I113" s="18"/>
      <c r="J113" s="42"/>
      <c r="K113" s="18"/>
      <c r="L113" s="18"/>
      <c r="M113" s="18"/>
      <c r="P113" s="18"/>
      <c r="Q113" s="18"/>
      <c r="R113" s="42"/>
      <c r="S113" s="18"/>
      <c r="T113" s="18"/>
      <c r="U113" s="18"/>
      <c r="V113" s="42"/>
      <c r="W113" s="18"/>
      <c r="X113" s="18"/>
    </row>
    <row r="114" spans="1:24" x14ac:dyDescent="0.25">
      <c r="D114" s="18"/>
      <c r="E114" s="18"/>
      <c r="G114" s="18"/>
      <c r="H114" s="18"/>
      <c r="I114" s="18"/>
      <c r="J114" s="42"/>
      <c r="K114" s="18"/>
      <c r="L114" s="18"/>
      <c r="M114" s="18"/>
      <c r="P114" s="18"/>
      <c r="Q114" s="18"/>
      <c r="R114" s="42"/>
      <c r="S114" s="18"/>
      <c r="T114" s="18"/>
      <c r="U114" s="18"/>
      <c r="V114" s="42"/>
      <c r="W114" s="18"/>
      <c r="X114" s="18"/>
    </row>
  </sheetData>
  <pageMargins left="0.25" right="0.25" top="0.75" bottom="0.75" header="0.3" footer="0.3"/>
  <pageSetup scale="55" fitToWidth="2" orientation="landscape"/>
  <drawing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143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63" t="s">
        <v>13</v>
      </c>
    </row>
    <row r="3" spans="1:26" x14ac:dyDescent="0.25">
      <c r="D3" s="63" t="s">
        <v>296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61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63" t="str">
        <f>CONCATENATE("Period ",RIGHT(202011,2),", ",2020)</f>
        <v>Period 11, 2020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61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4">
        <v>43981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61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51"/>
      <c r="C6" s="51"/>
      <c r="D6" s="23" t="s">
        <v>303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57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5" t="s">
        <v>294</v>
      </c>
      <c r="E9" s="15"/>
      <c r="F9" s="38"/>
      <c r="G9" s="15"/>
      <c r="H9" s="15"/>
      <c r="I9" s="15"/>
      <c r="J9" s="46"/>
      <c r="K9" s="15"/>
      <c r="L9" s="15"/>
      <c r="M9" s="15"/>
      <c r="N9" s="38"/>
      <c r="P9" s="15" t="s">
        <v>295</v>
      </c>
      <c r="Q9" s="15"/>
      <c r="R9" s="38"/>
      <c r="S9" s="15"/>
      <c r="T9" s="15"/>
      <c r="U9" s="15"/>
      <c r="V9" s="46"/>
      <c r="W9" s="15"/>
      <c r="X9" s="15"/>
      <c r="Y9" s="15"/>
      <c r="Z9" s="38"/>
    </row>
    <row r="10" spans="1:26" x14ac:dyDescent="0.25">
      <c r="A10" s="10"/>
      <c r="B10" s="55"/>
      <c r="C10" s="10"/>
      <c r="D10" s="43" t="s">
        <v>10</v>
      </c>
      <c r="E10" s="33"/>
      <c r="F10" s="40" t="s">
        <v>15</v>
      </c>
      <c r="G10" s="33"/>
      <c r="H10" s="47" t="s">
        <v>11</v>
      </c>
      <c r="I10" s="33"/>
      <c r="J10" s="45" t="s">
        <v>16</v>
      </c>
      <c r="K10" s="10"/>
      <c r="L10" s="43" t="s">
        <v>12</v>
      </c>
      <c r="M10" s="10"/>
      <c r="N10" s="40" t="s">
        <v>17</v>
      </c>
      <c r="O10" s="10"/>
      <c r="P10" s="53" t="s">
        <v>10</v>
      </c>
      <c r="Q10" s="33"/>
      <c r="R10" s="40" t="s">
        <v>15</v>
      </c>
      <c r="S10" s="33"/>
      <c r="T10" s="47" t="s">
        <v>11</v>
      </c>
      <c r="U10" s="33"/>
      <c r="V10" s="45" t="s">
        <v>16</v>
      </c>
      <c r="W10" s="10"/>
      <c r="X10" s="43" t="s">
        <v>12</v>
      </c>
      <c r="Y10" s="10"/>
      <c r="Z10" s="40" t="s">
        <v>17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60634.290000000023</v>
      </c>
      <c r="E12" s="4"/>
      <c r="F12" s="13"/>
      <c r="G12" s="4"/>
      <c r="H12" s="4">
        <f>SUM(OSRRefH13x_0)</f>
        <v>51393</v>
      </c>
      <c r="I12" s="4"/>
      <c r="J12" s="13"/>
      <c r="K12" s="4"/>
      <c r="L12" s="4">
        <f t="shared" ref="L12:L42" si="0">+D12-H12</f>
        <v>9241.2900000000227</v>
      </c>
      <c r="M12" s="4"/>
      <c r="N12" s="13">
        <f t="shared" ref="N12:N42" si="1">IF(H12=0,0,L12/H12)</f>
        <v>0.17981612281828308</v>
      </c>
      <c r="O12" s="10"/>
      <c r="P12" s="4">
        <f>SUM(OSRRefP13x_0)</f>
        <v>4929246.9199999971</v>
      </c>
      <c r="Q12" s="4"/>
      <c r="R12" s="13"/>
      <c r="S12" s="4"/>
      <c r="T12" s="4">
        <f>SUM(OSRRefT13x_0)</f>
        <v>5431329</v>
      </c>
      <c r="U12" s="4"/>
      <c r="V12" s="13"/>
      <c r="W12" s="4"/>
      <c r="X12" s="4">
        <f t="shared" ref="X12:X42" si="2">+P12-T12</f>
        <v>-502082.08000000287</v>
      </c>
      <c r="Y12" s="4"/>
      <c r="Z12" s="13">
        <f t="shared" ref="Z12:Z42" si="3">IF(T12=0,0,X12/T12)</f>
        <v>-9.2441846185344859E-2</v>
      </c>
    </row>
    <row r="13" spans="1:26" s="24" customFormat="1" hidden="1" outlineLevel="1" x14ac:dyDescent="0.25">
      <c r="A13" s="44"/>
      <c r="B13" s="11" t="str">
        <f>CONCATENATE("          ", "4001", " - ", "TAXABLE SALES-NEW TEXT")</f>
        <v xml:space="preserve">          4001 - TAXABLE SALES-NEW TEXT</v>
      </c>
      <c r="C13" s="11"/>
      <c r="D13" s="2">
        <f>--37281.91</f>
        <v>37281.910000000003</v>
      </c>
      <c r="E13" s="2"/>
      <c r="F13" s="19"/>
      <c r="G13" s="2"/>
      <c r="H13" s="2"/>
      <c r="I13" s="2"/>
      <c r="J13" s="19"/>
      <c r="K13" s="2"/>
      <c r="L13" s="2">
        <f t="shared" si="0"/>
        <v>37281.910000000003</v>
      </c>
      <c r="M13" s="2"/>
      <c r="N13" s="19">
        <f t="shared" si="1"/>
        <v>0</v>
      </c>
      <c r="O13" s="11"/>
      <c r="P13" s="2">
        <f>--2435259.64</f>
        <v>2435259.64</v>
      </c>
      <c r="Q13" s="2"/>
      <c r="R13" s="19"/>
      <c r="S13" s="2"/>
      <c r="T13" s="2"/>
      <c r="U13" s="2"/>
      <c r="V13" s="19"/>
      <c r="W13" s="2"/>
      <c r="X13" s="2">
        <f t="shared" si="2"/>
        <v>2435259.64</v>
      </c>
      <c r="Y13" s="2"/>
      <c r="Z13" s="19">
        <f t="shared" si="3"/>
        <v>0</v>
      </c>
    </row>
    <row r="14" spans="1:26" s="24" customFormat="1" hidden="1" outlineLevel="1" x14ac:dyDescent="0.25">
      <c r="A14" s="44"/>
      <c r="B14" s="11" t="str">
        <f>CONCATENATE("          ", "4002", " - ", "TAXABLE SALES-USED TEXT")</f>
        <v xml:space="preserve">          4002 - TAXABLE SALES-USED TEXT</v>
      </c>
      <c r="C14" s="11"/>
      <c r="D14" s="2">
        <f>--11509.55</f>
        <v>11509.55</v>
      </c>
      <c r="E14" s="2"/>
      <c r="F14" s="19"/>
      <c r="G14" s="2"/>
      <c r="H14" s="2"/>
      <c r="I14" s="2"/>
      <c r="J14" s="19"/>
      <c r="K14" s="2"/>
      <c r="L14" s="2">
        <f t="shared" si="0"/>
        <v>11509.55</v>
      </c>
      <c r="M14" s="2"/>
      <c r="N14" s="19">
        <f t="shared" si="1"/>
        <v>0</v>
      </c>
      <c r="O14" s="11"/>
      <c r="P14" s="2">
        <f>--1256426.74</f>
        <v>1256426.74</v>
      </c>
      <c r="Q14" s="2"/>
      <c r="R14" s="19"/>
      <c r="S14" s="2"/>
      <c r="T14" s="2"/>
      <c r="U14" s="2"/>
      <c r="V14" s="19"/>
      <c r="W14" s="2"/>
      <c r="X14" s="2">
        <f t="shared" si="2"/>
        <v>1256426.74</v>
      </c>
      <c r="Y14" s="2"/>
      <c r="Z14" s="19">
        <f t="shared" si="3"/>
        <v>0</v>
      </c>
    </row>
    <row r="15" spans="1:26" s="24" customFormat="1" hidden="1" outlineLevel="1" x14ac:dyDescent="0.25">
      <c r="A15" s="44"/>
      <c r="B15" s="11" t="str">
        <f>CONCATENATE("          ", "4003", " - ", "TAXABLE SALES-RENTAL TEXT")</f>
        <v xml:space="preserve">          4003 - TAXABLE SALES-RENTAL TEXT</v>
      </c>
      <c r="C15" s="11"/>
      <c r="D15" s="2">
        <f>--69.99</f>
        <v>69.989999999999995</v>
      </c>
      <c r="E15" s="2"/>
      <c r="F15" s="19"/>
      <c r="G15" s="2"/>
      <c r="H15" s="2"/>
      <c r="I15" s="2"/>
      <c r="J15" s="19"/>
      <c r="K15" s="2"/>
      <c r="L15" s="2">
        <f t="shared" si="0"/>
        <v>69.989999999999995</v>
      </c>
      <c r="M15" s="2"/>
      <c r="N15" s="19">
        <f t="shared" si="1"/>
        <v>0</v>
      </c>
      <c r="O15" s="11"/>
      <c r="P15" s="2">
        <f>--33764.88</f>
        <v>33764.879999999997</v>
      </c>
      <c r="Q15" s="2"/>
      <c r="R15" s="19"/>
      <c r="S15" s="2"/>
      <c r="T15" s="2"/>
      <c r="U15" s="2"/>
      <c r="V15" s="19"/>
      <c r="W15" s="2"/>
      <c r="X15" s="2">
        <f t="shared" si="2"/>
        <v>33764.879999999997</v>
      </c>
      <c r="Y15" s="2"/>
      <c r="Z15" s="19">
        <f t="shared" si="3"/>
        <v>0</v>
      </c>
    </row>
    <row r="16" spans="1:26" s="24" customFormat="1" hidden="1" outlineLevel="1" x14ac:dyDescent="0.25">
      <c r="A16" s="44"/>
      <c r="B16" s="11" t="str">
        <f>CONCATENATE("          ", "4004", " - ", "TAXABLE SALES-DIGITAL TEXT")</f>
        <v xml:space="preserve">          4004 - TAXABLE SALES-DIGITAL TEXT</v>
      </c>
      <c r="C16" s="11"/>
      <c r="D16" s="2">
        <f t="shared" ref="D16:D18" si="4">0</f>
        <v>0</v>
      </c>
      <c r="E16" s="2"/>
      <c r="F16" s="19"/>
      <c r="G16" s="2"/>
      <c r="H16" s="2"/>
      <c r="I16" s="2"/>
      <c r="J16" s="19"/>
      <c r="K16" s="2"/>
      <c r="L16" s="2">
        <f t="shared" si="0"/>
        <v>0</v>
      </c>
      <c r="M16" s="2"/>
      <c r="N16" s="19">
        <f t="shared" si="1"/>
        <v>0</v>
      </c>
      <c r="O16" s="11"/>
      <c r="P16" s="2">
        <f>--42195.3</f>
        <v>42195.3</v>
      </c>
      <c r="Q16" s="2"/>
      <c r="R16" s="19"/>
      <c r="S16" s="2"/>
      <c r="T16" s="2"/>
      <c r="U16" s="2"/>
      <c r="V16" s="19"/>
      <c r="W16" s="2"/>
      <c r="X16" s="2">
        <f t="shared" si="2"/>
        <v>42195.3</v>
      </c>
      <c r="Y16" s="2"/>
      <c r="Z16" s="19">
        <f t="shared" si="3"/>
        <v>0</v>
      </c>
    </row>
    <row r="17" spans="1:26" s="24" customFormat="1" hidden="1" outlineLevel="1" x14ac:dyDescent="0.25">
      <c r="A17" s="44"/>
      <c r="B17" s="11" t="str">
        <f>CONCATENATE("          ", "4011", " - ", "TAXABLE SALES-NO VALUE TEXT")</f>
        <v xml:space="preserve">          4011 - TAXABLE SALES-NO VALUE TEXT</v>
      </c>
      <c r="C17" s="11"/>
      <c r="D17" s="2">
        <f t="shared" si="4"/>
        <v>0</v>
      </c>
      <c r="E17" s="2"/>
      <c r="F17" s="19"/>
      <c r="G17" s="2"/>
      <c r="H17" s="2"/>
      <c r="I17" s="2"/>
      <c r="J17" s="19"/>
      <c r="K17" s="2"/>
      <c r="L17" s="2">
        <f t="shared" si="0"/>
        <v>0</v>
      </c>
      <c r="M17" s="2"/>
      <c r="N17" s="19">
        <f t="shared" si="1"/>
        <v>0</v>
      </c>
      <c r="O17" s="11"/>
      <c r="P17" s="2">
        <f>--1052.48</f>
        <v>1052.48</v>
      </c>
      <c r="Q17" s="2"/>
      <c r="R17" s="19"/>
      <c r="S17" s="2"/>
      <c r="T17" s="2"/>
      <c r="U17" s="2"/>
      <c r="V17" s="19"/>
      <c r="W17" s="2"/>
      <c r="X17" s="2">
        <f t="shared" si="2"/>
        <v>1052.48</v>
      </c>
      <c r="Y17" s="2"/>
      <c r="Z17" s="19">
        <f t="shared" si="3"/>
        <v>0</v>
      </c>
    </row>
    <row r="18" spans="1:26" s="24" customFormat="1" hidden="1" outlineLevel="1" x14ac:dyDescent="0.25">
      <c r="A18" s="44"/>
      <c r="B18" s="11" t="str">
        <f>CONCATENATE("          ", "4013", " - ", "TAXABLE SALES-TRADE BOOKS")</f>
        <v xml:space="preserve">          4013 - TAXABLE SALES-TRADE BOOKS</v>
      </c>
      <c r="C18" s="11"/>
      <c r="D18" s="2">
        <f t="shared" si="4"/>
        <v>0</v>
      </c>
      <c r="E18" s="2"/>
      <c r="F18" s="19"/>
      <c r="G18" s="2"/>
      <c r="H18" s="2"/>
      <c r="I18" s="2"/>
      <c r="J18" s="19"/>
      <c r="K18" s="2"/>
      <c r="L18" s="2">
        <f t="shared" si="0"/>
        <v>0</v>
      </c>
      <c r="M18" s="2"/>
      <c r="N18" s="19">
        <f t="shared" si="1"/>
        <v>0</v>
      </c>
      <c r="O18" s="11"/>
      <c r="P18" s="2">
        <f>--2713.36</f>
        <v>2713.36</v>
      </c>
      <c r="Q18" s="2"/>
      <c r="R18" s="19"/>
      <c r="S18" s="2"/>
      <c r="T18" s="2"/>
      <c r="U18" s="2"/>
      <c r="V18" s="19"/>
      <c r="W18" s="2"/>
      <c r="X18" s="2">
        <f t="shared" si="2"/>
        <v>2713.36</v>
      </c>
      <c r="Y18" s="2"/>
      <c r="Z18" s="19">
        <f t="shared" si="3"/>
        <v>0</v>
      </c>
    </row>
    <row r="19" spans="1:26" s="24" customFormat="1" hidden="1" outlineLevel="1" x14ac:dyDescent="0.25">
      <c r="A19" s="44"/>
      <c r="B19" s="11" t="str">
        <f>CONCATENATE("          ", "4014", " - ", "TAXABLE SALES-REMAINDERS")</f>
        <v xml:space="preserve">          4014 - TAXABLE SALES-REMAINDERS</v>
      </c>
      <c r="C19" s="11"/>
      <c r="D19" s="2">
        <f>--0.8</f>
        <v>0.8</v>
      </c>
      <c r="E19" s="2"/>
      <c r="F19" s="19"/>
      <c r="G19" s="2"/>
      <c r="H19" s="2"/>
      <c r="I19" s="2"/>
      <c r="J19" s="19"/>
      <c r="K19" s="2"/>
      <c r="L19" s="2">
        <f t="shared" si="0"/>
        <v>0.8</v>
      </c>
      <c r="M19" s="2"/>
      <c r="N19" s="19">
        <f t="shared" si="1"/>
        <v>0</v>
      </c>
      <c r="O19" s="11"/>
      <c r="P19" s="2">
        <f>--1219.98</f>
        <v>1219.98</v>
      </c>
      <c r="Q19" s="2"/>
      <c r="R19" s="19"/>
      <c r="S19" s="2"/>
      <c r="T19" s="2"/>
      <c r="U19" s="2"/>
      <c r="V19" s="19"/>
      <c r="W19" s="2"/>
      <c r="X19" s="2">
        <f t="shared" si="2"/>
        <v>1219.98</v>
      </c>
      <c r="Y19" s="2"/>
      <c r="Z19" s="19">
        <f t="shared" si="3"/>
        <v>0</v>
      </c>
    </row>
    <row r="20" spans="1:26" s="24" customFormat="1" hidden="1" outlineLevel="1" x14ac:dyDescent="0.25">
      <c r="A20" s="44"/>
      <c r="B20" s="11" t="str">
        <f>CONCATENATE("          ", "4018", " - ", "TAXABLE SALES-STUDY GUIDES")</f>
        <v xml:space="preserve">          4018 - TAXABLE SALES-STUDY GUIDES</v>
      </c>
      <c r="C20" s="11"/>
      <c r="D20" s="2">
        <f>--24.99</f>
        <v>24.99</v>
      </c>
      <c r="E20" s="2"/>
      <c r="F20" s="19"/>
      <c r="G20" s="2"/>
      <c r="H20" s="2"/>
      <c r="I20" s="2"/>
      <c r="J20" s="19"/>
      <c r="K20" s="2"/>
      <c r="L20" s="2">
        <f t="shared" si="0"/>
        <v>24.99</v>
      </c>
      <c r="M20" s="2"/>
      <c r="N20" s="19">
        <f t="shared" si="1"/>
        <v>0</v>
      </c>
      <c r="O20" s="11"/>
      <c r="P20" s="2">
        <f>--4179.3</f>
        <v>4179.3</v>
      </c>
      <c r="Q20" s="2"/>
      <c r="R20" s="19"/>
      <c r="S20" s="2"/>
      <c r="T20" s="2"/>
      <c r="U20" s="2"/>
      <c r="V20" s="19"/>
      <c r="W20" s="2"/>
      <c r="X20" s="2">
        <f t="shared" si="2"/>
        <v>4179.3</v>
      </c>
      <c r="Y20" s="2"/>
      <c r="Z20" s="19">
        <f t="shared" si="3"/>
        <v>0</v>
      </c>
    </row>
    <row r="21" spans="1:26" s="24" customFormat="1" hidden="1" outlineLevel="1" x14ac:dyDescent="0.25">
      <c r="A21" s="44"/>
      <c r="B21" s="11" t="str">
        <f>CONCATENATE("          ", "4100", " - ", "NON-TAXABLE SALES")</f>
        <v xml:space="preserve">          4100 - NON-TAXABLE SALES</v>
      </c>
      <c r="C21" s="11"/>
      <c r="D21" s="2">
        <f>--5210.55</f>
        <v>5210.55</v>
      </c>
      <c r="E21" s="2"/>
      <c r="F21" s="19"/>
      <c r="G21" s="2"/>
      <c r="H21" s="2">
        <v>51393</v>
      </c>
      <c r="I21" s="2"/>
      <c r="J21" s="19"/>
      <c r="K21" s="2"/>
      <c r="L21" s="2">
        <f t="shared" si="0"/>
        <v>-46182.45</v>
      </c>
      <c r="M21" s="2"/>
      <c r="N21" s="19">
        <f t="shared" si="1"/>
        <v>-0.89861362442355952</v>
      </c>
      <c r="O21" s="11"/>
      <c r="P21" s="2">
        <f>--607447.02</f>
        <v>607447.02</v>
      </c>
      <c r="Q21" s="2"/>
      <c r="R21" s="19"/>
      <c r="S21" s="2"/>
      <c r="T21" s="2">
        <v>5431329</v>
      </c>
      <c r="U21" s="2"/>
      <c r="V21" s="19"/>
      <c r="W21" s="2"/>
      <c r="X21" s="2">
        <f t="shared" si="2"/>
        <v>-4823881.9800000004</v>
      </c>
      <c r="Y21" s="2"/>
      <c r="Z21" s="19">
        <f t="shared" si="3"/>
        <v>-0.88815867718563912</v>
      </c>
    </row>
    <row r="22" spans="1:26" s="24" customFormat="1" hidden="1" outlineLevel="1" x14ac:dyDescent="0.25">
      <c r="A22" s="44"/>
      <c r="B22" s="11" t="str">
        <f>CONCATENATE("          ", "4101", " - ", "NON-TAXABLE SALES-NEW TEXT")</f>
        <v xml:space="preserve">          4101 - NON-TAXABLE SALES-NEW TEXT</v>
      </c>
      <c r="C22" s="11"/>
      <c r="D22" s="2">
        <f>--7118.9</f>
        <v>7118.9</v>
      </c>
      <c r="E22" s="2"/>
      <c r="F22" s="19"/>
      <c r="G22" s="2"/>
      <c r="H22" s="2"/>
      <c r="I22" s="2"/>
      <c r="J22" s="19"/>
      <c r="K22" s="2"/>
      <c r="L22" s="2">
        <f t="shared" si="0"/>
        <v>7118.9</v>
      </c>
      <c r="M22" s="2"/>
      <c r="N22" s="19">
        <f t="shared" si="1"/>
        <v>0</v>
      </c>
      <c r="O22" s="11"/>
      <c r="P22" s="2">
        <f>--151282.34</f>
        <v>151282.34</v>
      </c>
      <c r="Q22" s="2"/>
      <c r="R22" s="19"/>
      <c r="S22" s="2"/>
      <c r="T22" s="2"/>
      <c r="U22" s="2"/>
      <c r="V22" s="19"/>
      <c r="W22" s="2"/>
      <c r="X22" s="2">
        <f t="shared" si="2"/>
        <v>151282.34</v>
      </c>
      <c r="Y22" s="2"/>
      <c r="Z22" s="19">
        <f t="shared" si="3"/>
        <v>0</v>
      </c>
    </row>
    <row r="23" spans="1:26" s="24" customFormat="1" hidden="1" outlineLevel="1" x14ac:dyDescent="0.25">
      <c r="A23" s="44"/>
      <c r="B23" s="11" t="str">
        <f>CONCATENATE("          ", "4102", " - ", "NON-TAXABLE SALES-USED TEXT")</f>
        <v xml:space="preserve">          4102 - NON-TAXABLE SALES-USED TEXT</v>
      </c>
      <c r="C23" s="11"/>
      <c r="D23" s="2">
        <f>--565.56</f>
        <v>565.55999999999995</v>
      </c>
      <c r="E23" s="2"/>
      <c r="F23" s="19"/>
      <c r="G23" s="2"/>
      <c r="H23" s="2"/>
      <c r="I23" s="2"/>
      <c r="J23" s="19"/>
      <c r="K23" s="2"/>
      <c r="L23" s="2">
        <f t="shared" si="0"/>
        <v>565.55999999999995</v>
      </c>
      <c r="M23" s="2"/>
      <c r="N23" s="19">
        <f t="shared" si="1"/>
        <v>0</v>
      </c>
      <c r="O23" s="11"/>
      <c r="P23" s="2">
        <f>--70225.46</f>
        <v>70225.460000000006</v>
      </c>
      <c r="Q23" s="2"/>
      <c r="R23" s="19"/>
      <c r="S23" s="2"/>
      <c r="T23" s="2"/>
      <c r="U23" s="2"/>
      <c r="V23" s="19"/>
      <c r="W23" s="2"/>
      <c r="X23" s="2">
        <f t="shared" si="2"/>
        <v>70225.460000000006</v>
      </c>
      <c r="Y23" s="2"/>
      <c r="Z23" s="19">
        <f t="shared" si="3"/>
        <v>0</v>
      </c>
    </row>
    <row r="24" spans="1:26" s="24" customFormat="1" hidden="1" outlineLevel="1" x14ac:dyDescent="0.25">
      <c r="A24" s="44"/>
      <c r="B24" s="11" t="str">
        <f>CONCATENATE("          ", "4103", " - ", "NON-TAXABLE SALES-RENTAL TEXT")</f>
        <v xml:space="preserve">          4103 - NON-TAXABLE SALES-RENTAL TEXT</v>
      </c>
      <c r="C24" s="11"/>
      <c r="D24" s="2">
        <f>0</f>
        <v>0</v>
      </c>
      <c r="E24" s="2"/>
      <c r="F24" s="19"/>
      <c r="G24" s="2"/>
      <c r="H24" s="2"/>
      <c r="I24" s="2"/>
      <c r="J24" s="19"/>
      <c r="K24" s="2"/>
      <c r="L24" s="2">
        <f t="shared" si="0"/>
        <v>0</v>
      </c>
      <c r="M24" s="2"/>
      <c r="N24" s="19">
        <f t="shared" si="1"/>
        <v>0</v>
      </c>
      <c r="O24" s="11"/>
      <c r="P24" s="2">
        <f>--664.97</f>
        <v>664.97</v>
      </c>
      <c r="Q24" s="2"/>
      <c r="R24" s="19"/>
      <c r="S24" s="2"/>
      <c r="T24" s="2"/>
      <c r="U24" s="2"/>
      <c r="V24" s="19"/>
      <c r="W24" s="2"/>
      <c r="X24" s="2">
        <f t="shared" si="2"/>
        <v>664.97</v>
      </c>
      <c r="Y24" s="2"/>
      <c r="Z24" s="19">
        <f t="shared" si="3"/>
        <v>0</v>
      </c>
    </row>
    <row r="25" spans="1:26" s="24" customFormat="1" hidden="1" outlineLevel="1" x14ac:dyDescent="0.25">
      <c r="A25" s="44"/>
      <c r="B25" s="11" t="str">
        <f>CONCATENATE("          ", "4104", " - ", "NON-TAXABLE SALES-DIGITAL TEXT")</f>
        <v xml:space="preserve">          4104 - NON-TAXABLE SALES-DIGITAL TEXT</v>
      </c>
      <c r="C25" s="11"/>
      <c r="D25" s="2">
        <f>--4949.29</f>
        <v>4949.29</v>
      </c>
      <c r="E25" s="2"/>
      <c r="F25" s="19"/>
      <c r="G25" s="2"/>
      <c r="H25" s="2"/>
      <c r="I25" s="2"/>
      <c r="J25" s="19"/>
      <c r="K25" s="2"/>
      <c r="L25" s="2">
        <f t="shared" si="0"/>
        <v>4949.29</v>
      </c>
      <c r="M25" s="2"/>
      <c r="N25" s="19">
        <f t="shared" si="1"/>
        <v>0</v>
      </c>
      <c r="O25" s="11"/>
      <c r="P25" s="2">
        <f>--531803.38</f>
        <v>531803.38</v>
      </c>
      <c r="Q25" s="2"/>
      <c r="R25" s="19"/>
      <c r="S25" s="2"/>
      <c r="T25" s="2"/>
      <c r="U25" s="2"/>
      <c r="V25" s="19"/>
      <c r="W25" s="2"/>
      <c r="X25" s="2">
        <f t="shared" si="2"/>
        <v>531803.38</v>
      </c>
      <c r="Y25" s="2"/>
      <c r="Z25" s="19">
        <f t="shared" si="3"/>
        <v>0</v>
      </c>
    </row>
    <row r="26" spans="1:26" s="24" customFormat="1" hidden="1" outlineLevel="1" x14ac:dyDescent="0.25">
      <c r="A26" s="44"/>
      <c r="B26" s="11" t="str">
        <f>CONCATENATE("          ", "4111", " - ", "NON-TAXABLE SALES-NO VALUE TEX")</f>
        <v xml:space="preserve">          4111 - NON-TAXABLE SALES-NO VALUE TEX</v>
      </c>
      <c r="C26" s="11"/>
      <c r="D26" s="2">
        <f>--340.46</f>
        <v>340.46</v>
      </c>
      <c r="E26" s="2"/>
      <c r="F26" s="19"/>
      <c r="G26" s="2"/>
      <c r="H26" s="2"/>
      <c r="I26" s="2"/>
      <c r="J26" s="19"/>
      <c r="K26" s="2"/>
      <c r="L26" s="2">
        <f t="shared" si="0"/>
        <v>340.46</v>
      </c>
      <c r="M26" s="2"/>
      <c r="N26" s="19">
        <f t="shared" si="1"/>
        <v>0</v>
      </c>
      <c r="O26" s="11"/>
      <c r="P26" s="2">
        <f>--15663.46</f>
        <v>15663.46</v>
      </c>
      <c r="Q26" s="2"/>
      <c r="R26" s="19"/>
      <c r="S26" s="2"/>
      <c r="T26" s="2"/>
      <c r="U26" s="2"/>
      <c r="V26" s="19"/>
      <c r="W26" s="2"/>
      <c r="X26" s="2">
        <f t="shared" si="2"/>
        <v>15663.46</v>
      </c>
      <c r="Y26" s="2"/>
      <c r="Z26" s="19">
        <f t="shared" si="3"/>
        <v>0</v>
      </c>
    </row>
    <row r="27" spans="1:26" s="24" customFormat="1" hidden="1" outlineLevel="1" x14ac:dyDescent="0.25">
      <c r="A27" s="44"/>
      <c r="B27" s="11" t="str">
        <f>CONCATENATE("          ", "4113", " - ", "NON-TAXABLE SALES-TRADE BOOKS")</f>
        <v xml:space="preserve">          4113 - NON-TAXABLE SALES-TRADE BOOKS</v>
      </c>
      <c r="C27" s="11"/>
      <c r="D27" s="2">
        <f>--24.24</f>
        <v>24.24</v>
      </c>
      <c r="E27" s="2"/>
      <c r="F27" s="19"/>
      <c r="G27" s="2"/>
      <c r="H27" s="2"/>
      <c r="I27" s="2"/>
      <c r="J27" s="19"/>
      <c r="K27" s="2"/>
      <c r="L27" s="2">
        <f t="shared" si="0"/>
        <v>24.24</v>
      </c>
      <c r="M27" s="2"/>
      <c r="N27" s="19">
        <f t="shared" si="1"/>
        <v>0</v>
      </c>
      <c r="O27" s="11"/>
      <c r="P27" s="2">
        <f>--8266.16</f>
        <v>8266.16</v>
      </c>
      <c r="Q27" s="2"/>
      <c r="R27" s="19"/>
      <c r="S27" s="2"/>
      <c r="T27" s="2"/>
      <c r="U27" s="2"/>
      <c r="V27" s="19"/>
      <c r="W27" s="2"/>
      <c r="X27" s="2">
        <f t="shared" si="2"/>
        <v>8266.16</v>
      </c>
      <c r="Y27" s="2"/>
      <c r="Z27" s="19">
        <f t="shared" si="3"/>
        <v>0</v>
      </c>
    </row>
    <row r="28" spans="1:26" s="24" customFormat="1" hidden="1" outlineLevel="1" x14ac:dyDescent="0.25">
      <c r="A28" s="44"/>
      <c r="B28" s="11" t="str">
        <f>CONCATENATE("          ", "4114", " - ", "NON-TAXABLE SALES-REMAINDERS")</f>
        <v xml:space="preserve">          4114 - NON-TAXABLE SALES-REMAINDERS</v>
      </c>
      <c r="C28" s="11"/>
      <c r="D28" s="2">
        <f>--3.19</f>
        <v>3.19</v>
      </c>
      <c r="E28" s="2"/>
      <c r="F28" s="19"/>
      <c r="G28" s="2"/>
      <c r="H28" s="2"/>
      <c r="I28" s="2"/>
      <c r="J28" s="19"/>
      <c r="K28" s="2"/>
      <c r="L28" s="2">
        <f t="shared" si="0"/>
        <v>3.19</v>
      </c>
      <c r="M28" s="2"/>
      <c r="N28" s="19">
        <f t="shared" si="1"/>
        <v>0</v>
      </c>
      <c r="O28" s="11"/>
      <c r="P28" s="2">
        <f>--3.19</f>
        <v>3.19</v>
      </c>
      <c r="Q28" s="2"/>
      <c r="R28" s="19"/>
      <c r="S28" s="2"/>
      <c r="T28" s="2"/>
      <c r="U28" s="2"/>
      <c r="V28" s="19"/>
      <c r="W28" s="2"/>
      <c r="X28" s="2">
        <f t="shared" si="2"/>
        <v>3.19</v>
      </c>
      <c r="Y28" s="2"/>
      <c r="Z28" s="19">
        <f t="shared" si="3"/>
        <v>0</v>
      </c>
    </row>
    <row r="29" spans="1:26" s="24" customFormat="1" hidden="1" outlineLevel="1" x14ac:dyDescent="0.25">
      <c r="A29" s="44"/>
      <c r="B29" s="11" t="str">
        <f>CONCATENATE("          ", "4118", " - ", "NON-TAXABLE SALES-STUDY GUIDES")</f>
        <v xml:space="preserve">          4118 - NON-TAXABLE SALES-STUDY GUIDES</v>
      </c>
      <c r="C29" s="11"/>
      <c r="D29" s="2">
        <f>--40</f>
        <v>40</v>
      </c>
      <c r="E29" s="2"/>
      <c r="F29" s="19"/>
      <c r="G29" s="2"/>
      <c r="H29" s="2"/>
      <c r="I29" s="2"/>
      <c r="J29" s="19"/>
      <c r="K29" s="2"/>
      <c r="L29" s="2">
        <f t="shared" si="0"/>
        <v>40</v>
      </c>
      <c r="M29" s="2"/>
      <c r="N29" s="19">
        <f t="shared" si="1"/>
        <v>0</v>
      </c>
      <c r="O29" s="11"/>
      <c r="P29" s="2">
        <f>--115.94</f>
        <v>115.94</v>
      </c>
      <c r="Q29" s="2"/>
      <c r="R29" s="19"/>
      <c r="S29" s="2"/>
      <c r="T29" s="2"/>
      <c r="U29" s="2"/>
      <c r="V29" s="19"/>
      <c r="W29" s="2"/>
      <c r="X29" s="2">
        <f t="shared" si="2"/>
        <v>115.94</v>
      </c>
      <c r="Y29" s="2"/>
      <c r="Z29" s="19">
        <f t="shared" si="3"/>
        <v>0</v>
      </c>
    </row>
    <row r="30" spans="1:26" s="24" customFormat="1" hidden="1" outlineLevel="1" x14ac:dyDescent="0.25">
      <c r="A30" s="44"/>
      <c r="B30" s="11" t="str">
        <f>CONCATENATE("          ", "4201", " - ", "SALES RETURN TAXABLE-NEW TEXT")</f>
        <v xml:space="preserve">          4201 - SALES RETURN TAXABLE-NEW TEXT</v>
      </c>
      <c r="C30" s="11"/>
      <c r="D30" s="2">
        <f>-228.6</f>
        <v>-228.6</v>
      </c>
      <c r="E30" s="2"/>
      <c r="F30" s="19"/>
      <c r="G30" s="2"/>
      <c r="H30" s="2"/>
      <c r="I30" s="2"/>
      <c r="J30" s="19"/>
      <c r="K30" s="2"/>
      <c r="L30" s="2">
        <f t="shared" si="0"/>
        <v>-228.6</v>
      </c>
      <c r="M30" s="2"/>
      <c r="N30" s="19">
        <f t="shared" si="1"/>
        <v>0</v>
      </c>
      <c r="O30" s="11"/>
      <c r="P30" s="2">
        <f>-121451.61</f>
        <v>-121451.61</v>
      </c>
      <c r="Q30" s="2"/>
      <c r="R30" s="19"/>
      <c r="S30" s="2"/>
      <c r="T30" s="2"/>
      <c r="U30" s="2"/>
      <c r="V30" s="19"/>
      <c r="W30" s="2"/>
      <c r="X30" s="2">
        <f t="shared" si="2"/>
        <v>-121451.61</v>
      </c>
      <c r="Y30" s="2"/>
      <c r="Z30" s="19">
        <f t="shared" si="3"/>
        <v>0</v>
      </c>
    </row>
    <row r="31" spans="1:26" s="24" customFormat="1" hidden="1" outlineLevel="1" x14ac:dyDescent="0.25">
      <c r="A31" s="44"/>
      <c r="B31" s="11" t="str">
        <f>CONCATENATE("          ", "4202", " - ", "SALES RETURN TAXABLE-USED TEXT")</f>
        <v xml:space="preserve">          4202 - SALES RETURN TAXABLE-USED TEXT</v>
      </c>
      <c r="C31" s="11"/>
      <c r="D31" s="2">
        <f>-60.4</f>
        <v>-60.4</v>
      </c>
      <c r="E31" s="2"/>
      <c r="F31" s="19"/>
      <c r="G31" s="2"/>
      <c r="H31" s="2"/>
      <c r="I31" s="2"/>
      <c r="J31" s="19"/>
      <c r="K31" s="2"/>
      <c r="L31" s="2">
        <f t="shared" si="0"/>
        <v>-60.4</v>
      </c>
      <c r="M31" s="2"/>
      <c r="N31" s="19">
        <f t="shared" si="1"/>
        <v>0</v>
      </c>
      <c r="O31" s="11"/>
      <c r="P31" s="2">
        <f>-45613.11</f>
        <v>-45613.11</v>
      </c>
      <c r="Q31" s="2"/>
      <c r="R31" s="19"/>
      <c r="S31" s="2"/>
      <c r="T31" s="2"/>
      <c r="U31" s="2"/>
      <c r="V31" s="19"/>
      <c r="W31" s="2"/>
      <c r="X31" s="2">
        <f t="shared" si="2"/>
        <v>-45613.11</v>
      </c>
      <c r="Y31" s="2"/>
      <c r="Z31" s="19">
        <f t="shared" si="3"/>
        <v>0</v>
      </c>
    </row>
    <row r="32" spans="1:26" s="24" customFormat="1" hidden="1" outlineLevel="1" x14ac:dyDescent="0.25">
      <c r="A32" s="44"/>
      <c r="B32" s="11" t="str">
        <f>CONCATENATE("          ", "4203", " - ", "SALES RETURN TAXABLE-RENTAL TE")</f>
        <v xml:space="preserve">          4203 - SALES RETURN TAXABLE-RENTAL TE</v>
      </c>
      <c r="C32" s="11"/>
      <c r="D32" s="2">
        <f t="shared" ref="D32:D36" si="5">0</f>
        <v>0</v>
      </c>
      <c r="E32" s="2"/>
      <c r="F32" s="19"/>
      <c r="G32" s="2"/>
      <c r="H32" s="2"/>
      <c r="I32" s="2"/>
      <c r="J32" s="19"/>
      <c r="K32" s="2"/>
      <c r="L32" s="2">
        <f t="shared" si="0"/>
        <v>0</v>
      </c>
      <c r="M32" s="2"/>
      <c r="N32" s="19">
        <f t="shared" si="1"/>
        <v>0</v>
      </c>
      <c r="O32" s="11"/>
      <c r="P32" s="2">
        <f>-144.99</f>
        <v>-144.99</v>
      </c>
      <c r="Q32" s="2"/>
      <c r="R32" s="19"/>
      <c r="S32" s="2"/>
      <c r="T32" s="2"/>
      <c r="U32" s="2"/>
      <c r="V32" s="19"/>
      <c r="W32" s="2"/>
      <c r="X32" s="2">
        <f t="shared" si="2"/>
        <v>-144.99</v>
      </c>
      <c r="Y32" s="2"/>
      <c r="Z32" s="19">
        <f t="shared" si="3"/>
        <v>0</v>
      </c>
    </row>
    <row r="33" spans="1:26" s="24" customFormat="1" hidden="1" outlineLevel="1" x14ac:dyDescent="0.25">
      <c r="A33" s="44"/>
      <c r="B33" s="11" t="str">
        <f>CONCATENATE("          ", "4204", " - ", "SALES RETURN TAXABLE-DIGITAL T")</f>
        <v xml:space="preserve">          4204 - SALES RETURN TAXABLE-DIGITAL T</v>
      </c>
      <c r="C33" s="11"/>
      <c r="D33" s="2">
        <f t="shared" si="5"/>
        <v>0</v>
      </c>
      <c r="E33" s="2"/>
      <c r="F33" s="19"/>
      <c r="G33" s="2"/>
      <c r="H33" s="2"/>
      <c r="I33" s="2"/>
      <c r="J33" s="19"/>
      <c r="K33" s="2"/>
      <c r="L33" s="2">
        <f t="shared" si="0"/>
        <v>0</v>
      </c>
      <c r="M33" s="2"/>
      <c r="N33" s="19">
        <f t="shared" si="1"/>
        <v>0</v>
      </c>
      <c r="O33" s="11"/>
      <c r="P33" s="2">
        <f>-17255.33</f>
        <v>-17255.330000000002</v>
      </c>
      <c r="Q33" s="2"/>
      <c r="R33" s="19"/>
      <c r="S33" s="2"/>
      <c r="T33" s="2"/>
      <c r="U33" s="2"/>
      <c r="V33" s="19"/>
      <c r="W33" s="2"/>
      <c r="X33" s="2">
        <f t="shared" si="2"/>
        <v>-17255.330000000002</v>
      </c>
      <c r="Y33" s="2"/>
      <c r="Z33" s="19">
        <f t="shared" si="3"/>
        <v>0</v>
      </c>
    </row>
    <row r="34" spans="1:26" s="24" customFormat="1" hidden="1" outlineLevel="1" x14ac:dyDescent="0.25">
      <c r="A34" s="44"/>
      <c r="B34" s="11" t="str">
        <f>CONCATENATE("          ", "4213", " - ", "NON-TAXABLE SALES-TRADE BOOKS")</f>
        <v xml:space="preserve">          4213 - NON-TAXABLE SALES-TRADE BOOKS</v>
      </c>
      <c r="C34" s="11"/>
      <c r="D34" s="2">
        <f t="shared" si="5"/>
        <v>0</v>
      </c>
      <c r="E34" s="2"/>
      <c r="F34" s="19"/>
      <c r="G34" s="2"/>
      <c r="H34" s="2"/>
      <c r="I34" s="2"/>
      <c r="J34" s="19"/>
      <c r="K34" s="2"/>
      <c r="L34" s="2">
        <f t="shared" si="0"/>
        <v>0</v>
      </c>
      <c r="M34" s="2"/>
      <c r="N34" s="19">
        <f t="shared" si="1"/>
        <v>0</v>
      </c>
      <c r="O34" s="11"/>
      <c r="P34" s="2">
        <f>-2768.67</f>
        <v>-2768.67</v>
      </c>
      <c r="Q34" s="2"/>
      <c r="R34" s="19"/>
      <c r="S34" s="2"/>
      <c r="T34" s="2"/>
      <c r="U34" s="2"/>
      <c r="V34" s="19"/>
      <c r="W34" s="2"/>
      <c r="X34" s="2">
        <f t="shared" si="2"/>
        <v>-2768.67</v>
      </c>
      <c r="Y34" s="2"/>
      <c r="Z34" s="19">
        <f t="shared" si="3"/>
        <v>0</v>
      </c>
    </row>
    <row r="35" spans="1:26" s="24" customFormat="1" hidden="1" outlineLevel="1" x14ac:dyDescent="0.25">
      <c r="A35" s="44"/>
      <c r="B35" s="11" t="str">
        <f>CONCATENATE("          ", "4214", " - ", "SALES RETURN TAXABLE-REMAINDER")</f>
        <v xml:space="preserve">          4214 - SALES RETURN TAXABLE-REMAINDER</v>
      </c>
      <c r="C35" s="11"/>
      <c r="D35" s="2">
        <f t="shared" si="5"/>
        <v>0</v>
      </c>
      <c r="E35" s="2"/>
      <c r="F35" s="19"/>
      <c r="G35" s="2"/>
      <c r="H35" s="2"/>
      <c r="I35" s="2"/>
      <c r="J35" s="19"/>
      <c r="K35" s="2"/>
      <c r="L35" s="2">
        <f t="shared" si="0"/>
        <v>0</v>
      </c>
      <c r="M35" s="2"/>
      <c r="N35" s="19">
        <f t="shared" si="1"/>
        <v>0</v>
      </c>
      <c r="O35" s="11"/>
      <c r="P35" s="2">
        <f>-11.94</f>
        <v>-11.94</v>
      </c>
      <c r="Q35" s="2"/>
      <c r="R35" s="19"/>
      <c r="S35" s="2"/>
      <c r="T35" s="2"/>
      <c r="U35" s="2"/>
      <c r="V35" s="19"/>
      <c r="W35" s="2"/>
      <c r="X35" s="2">
        <f t="shared" si="2"/>
        <v>-11.94</v>
      </c>
      <c r="Y35" s="2"/>
      <c r="Z35" s="19">
        <f t="shared" si="3"/>
        <v>0</v>
      </c>
    </row>
    <row r="36" spans="1:26" s="24" customFormat="1" hidden="1" outlineLevel="1" x14ac:dyDescent="0.25">
      <c r="A36" s="44"/>
      <c r="B36" s="11" t="str">
        <f>CONCATENATE("          ", "4218", " - ", "SALES RETURN TAXABLE-STUDY GUI")</f>
        <v xml:space="preserve">          4218 - SALES RETURN TAXABLE-STUDY GUI</v>
      </c>
      <c r="C36" s="11"/>
      <c r="D36" s="2">
        <f t="shared" si="5"/>
        <v>0</v>
      </c>
      <c r="E36" s="2"/>
      <c r="F36" s="19"/>
      <c r="G36" s="2"/>
      <c r="H36" s="2"/>
      <c r="I36" s="2"/>
      <c r="J36" s="19"/>
      <c r="K36" s="2"/>
      <c r="L36" s="2">
        <f t="shared" si="0"/>
        <v>0</v>
      </c>
      <c r="M36" s="2"/>
      <c r="N36" s="19">
        <f t="shared" si="1"/>
        <v>0</v>
      </c>
      <c r="O36" s="11"/>
      <c r="P36" s="2">
        <f>-39.25</f>
        <v>-39.25</v>
      </c>
      <c r="Q36" s="2"/>
      <c r="R36" s="19"/>
      <c r="S36" s="2"/>
      <c r="T36" s="2"/>
      <c r="U36" s="2"/>
      <c r="V36" s="19"/>
      <c r="W36" s="2"/>
      <c r="X36" s="2">
        <f t="shared" si="2"/>
        <v>-39.25</v>
      </c>
      <c r="Y36" s="2"/>
      <c r="Z36" s="19">
        <f t="shared" si="3"/>
        <v>0</v>
      </c>
    </row>
    <row r="37" spans="1:26" s="24" customFormat="1" hidden="1" outlineLevel="1" x14ac:dyDescent="0.25">
      <c r="A37" s="44"/>
      <c r="B37" s="11" t="str">
        <f>CONCATENATE("          ", "4301", " - ", "SALES RETURN NON TAXABLE-NEW T")</f>
        <v xml:space="preserve">          4301 - SALES RETURN NON TAXABLE-NEW T</v>
      </c>
      <c r="C37" s="11"/>
      <c r="D37" s="2">
        <f>-5710.44</f>
        <v>-5710.44</v>
      </c>
      <c r="E37" s="2"/>
      <c r="F37" s="19"/>
      <c r="G37" s="2"/>
      <c r="H37" s="2"/>
      <c r="I37" s="2"/>
      <c r="J37" s="19"/>
      <c r="K37" s="2"/>
      <c r="L37" s="2">
        <f t="shared" si="0"/>
        <v>-5710.44</v>
      </c>
      <c r="M37" s="2"/>
      <c r="N37" s="19">
        <f t="shared" si="1"/>
        <v>0</v>
      </c>
      <c r="O37" s="11"/>
      <c r="P37" s="2">
        <f>-21289.87</f>
        <v>-21289.87</v>
      </c>
      <c r="Q37" s="2"/>
      <c r="R37" s="19"/>
      <c r="S37" s="2"/>
      <c r="T37" s="2"/>
      <c r="U37" s="2"/>
      <c r="V37" s="19"/>
      <c r="W37" s="2"/>
      <c r="X37" s="2">
        <f t="shared" si="2"/>
        <v>-21289.87</v>
      </c>
      <c r="Y37" s="2"/>
      <c r="Z37" s="19">
        <f t="shared" si="3"/>
        <v>0</v>
      </c>
    </row>
    <row r="38" spans="1:26" s="24" customFormat="1" hidden="1" outlineLevel="1" x14ac:dyDescent="0.25">
      <c r="A38" s="44"/>
      <c r="B38" s="11" t="str">
        <f>CONCATENATE("          ", "4302", " - ", "SALES RETURN NON TAXABLE-TEXT")</f>
        <v xml:space="preserve">          4302 - SALES RETURN NON TAXABLE-TEXT</v>
      </c>
      <c r="C38" s="11"/>
      <c r="D38" s="2">
        <f>-67.5</f>
        <v>-67.5</v>
      </c>
      <c r="E38" s="2"/>
      <c r="F38" s="19"/>
      <c r="G38" s="2"/>
      <c r="H38" s="2"/>
      <c r="I38" s="2"/>
      <c r="J38" s="19"/>
      <c r="K38" s="2"/>
      <c r="L38" s="2">
        <f t="shared" si="0"/>
        <v>-67.5</v>
      </c>
      <c r="M38" s="2"/>
      <c r="N38" s="19">
        <f t="shared" si="1"/>
        <v>0</v>
      </c>
      <c r="O38" s="11"/>
      <c r="P38" s="2">
        <f>-1379.87</f>
        <v>-1379.87</v>
      </c>
      <c r="Q38" s="2"/>
      <c r="R38" s="19"/>
      <c r="S38" s="2"/>
      <c r="T38" s="2"/>
      <c r="U38" s="2"/>
      <c r="V38" s="19"/>
      <c r="W38" s="2"/>
      <c r="X38" s="2">
        <f t="shared" si="2"/>
        <v>-1379.87</v>
      </c>
      <c r="Y38" s="2"/>
      <c r="Z38" s="19">
        <f t="shared" si="3"/>
        <v>0</v>
      </c>
    </row>
    <row r="39" spans="1:26" s="24" customFormat="1" hidden="1" outlineLevel="1" x14ac:dyDescent="0.25">
      <c r="A39" s="44"/>
      <c r="B39" s="11" t="str">
        <f>CONCATENATE("          ", "4303", " - ", "SALES RETURN NON-TAXABLE-RENTA")</f>
        <v xml:space="preserve">          4303 - SALES RETURN NON-TAXABLE-RENTA</v>
      </c>
      <c r="C39" s="11"/>
      <c r="D39" s="2">
        <f>0</f>
        <v>0</v>
      </c>
      <c r="E39" s="2"/>
      <c r="F39" s="19"/>
      <c r="G39" s="2"/>
      <c r="H39" s="2"/>
      <c r="I39" s="2"/>
      <c r="J39" s="19"/>
      <c r="K39" s="2"/>
      <c r="L39" s="2">
        <f t="shared" si="0"/>
        <v>0</v>
      </c>
      <c r="M39" s="2"/>
      <c r="N39" s="19">
        <f t="shared" si="1"/>
        <v>0</v>
      </c>
      <c r="O39" s="11"/>
      <c r="P39" s="2">
        <f>-184.99</f>
        <v>-184.99</v>
      </c>
      <c r="Q39" s="2"/>
      <c r="R39" s="19"/>
      <c r="S39" s="2"/>
      <c r="T39" s="2"/>
      <c r="U39" s="2"/>
      <c r="V39" s="19"/>
      <c r="W39" s="2"/>
      <c r="X39" s="2">
        <f t="shared" si="2"/>
        <v>-184.99</v>
      </c>
      <c r="Y39" s="2"/>
      <c r="Z39" s="19">
        <f t="shared" si="3"/>
        <v>0</v>
      </c>
    </row>
    <row r="40" spans="1:26" s="24" customFormat="1" hidden="1" outlineLevel="1" x14ac:dyDescent="0.25">
      <c r="A40" s="44"/>
      <c r="B40" s="11" t="str">
        <f>CONCATENATE("          ", "4304", " - ", "SALES RETURN NON TAXABLE-DIGIT")</f>
        <v xml:space="preserve">          4304 - SALES RETURN NON TAXABLE-DIGIT</v>
      </c>
      <c r="C40" s="11"/>
      <c r="D40" s="2">
        <f>-438.2</f>
        <v>-438.2</v>
      </c>
      <c r="E40" s="2"/>
      <c r="F40" s="19"/>
      <c r="G40" s="2"/>
      <c r="H40" s="2"/>
      <c r="I40" s="2"/>
      <c r="J40" s="19"/>
      <c r="K40" s="2"/>
      <c r="L40" s="2">
        <f t="shared" si="0"/>
        <v>-438.2</v>
      </c>
      <c r="M40" s="2"/>
      <c r="N40" s="19">
        <f t="shared" si="1"/>
        <v>0</v>
      </c>
      <c r="O40" s="11"/>
      <c r="P40" s="2">
        <f>-19474.33</f>
        <v>-19474.330000000002</v>
      </c>
      <c r="Q40" s="2"/>
      <c r="R40" s="19"/>
      <c r="S40" s="2"/>
      <c r="T40" s="2"/>
      <c r="U40" s="2"/>
      <c r="V40" s="19"/>
      <c r="W40" s="2"/>
      <c r="X40" s="2">
        <f t="shared" si="2"/>
        <v>-19474.330000000002</v>
      </c>
      <c r="Y40" s="2"/>
      <c r="Z40" s="19">
        <f t="shared" si="3"/>
        <v>0</v>
      </c>
    </row>
    <row r="41" spans="1:26" s="24" customFormat="1" hidden="1" outlineLevel="1" x14ac:dyDescent="0.25">
      <c r="A41" s="44"/>
      <c r="B41" s="11" t="str">
        <f>CONCATENATE("          ", "4311", " - ", "SALES RETURN NON TAXABLE-NO VA")</f>
        <v xml:space="preserve">          4311 - SALES RETURN NON TAXABLE-NO VA</v>
      </c>
      <c r="C41" s="11"/>
      <c r="D41" s="2">
        <f t="shared" ref="D41:D42" si="6">0</f>
        <v>0</v>
      </c>
      <c r="E41" s="2"/>
      <c r="F41" s="19"/>
      <c r="G41" s="2"/>
      <c r="H41" s="2"/>
      <c r="I41" s="2"/>
      <c r="J41" s="19"/>
      <c r="K41" s="2"/>
      <c r="L41" s="2">
        <f t="shared" si="0"/>
        <v>0</v>
      </c>
      <c r="M41" s="2"/>
      <c r="N41" s="19">
        <f t="shared" si="1"/>
        <v>0</v>
      </c>
      <c r="O41" s="11"/>
      <c r="P41" s="2">
        <f>-941.28</f>
        <v>-941.28</v>
      </c>
      <c r="Q41" s="2"/>
      <c r="R41" s="19"/>
      <c r="S41" s="2"/>
      <c r="T41" s="2"/>
      <c r="U41" s="2"/>
      <c r="V41" s="19"/>
      <c r="W41" s="2"/>
      <c r="X41" s="2">
        <f t="shared" si="2"/>
        <v>-941.28</v>
      </c>
      <c r="Y41" s="2"/>
      <c r="Z41" s="19">
        <f t="shared" si="3"/>
        <v>0</v>
      </c>
    </row>
    <row r="42" spans="1:26" s="24" customFormat="1" hidden="1" outlineLevel="1" x14ac:dyDescent="0.25">
      <c r="A42" s="44"/>
      <c r="B42" s="11" t="str">
        <f>CONCATENATE("          ", "4313", " - ", "SALES RETURN NON TAXABLE-TRADE")</f>
        <v xml:space="preserve">          4313 - SALES RETURN NON TAXABLE-TRADE</v>
      </c>
      <c r="C42" s="11"/>
      <c r="D42" s="2">
        <f t="shared" si="6"/>
        <v>0</v>
      </c>
      <c r="E42" s="2"/>
      <c r="F42" s="19"/>
      <c r="G42" s="2"/>
      <c r="H42" s="2"/>
      <c r="I42" s="2"/>
      <c r="J42" s="19"/>
      <c r="K42" s="2"/>
      <c r="L42" s="2">
        <f t="shared" si="0"/>
        <v>0</v>
      </c>
      <c r="M42" s="2"/>
      <c r="N42" s="19">
        <f t="shared" si="1"/>
        <v>0</v>
      </c>
      <c r="O42" s="11"/>
      <c r="P42" s="2">
        <f>-2481.44</f>
        <v>-2481.44</v>
      </c>
      <c r="Q42" s="2"/>
      <c r="R42" s="19"/>
      <c r="S42" s="2"/>
      <c r="T42" s="2"/>
      <c r="U42" s="2"/>
      <c r="V42" s="19"/>
      <c r="W42" s="2"/>
      <c r="X42" s="2">
        <f t="shared" si="2"/>
        <v>-2481.44</v>
      </c>
      <c r="Y42" s="2"/>
      <c r="Z42" s="19">
        <f t="shared" si="3"/>
        <v>0</v>
      </c>
    </row>
    <row r="43" spans="1:26" x14ac:dyDescent="0.25">
      <c r="A43" s="9"/>
      <c r="B43" s="10"/>
      <c r="C43" s="9"/>
      <c r="D43" s="3"/>
      <c r="E43" s="3"/>
      <c r="F43" s="8"/>
      <c r="G43" s="3"/>
      <c r="H43" s="3"/>
      <c r="I43" s="3"/>
      <c r="J43" s="8"/>
      <c r="K43" s="3"/>
      <c r="L43" s="3"/>
      <c r="M43" s="3"/>
      <c r="N43" s="8"/>
      <c r="P43" s="3"/>
      <c r="Q43" s="3"/>
      <c r="R43" s="8"/>
      <c r="S43" s="3"/>
      <c r="T43" s="3"/>
      <c r="U43" s="3"/>
      <c r="V43" s="8"/>
      <c r="W43" s="3"/>
      <c r="X43" s="3"/>
      <c r="Y43" s="3"/>
      <c r="Z43" s="8"/>
    </row>
    <row r="44" spans="1:26" s="23" customFormat="1" collapsed="1" x14ac:dyDescent="0.25">
      <c r="A44" s="10"/>
      <c r="B44" s="28" t="s">
        <v>8</v>
      </c>
      <c r="C44" s="10"/>
      <c r="D44" s="4">
        <f>SUM(OSRRefD16x_0)</f>
        <v>51333.750000000015</v>
      </c>
      <c r="E44" s="4"/>
      <c r="F44" s="13">
        <f t="shared" ref="F44:F61" si="7">IF(D$12=0,0,D44/D$12)</f>
        <v>0.84661253558011473</v>
      </c>
      <c r="G44" s="4"/>
      <c r="H44" s="4">
        <f>SUM(OSRRefH16x_0)</f>
        <v>36899.550000000003</v>
      </c>
      <c r="I44" s="4"/>
      <c r="J44" s="13">
        <f t="shared" ref="J44:J61" si="8">IF(H$12=0,0,H44/H$12)</f>
        <v>0.71798785826863587</v>
      </c>
      <c r="K44" s="4"/>
      <c r="L44" s="4">
        <f t="shared" ref="L44:L61" si="9">+D44-H44</f>
        <v>14434.200000000012</v>
      </c>
      <c r="M44" s="4"/>
      <c r="N44" s="13">
        <f t="shared" ref="N44:N61" si="10">IF(H44=0,0,L44/H44)</f>
        <v>0.3911755021402703</v>
      </c>
      <c r="O44" s="10"/>
      <c r="P44" s="4">
        <f>SUM(OSRRefP16x_0)</f>
        <v>3535377.7399999998</v>
      </c>
      <c r="Q44" s="4"/>
      <c r="R44" s="13">
        <f t="shared" ref="R44:R61" si="11">IF(P$12=0,0,P44/P$12)</f>
        <v>0.71722471959266387</v>
      </c>
      <c r="S44" s="4"/>
      <c r="T44" s="4">
        <f>SUM(OSRRefT16x_0)</f>
        <v>3917369.63</v>
      </c>
      <c r="U44" s="4"/>
      <c r="V44" s="13">
        <f t="shared" ref="V44:V61" si="12">IF(T$12=0,0,T44/T$12)</f>
        <v>0.72125434308987724</v>
      </c>
      <c r="W44" s="4"/>
      <c r="X44" s="4">
        <f t="shared" ref="X44:X61" si="13">+P44-T44</f>
        <v>-381991.89000000013</v>
      </c>
      <c r="Y44" s="4"/>
      <c r="Z44" s="13">
        <f t="shared" ref="Z44:Z61" si="14">IF(T44=0,0,X44/T44)</f>
        <v>-9.7512342740044208E-2</v>
      </c>
    </row>
    <row r="45" spans="1:26" s="24" customFormat="1" hidden="1" outlineLevel="1" x14ac:dyDescent="0.25">
      <c r="A45" s="44"/>
      <c r="B45" s="11" t="str">
        <f>CONCATENATE("          ", "5000", " - ", "PURCHASES @ COST")</f>
        <v xml:space="preserve">          5000 - PURCHASES @ COST</v>
      </c>
      <c r="C45" s="11"/>
      <c r="D45" s="2"/>
      <c r="E45" s="2"/>
      <c r="F45" s="19">
        <f t="shared" si="7"/>
        <v>0</v>
      </c>
      <c r="G45" s="2"/>
      <c r="H45" s="2">
        <v>36899.550000000003</v>
      </c>
      <c r="I45" s="2"/>
      <c r="J45" s="19">
        <f t="shared" si="8"/>
        <v>0.71798785826863587</v>
      </c>
      <c r="K45" s="2"/>
      <c r="L45" s="2">
        <f t="shared" si="9"/>
        <v>-36899.550000000003</v>
      </c>
      <c r="M45" s="2"/>
      <c r="N45" s="19">
        <f t="shared" si="10"/>
        <v>-1</v>
      </c>
      <c r="O45" s="11"/>
      <c r="P45" s="2"/>
      <c r="Q45" s="2"/>
      <c r="R45" s="19">
        <f t="shared" si="11"/>
        <v>0</v>
      </c>
      <c r="S45" s="2"/>
      <c r="T45" s="2">
        <v>3917369.63</v>
      </c>
      <c r="U45" s="2"/>
      <c r="V45" s="19">
        <f t="shared" si="12"/>
        <v>0.72125434308987724</v>
      </c>
      <c r="W45" s="2"/>
      <c r="X45" s="2">
        <f t="shared" si="13"/>
        <v>-3917369.63</v>
      </c>
      <c r="Y45" s="2"/>
      <c r="Z45" s="19">
        <f t="shared" si="14"/>
        <v>-1</v>
      </c>
    </row>
    <row r="46" spans="1:26" s="24" customFormat="1" hidden="1" outlineLevel="1" x14ac:dyDescent="0.25">
      <c r="A46" s="44"/>
      <c r="B46" s="11" t="str">
        <f>CONCATENATE("          ", "5001", " - ", "PURCHASES @ COST-NEW TEXT")</f>
        <v xml:space="preserve">          5001 - PURCHASES @ COST-NEW TEXT</v>
      </c>
      <c r="C46" s="11"/>
      <c r="D46" s="2">
        <v>71528.210000000006</v>
      </c>
      <c r="E46" s="2"/>
      <c r="F46" s="19">
        <f t="shared" si="7"/>
        <v>1.1796659942748564</v>
      </c>
      <c r="G46" s="2"/>
      <c r="H46" s="2"/>
      <c r="I46" s="2"/>
      <c r="J46" s="19">
        <f t="shared" si="8"/>
        <v>0</v>
      </c>
      <c r="K46" s="2"/>
      <c r="L46" s="2">
        <f t="shared" si="9"/>
        <v>71528.210000000006</v>
      </c>
      <c r="M46" s="2"/>
      <c r="N46" s="19">
        <f t="shared" si="10"/>
        <v>0</v>
      </c>
      <c r="O46" s="11"/>
      <c r="P46" s="2">
        <v>1641280.46</v>
      </c>
      <c r="Q46" s="2"/>
      <c r="R46" s="19">
        <f t="shared" si="11"/>
        <v>0.33296779135584487</v>
      </c>
      <c r="S46" s="2"/>
      <c r="T46" s="2"/>
      <c r="U46" s="2"/>
      <c r="V46" s="19">
        <f t="shared" si="12"/>
        <v>0</v>
      </c>
      <c r="W46" s="2"/>
      <c r="X46" s="2">
        <f t="shared" si="13"/>
        <v>1641280.46</v>
      </c>
      <c r="Y46" s="2"/>
      <c r="Z46" s="19">
        <f t="shared" si="14"/>
        <v>0</v>
      </c>
    </row>
    <row r="47" spans="1:26" s="24" customFormat="1" hidden="1" outlineLevel="1" x14ac:dyDescent="0.25">
      <c r="A47" s="44"/>
      <c r="B47" s="11" t="str">
        <f>CONCATENATE("          ", "5002", " - ", "PURCHASES @ COST-USED TEXT")</f>
        <v xml:space="preserve">          5002 - PURCHASES @ COST-USED TEXT</v>
      </c>
      <c r="C47" s="11"/>
      <c r="D47" s="2">
        <v>14738.6</v>
      </c>
      <c r="E47" s="2"/>
      <c r="F47" s="19">
        <f t="shared" si="7"/>
        <v>0.24307367992599557</v>
      </c>
      <c r="G47" s="2"/>
      <c r="H47" s="2"/>
      <c r="I47" s="2"/>
      <c r="J47" s="19">
        <f t="shared" si="8"/>
        <v>0</v>
      </c>
      <c r="K47" s="2"/>
      <c r="L47" s="2">
        <f t="shared" si="9"/>
        <v>14738.6</v>
      </c>
      <c r="M47" s="2"/>
      <c r="N47" s="19">
        <f t="shared" si="10"/>
        <v>0</v>
      </c>
      <c r="O47" s="11"/>
      <c r="P47" s="2">
        <v>610321.38</v>
      </c>
      <c r="Q47" s="2"/>
      <c r="R47" s="19">
        <f t="shared" si="11"/>
        <v>0.12381635367538057</v>
      </c>
      <c r="S47" s="2"/>
      <c r="T47" s="2"/>
      <c r="U47" s="2"/>
      <c r="V47" s="19">
        <f t="shared" si="12"/>
        <v>0</v>
      </c>
      <c r="W47" s="2"/>
      <c r="X47" s="2">
        <f t="shared" si="13"/>
        <v>610321.38</v>
      </c>
      <c r="Y47" s="2"/>
      <c r="Z47" s="19">
        <f t="shared" si="14"/>
        <v>0</v>
      </c>
    </row>
    <row r="48" spans="1:26" s="24" customFormat="1" hidden="1" outlineLevel="1" x14ac:dyDescent="0.25">
      <c r="A48" s="44"/>
      <c r="B48" s="11" t="str">
        <f>CONCATENATE("          ", "5003", " - ", "PURCHASES @ COST-RENTAL TEXT")</f>
        <v xml:space="preserve">          5003 - PURCHASES @ COST-RENTAL TEXT</v>
      </c>
      <c r="C48" s="11"/>
      <c r="D48" s="2"/>
      <c r="E48" s="2"/>
      <c r="F48" s="19">
        <f t="shared" si="7"/>
        <v>0</v>
      </c>
      <c r="G48" s="2"/>
      <c r="H48" s="2"/>
      <c r="I48" s="2"/>
      <c r="J48" s="19">
        <f t="shared" si="8"/>
        <v>0</v>
      </c>
      <c r="K48" s="2"/>
      <c r="L48" s="2">
        <f t="shared" si="9"/>
        <v>0</v>
      </c>
      <c r="M48" s="2"/>
      <c r="N48" s="19">
        <f t="shared" si="10"/>
        <v>0</v>
      </c>
      <c r="O48" s="11"/>
      <c r="P48" s="2">
        <v>-78.400000000000006</v>
      </c>
      <c r="Q48" s="2"/>
      <c r="R48" s="19">
        <f t="shared" si="11"/>
        <v>-1.590506648833085E-5</v>
      </c>
      <c r="S48" s="2"/>
      <c r="T48" s="2"/>
      <c r="U48" s="2"/>
      <c r="V48" s="19">
        <f t="shared" si="12"/>
        <v>0</v>
      </c>
      <c r="W48" s="2"/>
      <c r="X48" s="2">
        <f t="shared" si="13"/>
        <v>-78.400000000000006</v>
      </c>
      <c r="Y48" s="2"/>
      <c r="Z48" s="19">
        <f t="shared" si="14"/>
        <v>0</v>
      </c>
    </row>
    <row r="49" spans="1:26" s="24" customFormat="1" hidden="1" outlineLevel="1" x14ac:dyDescent="0.25">
      <c r="A49" s="44"/>
      <c r="B49" s="11" t="str">
        <f>CONCATENATE("          ", "5004", " - ", "PURCHASES @ COST-DIGITAL TEXT")</f>
        <v xml:space="preserve">          5004 - PURCHASES @ COST-DIGITAL TEXT</v>
      </c>
      <c r="C49" s="11"/>
      <c r="D49" s="2">
        <v>-46518.259999999995</v>
      </c>
      <c r="E49" s="2"/>
      <c r="F49" s="19">
        <f t="shared" si="7"/>
        <v>-0.76719394256945994</v>
      </c>
      <c r="G49" s="2"/>
      <c r="H49" s="2"/>
      <c r="I49" s="2"/>
      <c r="J49" s="19">
        <f t="shared" si="8"/>
        <v>0</v>
      </c>
      <c r="K49" s="2"/>
      <c r="L49" s="2">
        <f t="shared" si="9"/>
        <v>-46518.259999999995</v>
      </c>
      <c r="M49" s="2"/>
      <c r="N49" s="19">
        <f t="shared" si="10"/>
        <v>0</v>
      </c>
      <c r="O49" s="11"/>
      <c r="P49" s="2">
        <v>446269.65</v>
      </c>
      <c r="Q49" s="2"/>
      <c r="R49" s="19">
        <f t="shared" si="11"/>
        <v>9.0535056823649707E-2</v>
      </c>
      <c r="S49" s="2"/>
      <c r="T49" s="2"/>
      <c r="U49" s="2"/>
      <c r="V49" s="19">
        <f t="shared" si="12"/>
        <v>0</v>
      </c>
      <c r="W49" s="2"/>
      <c r="X49" s="2">
        <f t="shared" si="13"/>
        <v>446269.65</v>
      </c>
      <c r="Y49" s="2"/>
      <c r="Z49" s="19">
        <f t="shared" si="14"/>
        <v>0</v>
      </c>
    </row>
    <row r="50" spans="1:26" s="24" customFormat="1" hidden="1" outlineLevel="1" x14ac:dyDescent="0.25">
      <c r="A50" s="44"/>
      <c r="B50" s="11" t="str">
        <f>CONCATENATE("          ", "5011", " - ", "PURCHASES @ COST-NO VALUE TEXT")</f>
        <v xml:space="preserve">          5011 - PURCHASES @ COST-NO VALUE TEXT</v>
      </c>
      <c r="C50" s="11"/>
      <c r="D50" s="2"/>
      <c r="E50" s="2"/>
      <c r="F50" s="19">
        <f t="shared" si="7"/>
        <v>0</v>
      </c>
      <c r="G50" s="2"/>
      <c r="H50" s="2"/>
      <c r="I50" s="2"/>
      <c r="J50" s="19">
        <f t="shared" si="8"/>
        <v>0</v>
      </c>
      <c r="K50" s="2"/>
      <c r="L50" s="2">
        <f t="shared" si="9"/>
        <v>0</v>
      </c>
      <c r="M50" s="2"/>
      <c r="N50" s="19">
        <f t="shared" si="10"/>
        <v>0</v>
      </c>
      <c r="O50" s="11"/>
      <c r="P50" s="2">
        <v>6363</v>
      </c>
      <c r="Q50" s="2"/>
      <c r="R50" s="19">
        <f t="shared" si="11"/>
        <v>1.290866556954709E-3</v>
      </c>
      <c r="S50" s="2"/>
      <c r="T50" s="2"/>
      <c r="U50" s="2"/>
      <c r="V50" s="19">
        <f t="shared" si="12"/>
        <v>0</v>
      </c>
      <c r="W50" s="2"/>
      <c r="X50" s="2">
        <f t="shared" si="13"/>
        <v>6363</v>
      </c>
      <c r="Y50" s="2"/>
      <c r="Z50" s="19">
        <f t="shared" si="14"/>
        <v>0</v>
      </c>
    </row>
    <row r="51" spans="1:26" s="24" customFormat="1" hidden="1" outlineLevel="1" x14ac:dyDescent="0.25">
      <c r="A51" s="44"/>
      <c r="B51" s="11" t="str">
        <f>CONCATENATE("          ", "5013", " - ", "PURCHASES @ COST-TRADE BOOKS")</f>
        <v xml:space="preserve">          5013 - PURCHASES @ COST-TRADE BOOKS</v>
      </c>
      <c r="C51" s="11"/>
      <c r="D51" s="2"/>
      <c r="E51" s="2"/>
      <c r="F51" s="19">
        <f t="shared" si="7"/>
        <v>0</v>
      </c>
      <c r="G51" s="2"/>
      <c r="H51" s="2"/>
      <c r="I51" s="2"/>
      <c r="J51" s="19">
        <f t="shared" si="8"/>
        <v>0</v>
      </c>
      <c r="K51" s="2"/>
      <c r="L51" s="2">
        <f t="shared" si="9"/>
        <v>0</v>
      </c>
      <c r="M51" s="2"/>
      <c r="N51" s="19">
        <f t="shared" si="10"/>
        <v>0</v>
      </c>
      <c r="O51" s="11"/>
      <c r="P51" s="2">
        <v>3197.85</v>
      </c>
      <c r="Q51" s="2"/>
      <c r="R51" s="19">
        <f t="shared" si="11"/>
        <v>6.4875021517485712E-4</v>
      </c>
      <c r="S51" s="2"/>
      <c r="T51" s="2"/>
      <c r="U51" s="2"/>
      <c r="V51" s="19">
        <f t="shared" si="12"/>
        <v>0</v>
      </c>
      <c r="W51" s="2"/>
      <c r="X51" s="2">
        <f t="shared" si="13"/>
        <v>3197.85</v>
      </c>
      <c r="Y51" s="2"/>
      <c r="Z51" s="19">
        <f t="shared" si="14"/>
        <v>0</v>
      </c>
    </row>
    <row r="52" spans="1:26" s="24" customFormat="1" hidden="1" outlineLevel="1" x14ac:dyDescent="0.25">
      <c r="A52" s="44"/>
      <c r="B52" s="11" t="str">
        <f>CONCATENATE("          ", "5014", " - ", "PURCHASES @ COST-REMAINDERS")</f>
        <v xml:space="preserve">          5014 - PURCHASES @ COST-REMAINDERS</v>
      </c>
      <c r="C52" s="11"/>
      <c r="D52" s="2"/>
      <c r="E52" s="2"/>
      <c r="F52" s="19">
        <f t="shared" si="7"/>
        <v>0</v>
      </c>
      <c r="G52" s="2"/>
      <c r="H52" s="2"/>
      <c r="I52" s="2"/>
      <c r="J52" s="19">
        <f t="shared" si="8"/>
        <v>0</v>
      </c>
      <c r="K52" s="2"/>
      <c r="L52" s="2">
        <f t="shared" si="9"/>
        <v>0</v>
      </c>
      <c r="M52" s="2"/>
      <c r="N52" s="19">
        <f t="shared" si="10"/>
        <v>0</v>
      </c>
      <c r="O52" s="11"/>
      <c r="P52" s="2">
        <v>600.61</v>
      </c>
      <c r="Q52" s="2"/>
      <c r="R52" s="19">
        <f t="shared" si="11"/>
        <v>1.2184619876985192E-4</v>
      </c>
      <c r="S52" s="2"/>
      <c r="T52" s="2"/>
      <c r="U52" s="2"/>
      <c r="V52" s="19">
        <f t="shared" si="12"/>
        <v>0</v>
      </c>
      <c r="W52" s="2"/>
      <c r="X52" s="2">
        <f t="shared" si="13"/>
        <v>600.61</v>
      </c>
      <c r="Y52" s="2"/>
      <c r="Z52" s="19">
        <f t="shared" si="14"/>
        <v>0</v>
      </c>
    </row>
    <row r="53" spans="1:26" s="24" customFormat="1" hidden="1" outlineLevel="1" x14ac:dyDescent="0.25">
      <c r="A53" s="44"/>
      <c r="B53" s="11" t="str">
        <f>CONCATENATE("          ", "5018", " - ", "PURCHASES @ COST-STUDY GUIDES")</f>
        <v xml:space="preserve">          5018 - PURCHASES @ COST-STUDY GUIDES</v>
      </c>
      <c r="C53" s="11"/>
      <c r="D53" s="2"/>
      <c r="E53" s="2"/>
      <c r="F53" s="19">
        <f t="shared" si="7"/>
        <v>0</v>
      </c>
      <c r="G53" s="2"/>
      <c r="H53" s="2"/>
      <c r="I53" s="2"/>
      <c r="J53" s="19">
        <f t="shared" si="8"/>
        <v>0</v>
      </c>
      <c r="K53" s="2"/>
      <c r="L53" s="2">
        <f t="shared" si="9"/>
        <v>0</v>
      </c>
      <c r="M53" s="2"/>
      <c r="N53" s="19">
        <f t="shared" si="10"/>
        <v>0</v>
      </c>
      <c r="O53" s="11"/>
      <c r="P53" s="2">
        <v>-205.14</v>
      </c>
      <c r="Q53" s="2"/>
      <c r="R53" s="19">
        <f t="shared" si="11"/>
        <v>-4.1616904839492215E-5</v>
      </c>
      <c r="S53" s="2"/>
      <c r="T53" s="2"/>
      <c r="U53" s="2"/>
      <c r="V53" s="19">
        <f t="shared" si="12"/>
        <v>0</v>
      </c>
      <c r="W53" s="2"/>
      <c r="X53" s="2">
        <f t="shared" si="13"/>
        <v>-205.14</v>
      </c>
      <c r="Y53" s="2"/>
      <c r="Z53" s="19">
        <f t="shared" si="14"/>
        <v>0</v>
      </c>
    </row>
    <row r="54" spans="1:26" s="24" customFormat="1" hidden="1" outlineLevel="1" x14ac:dyDescent="0.25">
      <c r="A54" s="44"/>
      <c r="B54" s="11" t="str">
        <f>CONCATENATE("          ", "5200", " - ", "PURCHASES OFFSET")</f>
        <v xml:space="preserve">          5200 - PURCHASES OFFSET</v>
      </c>
      <c r="C54" s="11"/>
      <c r="D54" s="2">
        <v>-32085</v>
      </c>
      <c r="E54" s="2"/>
      <c r="F54" s="19">
        <f t="shared" si="7"/>
        <v>-0.5291560270599357</v>
      </c>
      <c r="G54" s="2"/>
      <c r="H54" s="2"/>
      <c r="I54" s="2"/>
      <c r="J54" s="19">
        <f t="shared" si="8"/>
        <v>0</v>
      </c>
      <c r="K54" s="2"/>
      <c r="L54" s="2">
        <f t="shared" si="9"/>
        <v>-32085</v>
      </c>
      <c r="M54" s="2"/>
      <c r="N54" s="19">
        <f t="shared" si="10"/>
        <v>0</v>
      </c>
      <c r="O54" s="11"/>
      <c r="P54" s="2">
        <v>-1618852</v>
      </c>
      <c r="Q54" s="2"/>
      <c r="R54" s="19">
        <f t="shared" si="11"/>
        <v>-0.32841771294346134</v>
      </c>
      <c r="S54" s="2"/>
      <c r="T54" s="2"/>
      <c r="U54" s="2"/>
      <c r="V54" s="19">
        <f t="shared" si="12"/>
        <v>0</v>
      </c>
      <c r="W54" s="2"/>
      <c r="X54" s="2">
        <f t="shared" si="13"/>
        <v>-1618852</v>
      </c>
      <c r="Y54" s="2"/>
      <c r="Z54" s="19">
        <f t="shared" si="14"/>
        <v>0</v>
      </c>
    </row>
    <row r="55" spans="1:26" s="24" customFormat="1" hidden="1" outlineLevel="1" x14ac:dyDescent="0.25">
      <c r="A55" s="44"/>
      <c r="B55" s="11" t="str">
        <f>CONCATENATE("          ", "5300", " - ", "COG$ OFFSET")</f>
        <v xml:space="preserve">          5300 - COG$ OFFSET</v>
      </c>
      <c r="C55" s="11"/>
      <c r="D55" s="2">
        <v>43312</v>
      </c>
      <c r="E55" s="2"/>
      <c r="F55" s="19">
        <f t="shared" si="7"/>
        <v>0.71431528265606781</v>
      </c>
      <c r="G55" s="2"/>
      <c r="H55" s="2"/>
      <c r="I55" s="2"/>
      <c r="J55" s="19">
        <f t="shared" si="8"/>
        <v>0</v>
      </c>
      <c r="K55" s="2"/>
      <c r="L55" s="2">
        <f t="shared" si="9"/>
        <v>43312</v>
      </c>
      <c r="M55" s="2"/>
      <c r="N55" s="19">
        <f t="shared" si="10"/>
        <v>0</v>
      </c>
      <c r="O55" s="11"/>
      <c r="P55" s="2">
        <v>2360840.4700000002</v>
      </c>
      <c r="Q55" s="2"/>
      <c r="R55" s="19">
        <f t="shared" si="11"/>
        <v>0.47894546739403382</v>
      </c>
      <c r="S55" s="2"/>
      <c r="T55" s="2"/>
      <c r="U55" s="2"/>
      <c r="V55" s="19">
        <f t="shared" si="12"/>
        <v>0</v>
      </c>
      <c r="W55" s="2"/>
      <c r="X55" s="2">
        <f t="shared" si="13"/>
        <v>2360840.4700000002</v>
      </c>
      <c r="Y55" s="2"/>
      <c r="Z55" s="19">
        <f t="shared" si="14"/>
        <v>0</v>
      </c>
    </row>
    <row r="56" spans="1:26" s="24" customFormat="1" hidden="1" outlineLevel="1" x14ac:dyDescent="0.25">
      <c r="A56" s="44"/>
      <c r="B56" s="11" t="str">
        <f>CONCATENATE("          ", "5500", " - ", "FREIGHT-IN")</f>
        <v xml:space="preserve">          5500 - FREIGHT-IN</v>
      </c>
      <c r="C56" s="11"/>
      <c r="D56" s="2"/>
      <c r="E56" s="2"/>
      <c r="F56" s="19">
        <f t="shared" si="7"/>
        <v>0</v>
      </c>
      <c r="G56" s="2"/>
      <c r="H56" s="2"/>
      <c r="I56" s="2"/>
      <c r="J56" s="19">
        <f t="shared" si="8"/>
        <v>0</v>
      </c>
      <c r="K56" s="2"/>
      <c r="L56" s="2">
        <f t="shared" si="9"/>
        <v>0</v>
      </c>
      <c r="M56" s="2"/>
      <c r="N56" s="19">
        <f t="shared" si="10"/>
        <v>0</v>
      </c>
      <c r="O56" s="11"/>
      <c r="P56" s="2">
        <v>41.25</v>
      </c>
      <c r="Q56" s="2"/>
      <c r="R56" s="19">
        <f t="shared" si="11"/>
        <v>8.3684182735159107E-6</v>
      </c>
      <c r="S56" s="2"/>
      <c r="T56" s="2"/>
      <c r="U56" s="2"/>
      <c r="V56" s="19">
        <f t="shared" si="12"/>
        <v>0</v>
      </c>
      <c r="W56" s="2"/>
      <c r="X56" s="2">
        <f t="shared" si="13"/>
        <v>41.25</v>
      </c>
      <c r="Y56" s="2"/>
      <c r="Z56" s="19">
        <f t="shared" si="14"/>
        <v>0</v>
      </c>
    </row>
    <row r="57" spans="1:26" s="24" customFormat="1" hidden="1" outlineLevel="1" x14ac:dyDescent="0.25">
      <c r="A57" s="44"/>
      <c r="B57" s="11" t="str">
        <f>CONCATENATE("          ", "5501", " - ", "FREIGHT-IN-NEW TEXT")</f>
        <v xml:space="preserve">          5501 - FREIGHT-IN-NEW TEXT</v>
      </c>
      <c r="C57" s="11"/>
      <c r="D57" s="2">
        <v>-21.22</v>
      </c>
      <c r="E57" s="2"/>
      <c r="F57" s="19">
        <f t="shared" si="7"/>
        <v>-3.4996699062527143E-4</v>
      </c>
      <c r="G57" s="2"/>
      <c r="H57" s="2"/>
      <c r="I57" s="2"/>
      <c r="J57" s="19">
        <f t="shared" si="8"/>
        <v>0</v>
      </c>
      <c r="K57" s="2"/>
      <c r="L57" s="2">
        <f t="shared" si="9"/>
        <v>-21.22</v>
      </c>
      <c r="M57" s="2"/>
      <c r="N57" s="19">
        <f t="shared" si="10"/>
        <v>0</v>
      </c>
      <c r="O57" s="11"/>
      <c r="P57" s="2">
        <v>69747.73000000001</v>
      </c>
      <c r="Q57" s="2"/>
      <c r="R57" s="19">
        <f t="shared" si="11"/>
        <v>1.414977401862434E-2</v>
      </c>
      <c r="S57" s="2"/>
      <c r="T57" s="2"/>
      <c r="U57" s="2"/>
      <c r="V57" s="19">
        <f t="shared" si="12"/>
        <v>0</v>
      </c>
      <c r="W57" s="2"/>
      <c r="X57" s="2">
        <f t="shared" si="13"/>
        <v>69747.73000000001</v>
      </c>
      <c r="Y57" s="2"/>
      <c r="Z57" s="19">
        <f t="shared" si="14"/>
        <v>0</v>
      </c>
    </row>
    <row r="58" spans="1:26" s="24" customFormat="1" hidden="1" outlineLevel="1" x14ac:dyDescent="0.25">
      <c r="A58" s="44"/>
      <c r="B58" s="11" t="str">
        <f>CONCATENATE("          ", "5502", " - ", "FREIGHT-IN-USED TEXT")</f>
        <v xml:space="preserve">          5502 - FREIGHT-IN-USED TEXT</v>
      </c>
      <c r="C58" s="11"/>
      <c r="D58" s="2">
        <v>379.42</v>
      </c>
      <c r="E58" s="2"/>
      <c r="F58" s="19">
        <f t="shared" si="7"/>
        <v>6.2575153432158585E-3</v>
      </c>
      <c r="G58" s="2"/>
      <c r="H58" s="2"/>
      <c r="I58" s="2"/>
      <c r="J58" s="19">
        <f t="shared" si="8"/>
        <v>0</v>
      </c>
      <c r="K58" s="2"/>
      <c r="L58" s="2">
        <f t="shared" si="9"/>
        <v>379.42</v>
      </c>
      <c r="M58" s="2"/>
      <c r="N58" s="19">
        <f t="shared" si="10"/>
        <v>0</v>
      </c>
      <c r="O58" s="11"/>
      <c r="P58" s="2">
        <v>15680.76</v>
      </c>
      <c r="Q58" s="2"/>
      <c r="R58" s="19">
        <f t="shared" si="11"/>
        <v>3.1811674794331481E-3</v>
      </c>
      <c r="S58" s="2"/>
      <c r="T58" s="2"/>
      <c r="U58" s="2"/>
      <c r="V58" s="19">
        <f t="shared" si="12"/>
        <v>0</v>
      </c>
      <c r="W58" s="2"/>
      <c r="X58" s="2">
        <f t="shared" si="13"/>
        <v>15680.76</v>
      </c>
      <c r="Y58" s="2"/>
      <c r="Z58" s="19">
        <f t="shared" si="14"/>
        <v>0</v>
      </c>
    </row>
    <row r="59" spans="1:26" s="24" customFormat="1" hidden="1" outlineLevel="1" x14ac:dyDescent="0.25">
      <c r="A59" s="44"/>
      <c r="B59" s="11" t="str">
        <f>CONCATENATE("          ", "5504", " - ", "FREIGHT-IN-DIGITAL TEXT")</f>
        <v xml:space="preserve">          5504 - FREIGHT-IN-DIGITAL TEXT</v>
      </c>
      <c r="C59" s="11"/>
      <c r="D59" s="2"/>
      <c r="E59" s="2"/>
      <c r="F59" s="19">
        <f t="shared" si="7"/>
        <v>0</v>
      </c>
      <c r="G59" s="2"/>
      <c r="H59" s="2"/>
      <c r="I59" s="2"/>
      <c r="J59" s="19">
        <f t="shared" si="8"/>
        <v>0</v>
      </c>
      <c r="K59" s="2"/>
      <c r="L59" s="2">
        <f t="shared" si="9"/>
        <v>0</v>
      </c>
      <c r="M59" s="2"/>
      <c r="N59" s="19">
        <f t="shared" si="10"/>
        <v>0</v>
      </c>
      <c r="O59" s="11"/>
      <c r="P59" s="2">
        <v>118.75</v>
      </c>
      <c r="Q59" s="2"/>
      <c r="R59" s="19">
        <f t="shared" si="11"/>
        <v>2.4090901090424595E-5</v>
      </c>
      <c r="S59" s="2"/>
      <c r="T59" s="2"/>
      <c r="U59" s="2"/>
      <c r="V59" s="19">
        <f t="shared" si="12"/>
        <v>0</v>
      </c>
      <c r="W59" s="2"/>
      <c r="X59" s="2">
        <f t="shared" si="13"/>
        <v>118.75</v>
      </c>
      <c r="Y59" s="2"/>
      <c r="Z59" s="19">
        <f t="shared" si="14"/>
        <v>0</v>
      </c>
    </row>
    <row r="60" spans="1:26" s="24" customFormat="1" hidden="1" outlineLevel="1" x14ac:dyDescent="0.25">
      <c r="A60" s="44"/>
      <c r="B60" s="11" t="str">
        <f>CONCATENATE("          ", "5513", " - ", "FREIGHT-IN-TRADE BOOKS")</f>
        <v xml:space="preserve">          5513 - FREIGHT-IN-TRADE BOOKS</v>
      </c>
      <c r="C60" s="11"/>
      <c r="D60" s="2"/>
      <c r="E60" s="2"/>
      <c r="F60" s="19">
        <f t="shared" si="7"/>
        <v>0</v>
      </c>
      <c r="G60" s="2"/>
      <c r="H60" s="2"/>
      <c r="I60" s="2"/>
      <c r="J60" s="19">
        <f t="shared" si="8"/>
        <v>0</v>
      </c>
      <c r="K60" s="2"/>
      <c r="L60" s="2">
        <f t="shared" si="9"/>
        <v>0</v>
      </c>
      <c r="M60" s="2"/>
      <c r="N60" s="19">
        <f t="shared" si="10"/>
        <v>0</v>
      </c>
      <c r="O60" s="11"/>
      <c r="P60" s="2">
        <v>30.24</v>
      </c>
      <c r="Q60" s="2"/>
      <c r="R60" s="19">
        <f t="shared" si="11"/>
        <v>6.1348113597847552E-6</v>
      </c>
      <c r="S60" s="2"/>
      <c r="T60" s="2"/>
      <c r="U60" s="2"/>
      <c r="V60" s="19">
        <f t="shared" si="12"/>
        <v>0</v>
      </c>
      <c r="W60" s="2"/>
      <c r="X60" s="2">
        <f t="shared" si="13"/>
        <v>30.24</v>
      </c>
      <c r="Y60" s="2"/>
      <c r="Z60" s="19">
        <f t="shared" si="14"/>
        <v>0</v>
      </c>
    </row>
    <row r="61" spans="1:26" s="24" customFormat="1" hidden="1" outlineLevel="1" x14ac:dyDescent="0.25">
      <c r="A61" s="44"/>
      <c r="B61" s="11" t="str">
        <f>CONCATENATE("          ", "5518", " - ", "FREIGHT-IN-STUDY GUIDES")</f>
        <v xml:space="preserve">          5518 - FREIGHT-IN-STUDY GUIDES</v>
      </c>
      <c r="C61" s="11"/>
      <c r="D61" s="2"/>
      <c r="E61" s="2"/>
      <c r="F61" s="19">
        <f t="shared" si="7"/>
        <v>0</v>
      </c>
      <c r="G61" s="2"/>
      <c r="H61" s="2"/>
      <c r="I61" s="2"/>
      <c r="J61" s="19">
        <f t="shared" si="8"/>
        <v>0</v>
      </c>
      <c r="K61" s="2"/>
      <c r="L61" s="2">
        <f t="shared" si="9"/>
        <v>0</v>
      </c>
      <c r="M61" s="2"/>
      <c r="N61" s="19">
        <f t="shared" si="10"/>
        <v>0</v>
      </c>
      <c r="O61" s="11"/>
      <c r="P61" s="2">
        <v>21.13</v>
      </c>
      <c r="Q61" s="2"/>
      <c r="R61" s="19">
        <f t="shared" si="11"/>
        <v>4.2866588635003927E-6</v>
      </c>
      <c r="S61" s="2"/>
      <c r="T61" s="2"/>
      <c r="U61" s="2"/>
      <c r="V61" s="19">
        <f t="shared" si="12"/>
        <v>0</v>
      </c>
      <c r="W61" s="2"/>
      <c r="X61" s="2">
        <f t="shared" si="13"/>
        <v>21.13</v>
      </c>
      <c r="Y61" s="2"/>
      <c r="Z61" s="19">
        <f t="shared" si="14"/>
        <v>0</v>
      </c>
    </row>
    <row r="62" spans="1:26" x14ac:dyDescent="0.25">
      <c r="A62" s="9"/>
      <c r="B62" s="10"/>
      <c r="C62" s="10"/>
      <c r="D62" s="3"/>
      <c r="E62" s="3"/>
      <c r="F62" s="8"/>
      <c r="G62" s="3"/>
      <c r="H62" s="3"/>
      <c r="I62" s="3"/>
      <c r="J62" s="8"/>
      <c r="K62" s="3"/>
      <c r="L62" s="3"/>
      <c r="M62" s="3"/>
      <c r="N62" s="8"/>
      <c r="O62" s="10"/>
      <c r="P62" s="3"/>
      <c r="Q62" s="3"/>
      <c r="R62" s="8"/>
      <c r="S62" s="3"/>
      <c r="T62" s="3"/>
      <c r="U62" s="3"/>
      <c r="V62" s="8"/>
      <c r="W62" s="3"/>
      <c r="X62" s="3"/>
      <c r="Y62" s="3"/>
      <c r="Z62" s="8"/>
    </row>
    <row r="63" spans="1:26" s="23" customFormat="1" x14ac:dyDescent="0.25">
      <c r="A63" s="10"/>
      <c r="B63" s="29" t="s">
        <v>6</v>
      </c>
      <c r="C63" s="29"/>
      <c r="D63" s="20">
        <f>D12-D44</f>
        <v>9300.5400000000081</v>
      </c>
      <c r="E63" s="14"/>
      <c r="F63" s="22">
        <f>IF(D$12=0,0,D63/D$12)</f>
        <v>0.15338746441988527</v>
      </c>
      <c r="G63" s="14"/>
      <c r="H63" s="20">
        <f>H12-H44</f>
        <v>14493.449999999997</v>
      </c>
      <c r="I63" s="14"/>
      <c r="J63" s="22">
        <f>IF(H$12=0,0,H63/H$12)</f>
        <v>0.28201214173136413</v>
      </c>
      <c r="K63" s="16"/>
      <c r="L63" s="20">
        <f>+D63-H63</f>
        <v>-5192.9099999999889</v>
      </c>
      <c r="M63" s="16"/>
      <c r="N63" s="22">
        <f>IF(H63=0,0,L63/H63)</f>
        <v>-0.35829357399376893</v>
      </c>
      <c r="O63" s="28"/>
      <c r="P63" s="20">
        <f>P12-P44</f>
        <v>1393869.1799999974</v>
      </c>
      <c r="Q63" s="14"/>
      <c r="R63" s="22">
        <f>IF(P$12=0,0,P63/P$12)</f>
        <v>0.28277528040733618</v>
      </c>
      <c r="S63" s="14"/>
      <c r="T63" s="20">
        <f>T12-T44</f>
        <v>1513959.37</v>
      </c>
      <c r="U63" s="14"/>
      <c r="V63" s="22">
        <f>IF(T$12=0,0,T63/T$12)</f>
        <v>0.27874565691012276</v>
      </c>
      <c r="W63" s="16"/>
      <c r="X63" s="20">
        <f>+P63-T63</f>
        <v>-120090.19000000274</v>
      </c>
      <c r="Y63" s="16"/>
      <c r="Z63" s="22">
        <f>IF(T63=0,0,X63/T63)</f>
        <v>-7.9321937153440741E-2</v>
      </c>
    </row>
    <row r="64" spans="1:26" x14ac:dyDescent="0.25">
      <c r="A64" s="9"/>
      <c r="B64" s="10"/>
      <c r="C64" s="9"/>
      <c r="D64" s="1"/>
      <c r="E64" s="1"/>
      <c r="F64" s="5"/>
      <c r="G64" s="1"/>
      <c r="H64" s="1"/>
      <c r="I64" s="1"/>
      <c r="J64" s="5"/>
      <c r="K64" s="1"/>
      <c r="L64" s="1"/>
      <c r="M64" s="1"/>
      <c r="N64" s="5"/>
      <c r="O64" s="36"/>
      <c r="P64" s="1"/>
      <c r="Q64" s="1"/>
      <c r="R64" s="5"/>
      <c r="S64" s="1"/>
      <c r="T64" s="1"/>
      <c r="U64" s="1"/>
      <c r="V64" s="5"/>
      <c r="W64" s="1"/>
      <c r="X64" s="1"/>
      <c r="Y64" s="1"/>
      <c r="Z64" s="5"/>
    </row>
    <row r="65" spans="1:26" s="23" customFormat="1" x14ac:dyDescent="0.25">
      <c r="A65" s="10"/>
      <c r="B65" s="28" t="s">
        <v>9</v>
      </c>
      <c r="C65" s="10"/>
      <c r="D65" s="21">
        <f>SUM(OSRRefD22x_0)</f>
        <v>38231.100000000013</v>
      </c>
      <c r="E65" s="21"/>
      <c r="F65" s="30">
        <f t="shared" ref="F65:F76" si="15">IF(D$12=0,0,D65/D$12)</f>
        <v>0.63051946349169752</v>
      </c>
      <c r="G65" s="21"/>
      <c r="H65" s="21">
        <f>SUM(OSRRefH22x_0)</f>
        <v>58266.119197922875</v>
      </c>
      <c r="I65" s="21"/>
      <c r="J65" s="30">
        <f t="shared" ref="J65:J76" si="16">IF(H$12=0,0,H65/H$12)</f>
        <v>1.1337364854731748</v>
      </c>
      <c r="K65" s="4"/>
      <c r="L65" s="21">
        <f t="shared" ref="L65:L76" si="17">+D65-H65</f>
        <v>-20035.019197922862</v>
      </c>
      <c r="M65" s="4"/>
      <c r="N65" s="30">
        <f t="shared" ref="N65:N76" si="18">IF(H65=0,0,L65/H65)</f>
        <v>-0.34385367472074729</v>
      </c>
      <c r="O65" s="10"/>
      <c r="P65" s="21">
        <f>SUM(OSRRefP22x_0)</f>
        <v>509228.60000000003</v>
      </c>
      <c r="Q65" s="21"/>
      <c r="R65" s="30">
        <f t="shared" ref="R65:R76" si="19">IF(P$12=0,0,P65/P$12)</f>
        <v>0.10330758597907697</v>
      </c>
      <c r="S65" s="21"/>
      <c r="T65" s="21">
        <f>SUM(OSRRefT22x_0)</f>
        <v>628788.62672259915</v>
      </c>
      <c r="U65" s="21"/>
      <c r="V65" s="30">
        <f t="shared" ref="V65:V76" si="20">IF(T$12=0,0,T65/T$12)</f>
        <v>0.11577067541343918</v>
      </c>
      <c r="W65" s="4"/>
      <c r="X65" s="21">
        <f t="shared" ref="X65:X76" si="21">+P65-T65</f>
        <v>-119560.02672259911</v>
      </c>
      <c r="Y65" s="4"/>
      <c r="Z65" s="30">
        <f t="shared" ref="Z65:Z76" si="22">IF(T65=0,0,X65/T65)</f>
        <v>-0.19014343078337048</v>
      </c>
    </row>
    <row r="66" spans="1:26" s="27" customFormat="1" outlineLevel="1" collapsed="1" x14ac:dyDescent="0.25">
      <c r="A66" s="25"/>
      <c r="B66" s="12" t="str">
        <f>CONCATENATE("     ","*Benefits                                         ")</f>
        <v xml:space="preserve">     *Benefits                                         </v>
      </c>
      <c r="C66" s="12"/>
      <c r="D66" s="1">
        <f>SUM(OSRRefD22_0x_0)</f>
        <v>10281.040000000001</v>
      </c>
      <c r="E66" s="1"/>
      <c r="F66" s="5">
        <f t="shared" si="15"/>
        <v>0.16955818234203776</v>
      </c>
      <c r="G66" s="1"/>
      <c r="H66" s="1">
        <f>SUM(OSRRefH22_0x_0)</f>
        <v>12173.394482199772</v>
      </c>
      <c r="I66" s="1"/>
      <c r="J66" s="5">
        <f t="shared" si="16"/>
        <v>0.23686872691222097</v>
      </c>
      <c r="K66" s="1"/>
      <c r="L66" s="1">
        <f t="shared" si="17"/>
        <v>-1892.3544821997712</v>
      </c>
      <c r="M66" s="1"/>
      <c r="N66" s="5">
        <f t="shared" si="18"/>
        <v>-0.15545002546059089</v>
      </c>
      <c r="O66" s="12"/>
      <c r="P66" s="1">
        <f>SUM(OSRRefP22_0x_0)</f>
        <v>116667.29000000001</v>
      </c>
      <c r="Q66" s="1"/>
      <c r="R66" s="5">
        <f t="shared" si="19"/>
        <v>2.3668380158971641E-2</v>
      </c>
      <c r="S66" s="1"/>
      <c r="T66" s="1">
        <f>SUM(OSRRefT22_0x_0)</f>
        <v>141034.37113392222</v>
      </c>
      <c r="U66" s="1"/>
      <c r="V66" s="5">
        <f t="shared" si="20"/>
        <v>2.5966825271295887E-2</v>
      </c>
      <c r="W66" s="1"/>
      <c r="X66" s="1">
        <f t="shared" si="21"/>
        <v>-24367.081133922213</v>
      </c>
      <c r="Y66" s="1"/>
      <c r="Z66" s="5">
        <f t="shared" si="22"/>
        <v>-0.17277406165610457</v>
      </c>
    </row>
    <row r="67" spans="1:26" s="24" customFormat="1" hidden="1" outlineLevel="2" x14ac:dyDescent="0.25">
      <c r="A67" s="26"/>
      <c r="B67" s="11" t="str">
        <f>CONCATENATE("          ", "6111", " - ", "F.I.C.A.")</f>
        <v xml:space="preserve">          6111 - F.I.C.A.</v>
      </c>
      <c r="C67" s="11"/>
      <c r="D67" s="7">
        <v>1559.66</v>
      </c>
      <c r="E67" s="2"/>
      <c r="F67" s="6">
        <f t="shared" si="15"/>
        <v>2.5722408887776198E-2</v>
      </c>
      <c r="G67" s="2"/>
      <c r="H67" s="7">
        <v>1782.25334527362</v>
      </c>
      <c r="I67" s="2"/>
      <c r="J67" s="6">
        <f t="shared" si="16"/>
        <v>3.4678912405845544E-2</v>
      </c>
      <c r="K67" s="2"/>
      <c r="L67" s="7">
        <f t="shared" si="17"/>
        <v>-222.59334527361989</v>
      </c>
      <c r="M67" s="2"/>
      <c r="N67" s="6">
        <f t="shared" si="18"/>
        <v>-0.12489433439074078</v>
      </c>
      <c r="O67" s="11"/>
      <c r="P67" s="7">
        <v>19849.41</v>
      </c>
      <c r="Q67" s="2"/>
      <c r="R67" s="6">
        <f t="shared" si="19"/>
        <v>4.0268646148487143E-3</v>
      </c>
      <c r="S67" s="2"/>
      <c r="T67" s="7">
        <v>20316.390226408421</v>
      </c>
      <c r="U67" s="2"/>
      <c r="V67" s="6">
        <f t="shared" si="20"/>
        <v>3.7405928137309342E-3</v>
      </c>
      <c r="W67" s="2"/>
      <c r="X67" s="7">
        <f t="shared" si="21"/>
        <v>-466.980226408421</v>
      </c>
      <c r="Y67" s="2"/>
      <c r="Z67" s="6">
        <f t="shared" si="22"/>
        <v>-2.2985393625754101E-2</v>
      </c>
    </row>
    <row r="68" spans="1:26" s="24" customFormat="1" hidden="1" outlineLevel="2" x14ac:dyDescent="0.25">
      <c r="A68" s="26"/>
      <c r="B68" s="11" t="str">
        <f>CONCATENATE("          ", "6112", " - ", "COMPENSATION INSURANCE")</f>
        <v xml:space="preserve">          6112 - COMPENSATION INSURANCE</v>
      </c>
      <c r="C68" s="11"/>
      <c r="D68" s="7">
        <v>226.23</v>
      </c>
      <c r="E68" s="2"/>
      <c r="F68" s="6">
        <f t="shared" si="15"/>
        <v>3.7310571295549088E-3</v>
      </c>
      <c r="G68" s="2"/>
      <c r="H68" s="7">
        <v>548.00297200769194</v>
      </c>
      <c r="I68" s="2"/>
      <c r="J68" s="6">
        <f t="shared" si="16"/>
        <v>1.066298857836071E-2</v>
      </c>
      <c r="K68" s="2"/>
      <c r="L68" s="7">
        <f t="shared" si="17"/>
        <v>-321.77297200769192</v>
      </c>
      <c r="M68" s="2"/>
      <c r="N68" s="6">
        <f t="shared" si="18"/>
        <v>-0.58717377175679886</v>
      </c>
      <c r="O68" s="11"/>
      <c r="P68" s="7">
        <v>1091.83</v>
      </c>
      <c r="Q68" s="2"/>
      <c r="R68" s="6">
        <f t="shared" si="19"/>
        <v>2.2150036663206975E-4</v>
      </c>
      <c r="S68" s="2"/>
      <c r="T68" s="7">
        <v>6695.8602850923035</v>
      </c>
      <c r="U68" s="2"/>
      <c r="V68" s="6">
        <f t="shared" si="20"/>
        <v>1.2328217062697368E-3</v>
      </c>
      <c r="W68" s="2"/>
      <c r="X68" s="7">
        <f t="shared" si="21"/>
        <v>-5604.0302850923035</v>
      </c>
      <c r="Y68" s="2"/>
      <c r="Z68" s="6">
        <f t="shared" si="22"/>
        <v>-0.83693954868938114</v>
      </c>
    </row>
    <row r="69" spans="1:26" s="24" customFormat="1" hidden="1" outlineLevel="2" x14ac:dyDescent="0.25">
      <c r="A69" s="26"/>
      <c r="B69" s="11" t="str">
        <f>CONCATENATE("          ", "6113", " - ", "GROUP INSURANCE")</f>
        <v xml:space="preserve">          6113 - GROUP INSURANCE</v>
      </c>
      <c r="C69" s="11"/>
      <c r="D69" s="7">
        <v>4248.21</v>
      </c>
      <c r="E69" s="2"/>
      <c r="F69" s="6">
        <f t="shared" si="15"/>
        <v>7.0062830784363081E-2</v>
      </c>
      <c r="G69" s="2"/>
      <c r="H69" s="7">
        <v>5311.7692307692296</v>
      </c>
      <c r="I69" s="2"/>
      <c r="J69" s="6">
        <f t="shared" si="16"/>
        <v>0.10335588953299533</v>
      </c>
      <c r="K69" s="2"/>
      <c r="L69" s="7">
        <f t="shared" si="17"/>
        <v>-1063.5592307692295</v>
      </c>
      <c r="M69" s="2"/>
      <c r="N69" s="6">
        <f t="shared" si="18"/>
        <v>-0.20022692714291901</v>
      </c>
      <c r="O69" s="11"/>
      <c r="P69" s="7">
        <v>46252.47</v>
      </c>
      <c r="Q69" s="2"/>
      <c r="R69" s="6">
        <f t="shared" si="19"/>
        <v>9.3832730943817326E-3</v>
      </c>
      <c r="S69" s="2"/>
      <c r="T69" s="7">
        <v>60316.230769230766</v>
      </c>
      <c r="U69" s="2"/>
      <c r="V69" s="6">
        <f t="shared" si="20"/>
        <v>1.1105243443958333E-2</v>
      </c>
      <c r="W69" s="2"/>
      <c r="X69" s="7">
        <f t="shared" si="21"/>
        <v>-14063.760769230765</v>
      </c>
      <c r="Y69" s="2"/>
      <c r="Z69" s="6">
        <f t="shared" si="22"/>
        <v>-0.23316710261684884</v>
      </c>
    </row>
    <row r="70" spans="1:26" s="24" customFormat="1" hidden="1" outlineLevel="2" x14ac:dyDescent="0.25">
      <c r="A70" s="26"/>
      <c r="B70" s="11" t="str">
        <f>CONCATENATE("          ", "6114", " - ", "STATE UNEMPLOYMENT INSURANCE")</f>
        <v xml:space="preserve">          6114 - STATE UNEMPLOYMENT INSURANCE</v>
      </c>
      <c r="C70" s="11"/>
      <c r="D70" s="7">
        <v>91.38</v>
      </c>
      <c r="E70" s="2"/>
      <c r="F70" s="6">
        <f t="shared" si="15"/>
        <v>1.5070680303174979E-3</v>
      </c>
      <c r="G70" s="2"/>
      <c r="H70" s="7">
        <v>74.989880380000002</v>
      </c>
      <c r="I70" s="2"/>
      <c r="J70" s="6">
        <f t="shared" si="16"/>
        <v>1.4591458054598876E-3</v>
      </c>
      <c r="K70" s="2"/>
      <c r="L70" s="7">
        <f t="shared" si="17"/>
        <v>16.390119619999993</v>
      </c>
      <c r="M70" s="2"/>
      <c r="N70" s="6">
        <f t="shared" si="18"/>
        <v>0.21856441878484822</v>
      </c>
      <c r="O70" s="11"/>
      <c r="P70" s="7">
        <v>745.41</v>
      </c>
      <c r="Q70" s="2"/>
      <c r="R70" s="6">
        <f t="shared" si="19"/>
        <v>1.5122188279421806E-4</v>
      </c>
      <c r="S70" s="2"/>
      <c r="T70" s="7">
        <v>916.27561795999998</v>
      </c>
      <c r="U70" s="2"/>
      <c r="V70" s="6">
        <f t="shared" si="20"/>
        <v>1.6870191770006936E-4</v>
      </c>
      <c r="W70" s="2"/>
      <c r="X70" s="7">
        <f t="shared" si="21"/>
        <v>-170.86561796000001</v>
      </c>
      <c r="Y70" s="2"/>
      <c r="Z70" s="6">
        <f t="shared" si="22"/>
        <v>-0.18647840738184868</v>
      </c>
    </row>
    <row r="71" spans="1:26" s="24" customFormat="1" hidden="1" outlineLevel="2" x14ac:dyDescent="0.25">
      <c r="A71" s="26"/>
      <c r="B71" s="11" t="str">
        <f>CONCATENATE("          ", "6115", " - ", "P.E.R.S.")</f>
        <v xml:space="preserve">          6115 - P.E.R.S.</v>
      </c>
      <c r="C71" s="11"/>
      <c r="D71" s="7">
        <v>1363.4</v>
      </c>
      <c r="E71" s="2"/>
      <c r="F71" s="6">
        <f t="shared" si="15"/>
        <v>2.2485626532445579E-2</v>
      </c>
      <c r="G71" s="2"/>
      <c r="H71" s="7">
        <v>1235.9586478769202</v>
      </c>
      <c r="I71" s="2"/>
      <c r="J71" s="6">
        <f t="shared" si="16"/>
        <v>2.4049163268867749E-2</v>
      </c>
      <c r="K71" s="2"/>
      <c r="L71" s="7">
        <f t="shared" si="17"/>
        <v>127.44135212307992</v>
      </c>
      <c r="M71" s="2"/>
      <c r="N71" s="6">
        <f t="shared" si="18"/>
        <v>0.10311133980250353</v>
      </c>
      <c r="O71" s="11"/>
      <c r="P71" s="7">
        <v>15839.689999999999</v>
      </c>
      <c r="Q71" s="2"/>
      <c r="R71" s="6">
        <f t="shared" si="19"/>
        <v>3.213409727098842E-3</v>
      </c>
      <c r="S71" s="2"/>
      <c r="T71" s="7">
        <v>14831.503774523042</v>
      </c>
      <c r="U71" s="2"/>
      <c r="V71" s="6">
        <f t="shared" si="20"/>
        <v>2.7307319763768762E-3</v>
      </c>
      <c r="W71" s="2"/>
      <c r="X71" s="7">
        <f t="shared" si="21"/>
        <v>1008.1862254769567</v>
      </c>
      <c r="Y71" s="2"/>
      <c r="Z71" s="6">
        <f t="shared" si="22"/>
        <v>6.7975994936452649E-2</v>
      </c>
    </row>
    <row r="72" spans="1:26" s="24" customFormat="1" hidden="1" outlineLevel="2" x14ac:dyDescent="0.25">
      <c r="A72" s="26"/>
      <c r="B72" s="11" t="str">
        <f>CONCATENATE("          ", "6116", " - ", "EDUCATIONAL BENEFITS")</f>
        <v xml:space="preserve">          6116 - EDUCATIONAL BENEFITS</v>
      </c>
      <c r="C72" s="11"/>
      <c r="D72" s="7"/>
      <c r="E72" s="2"/>
      <c r="F72" s="6">
        <f t="shared" si="15"/>
        <v>0</v>
      </c>
      <c r="G72" s="2"/>
      <c r="H72" s="7">
        <v>0</v>
      </c>
      <c r="I72" s="2"/>
      <c r="J72" s="6">
        <f t="shared" si="16"/>
        <v>0</v>
      </c>
      <c r="K72" s="2"/>
      <c r="L72" s="7">
        <f t="shared" si="17"/>
        <v>0</v>
      </c>
      <c r="M72" s="2"/>
      <c r="N72" s="6">
        <f t="shared" si="18"/>
        <v>0</v>
      </c>
      <c r="O72" s="11"/>
      <c r="P72" s="7"/>
      <c r="Q72" s="2"/>
      <c r="R72" s="6">
        <f t="shared" si="19"/>
        <v>0</v>
      </c>
      <c r="S72" s="2"/>
      <c r="T72" s="7">
        <v>0</v>
      </c>
      <c r="U72" s="2"/>
      <c r="V72" s="6">
        <f t="shared" si="20"/>
        <v>0</v>
      </c>
      <c r="W72" s="2"/>
      <c r="X72" s="7">
        <f t="shared" si="21"/>
        <v>0</v>
      </c>
      <c r="Y72" s="2"/>
      <c r="Z72" s="6">
        <f t="shared" si="22"/>
        <v>0</v>
      </c>
    </row>
    <row r="73" spans="1:26" s="24" customFormat="1" hidden="1" outlineLevel="2" x14ac:dyDescent="0.25">
      <c r="A73" s="26"/>
      <c r="B73" s="11" t="str">
        <f>CONCATENATE("          ", "6117", " - ", "RETIREMENT STAFF HOURLY")</f>
        <v xml:space="preserve">          6117 - RETIREMENT STAFF HOURLY</v>
      </c>
      <c r="C73" s="11"/>
      <c r="D73" s="7">
        <v>219.6</v>
      </c>
      <c r="E73" s="2"/>
      <c r="F73" s="6">
        <f t="shared" si="15"/>
        <v>3.6217130603821684E-3</v>
      </c>
      <c r="G73" s="2"/>
      <c r="H73" s="7"/>
      <c r="I73" s="2"/>
      <c r="J73" s="6">
        <f t="shared" si="16"/>
        <v>0</v>
      </c>
      <c r="K73" s="2"/>
      <c r="L73" s="7">
        <f t="shared" si="17"/>
        <v>219.6</v>
      </c>
      <c r="M73" s="2"/>
      <c r="N73" s="6">
        <f t="shared" si="18"/>
        <v>0</v>
      </c>
      <c r="O73" s="11"/>
      <c r="P73" s="7">
        <v>1789.27</v>
      </c>
      <c r="Q73" s="2"/>
      <c r="R73" s="6">
        <f t="shared" si="19"/>
        <v>3.6299053973948644E-4</v>
      </c>
      <c r="S73" s="2"/>
      <c r="T73" s="7"/>
      <c r="U73" s="2"/>
      <c r="V73" s="6">
        <f t="shared" si="20"/>
        <v>0</v>
      </c>
      <c r="W73" s="2"/>
      <c r="X73" s="7">
        <f t="shared" si="21"/>
        <v>1789.27</v>
      </c>
      <c r="Y73" s="2"/>
      <c r="Z73" s="6">
        <f t="shared" si="22"/>
        <v>0</v>
      </c>
    </row>
    <row r="74" spans="1:26" s="24" customFormat="1" hidden="1" outlineLevel="2" x14ac:dyDescent="0.25">
      <c r="A74" s="26"/>
      <c r="B74" s="11" t="str">
        <f>CONCATENATE("          ", "6118", " - ", "VACATION")</f>
        <v xml:space="preserve">          6118 - VACATION</v>
      </c>
      <c r="C74" s="11"/>
      <c r="D74" s="7">
        <v>1355.16</v>
      </c>
      <c r="E74" s="2"/>
      <c r="F74" s="6">
        <f t="shared" si="15"/>
        <v>2.2349729831090619E-2</v>
      </c>
      <c r="G74" s="2"/>
      <c r="H74" s="7">
        <v>1427.9603583999999</v>
      </c>
      <c r="I74" s="2"/>
      <c r="J74" s="6">
        <f t="shared" si="16"/>
        <v>2.7785113894888407E-2</v>
      </c>
      <c r="K74" s="2"/>
      <c r="L74" s="7">
        <f t="shared" si="17"/>
        <v>-72.800358399999823</v>
      </c>
      <c r="M74" s="2"/>
      <c r="N74" s="6">
        <f t="shared" si="18"/>
        <v>-5.0982058410620812E-2</v>
      </c>
      <c r="O74" s="11"/>
      <c r="P74" s="7">
        <v>11998.22</v>
      </c>
      <c r="Q74" s="2"/>
      <c r="R74" s="6">
        <f t="shared" si="19"/>
        <v>2.4340878423676137E-3</v>
      </c>
      <c r="S74" s="2"/>
      <c r="T74" s="7">
        <v>17135.5243008</v>
      </c>
      <c r="U74" s="2"/>
      <c r="V74" s="6">
        <f t="shared" si="20"/>
        <v>3.154941322980066E-3</v>
      </c>
      <c r="W74" s="2"/>
      <c r="X74" s="7">
        <f t="shared" si="21"/>
        <v>-5137.3043008000004</v>
      </c>
      <c r="Y74" s="2"/>
      <c r="Z74" s="6">
        <f t="shared" si="22"/>
        <v>-0.29980432524963108</v>
      </c>
    </row>
    <row r="75" spans="1:26" s="24" customFormat="1" hidden="1" outlineLevel="2" x14ac:dyDescent="0.25">
      <c r="A75" s="26"/>
      <c r="B75" s="11" t="str">
        <f>CONCATENATE("          ", "6119", " - ", "SICK LEAVE")</f>
        <v xml:space="preserve">          6119 - SICK LEAVE</v>
      </c>
      <c r="C75" s="11"/>
      <c r="D75" s="7">
        <v>944.6</v>
      </c>
      <c r="E75" s="2"/>
      <c r="F75" s="6">
        <f t="shared" si="15"/>
        <v>1.5578643701443518E-2</v>
      </c>
      <c r="G75" s="2"/>
      <c r="H75" s="7">
        <v>1042.46004749231</v>
      </c>
      <c r="I75" s="2"/>
      <c r="J75" s="6">
        <f t="shared" si="16"/>
        <v>2.0284086305378358E-2</v>
      </c>
      <c r="K75" s="2"/>
      <c r="L75" s="7">
        <f t="shared" si="17"/>
        <v>-97.860047492309945</v>
      </c>
      <c r="M75" s="2"/>
      <c r="N75" s="6">
        <f t="shared" si="18"/>
        <v>-9.3874146762475172E-2</v>
      </c>
      <c r="O75" s="11"/>
      <c r="P75" s="7">
        <v>12958.89</v>
      </c>
      <c r="Q75" s="2"/>
      <c r="R75" s="6">
        <f t="shared" si="19"/>
        <v>2.6289796819510933E-3</v>
      </c>
      <c r="S75" s="2"/>
      <c r="T75" s="7">
        <v>12572.586159907691</v>
      </c>
      <c r="U75" s="2"/>
      <c r="V75" s="6">
        <f t="shared" si="20"/>
        <v>2.3148268425476877E-3</v>
      </c>
      <c r="W75" s="2"/>
      <c r="X75" s="7">
        <f t="shared" si="21"/>
        <v>386.30384009230875</v>
      </c>
      <c r="Y75" s="2"/>
      <c r="Z75" s="6">
        <f t="shared" si="22"/>
        <v>3.0725885285573181E-2</v>
      </c>
    </row>
    <row r="76" spans="1:26" s="24" customFormat="1" hidden="1" outlineLevel="2" x14ac:dyDescent="0.25">
      <c r="A76" s="26"/>
      <c r="B76" s="11" t="str">
        <f>CONCATENATE("          ", "6156", " - ", "EMPLOYEE MEALS")</f>
        <v xml:space="preserve">          6156 - EMPLOYEE MEALS</v>
      </c>
      <c r="C76" s="11"/>
      <c r="D76" s="7">
        <v>272.8</v>
      </c>
      <c r="E76" s="2"/>
      <c r="F76" s="6">
        <f t="shared" si="15"/>
        <v>4.499104384664188E-3</v>
      </c>
      <c r="G76" s="2"/>
      <c r="H76" s="7">
        <v>750</v>
      </c>
      <c r="I76" s="2"/>
      <c r="J76" s="6">
        <f t="shared" si="16"/>
        <v>1.4593427120424961E-2</v>
      </c>
      <c r="K76" s="2"/>
      <c r="L76" s="7">
        <f t="shared" si="17"/>
        <v>-477.2</v>
      </c>
      <c r="M76" s="2"/>
      <c r="N76" s="6">
        <f t="shared" si="18"/>
        <v>-0.63626666666666665</v>
      </c>
      <c r="O76" s="11"/>
      <c r="P76" s="7">
        <v>6142.1</v>
      </c>
      <c r="Q76" s="2"/>
      <c r="R76" s="6">
        <f t="shared" si="19"/>
        <v>1.2460524091578687E-3</v>
      </c>
      <c r="S76" s="2"/>
      <c r="T76" s="7">
        <v>8250</v>
      </c>
      <c r="U76" s="2"/>
      <c r="V76" s="6">
        <f t="shared" si="20"/>
        <v>1.518965247732185E-3</v>
      </c>
      <c r="W76" s="2"/>
      <c r="X76" s="7">
        <f t="shared" si="21"/>
        <v>-2107.8999999999996</v>
      </c>
      <c r="Y76" s="2"/>
      <c r="Z76" s="6">
        <f t="shared" si="22"/>
        <v>-0.25550303030303023</v>
      </c>
    </row>
    <row r="77" spans="1:26" s="27" customFormat="1" outlineLevel="1" collapsed="1" x14ac:dyDescent="0.25">
      <c r="A77" s="25"/>
      <c r="B77" s="12" t="str">
        <f>CONCATENATE("     ","*Payroll                                          ")</f>
        <v xml:space="preserve">     *Payroll                                          </v>
      </c>
      <c r="C77" s="12"/>
      <c r="D77" s="1">
        <f>SUM(OSRRefD22_1x_0)</f>
        <v>23297.91</v>
      </c>
      <c r="E77" s="1"/>
      <c r="F77" s="5">
        <f t="shared" ref="F77:F87" si="23">IF(D$12=0,0,D77/D$12)</f>
        <v>0.38423654338164082</v>
      </c>
      <c r="G77" s="1"/>
      <c r="H77" s="1">
        <f>SUM(OSRRefH22_1x_0)</f>
        <v>26527.7247157231</v>
      </c>
      <c r="I77" s="1"/>
      <c r="J77" s="5">
        <f t="shared" ref="J77:J87" si="24">IF(H$12=0,0,H77/H$12)</f>
        <v>0.51617388974613465</v>
      </c>
      <c r="K77" s="1"/>
      <c r="L77" s="1">
        <f t="shared" ref="L77:L87" si="25">+D77-H77</f>
        <v>-3229.8147157230997</v>
      </c>
      <c r="M77" s="1"/>
      <c r="N77" s="5">
        <f t="shared" ref="N77:N87" si="26">IF(H77=0,0,L77/H77)</f>
        <v>-0.12175242130014921</v>
      </c>
      <c r="O77" s="12"/>
      <c r="P77" s="1">
        <f>SUM(OSRRefP22_1x_0)</f>
        <v>307286.41000000003</v>
      </c>
      <c r="Q77" s="1"/>
      <c r="R77" s="5">
        <f t="shared" ref="R77:R87" si="27">IF(P$12=0,0,P77/P$12)</f>
        <v>6.2339423239929762E-2</v>
      </c>
      <c r="S77" s="1"/>
      <c r="T77" s="1">
        <f>SUM(OSRRefT22_1x_0)</f>
        <v>324639.25558867684</v>
      </c>
      <c r="U77" s="1"/>
      <c r="V77" s="5">
        <f t="shared" ref="V77:V87" si="28">IF(T$12=0,0,T77/T$12)</f>
        <v>5.9771605731981405E-2</v>
      </c>
      <c r="W77" s="1"/>
      <c r="X77" s="1">
        <f t="shared" ref="X77:X87" si="29">+P77-T77</f>
        <v>-17352.845588676806</v>
      </c>
      <c r="Y77" s="1"/>
      <c r="Z77" s="5">
        <f t="shared" ref="Z77:Z87" si="30">IF(T77=0,0,X77/T77)</f>
        <v>-5.3452702622824949E-2</v>
      </c>
    </row>
    <row r="78" spans="1:26" s="24" customFormat="1" hidden="1" outlineLevel="2" x14ac:dyDescent="0.25">
      <c r="A78" s="26"/>
      <c r="B78" s="11" t="str">
        <f>CONCATENATE("          ", "6001", " - ", "ADMINISTRATIVE SALARIES")</f>
        <v xml:space="preserve">          6001 - ADMINISTRATIVE SALARIES</v>
      </c>
      <c r="C78" s="11"/>
      <c r="D78" s="7"/>
      <c r="E78" s="2"/>
      <c r="F78" s="6">
        <f t="shared" si="23"/>
        <v>0</v>
      </c>
      <c r="G78" s="2"/>
      <c r="H78" s="7">
        <v>0</v>
      </c>
      <c r="I78" s="2"/>
      <c r="J78" s="6">
        <f t="shared" si="24"/>
        <v>0</v>
      </c>
      <c r="K78" s="2"/>
      <c r="L78" s="7">
        <f t="shared" si="25"/>
        <v>0</v>
      </c>
      <c r="M78" s="2"/>
      <c r="N78" s="6">
        <f t="shared" si="26"/>
        <v>0</v>
      </c>
      <c r="O78" s="11"/>
      <c r="P78" s="7"/>
      <c r="Q78" s="2"/>
      <c r="R78" s="6">
        <f t="shared" si="27"/>
        <v>0</v>
      </c>
      <c r="S78" s="2"/>
      <c r="T78" s="7">
        <v>0</v>
      </c>
      <c r="U78" s="2"/>
      <c r="V78" s="6">
        <f t="shared" si="28"/>
        <v>0</v>
      </c>
      <c r="W78" s="2"/>
      <c r="X78" s="7">
        <f t="shared" si="29"/>
        <v>0</v>
      </c>
      <c r="Y78" s="2"/>
      <c r="Z78" s="6">
        <f t="shared" si="30"/>
        <v>0</v>
      </c>
    </row>
    <row r="79" spans="1:26" s="24" customFormat="1" hidden="1" outlineLevel="2" x14ac:dyDescent="0.25">
      <c r="A79" s="26"/>
      <c r="B79" s="11" t="str">
        <f>CONCATENATE("          ", "6002", " - ", "STAFF SALARIES")</f>
        <v xml:space="preserve">          6002 - STAFF SALARIES</v>
      </c>
      <c r="C79" s="11"/>
      <c r="D79" s="7">
        <v>14586.65</v>
      </c>
      <c r="E79" s="2"/>
      <c r="F79" s="6">
        <f t="shared" si="23"/>
        <v>0.24056767218681038</v>
      </c>
      <c r="G79" s="2"/>
      <c r="H79" s="7">
        <v>12765.0123437231</v>
      </c>
      <c r="I79" s="2"/>
      <c r="J79" s="6">
        <f t="shared" si="24"/>
        <v>0.24838036977259742</v>
      </c>
      <c r="K79" s="2"/>
      <c r="L79" s="7">
        <f t="shared" si="25"/>
        <v>1821.6376562769001</v>
      </c>
      <c r="M79" s="2"/>
      <c r="N79" s="6">
        <f t="shared" si="26"/>
        <v>0.14270551466976436</v>
      </c>
      <c r="O79" s="11"/>
      <c r="P79" s="7">
        <v>172008.78</v>
      </c>
      <c r="Q79" s="2"/>
      <c r="R79" s="6">
        <f t="shared" si="27"/>
        <v>3.4895549521386141E-2</v>
      </c>
      <c r="S79" s="2"/>
      <c r="T79" s="7">
        <v>153180.1481246769</v>
      </c>
      <c r="U79" s="2"/>
      <c r="V79" s="6">
        <f t="shared" si="28"/>
        <v>2.8203069290163953E-2</v>
      </c>
      <c r="W79" s="2"/>
      <c r="X79" s="7">
        <f t="shared" si="29"/>
        <v>18828.631875323103</v>
      </c>
      <c r="Y79" s="2"/>
      <c r="Z79" s="6">
        <f t="shared" si="30"/>
        <v>0.12291822475584786</v>
      </c>
    </row>
    <row r="80" spans="1:26" s="24" customFormat="1" hidden="1" outlineLevel="2" x14ac:dyDescent="0.25">
      <c r="A80" s="26"/>
      <c r="B80" s="11" t="str">
        <f>CONCATENATE("          ", "6003", " - ", "STAFF HOURLY-9 MONTH")</f>
        <v xml:space="preserve">          6003 - STAFF HOURLY-9 MONTH</v>
      </c>
      <c r="C80" s="11"/>
      <c r="D80" s="7"/>
      <c r="E80" s="2"/>
      <c r="F80" s="6">
        <f t="shared" si="23"/>
        <v>0</v>
      </c>
      <c r="G80" s="2"/>
      <c r="H80" s="7">
        <v>0</v>
      </c>
      <c r="I80" s="2"/>
      <c r="J80" s="6">
        <f t="shared" si="24"/>
        <v>0</v>
      </c>
      <c r="K80" s="2"/>
      <c r="L80" s="7">
        <f t="shared" si="25"/>
        <v>0</v>
      </c>
      <c r="M80" s="2"/>
      <c r="N80" s="6">
        <f t="shared" si="26"/>
        <v>0</v>
      </c>
      <c r="O80" s="11"/>
      <c r="P80" s="7"/>
      <c r="Q80" s="2"/>
      <c r="R80" s="6">
        <f t="shared" si="27"/>
        <v>0</v>
      </c>
      <c r="S80" s="2"/>
      <c r="T80" s="7">
        <v>0</v>
      </c>
      <c r="U80" s="2"/>
      <c r="V80" s="6">
        <f t="shared" si="28"/>
        <v>0</v>
      </c>
      <c r="W80" s="2"/>
      <c r="X80" s="7">
        <f t="shared" si="29"/>
        <v>0</v>
      </c>
      <c r="Y80" s="2"/>
      <c r="Z80" s="6">
        <f t="shared" si="30"/>
        <v>0</v>
      </c>
    </row>
    <row r="81" spans="1:26" s="24" customFormat="1" hidden="1" outlineLevel="2" x14ac:dyDescent="0.25">
      <c r="A81" s="26"/>
      <c r="B81" s="11" t="str">
        <f>CONCATENATE("          ", "6004", " - ", "STAFF HOURLY")</f>
        <v xml:space="preserve">          6004 - STAFF HOURLY</v>
      </c>
      <c r="C81" s="11"/>
      <c r="D81" s="7">
        <v>5396.64</v>
      </c>
      <c r="E81" s="2"/>
      <c r="F81" s="6">
        <f t="shared" si="23"/>
        <v>8.9003103689348023E-2</v>
      </c>
      <c r="G81" s="2"/>
      <c r="H81" s="7">
        <v>5865.9348719999998</v>
      </c>
      <c r="I81" s="2"/>
      <c r="J81" s="6">
        <f t="shared" si="24"/>
        <v>0.1141387907302551</v>
      </c>
      <c r="K81" s="2"/>
      <c r="L81" s="7">
        <f t="shared" si="25"/>
        <v>-469.29487199999949</v>
      </c>
      <c r="M81" s="2"/>
      <c r="N81" s="6">
        <f t="shared" si="26"/>
        <v>-8.0003423536134946E-2</v>
      </c>
      <c r="O81" s="11"/>
      <c r="P81" s="7">
        <v>45627.8</v>
      </c>
      <c r="Q81" s="2"/>
      <c r="R81" s="6">
        <f t="shared" si="27"/>
        <v>9.2565458254625296E-3</v>
      </c>
      <c r="S81" s="2"/>
      <c r="T81" s="7">
        <v>70391.21846399999</v>
      </c>
      <c r="U81" s="2"/>
      <c r="V81" s="6">
        <f t="shared" si="28"/>
        <v>1.2960219950586677E-2</v>
      </c>
      <c r="W81" s="2"/>
      <c r="X81" s="7">
        <f t="shared" si="29"/>
        <v>-24763.418463999988</v>
      </c>
      <c r="Y81" s="2"/>
      <c r="Z81" s="6">
        <f t="shared" si="30"/>
        <v>-0.3517969855382555</v>
      </c>
    </row>
    <row r="82" spans="1:26" s="24" customFormat="1" hidden="1" outlineLevel="2" x14ac:dyDescent="0.25">
      <c r="A82" s="26"/>
      <c r="B82" s="11" t="str">
        <f>CONCATENATE("          ", "6005", " - ", "TEMPORARY WAGES-HOURLY")</f>
        <v xml:space="preserve">          6005 - TEMPORARY WAGES-HOURLY</v>
      </c>
      <c r="C82" s="11"/>
      <c r="D82" s="7">
        <v>218.74</v>
      </c>
      <c r="E82" s="2"/>
      <c r="F82" s="6">
        <f t="shared" si="23"/>
        <v>3.6075296667941511E-3</v>
      </c>
      <c r="G82" s="2"/>
      <c r="H82" s="7">
        <v>3545.84</v>
      </c>
      <c r="I82" s="2"/>
      <c r="J82" s="6">
        <f t="shared" si="24"/>
        <v>6.8994610160916861E-2</v>
      </c>
      <c r="K82" s="2"/>
      <c r="L82" s="7">
        <f t="shared" si="25"/>
        <v>-3327.1000000000004</v>
      </c>
      <c r="M82" s="2"/>
      <c r="N82" s="6">
        <f t="shared" si="26"/>
        <v>-0.93831080928637511</v>
      </c>
      <c r="O82" s="11"/>
      <c r="P82" s="7">
        <v>24432.25</v>
      </c>
      <c r="Q82" s="2"/>
      <c r="R82" s="6">
        <f t="shared" si="27"/>
        <v>4.9565887845602211E-3</v>
      </c>
      <c r="S82" s="2"/>
      <c r="T82" s="7">
        <v>37161.519999999997</v>
      </c>
      <c r="U82" s="2"/>
      <c r="V82" s="6">
        <f t="shared" si="28"/>
        <v>6.8420675676247929E-3</v>
      </c>
      <c r="W82" s="2"/>
      <c r="X82" s="7">
        <f t="shared" si="29"/>
        <v>-12729.269999999997</v>
      </c>
      <c r="Y82" s="2"/>
      <c r="Z82" s="6">
        <f t="shared" si="30"/>
        <v>-0.34253900271033039</v>
      </c>
    </row>
    <row r="83" spans="1:26" s="24" customFormat="1" hidden="1" outlineLevel="2" x14ac:dyDescent="0.25">
      <c r="A83" s="26"/>
      <c r="B83" s="11" t="str">
        <f>CONCATENATE("          ", "6006", " - ", "TEMPORARY PART TIME")</f>
        <v xml:space="preserve">          6006 - TEMPORARY PART TIME</v>
      </c>
      <c r="C83" s="11"/>
      <c r="D83" s="7">
        <v>1155.1199999999999</v>
      </c>
      <c r="E83" s="2"/>
      <c r="F83" s="6">
        <f t="shared" si="23"/>
        <v>1.9050606513245218E-2</v>
      </c>
      <c r="G83" s="2"/>
      <c r="H83" s="7">
        <v>0</v>
      </c>
      <c r="I83" s="2"/>
      <c r="J83" s="6">
        <f t="shared" si="24"/>
        <v>0</v>
      </c>
      <c r="K83" s="2"/>
      <c r="L83" s="7">
        <f t="shared" si="25"/>
        <v>1155.1199999999999</v>
      </c>
      <c r="M83" s="2"/>
      <c r="N83" s="6">
        <f t="shared" si="26"/>
        <v>0</v>
      </c>
      <c r="O83" s="11"/>
      <c r="P83" s="7">
        <v>5282.37</v>
      </c>
      <c r="Q83" s="2"/>
      <c r="R83" s="6">
        <f t="shared" si="27"/>
        <v>1.071638342678115E-3</v>
      </c>
      <c r="S83" s="2"/>
      <c r="T83" s="7">
        <v>0</v>
      </c>
      <c r="U83" s="2"/>
      <c r="V83" s="6">
        <f t="shared" si="28"/>
        <v>0</v>
      </c>
      <c r="W83" s="2"/>
      <c r="X83" s="7">
        <f t="shared" si="29"/>
        <v>5282.37</v>
      </c>
      <c r="Y83" s="2"/>
      <c r="Z83" s="6">
        <f t="shared" si="30"/>
        <v>0</v>
      </c>
    </row>
    <row r="84" spans="1:26" s="24" customFormat="1" hidden="1" outlineLevel="2" x14ac:dyDescent="0.25">
      <c r="A84" s="26"/>
      <c r="B84" s="11" t="str">
        <f>CONCATENATE("          ", "6007", " - ", "STUDENT HOURLY")</f>
        <v xml:space="preserve">          6007 - STUDENT HOURLY</v>
      </c>
      <c r="C84" s="11"/>
      <c r="D84" s="7">
        <v>1940.76</v>
      </c>
      <c r="E84" s="2"/>
      <c r="F84" s="6">
        <f t="shared" si="23"/>
        <v>3.2007631325443063E-2</v>
      </c>
      <c r="G84" s="2"/>
      <c r="H84" s="7">
        <v>2342.8125</v>
      </c>
      <c r="I84" s="2"/>
      <c r="J84" s="6">
        <f t="shared" si="24"/>
        <v>4.558621796742747E-2</v>
      </c>
      <c r="K84" s="2"/>
      <c r="L84" s="7">
        <f t="shared" si="25"/>
        <v>-402.05250000000001</v>
      </c>
      <c r="M84" s="2"/>
      <c r="N84" s="6">
        <f t="shared" si="26"/>
        <v>-0.17161104441776712</v>
      </c>
      <c r="O84" s="11"/>
      <c r="P84" s="7">
        <v>59935.21</v>
      </c>
      <c r="Q84" s="2"/>
      <c r="R84" s="6">
        <f t="shared" si="27"/>
        <v>1.2159100765842753E-2</v>
      </c>
      <c r="S84" s="2"/>
      <c r="T84" s="7">
        <v>14123.8125</v>
      </c>
      <c r="U84" s="2"/>
      <c r="V84" s="6">
        <f t="shared" si="28"/>
        <v>2.6004339821800522E-3</v>
      </c>
      <c r="W84" s="2"/>
      <c r="X84" s="7">
        <f t="shared" si="29"/>
        <v>45811.397499999999</v>
      </c>
      <c r="Y84" s="2"/>
      <c r="Z84" s="6">
        <f t="shared" si="30"/>
        <v>3.2435574672206955</v>
      </c>
    </row>
    <row r="85" spans="1:26" s="24" customFormat="1" hidden="1" outlineLevel="2" x14ac:dyDescent="0.25">
      <c r="A85" s="26"/>
      <c r="B85" s="11" t="str">
        <f>CONCATENATE("          ", "6008", " - ", "STUDENT HOURLY-FICA EXEMPT")</f>
        <v xml:space="preserve">          6008 - STUDENT HOURLY-FICA EXEMPT</v>
      </c>
      <c r="C85" s="11"/>
      <c r="D85" s="7"/>
      <c r="E85" s="2"/>
      <c r="F85" s="6">
        <f t="shared" si="23"/>
        <v>0</v>
      </c>
      <c r="G85" s="2"/>
      <c r="H85" s="7">
        <v>2008.125</v>
      </c>
      <c r="I85" s="2"/>
      <c r="J85" s="6">
        <f t="shared" si="24"/>
        <v>3.9073901114937831E-2</v>
      </c>
      <c r="K85" s="2"/>
      <c r="L85" s="7">
        <f t="shared" si="25"/>
        <v>-2008.125</v>
      </c>
      <c r="M85" s="2"/>
      <c r="N85" s="6">
        <f t="shared" si="26"/>
        <v>-1</v>
      </c>
      <c r="O85" s="11"/>
      <c r="P85" s="7"/>
      <c r="Q85" s="2"/>
      <c r="R85" s="6">
        <f t="shared" si="27"/>
        <v>0</v>
      </c>
      <c r="S85" s="2"/>
      <c r="T85" s="7">
        <v>49782.556499999999</v>
      </c>
      <c r="U85" s="2"/>
      <c r="V85" s="6">
        <f t="shared" si="28"/>
        <v>9.1658149414259385E-3</v>
      </c>
      <c r="W85" s="2"/>
      <c r="X85" s="7">
        <f t="shared" si="29"/>
        <v>-49782.556499999999</v>
      </c>
      <c r="Y85" s="2"/>
      <c r="Z85" s="6">
        <f t="shared" si="30"/>
        <v>-1</v>
      </c>
    </row>
    <row r="86" spans="1:26" s="24" customFormat="1" hidden="1" outlineLevel="2" x14ac:dyDescent="0.25">
      <c r="A86" s="26"/>
      <c r="B86" s="11" t="str">
        <f>CONCATENATE("          ", "6009", " - ", "TEMPORARY-SEASONAL")</f>
        <v xml:space="preserve">          6009 - TEMPORARY-SEASONAL</v>
      </c>
      <c r="C86" s="11"/>
      <c r="D86" s="7"/>
      <c r="E86" s="2"/>
      <c r="F86" s="6">
        <f t="shared" si="23"/>
        <v>0</v>
      </c>
      <c r="G86" s="2"/>
      <c r="H86" s="7">
        <v>0</v>
      </c>
      <c r="I86" s="2"/>
      <c r="J86" s="6">
        <f t="shared" si="24"/>
        <v>0</v>
      </c>
      <c r="K86" s="2"/>
      <c r="L86" s="7">
        <f t="shared" si="25"/>
        <v>0</v>
      </c>
      <c r="M86" s="2"/>
      <c r="N86" s="6">
        <f t="shared" si="26"/>
        <v>0</v>
      </c>
      <c r="O86" s="11"/>
      <c r="P86" s="7"/>
      <c r="Q86" s="2"/>
      <c r="R86" s="6">
        <f t="shared" si="27"/>
        <v>0</v>
      </c>
      <c r="S86" s="2"/>
      <c r="T86" s="7">
        <v>0</v>
      </c>
      <c r="U86" s="2"/>
      <c r="V86" s="6">
        <f t="shared" si="28"/>
        <v>0</v>
      </c>
      <c r="W86" s="2"/>
      <c r="X86" s="7">
        <f t="shared" si="29"/>
        <v>0</v>
      </c>
      <c r="Y86" s="2"/>
      <c r="Z86" s="6">
        <f t="shared" si="30"/>
        <v>0</v>
      </c>
    </row>
    <row r="87" spans="1:26" s="24" customFormat="1" hidden="1" outlineLevel="2" x14ac:dyDescent="0.25">
      <c r="A87" s="26"/>
      <c r="B87" s="11" t="str">
        <f>CONCATENATE("          ", "6010", " - ", "GRATUITY")</f>
        <v xml:space="preserve">          6010 - GRATUITY</v>
      </c>
      <c r="C87" s="11"/>
      <c r="D87" s="7"/>
      <c r="E87" s="2"/>
      <c r="F87" s="6">
        <f t="shared" si="23"/>
        <v>0</v>
      </c>
      <c r="G87" s="2"/>
      <c r="H87" s="7">
        <v>0</v>
      </c>
      <c r="I87" s="2"/>
      <c r="J87" s="6">
        <f t="shared" si="24"/>
        <v>0</v>
      </c>
      <c r="K87" s="2"/>
      <c r="L87" s="7">
        <f t="shared" si="25"/>
        <v>0</v>
      </c>
      <c r="M87" s="2"/>
      <c r="N87" s="6">
        <f t="shared" si="26"/>
        <v>0</v>
      </c>
      <c r="O87" s="11"/>
      <c r="P87" s="7"/>
      <c r="Q87" s="2"/>
      <c r="R87" s="6">
        <f t="shared" si="27"/>
        <v>0</v>
      </c>
      <c r="S87" s="2"/>
      <c r="T87" s="7">
        <v>0</v>
      </c>
      <c r="U87" s="2"/>
      <c r="V87" s="6">
        <f t="shared" si="28"/>
        <v>0</v>
      </c>
      <c r="W87" s="2"/>
      <c r="X87" s="7">
        <f t="shared" si="29"/>
        <v>0</v>
      </c>
      <c r="Y87" s="2"/>
      <c r="Z87" s="6">
        <f t="shared" si="30"/>
        <v>0</v>
      </c>
    </row>
    <row r="88" spans="1:26" s="27" customFormat="1" outlineLevel="1" collapsed="1" x14ac:dyDescent="0.25">
      <c r="A88" s="25"/>
      <c r="B88" s="12" t="str">
        <f>CONCATENATE("     ","Advertising/Promo                                 ")</f>
        <v xml:space="preserve">     Advertising/Promo                                 </v>
      </c>
      <c r="C88" s="12"/>
      <c r="D88" s="1">
        <f>SUM(OSRRefD22_2x_0)</f>
        <v>0</v>
      </c>
      <c r="E88" s="1"/>
      <c r="F88" s="5">
        <f t="shared" ref="F88:F92" si="31">IF(D$12=0,0,D88/D$12)</f>
        <v>0</v>
      </c>
      <c r="G88" s="1"/>
      <c r="H88" s="1">
        <f>SUM(OSRRefH22_2x_0)</f>
        <v>900</v>
      </c>
      <c r="I88" s="1"/>
      <c r="J88" s="5">
        <f t="shared" ref="J88:J92" si="32">IF(H$12=0,0,H88/H$12)</f>
        <v>1.7512112544509954E-2</v>
      </c>
      <c r="K88" s="1"/>
      <c r="L88" s="1">
        <f t="shared" ref="L88:L92" si="33">+D88-H88</f>
        <v>-900</v>
      </c>
      <c r="M88" s="1"/>
      <c r="N88" s="5">
        <f t="shared" ref="N88:N92" si="34">IF(H88=0,0,L88/H88)</f>
        <v>-1</v>
      </c>
      <c r="O88" s="12"/>
      <c r="P88" s="1">
        <f>SUM(OSRRefP22_2x_0)</f>
        <v>3981.59</v>
      </c>
      <c r="Q88" s="1"/>
      <c r="R88" s="5">
        <f t="shared" ref="R88:R92" si="35">IF(P$12=0,0,P88/P$12)</f>
        <v>8.0774813366419923E-4</v>
      </c>
      <c r="S88" s="1"/>
      <c r="T88" s="1">
        <f>SUM(OSRRefT22_2x_0)</f>
        <v>5900</v>
      </c>
      <c r="U88" s="1"/>
      <c r="V88" s="5">
        <f t="shared" ref="V88:V92" si="36">IF(T$12=0,0,T88/T$12)</f>
        <v>1.0862902983781685E-3</v>
      </c>
      <c r="W88" s="1"/>
      <c r="X88" s="1">
        <f t="shared" ref="X88:X92" si="37">+P88-T88</f>
        <v>-1918.4099999999999</v>
      </c>
      <c r="Y88" s="1"/>
      <c r="Z88" s="5">
        <f t="shared" ref="Z88:Z92" si="38">IF(T88=0,0,X88/T88)</f>
        <v>-0.32515423728813558</v>
      </c>
    </row>
    <row r="89" spans="1:26" s="24" customFormat="1" hidden="1" outlineLevel="2" x14ac:dyDescent="0.25">
      <c r="A89" s="26"/>
      <c r="B89" s="11" t="str">
        <f>CONCATENATE("          ", "6362", " - ", "ADVERTISING EXPENSE")</f>
        <v xml:space="preserve">          6362 - ADVERTISING EXPENSE</v>
      </c>
      <c r="C89" s="11"/>
      <c r="D89" s="7"/>
      <c r="E89" s="2"/>
      <c r="F89" s="6">
        <f t="shared" si="31"/>
        <v>0</v>
      </c>
      <c r="G89" s="2"/>
      <c r="H89" s="7">
        <v>900</v>
      </c>
      <c r="I89" s="2"/>
      <c r="J89" s="6">
        <f t="shared" si="32"/>
        <v>1.7512112544509954E-2</v>
      </c>
      <c r="K89" s="2"/>
      <c r="L89" s="7">
        <f t="shared" si="33"/>
        <v>-900</v>
      </c>
      <c r="M89" s="2"/>
      <c r="N89" s="6">
        <f t="shared" si="34"/>
        <v>-1</v>
      </c>
      <c r="O89" s="11"/>
      <c r="P89" s="7">
        <v>3981.59</v>
      </c>
      <c r="Q89" s="2"/>
      <c r="R89" s="6">
        <f t="shared" si="35"/>
        <v>8.0774813366419923E-4</v>
      </c>
      <c r="S89" s="2"/>
      <c r="T89" s="7">
        <v>5900</v>
      </c>
      <c r="U89" s="2"/>
      <c r="V89" s="6">
        <f t="shared" si="36"/>
        <v>1.0862902983781685E-3</v>
      </c>
      <c r="W89" s="2"/>
      <c r="X89" s="7">
        <f t="shared" si="37"/>
        <v>-1918.4099999999999</v>
      </c>
      <c r="Y89" s="2"/>
      <c r="Z89" s="6">
        <f t="shared" si="38"/>
        <v>-0.32515423728813558</v>
      </c>
    </row>
    <row r="90" spans="1:26" s="27" customFormat="1" outlineLevel="1" collapsed="1" x14ac:dyDescent="0.25">
      <c r="A90" s="25"/>
      <c r="B90" s="12" t="str">
        <f>CONCATENATE("     ","Discounts and Markdowns                           ")</f>
        <v xml:space="preserve">     Discounts and Markdowns                           </v>
      </c>
      <c r="C90" s="12"/>
      <c r="D90" s="1">
        <f>SUM(OSRRefD22_3x_0)</f>
        <v>286.66000000000003</v>
      </c>
      <c r="E90" s="1"/>
      <c r="F90" s="5">
        <f t="shared" si="31"/>
        <v>4.7276879138850297E-3</v>
      </c>
      <c r="G90" s="1"/>
      <c r="H90" s="1">
        <f>SUM(OSRRefH22_3x_0)</f>
        <v>1625</v>
      </c>
      <c r="I90" s="1"/>
      <c r="J90" s="5">
        <f t="shared" si="32"/>
        <v>3.1619092094254078E-2</v>
      </c>
      <c r="K90" s="1"/>
      <c r="L90" s="1">
        <f t="shared" si="33"/>
        <v>-1338.34</v>
      </c>
      <c r="M90" s="1"/>
      <c r="N90" s="5">
        <f t="shared" si="34"/>
        <v>-0.82359384615384612</v>
      </c>
      <c r="O90" s="12"/>
      <c r="P90" s="1">
        <f>SUM(OSRRefP22_3x_0)</f>
        <v>307.76</v>
      </c>
      <c r="Q90" s="1"/>
      <c r="R90" s="5">
        <f t="shared" si="35"/>
        <v>6.2435500796539554E-5</v>
      </c>
      <c r="S90" s="1"/>
      <c r="T90" s="1">
        <f>SUM(OSRRefT22_3x_0)</f>
        <v>26375</v>
      </c>
      <c r="U90" s="1"/>
      <c r="V90" s="5">
        <f t="shared" si="36"/>
        <v>4.8560858677498637E-3</v>
      </c>
      <c r="W90" s="1"/>
      <c r="X90" s="1">
        <f t="shared" si="37"/>
        <v>-26067.24</v>
      </c>
      <c r="Y90" s="1"/>
      <c r="Z90" s="5">
        <f t="shared" si="38"/>
        <v>-0.98833137440758301</v>
      </c>
    </row>
    <row r="91" spans="1:26" s="24" customFormat="1" hidden="1" outlineLevel="2" x14ac:dyDescent="0.25">
      <c r="A91" s="26"/>
      <c r="B91" s="11" t="str">
        <f>CONCATENATE("          ", "6382", " - ", "DISCOUNTS/MARK DOWNS")</f>
        <v xml:space="preserve">          6382 - DISCOUNTS/MARK DOWNS</v>
      </c>
      <c r="C91" s="11"/>
      <c r="D91" s="7">
        <v>286.66000000000003</v>
      </c>
      <c r="E91" s="2"/>
      <c r="F91" s="6">
        <f t="shared" si="31"/>
        <v>4.7276879138850297E-3</v>
      </c>
      <c r="G91" s="2"/>
      <c r="H91" s="7">
        <v>1625</v>
      </c>
      <c r="I91" s="2"/>
      <c r="J91" s="6">
        <f t="shared" si="32"/>
        <v>3.1619092094254078E-2</v>
      </c>
      <c r="K91" s="2"/>
      <c r="L91" s="7">
        <f t="shared" si="33"/>
        <v>-1338.34</v>
      </c>
      <c r="M91" s="2"/>
      <c r="N91" s="6">
        <f t="shared" si="34"/>
        <v>-0.82359384615384612</v>
      </c>
      <c r="O91" s="11"/>
      <c r="P91" s="7">
        <v>760.03</v>
      </c>
      <c r="Q91" s="2"/>
      <c r="R91" s="6">
        <f t="shared" si="35"/>
        <v>1.5418785310109814E-4</v>
      </c>
      <c r="S91" s="2"/>
      <c r="T91" s="7">
        <v>26375</v>
      </c>
      <c r="U91" s="2"/>
      <c r="V91" s="6">
        <f t="shared" si="36"/>
        <v>4.8560858677498637E-3</v>
      </c>
      <c r="W91" s="2"/>
      <c r="X91" s="7">
        <f t="shared" si="37"/>
        <v>-25614.97</v>
      </c>
      <c r="Y91" s="2"/>
      <c r="Z91" s="6">
        <f t="shared" si="38"/>
        <v>-0.97118369668246451</v>
      </c>
    </row>
    <row r="92" spans="1:26" s="24" customFormat="1" hidden="1" outlineLevel="2" x14ac:dyDescent="0.25">
      <c r="A92" s="26"/>
      <c r="B92" s="11" t="str">
        <f>CONCATENATE("          ", "9175", " - ", "EARNED DISCOUNTS")</f>
        <v xml:space="preserve">          9175 - EARNED DISCOUNTS</v>
      </c>
      <c r="C92" s="11"/>
      <c r="D92" s="7"/>
      <c r="E92" s="2"/>
      <c r="F92" s="6">
        <f t="shared" si="31"/>
        <v>0</v>
      </c>
      <c r="G92" s="2"/>
      <c r="H92" s="7"/>
      <c r="I92" s="2"/>
      <c r="J92" s="6">
        <f t="shared" si="32"/>
        <v>0</v>
      </c>
      <c r="K92" s="2"/>
      <c r="L92" s="7">
        <f t="shared" si="33"/>
        <v>0</v>
      </c>
      <c r="M92" s="2"/>
      <c r="N92" s="6">
        <f t="shared" si="34"/>
        <v>0</v>
      </c>
      <c r="O92" s="11"/>
      <c r="P92" s="7">
        <v>-452.27</v>
      </c>
      <c r="Q92" s="2"/>
      <c r="R92" s="6">
        <f t="shared" si="35"/>
        <v>-9.1752352304558572E-5</v>
      </c>
      <c r="S92" s="2"/>
      <c r="T92" s="7"/>
      <c r="U92" s="2"/>
      <c r="V92" s="6">
        <f t="shared" si="36"/>
        <v>0</v>
      </c>
      <c r="W92" s="2"/>
      <c r="X92" s="7">
        <f t="shared" si="37"/>
        <v>-452.27</v>
      </c>
      <c r="Y92" s="2"/>
      <c r="Z92" s="6">
        <f t="shared" si="38"/>
        <v>0</v>
      </c>
    </row>
    <row r="93" spans="1:26" s="27" customFormat="1" outlineLevel="1" collapsed="1" x14ac:dyDescent="0.25">
      <c r="A93" s="25"/>
      <c r="B93" s="12" t="str">
        <f>CONCATENATE("     ","Employees' Appreciation                           ")</f>
        <v xml:space="preserve">     Employees' Appreciation                           </v>
      </c>
      <c r="C93" s="12"/>
      <c r="D93" s="1">
        <f>SUM(OSRRefD22_4x_0)</f>
        <v>0</v>
      </c>
      <c r="E93" s="1"/>
      <c r="F93" s="5">
        <f t="shared" ref="F93:F99" si="39">IF(D$12=0,0,D93/D$12)</f>
        <v>0</v>
      </c>
      <c r="G93" s="1"/>
      <c r="H93" s="1">
        <f>SUM(OSRRefH22_4x_0)</f>
        <v>100</v>
      </c>
      <c r="I93" s="1"/>
      <c r="J93" s="5">
        <f t="shared" ref="J93:J99" si="40">IF(H$12=0,0,H93/H$12)</f>
        <v>1.945790282723328E-3</v>
      </c>
      <c r="K93" s="1"/>
      <c r="L93" s="1">
        <f t="shared" ref="L93:L99" si="41">+D93-H93</f>
        <v>-100</v>
      </c>
      <c r="M93" s="1"/>
      <c r="N93" s="5">
        <f t="shared" ref="N93:N99" si="42">IF(H93=0,0,L93/H93)</f>
        <v>-1</v>
      </c>
      <c r="O93" s="12"/>
      <c r="P93" s="1">
        <f>SUM(OSRRefP22_4x_0)</f>
        <v>120.18</v>
      </c>
      <c r="Q93" s="1"/>
      <c r="R93" s="5">
        <f t="shared" ref="R93:R99" si="43">IF(P$12=0,0,P93/P$12)</f>
        <v>2.4381006257239812E-5</v>
      </c>
      <c r="S93" s="1"/>
      <c r="T93" s="1">
        <f>SUM(OSRRefT22_4x_0)</f>
        <v>1100</v>
      </c>
      <c r="U93" s="1"/>
      <c r="V93" s="5">
        <f t="shared" ref="V93:V99" si="44">IF(T$12=0,0,T93/T$12)</f>
        <v>2.0252869969762465E-4</v>
      </c>
      <c r="W93" s="1"/>
      <c r="X93" s="1">
        <f t="shared" ref="X93:X99" si="45">+P93-T93</f>
        <v>-979.81999999999994</v>
      </c>
      <c r="Y93" s="1"/>
      <c r="Z93" s="5">
        <f t="shared" ref="Z93:Z99" si="46">IF(T93=0,0,X93/T93)</f>
        <v>-0.89074545454545451</v>
      </c>
    </row>
    <row r="94" spans="1:26" s="24" customFormat="1" hidden="1" outlineLevel="2" x14ac:dyDescent="0.25">
      <c r="A94" s="26"/>
      <c r="B94" s="11" t="str">
        <f>CONCATENATE("          ", "6277", " - ", "EMPLOYEE APPRECIATION")</f>
        <v xml:space="preserve">          6277 - EMPLOYEE APPRECIATION</v>
      </c>
      <c r="C94" s="11"/>
      <c r="D94" s="7"/>
      <c r="E94" s="2"/>
      <c r="F94" s="6">
        <f t="shared" si="39"/>
        <v>0</v>
      </c>
      <c r="G94" s="2"/>
      <c r="H94" s="7">
        <v>100</v>
      </c>
      <c r="I94" s="2"/>
      <c r="J94" s="6">
        <f t="shared" si="40"/>
        <v>1.945790282723328E-3</v>
      </c>
      <c r="K94" s="2"/>
      <c r="L94" s="7">
        <f t="shared" si="41"/>
        <v>-100</v>
      </c>
      <c r="M94" s="2"/>
      <c r="N94" s="6">
        <f t="shared" si="42"/>
        <v>-1</v>
      </c>
      <c r="O94" s="11"/>
      <c r="P94" s="7">
        <v>120.18</v>
      </c>
      <c r="Q94" s="2"/>
      <c r="R94" s="6">
        <f t="shared" si="43"/>
        <v>2.4381006257239812E-5</v>
      </c>
      <c r="S94" s="2"/>
      <c r="T94" s="7">
        <v>1100</v>
      </c>
      <c r="U94" s="2"/>
      <c r="V94" s="6">
        <f t="shared" si="44"/>
        <v>2.0252869969762465E-4</v>
      </c>
      <c r="W94" s="2"/>
      <c r="X94" s="7">
        <f t="shared" si="45"/>
        <v>-979.81999999999994</v>
      </c>
      <c r="Y94" s="2"/>
      <c r="Z94" s="6">
        <f t="shared" si="46"/>
        <v>-0.89074545454545451</v>
      </c>
    </row>
    <row r="95" spans="1:26" s="27" customFormat="1" outlineLevel="1" collapsed="1" x14ac:dyDescent="0.25">
      <c r="A95" s="25"/>
      <c r="B95" s="12" t="str">
        <f>CONCATENATE("     ","Equipment Rental                                  ")</f>
        <v xml:space="preserve">     Equipment Rental                                  </v>
      </c>
      <c r="C95" s="12"/>
      <c r="D95" s="1">
        <f>SUM(OSRRefD22_5x_0)</f>
        <v>91.26</v>
      </c>
      <c r="E95" s="1"/>
      <c r="F95" s="5">
        <f t="shared" si="39"/>
        <v>1.5050889521424258E-3</v>
      </c>
      <c r="G95" s="1"/>
      <c r="H95" s="1">
        <f>SUM(OSRRefH22_5x_0)</f>
        <v>100</v>
      </c>
      <c r="I95" s="1"/>
      <c r="J95" s="5">
        <f t="shared" si="40"/>
        <v>1.945790282723328E-3</v>
      </c>
      <c r="K95" s="1"/>
      <c r="L95" s="1">
        <f t="shared" si="41"/>
        <v>-8.7399999999999949</v>
      </c>
      <c r="M95" s="1"/>
      <c r="N95" s="5">
        <f t="shared" si="42"/>
        <v>-8.739999999999995E-2</v>
      </c>
      <c r="O95" s="12"/>
      <c r="P95" s="1">
        <f>SUM(OSRRefP22_5x_0)</f>
        <v>1003.86</v>
      </c>
      <c r="Q95" s="1"/>
      <c r="R95" s="5">
        <f t="shared" si="43"/>
        <v>2.0365382710428321E-4</v>
      </c>
      <c r="S95" s="1"/>
      <c r="T95" s="1">
        <f>SUM(OSRRefT22_5x_0)</f>
        <v>1100</v>
      </c>
      <c r="U95" s="1"/>
      <c r="V95" s="5">
        <f t="shared" si="44"/>
        <v>2.0252869969762465E-4</v>
      </c>
      <c r="W95" s="1"/>
      <c r="X95" s="1">
        <f t="shared" si="45"/>
        <v>-96.139999999999986</v>
      </c>
      <c r="Y95" s="1"/>
      <c r="Z95" s="5">
        <f t="shared" si="46"/>
        <v>-8.7399999999999992E-2</v>
      </c>
    </row>
    <row r="96" spans="1:26" s="24" customFormat="1" hidden="1" outlineLevel="2" x14ac:dyDescent="0.25">
      <c r="A96" s="26"/>
      <c r="B96" s="11" t="str">
        <f>CONCATENATE("          ", "6351", " - ", "EQUIPMENT RENTAL")</f>
        <v xml:space="preserve">          6351 - EQUIPMENT RENTAL</v>
      </c>
      <c r="C96" s="11"/>
      <c r="D96" s="7">
        <v>91.26</v>
      </c>
      <c r="E96" s="2"/>
      <c r="F96" s="6">
        <f t="shared" si="39"/>
        <v>1.5050889521424258E-3</v>
      </c>
      <c r="G96" s="2"/>
      <c r="H96" s="7">
        <v>100</v>
      </c>
      <c r="I96" s="2"/>
      <c r="J96" s="6">
        <f t="shared" si="40"/>
        <v>1.945790282723328E-3</v>
      </c>
      <c r="K96" s="2"/>
      <c r="L96" s="7">
        <f t="shared" si="41"/>
        <v>-8.7399999999999949</v>
      </c>
      <c r="M96" s="2"/>
      <c r="N96" s="6">
        <f t="shared" si="42"/>
        <v>-8.739999999999995E-2</v>
      </c>
      <c r="O96" s="11"/>
      <c r="P96" s="7">
        <v>1003.86</v>
      </c>
      <c r="Q96" s="2"/>
      <c r="R96" s="6">
        <f t="shared" si="43"/>
        <v>2.0365382710428321E-4</v>
      </c>
      <c r="S96" s="2"/>
      <c r="T96" s="7">
        <v>1100</v>
      </c>
      <c r="U96" s="2"/>
      <c r="V96" s="6">
        <f t="shared" si="44"/>
        <v>2.0252869969762465E-4</v>
      </c>
      <c r="W96" s="2"/>
      <c r="X96" s="7">
        <f t="shared" si="45"/>
        <v>-96.139999999999986</v>
      </c>
      <c r="Y96" s="2"/>
      <c r="Z96" s="6">
        <f t="shared" si="46"/>
        <v>-8.7399999999999992E-2</v>
      </c>
    </row>
    <row r="97" spans="1:26" s="27" customFormat="1" outlineLevel="1" collapsed="1" x14ac:dyDescent="0.25">
      <c r="A97" s="25"/>
      <c r="B97" s="12" t="str">
        <f>CONCATENATE("     ","Freight out/Postage                               ")</f>
        <v xml:space="preserve">     Freight out/Postage                               </v>
      </c>
      <c r="C97" s="12"/>
      <c r="D97" s="1">
        <f>SUM(OSRRefD22_6x_0)</f>
        <v>1082.96</v>
      </c>
      <c r="E97" s="1"/>
      <c r="F97" s="5">
        <f t="shared" si="39"/>
        <v>1.7860520837301792E-2</v>
      </c>
      <c r="G97" s="1"/>
      <c r="H97" s="1">
        <f>SUM(OSRRefH22_6x_0)</f>
        <v>1500</v>
      </c>
      <c r="I97" s="1"/>
      <c r="J97" s="5">
        <f t="shared" si="40"/>
        <v>2.9186854240849922E-2</v>
      </c>
      <c r="K97" s="1"/>
      <c r="L97" s="1">
        <f t="shared" si="41"/>
        <v>-417.03999999999996</v>
      </c>
      <c r="M97" s="1"/>
      <c r="N97" s="5">
        <f t="shared" si="42"/>
        <v>-0.27802666666666664</v>
      </c>
      <c r="O97" s="12"/>
      <c r="P97" s="1">
        <f>SUM(OSRRefP22_6x_0)</f>
        <v>23849.200000000001</v>
      </c>
      <c r="Q97" s="1"/>
      <c r="R97" s="5">
        <f t="shared" si="43"/>
        <v>4.8383049960905623E-3</v>
      </c>
      <c r="S97" s="1"/>
      <c r="T97" s="1">
        <f>SUM(OSRRefT22_6x_0)</f>
        <v>27800</v>
      </c>
      <c r="U97" s="1"/>
      <c r="V97" s="5">
        <f t="shared" si="44"/>
        <v>5.1184525923581503E-3</v>
      </c>
      <c r="W97" s="1"/>
      <c r="X97" s="1">
        <f t="shared" si="45"/>
        <v>-3950.7999999999993</v>
      </c>
      <c r="Y97" s="1"/>
      <c r="Z97" s="5">
        <f t="shared" si="46"/>
        <v>-0.14211510791366905</v>
      </c>
    </row>
    <row r="98" spans="1:26" s="24" customFormat="1" hidden="1" outlineLevel="2" x14ac:dyDescent="0.25">
      <c r="A98" s="26"/>
      <c r="B98" s="11" t="str">
        <f>CONCATENATE("          ", "6305", " - ", "FREIGHT OUT")</f>
        <v xml:space="preserve">          6305 - FREIGHT OUT</v>
      </c>
      <c r="C98" s="11"/>
      <c r="D98" s="7">
        <v>1082.96</v>
      </c>
      <c r="E98" s="2"/>
      <c r="F98" s="6">
        <f t="shared" si="39"/>
        <v>1.7860520837301792E-2</v>
      </c>
      <c r="G98" s="2"/>
      <c r="H98" s="7">
        <v>1500</v>
      </c>
      <c r="I98" s="2"/>
      <c r="J98" s="6">
        <f t="shared" si="40"/>
        <v>2.9186854240849922E-2</v>
      </c>
      <c r="K98" s="2"/>
      <c r="L98" s="7">
        <f t="shared" si="41"/>
        <v>-417.03999999999996</v>
      </c>
      <c r="M98" s="2"/>
      <c r="N98" s="6">
        <f t="shared" si="42"/>
        <v>-0.27802666666666664</v>
      </c>
      <c r="O98" s="11"/>
      <c r="P98" s="7">
        <v>23847.25</v>
      </c>
      <c r="Q98" s="2"/>
      <c r="R98" s="6">
        <f t="shared" si="43"/>
        <v>4.8379093981358139E-3</v>
      </c>
      <c r="S98" s="2"/>
      <c r="T98" s="7">
        <v>27800</v>
      </c>
      <c r="U98" s="2"/>
      <c r="V98" s="6">
        <f t="shared" si="44"/>
        <v>5.1184525923581503E-3</v>
      </c>
      <c r="W98" s="2"/>
      <c r="X98" s="7">
        <f t="shared" si="45"/>
        <v>-3952.75</v>
      </c>
      <c r="Y98" s="2"/>
      <c r="Z98" s="6">
        <f t="shared" si="46"/>
        <v>-0.14218525179856115</v>
      </c>
    </row>
    <row r="99" spans="1:26" s="24" customFormat="1" hidden="1" outlineLevel="2" x14ac:dyDescent="0.25">
      <c r="A99" s="26"/>
      <c r="B99" s="11" t="str">
        <f>CONCATENATE("          ", "6307", " - ", "POSTAGE")</f>
        <v xml:space="preserve">          6307 - POSTAGE</v>
      </c>
      <c r="C99" s="11"/>
      <c r="D99" s="7"/>
      <c r="E99" s="2"/>
      <c r="F99" s="6">
        <f t="shared" si="39"/>
        <v>0</v>
      </c>
      <c r="G99" s="2"/>
      <c r="H99" s="7"/>
      <c r="I99" s="2"/>
      <c r="J99" s="6">
        <f t="shared" si="40"/>
        <v>0</v>
      </c>
      <c r="K99" s="2"/>
      <c r="L99" s="7">
        <f t="shared" si="41"/>
        <v>0</v>
      </c>
      <c r="M99" s="2"/>
      <c r="N99" s="6">
        <f t="shared" si="42"/>
        <v>0</v>
      </c>
      <c r="O99" s="11"/>
      <c r="P99" s="7">
        <v>1.95</v>
      </c>
      <c r="Q99" s="2"/>
      <c r="R99" s="6">
        <f t="shared" si="43"/>
        <v>3.9559795474802492E-7</v>
      </c>
      <c r="S99" s="2"/>
      <c r="T99" s="7"/>
      <c r="U99" s="2"/>
      <c r="V99" s="6">
        <f t="shared" si="44"/>
        <v>0</v>
      </c>
      <c r="W99" s="2"/>
      <c r="X99" s="7">
        <f t="shared" si="45"/>
        <v>1.95</v>
      </c>
      <c r="Y99" s="2"/>
      <c r="Z99" s="6">
        <f t="shared" si="46"/>
        <v>0</v>
      </c>
    </row>
    <row r="100" spans="1:26" s="27" customFormat="1" outlineLevel="1" collapsed="1" x14ac:dyDescent="0.25">
      <c r="A100" s="25"/>
      <c r="B100" s="12" t="str">
        <f>CONCATENATE("     ","General                                           ")</f>
        <v xml:space="preserve">     General                                           </v>
      </c>
      <c r="C100" s="12"/>
      <c r="D100" s="1">
        <f>SUM(OSRRefD22_7x_0)</f>
        <v>0</v>
      </c>
      <c r="E100" s="1"/>
      <c r="F100" s="5">
        <f t="shared" ref="F100:F108" si="47">IF(D$12=0,0,D100/D$12)</f>
        <v>0</v>
      </c>
      <c r="G100" s="1"/>
      <c r="H100" s="1">
        <f>SUM(OSRRefH22_7x_0)</f>
        <v>0</v>
      </c>
      <c r="I100" s="1"/>
      <c r="J100" s="5">
        <f t="shared" ref="J100:J108" si="48">IF(H$12=0,0,H100/H$12)</f>
        <v>0</v>
      </c>
      <c r="K100" s="1"/>
      <c r="L100" s="1">
        <f t="shared" ref="L100:L108" si="49">+D100-H100</f>
        <v>0</v>
      </c>
      <c r="M100" s="1"/>
      <c r="N100" s="5">
        <f t="shared" ref="N100:N108" si="50">IF(H100=0,0,L100/H100)</f>
        <v>0</v>
      </c>
      <c r="O100" s="12"/>
      <c r="P100" s="1">
        <f>SUM(OSRRefP22_7x_0)</f>
        <v>7593.03</v>
      </c>
      <c r="Q100" s="1"/>
      <c r="R100" s="5">
        <f t="shared" ref="R100:R108" si="51">IF(P$12=0,0,P100/P$12)</f>
        <v>1.5404036606873823E-3</v>
      </c>
      <c r="S100" s="1"/>
      <c r="T100" s="1">
        <f>SUM(OSRRefT22_7x_0)</f>
        <v>26000</v>
      </c>
      <c r="U100" s="1"/>
      <c r="V100" s="5">
        <f t="shared" ref="V100:V108" si="52">IF(T$12=0,0,T100/T$12)</f>
        <v>4.7870419928529463E-3</v>
      </c>
      <c r="W100" s="1"/>
      <c r="X100" s="1">
        <f t="shared" ref="X100:X108" si="53">+P100-T100</f>
        <v>-18406.97</v>
      </c>
      <c r="Y100" s="1"/>
      <c r="Z100" s="5">
        <f t="shared" ref="Z100:Z108" si="54">IF(T100=0,0,X100/T100)</f>
        <v>-0.70796038461538469</v>
      </c>
    </row>
    <row r="101" spans="1:26" s="24" customFormat="1" hidden="1" outlineLevel="2" x14ac:dyDescent="0.25">
      <c r="A101" s="26"/>
      <c r="B101" s="11" t="str">
        <f>CONCATENATE("          ", "6279", " - ", "GENERAL EXPENSE")</f>
        <v xml:space="preserve">          6279 - GENERAL EXPENSE</v>
      </c>
      <c r="C101" s="11"/>
      <c r="D101" s="7"/>
      <c r="E101" s="2"/>
      <c r="F101" s="6">
        <f t="shared" si="47"/>
        <v>0</v>
      </c>
      <c r="G101" s="2"/>
      <c r="H101" s="7"/>
      <c r="I101" s="2"/>
      <c r="J101" s="6">
        <f t="shared" si="48"/>
        <v>0</v>
      </c>
      <c r="K101" s="2"/>
      <c r="L101" s="7">
        <f t="shared" si="49"/>
        <v>0</v>
      </c>
      <c r="M101" s="2"/>
      <c r="N101" s="6">
        <f t="shared" si="50"/>
        <v>0</v>
      </c>
      <c r="O101" s="11"/>
      <c r="P101" s="7">
        <v>7593.03</v>
      </c>
      <c r="Q101" s="2"/>
      <c r="R101" s="6">
        <f t="shared" si="51"/>
        <v>1.5404036606873823E-3</v>
      </c>
      <c r="S101" s="2"/>
      <c r="T101" s="7">
        <v>26000</v>
      </c>
      <c r="U101" s="2"/>
      <c r="V101" s="6">
        <f t="shared" si="52"/>
        <v>4.7870419928529463E-3</v>
      </c>
      <c r="W101" s="2"/>
      <c r="X101" s="7">
        <f t="shared" si="53"/>
        <v>-18406.97</v>
      </c>
      <c r="Y101" s="2"/>
      <c r="Z101" s="6">
        <f t="shared" si="54"/>
        <v>-0.70796038461538469</v>
      </c>
    </row>
    <row r="102" spans="1:26" s="27" customFormat="1" outlineLevel="1" collapsed="1" x14ac:dyDescent="0.25">
      <c r="A102" s="25"/>
      <c r="B102" s="12" t="str">
        <f>CONCATENATE("     ","Inventory Adjustment                              ")</f>
        <v xml:space="preserve">     Inventory Adjustment                              </v>
      </c>
      <c r="C102" s="12"/>
      <c r="D102" s="1">
        <f>SUM(OSRRefD22_8x_0)</f>
        <v>1000</v>
      </c>
      <c r="E102" s="1"/>
      <c r="F102" s="5">
        <f t="shared" si="47"/>
        <v>1.6492318125601861E-2</v>
      </c>
      <c r="G102" s="1"/>
      <c r="H102" s="1">
        <f>SUM(OSRRefH22_8x_0)</f>
        <v>1000</v>
      </c>
      <c r="I102" s="1"/>
      <c r="J102" s="5">
        <f t="shared" si="48"/>
        <v>1.9457902827233281E-2</v>
      </c>
      <c r="K102" s="1"/>
      <c r="L102" s="1">
        <f t="shared" si="49"/>
        <v>0</v>
      </c>
      <c r="M102" s="1"/>
      <c r="N102" s="5">
        <f t="shared" si="50"/>
        <v>0</v>
      </c>
      <c r="O102" s="12"/>
      <c r="P102" s="1">
        <f>SUM(OSRRefP22_8x_0)</f>
        <v>16800</v>
      </c>
      <c r="Q102" s="1"/>
      <c r="R102" s="5">
        <f t="shared" si="51"/>
        <v>3.4082285332137532E-3</v>
      </c>
      <c r="S102" s="1"/>
      <c r="T102" s="1">
        <f>SUM(OSRRefT22_8x_0)</f>
        <v>16800</v>
      </c>
      <c r="U102" s="1"/>
      <c r="V102" s="5">
        <f t="shared" si="52"/>
        <v>3.0931655953819037E-3</v>
      </c>
      <c r="W102" s="1"/>
      <c r="X102" s="1">
        <f t="shared" si="53"/>
        <v>0</v>
      </c>
      <c r="Y102" s="1"/>
      <c r="Z102" s="5">
        <f t="shared" si="54"/>
        <v>0</v>
      </c>
    </row>
    <row r="103" spans="1:26" s="24" customFormat="1" hidden="1" outlineLevel="2" x14ac:dyDescent="0.25">
      <c r="A103" s="26"/>
      <c r="B103" s="11" t="str">
        <f>CONCATENATE("          ", "6408", " - ", "INVENTORY ADJUSTMENT")</f>
        <v xml:space="preserve">          6408 - INVENTORY ADJUSTMENT</v>
      </c>
      <c r="C103" s="11"/>
      <c r="D103" s="7">
        <v>1000</v>
      </c>
      <c r="E103" s="2"/>
      <c r="F103" s="6">
        <f t="shared" si="47"/>
        <v>1.6492318125601861E-2</v>
      </c>
      <c r="G103" s="2"/>
      <c r="H103" s="7">
        <v>1000</v>
      </c>
      <c r="I103" s="2"/>
      <c r="J103" s="6">
        <f t="shared" si="48"/>
        <v>1.9457902827233281E-2</v>
      </c>
      <c r="K103" s="2"/>
      <c r="L103" s="7">
        <f t="shared" si="49"/>
        <v>0</v>
      </c>
      <c r="M103" s="2"/>
      <c r="N103" s="6">
        <f t="shared" si="50"/>
        <v>0</v>
      </c>
      <c r="O103" s="11"/>
      <c r="P103" s="7">
        <v>16800</v>
      </c>
      <c r="Q103" s="2"/>
      <c r="R103" s="6">
        <f t="shared" si="51"/>
        <v>3.4082285332137532E-3</v>
      </c>
      <c r="S103" s="2"/>
      <c r="T103" s="7">
        <v>16800</v>
      </c>
      <c r="U103" s="2"/>
      <c r="V103" s="6">
        <f t="shared" si="52"/>
        <v>3.0931655953819037E-3</v>
      </c>
      <c r="W103" s="2"/>
      <c r="X103" s="7">
        <f t="shared" si="53"/>
        <v>0</v>
      </c>
      <c r="Y103" s="2"/>
      <c r="Z103" s="6">
        <f t="shared" si="54"/>
        <v>0</v>
      </c>
    </row>
    <row r="104" spans="1:26" s="27" customFormat="1" outlineLevel="1" collapsed="1" x14ac:dyDescent="0.25">
      <c r="A104" s="25"/>
      <c r="B104" s="12" t="str">
        <f>CONCATENATE("     ","Repair and Maintenance                            ")</f>
        <v xml:space="preserve">     Repair and Maintenance                            </v>
      </c>
      <c r="C104" s="12"/>
      <c r="D104" s="1">
        <f>SUM(OSRRefD22_9x_0)</f>
        <v>45.72</v>
      </c>
      <c r="E104" s="1"/>
      <c r="F104" s="5">
        <f t="shared" si="47"/>
        <v>7.5402878470251706E-4</v>
      </c>
      <c r="G104" s="1"/>
      <c r="H104" s="1">
        <f>SUM(OSRRefH22_9x_0)</f>
        <v>12140</v>
      </c>
      <c r="I104" s="1"/>
      <c r="J104" s="5">
        <f t="shared" si="48"/>
        <v>0.23621894032261204</v>
      </c>
      <c r="K104" s="1"/>
      <c r="L104" s="1">
        <f t="shared" si="49"/>
        <v>-12094.28</v>
      </c>
      <c r="M104" s="1"/>
      <c r="N104" s="5">
        <f t="shared" si="50"/>
        <v>-0.9962339373970347</v>
      </c>
      <c r="O104" s="12"/>
      <c r="P104" s="1">
        <f>SUM(OSRRefP22_9x_0)</f>
        <v>288.17</v>
      </c>
      <c r="Q104" s="1"/>
      <c r="R104" s="5">
        <f t="shared" si="51"/>
        <v>5.8461262881917096E-5</v>
      </c>
      <c r="S104" s="1"/>
      <c r="T104" s="1">
        <f>SUM(OSRRefT22_9x_0)</f>
        <v>15540</v>
      </c>
      <c r="U104" s="1"/>
      <c r="V104" s="5">
        <f t="shared" si="52"/>
        <v>2.8611781757282612E-3</v>
      </c>
      <c r="W104" s="1"/>
      <c r="X104" s="1">
        <f t="shared" si="53"/>
        <v>-15251.83</v>
      </c>
      <c r="Y104" s="1"/>
      <c r="Z104" s="5">
        <f t="shared" si="54"/>
        <v>-0.98145624195624193</v>
      </c>
    </row>
    <row r="105" spans="1:26" s="24" customFormat="1" hidden="1" outlineLevel="2" x14ac:dyDescent="0.25">
      <c r="A105" s="26"/>
      <c r="B105" s="11" t="str">
        <f>CONCATENATE("          ", "6371", " - ", "COMPUTER SOFTWARE MAINTENANCE")</f>
        <v xml:space="preserve">          6371 - COMPUTER SOFTWARE MAINTENANCE</v>
      </c>
      <c r="C105" s="11"/>
      <c r="D105" s="7"/>
      <c r="E105" s="2"/>
      <c r="F105" s="6">
        <f t="shared" si="47"/>
        <v>0</v>
      </c>
      <c r="G105" s="2"/>
      <c r="H105" s="7">
        <v>12000</v>
      </c>
      <c r="I105" s="2"/>
      <c r="J105" s="6">
        <f t="shared" si="48"/>
        <v>0.23349483392679937</v>
      </c>
      <c r="K105" s="2"/>
      <c r="L105" s="7">
        <f t="shared" si="49"/>
        <v>-12000</v>
      </c>
      <c r="M105" s="2"/>
      <c r="N105" s="6">
        <f t="shared" si="50"/>
        <v>-1</v>
      </c>
      <c r="O105" s="11"/>
      <c r="P105" s="7"/>
      <c r="Q105" s="2"/>
      <c r="R105" s="6">
        <f t="shared" si="51"/>
        <v>0</v>
      </c>
      <c r="S105" s="2"/>
      <c r="T105" s="7">
        <v>12000</v>
      </c>
      <c r="U105" s="2"/>
      <c r="V105" s="6">
        <f t="shared" si="52"/>
        <v>2.2094039967013599E-3</v>
      </c>
      <c r="W105" s="2"/>
      <c r="X105" s="7">
        <f t="shared" si="53"/>
        <v>-12000</v>
      </c>
      <c r="Y105" s="2"/>
      <c r="Z105" s="6">
        <f t="shared" si="54"/>
        <v>-1</v>
      </c>
    </row>
    <row r="106" spans="1:26" s="24" customFormat="1" hidden="1" outlineLevel="2" x14ac:dyDescent="0.25">
      <c r="A106" s="26"/>
      <c r="B106" s="11" t="str">
        <f>CONCATENATE("          ", "6372", " - ", "COMPUTER HARDWARE MAINTENANCE")</f>
        <v xml:space="preserve">          6372 - COMPUTER HARDWARE MAINTENANCE</v>
      </c>
      <c r="C106" s="11"/>
      <c r="D106" s="7"/>
      <c r="E106" s="2"/>
      <c r="F106" s="6">
        <f t="shared" si="47"/>
        <v>0</v>
      </c>
      <c r="G106" s="2"/>
      <c r="H106" s="7"/>
      <c r="I106" s="2"/>
      <c r="J106" s="6">
        <f t="shared" si="48"/>
        <v>0</v>
      </c>
      <c r="K106" s="2"/>
      <c r="L106" s="7">
        <f t="shared" si="49"/>
        <v>0</v>
      </c>
      <c r="M106" s="2"/>
      <c r="N106" s="6">
        <f t="shared" si="50"/>
        <v>0</v>
      </c>
      <c r="O106" s="11"/>
      <c r="P106" s="7"/>
      <c r="Q106" s="2"/>
      <c r="R106" s="6">
        <f t="shared" si="51"/>
        <v>0</v>
      </c>
      <c r="S106" s="2"/>
      <c r="T106" s="7">
        <v>2000</v>
      </c>
      <c r="U106" s="2"/>
      <c r="V106" s="6">
        <f t="shared" si="52"/>
        <v>3.6823399945022666E-4</v>
      </c>
      <c r="W106" s="2"/>
      <c r="X106" s="7">
        <f t="shared" si="53"/>
        <v>-2000</v>
      </c>
      <c r="Y106" s="2"/>
      <c r="Z106" s="6">
        <f t="shared" si="54"/>
        <v>-1</v>
      </c>
    </row>
    <row r="107" spans="1:26" s="24" customFormat="1" hidden="1" outlineLevel="2" x14ac:dyDescent="0.25">
      <c r="A107" s="26"/>
      <c r="B107" s="11" t="str">
        <f>CONCATENATE("          ", "6373", " - ", "MAINTENANCE CONTRACTS")</f>
        <v xml:space="preserve">          6373 - MAINTENANCE CONTRACTS</v>
      </c>
      <c r="C107" s="11"/>
      <c r="D107" s="7">
        <v>45.72</v>
      </c>
      <c r="E107" s="2"/>
      <c r="F107" s="6">
        <f t="shared" si="47"/>
        <v>7.5402878470251706E-4</v>
      </c>
      <c r="G107" s="2"/>
      <c r="H107" s="7">
        <v>40</v>
      </c>
      <c r="I107" s="2"/>
      <c r="J107" s="6">
        <f t="shared" si="48"/>
        <v>7.7831611308933123E-4</v>
      </c>
      <c r="K107" s="2"/>
      <c r="L107" s="7">
        <f t="shared" si="49"/>
        <v>5.7199999999999989</v>
      </c>
      <c r="M107" s="2"/>
      <c r="N107" s="6">
        <f t="shared" si="50"/>
        <v>0.14299999999999996</v>
      </c>
      <c r="O107" s="11"/>
      <c r="P107" s="7">
        <v>288.17</v>
      </c>
      <c r="Q107" s="2"/>
      <c r="R107" s="6">
        <f t="shared" si="51"/>
        <v>5.8461262881917096E-5</v>
      </c>
      <c r="S107" s="2"/>
      <c r="T107" s="7">
        <v>440</v>
      </c>
      <c r="U107" s="2"/>
      <c r="V107" s="6">
        <f t="shared" si="52"/>
        <v>8.1011479879049855E-5</v>
      </c>
      <c r="W107" s="2"/>
      <c r="X107" s="7">
        <f t="shared" si="53"/>
        <v>-151.82999999999998</v>
      </c>
      <c r="Y107" s="2"/>
      <c r="Z107" s="6">
        <f t="shared" si="54"/>
        <v>-0.34506818181818177</v>
      </c>
    </row>
    <row r="108" spans="1:26" s="24" customFormat="1" hidden="1" outlineLevel="2" x14ac:dyDescent="0.25">
      <c r="A108" s="26"/>
      <c r="B108" s="11" t="str">
        <f>CONCATENATE("          ", "6375", " - ", "OUTSIDE REPAIRS &amp; MAINTENANCE")</f>
        <v xml:space="preserve">          6375 - OUTSIDE REPAIRS &amp; MAINTENANCE</v>
      </c>
      <c r="C108" s="11"/>
      <c r="D108" s="7"/>
      <c r="E108" s="2"/>
      <c r="F108" s="6">
        <f t="shared" si="47"/>
        <v>0</v>
      </c>
      <c r="G108" s="2"/>
      <c r="H108" s="7">
        <v>100</v>
      </c>
      <c r="I108" s="2"/>
      <c r="J108" s="6">
        <f t="shared" si="48"/>
        <v>1.945790282723328E-3</v>
      </c>
      <c r="K108" s="2"/>
      <c r="L108" s="7">
        <f t="shared" si="49"/>
        <v>-100</v>
      </c>
      <c r="M108" s="2"/>
      <c r="N108" s="6">
        <f t="shared" si="50"/>
        <v>-1</v>
      </c>
      <c r="O108" s="11"/>
      <c r="P108" s="7"/>
      <c r="Q108" s="2"/>
      <c r="R108" s="6">
        <f t="shared" si="51"/>
        <v>0</v>
      </c>
      <c r="S108" s="2"/>
      <c r="T108" s="7">
        <v>1100</v>
      </c>
      <c r="U108" s="2"/>
      <c r="V108" s="6">
        <f t="shared" si="52"/>
        <v>2.0252869969762465E-4</v>
      </c>
      <c r="W108" s="2"/>
      <c r="X108" s="7">
        <f t="shared" si="53"/>
        <v>-1100</v>
      </c>
      <c r="Y108" s="2"/>
      <c r="Z108" s="6">
        <f t="shared" si="54"/>
        <v>-1</v>
      </c>
    </row>
    <row r="109" spans="1:26" s="27" customFormat="1" outlineLevel="1" collapsed="1" x14ac:dyDescent="0.25">
      <c r="A109" s="25"/>
      <c r="B109" s="12" t="str">
        <f>CONCATENATE("     ","Subscriptions &amp; Dues                              ")</f>
        <v xml:space="preserve">     Subscriptions &amp; Dues                              </v>
      </c>
      <c r="C109" s="12"/>
      <c r="D109" s="1">
        <f>SUM(OSRRefD22_10x_0)</f>
        <v>260</v>
      </c>
      <c r="E109" s="1"/>
      <c r="F109" s="5">
        <f t="shared" ref="F109:F111" si="55">IF(D$12=0,0,D109/D$12)</f>
        <v>4.2880027126564833E-3</v>
      </c>
      <c r="G109" s="1"/>
      <c r="H109" s="1">
        <f>SUM(OSRRefH22_10x_0)</f>
        <v>300</v>
      </c>
      <c r="I109" s="1"/>
      <c r="J109" s="5">
        <f t="shared" ref="J109:J111" si="56">IF(H$12=0,0,H109/H$12)</f>
        <v>5.8373708481699845E-3</v>
      </c>
      <c r="K109" s="1"/>
      <c r="L109" s="1">
        <f t="shared" ref="L109:L111" si="57">+D109-H109</f>
        <v>-40</v>
      </c>
      <c r="M109" s="1"/>
      <c r="N109" s="5">
        <f t="shared" ref="N109:N111" si="58">IF(H109=0,0,L109/H109)</f>
        <v>-0.13333333333333333</v>
      </c>
      <c r="O109" s="12"/>
      <c r="P109" s="1">
        <f>SUM(OSRRefP22_10x_0)</f>
        <v>5310.5599999999995</v>
      </c>
      <c r="Q109" s="1"/>
      <c r="R109" s="5">
        <f t="shared" ref="R109:R111" si="59">IF(P$12=0,0,P109/P$12)</f>
        <v>1.0773572690085493E-3</v>
      </c>
      <c r="S109" s="1"/>
      <c r="T109" s="1">
        <f>SUM(OSRRefT22_10x_0)</f>
        <v>7600</v>
      </c>
      <c r="U109" s="1"/>
      <c r="V109" s="5">
        <f t="shared" ref="V109:V111" si="60">IF(T$12=0,0,T109/T$12)</f>
        <v>1.3992891979108613E-3</v>
      </c>
      <c r="W109" s="1"/>
      <c r="X109" s="1">
        <f t="shared" ref="X109:X111" si="61">+P109-T109</f>
        <v>-2289.4400000000005</v>
      </c>
      <c r="Y109" s="1"/>
      <c r="Z109" s="5">
        <f t="shared" ref="Z109:Z111" si="62">IF(T109=0,0,X109/T109)</f>
        <v>-0.30124210526315798</v>
      </c>
    </row>
    <row r="110" spans="1:26" s="24" customFormat="1" hidden="1" outlineLevel="2" x14ac:dyDescent="0.25">
      <c r="A110" s="26"/>
      <c r="B110" s="11" t="str">
        <f>CONCATENATE("          ", "6258", " - ", "MEMBERSHIP DUES")</f>
        <v xml:space="preserve">          6258 - MEMBERSHIP DUES</v>
      </c>
      <c r="C110" s="11"/>
      <c r="D110" s="7">
        <v>260</v>
      </c>
      <c r="E110" s="2"/>
      <c r="F110" s="6">
        <f t="shared" si="55"/>
        <v>4.2880027126564833E-3</v>
      </c>
      <c r="G110" s="2"/>
      <c r="H110" s="7">
        <v>300</v>
      </c>
      <c r="I110" s="2"/>
      <c r="J110" s="6">
        <f t="shared" si="56"/>
        <v>5.8373708481699845E-3</v>
      </c>
      <c r="K110" s="2"/>
      <c r="L110" s="7">
        <f t="shared" si="57"/>
        <v>-40</v>
      </c>
      <c r="M110" s="2"/>
      <c r="N110" s="6">
        <f t="shared" si="58"/>
        <v>-0.13333333333333333</v>
      </c>
      <c r="O110" s="11"/>
      <c r="P110" s="7">
        <v>3458.48</v>
      </c>
      <c r="Q110" s="2"/>
      <c r="R110" s="6">
        <f t="shared" si="59"/>
        <v>7.0162441771125597E-4</v>
      </c>
      <c r="S110" s="2"/>
      <c r="T110" s="7">
        <v>7600</v>
      </c>
      <c r="U110" s="2"/>
      <c r="V110" s="6">
        <f t="shared" si="60"/>
        <v>1.3992891979108613E-3</v>
      </c>
      <c r="W110" s="2"/>
      <c r="X110" s="7">
        <f t="shared" si="61"/>
        <v>-4141.5200000000004</v>
      </c>
      <c r="Y110" s="2"/>
      <c r="Z110" s="6">
        <f t="shared" si="62"/>
        <v>-0.54493684210526316</v>
      </c>
    </row>
    <row r="111" spans="1:26" s="24" customFormat="1" hidden="1" outlineLevel="2" x14ac:dyDescent="0.25">
      <c r="A111" s="26"/>
      <c r="B111" s="11" t="str">
        <f>CONCATENATE("          ", "6275", " - ", "SUBSCRIPTIONS")</f>
        <v xml:space="preserve">          6275 - SUBSCRIPTIONS</v>
      </c>
      <c r="C111" s="11"/>
      <c r="D111" s="7"/>
      <c r="E111" s="2"/>
      <c r="F111" s="6">
        <f t="shared" si="55"/>
        <v>0</v>
      </c>
      <c r="G111" s="2"/>
      <c r="H111" s="7"/>
      <c r="I111" s="2"/>
      <c r="J111" s="6">
        <f t="shared" si="56"/>
        <v>0</v>
      </c>
      <c r="K111" s="2"/>
      <c r="L111" s="7">
        <f t="shared" si="57"/>
        <v>0</v>
      </c>
      <c r="M111" s="2"/>
      <c r="N111" s="6">
        <f t="shared" si="58"/>
        <v>0</v>
      </c>
      <c r="O111" s="11"/>
      <c r="P111" s="7">
        <v>1852.08</v>
      </c>
      <c r="Q111" s="2"/>
      <c r="R111" s="6">
        <f t="shared" si="59"/>
        <v>3.7573285129729328E-4</v>
      </c>
      <c r="S111" s="2"/>
      <c r="T111" s="7"/>
      <c r="U111" s="2"/>
      <c r="V111" s="6">
        <f t="shared" si="60"/>
        <v>0</v>
      </c>
      <c r="W111" s="2"/>
      <c r="X111" s="7">
        <f t="shared" si="61"/>
        <v>1852.08</v>
      </c>
      <c r="Y111" s="2"/>
      <c r="Z111" s="6">
        <f t="shared" si="62"/>
        <v>0</v>
      </c>
    </row>
    <row r="112" spans="1:26" s="27" customFormat="1" outlineLevel="1" collapsed="1" x14ac:dyDescent="0.25">
      <c r="A112" s="25"/>
      <c r="B112" s="12" t="str">
        <f>CONCATENATE("     ","Supplies                                          ")</f>
        <v xml:space="preserve">     Supplies                                          </v>
      </c>
      <c r="C112" s="12"/>
      <c r="D112" s="1">
        <f>SUM(OSRRefD22_11x_0)</f>
        <v>772.5</v>
      </c>
      <c r="E112" s="1"/>
      <c r="F112" s="5">
        <f t="shared" ref="F112:F115" si="63">IF(D$12=0,0,D112/D$12)</f>
        <v>1.2740315752027437E-2</v>
      </c>
      <c r="G112" s="1"/>
      <c r="H112" s="1">
        <f>SUM(OSRRefH22_11x_0)</f>
        <v>1300</v>
      </c>
      <c r="I112" s="1"/>
      <c r="J112" s="5">
        <f t="shared" ref="J112:J115" si="64">IF(H$12=0,0,H112/H$12)</f>
        <v>2.5295273675403265E-2</v>
      </c>
      <c r="K112" s="1"/>
      <c r="L112" s="1">
        <f t="shared" ref="L112:L115" si="65">+D112-H112</f>
        <v>-527.5</v>
      </c>
      <c r="M112" s="1"/>
      <c r="N112" s="5">
        <f t="shared" ref="N112:N115" si="66">IF(H112=0,0,L112/H112)</f>
        <v>-0.40576923076923077</v>
      </c>
      <c r="O112" s="12"/>
      <c r="P112" s="1">
        <f>SUM(OSRRefP22_11x_0)</f>
        <v>13520.43</v>
      </c>
      <c r="Q112" s="1"/>
      <c r="R112" s="5">
        <f t="shared" ref="R112:R115" si="67">IF(P$12=0,0,P112/P$12)</f>
        <v>2.7428997206737633E-3</v>
      </c>
      <c r="S112" s="1"/>
      <c r="T112" s="1">
        <f>SUM(OSRRefT22_11x_0)</f>
        <v>20250</v>
      </c>
      <c r="U112" s="1"/>
      <c r="V112" s="5">
        <f t="shared" ref="V112:V115" si="68">IF(T$12=0,0,T112/T$12)</f>
        <v>3.7283692444335446E-3</v>
      </c>
      <c r="W112" s="1"/>
      <c r="X112" s="1">
        <f t="shared" ref="X112:X115" si="69">+P112-T112</f>
        <v>-6729.57</v>
      </c>
      <c r="Y112" s="1"/>
      <c r="Z112" s="5">
        <f t="shared" ref="Z112:Z115" si="70">IF(T112=0,0,X112/T112)</f>
        <v>-0.33232444444444442</v>
      </c>
    </row>
    <row r="113" spans="1:26" s="24" customFormat="1" hidden="1" outlineLevel="2" x14ac:dyDescent="0.25">
      <c r="A113" s="26"/>
      <c r="B113" s="11" t="str">
        <f>CONCATENATE("          ", "6241", " - ", "OFFICE EXPENSE")</f>
        <v xml:space="preserve">          6241 - OFFICE EXPENSE</v>
      </c>
      <c r="C113" s="11"/>
      <c r="D113" s="7">
        <v>250.63</v>
      </c>
      <c r="E113" s="2"/>
      <c r="F113" s="6">
        <f t="shared" si="63"/>
        <v>4.1334696918195945E-3</v>
      </c>
      <c r="G113" s="2"/>
      <c r="H113" s="7">
        <v>300</v>
      </c>
      <c r="I113" s="2"/>
      <c r="J113" s="6">
        <f t="shared" si="64"/>
        <v>5.8373708481699845E-3</v>
      </c>
      <c r="K113" s="2"/>
      <c r="L113" s="7">
        <f t="shared" si="65"/>
        <v>-49.370000000000005</v>
      </c>
      <c r="M113" s="2"/>
      <c r="N113" s="6">
        <f t="shared" si="66"/>
        <v>-0.16456666666666669</v>
      </c>
      <c r="O113" s="11"/>
      <c r="P113" s="7">
        <v>4278.49</v>
      </c>
      <c r="Q113" s="2"/>
      <c r="R113" s="6">
        <f t="shared" si="67"/>
        <v>8.6798045815891128E-4</v>
      </c>
      <c r="S113" s="2"/>
      <c r="T113" s="7">
        <v>7850</v>
      </c>
      <c r="U113" s="2"/>
      <c r="V113" s="6">
        <f t="shared" si="68"/>
        <v>1.4453184478421396E-3</v>
      </c>
      <c r="W113" s="2"/>
      <c r="X113" s="7">
        <f t="shared" si="69"/>
        <v>-3571.51</v>
      </c>
      <c r="Y113" s="2"/>
      <c r="Z113" s="6">
        <f t="shared" si="70"/>
        <v>-0.45496942675159241</v>
      </c>
    </row>
    <row r="114" spans="1:26" s="24" customFormat="1" hidden="1" outlineLevel="2" x14ac:dyDescent="0.25">
      <c r="A114" s="26"/>
      <c r="B114" s="11" t="str">
        <f>CONCATENATE("          ", "6245", " - ", "PRINTING")</f>
        <v xml:space="preserve">          6245 - PRINTING</v>
      </c>
      <c r="C114" s="11"/>
      <c r="D114" s="7"/>
      <c r="E114" s="2"/>
      <c r="F114" s="6">
        <f t="shared" si="63"/>
        <v>0</v>
      </c>
      <c r="G114" s="2"/>
      <c r="H114" s="7">
        <v>500</v>
      </c>
      <c r="I114" s="2"/>
      <c r="J114" s="6">
        <f t="shared" si="64"/>
        <v>9.7289514136166405E-3</v>
      </c>
      <c r="K114" s="2"/>
      <c r="L114" s="7">
        <f t="shared" si="65"/>
        <v>-500</v>
      </c>
      <c r="M114" s="2"/>
      <c r="N114" s="6">
        <f t="shared" si="66"/>
        <v>-1</v>
      </c>
      <c r="O114" s="11"/>
      <c r="P114" s="7">
        <v>5198.58</v>
      </c>
      <c r="Q114" s="2"/>
      <c r="R114" s="6">
        <f t="shared" si="67"/>
        <v>1.0546398028687114E-3</v>
      </c>
      <c r="S114" s="2"/>
      <c r="T114" s="7">
        <v>2700</v>
      </c>
      <c r="U114" s="2"/>
      <c r="V114" s="6">
        <f t="shared" si="68"/>
        <v>4.9711589925780593E-4</v>
      </c>
      <c r="W114" s="2"/>
      <c r="X114" s="7">
        <f t="shared" si="69"/>
        <v>2498.58</v>
      </c>
      <c r="Y114" s="2"/>
      <c r="Z114" s="6">
        <f t="shared" si="70"/>
        <v>0.9254</v>
      </c>
    </row>
    <row r="115" spans="1:26" s="24" customFormat="1" hidden="1" outlineLevel="2" x14ac:dyDescent="0.25">
      <c r="A115" s="26"/>
      <c r="B115" s="11" t="str">
        <f>CONCATENATE("          ", "6247", " - ", "STORE SUPPLIES")</f>
        <v xml:space="preserve">          6247 - STORE SUPPLIES</v>
      </c>
      <c r="C115" s="11"/>
      <c r="D115" s="7">
        <v>521.87</v>
      </c>
      <c r="E115" s="2"/>
      <c r="F115" s="6">
        <f t="shared" si="63"/>
        <v>8.6068460602078435E-3</v>
      </c>
      <c r="G115" s="2"/>
      <c r="H115" s="7">
        <v>500</v>
      </c>
      <c r="I115" s="2"/>
      <c r="J115" s="6">
        <f t="shared" si="64"/>
        <v>9.7289514136166405E-3</v>
      </c>
      <c r="K115" s="2"/>
      <c r="L115" s="7">
        <f t="shared" si="65"/>
        <v>21.870000000000005</v>
      </c>
      <c r="M115" s="2"/>
      <c r="N115" s="6">
        <f t="shared" si="66"/>
        <v>4.3740000000000008E-2</v>
      </c>
      <c r="O115" s="11"/>
      <c r="P115" s="7">
        <v>4043.36</v>
      </c>
      <c r="Q115" s="2"/>
      <c r="R115" s="6">
        <f t="shared" si="67"/>
        <v>8.2027945964614052E-4</v>
      </c>
      <c r="S115" s="2"/>
      <c r="T115" s="7">
        <v>9700</v>
      </c>
      <c r="U115" s="2"/>
      <c r="V115" s="6">
        <f t="shared" si="68"/>
        <v>1.7859348973335992E-3</v>
      </c>
      <c r="W115" s="2"/>
      <c r="X115" s="7">
        <f t="shared" si="69"/>
        <v>-5656.6399999999994</v>
      </c>
      <c r="Y115" s="2"/>
      <c r="Z115" s="6">
        <f t="shared" si="70"/>
        <v>-0.58315876288659785</v>
      </c>
    </row>
    <row r="116" spans="1:26" s="27" customFormat="1" outlineLevel="1" collapsed="1" x14ac:dyDescent="0.25">
      <c r="A116" s="25"/>
      <c r="B116" s="12" t="str">
        <f>CONCATENATE("     ","Telephone/Data Lines                              ")</f>
        <v xml:space="preserve">     Telephone/Data Lines                              </v>
      </c>
      <c r="C116" s="12"/>
      <c r="D116" s="1">
        <f>SUM(OSRRefD22_12x_0)</f>
        <v>1113.05</v>
      </c>
      <c r="E116" s="1"/>
      <c r="F116" s="5">
        <f t="shared" ref="F116:F118" si="71">IF(D$12=0,0,D116/D$12)</f>
        <v>1.835677468970115E-2</v>
      </c>
      <c r="G116" s="1"/>
      <c r="H116" s="1">
        <f>SUM(OSRRefH22_12x_0)</f>
        <v>600</v>
      </c>
      <c r="I116" s="1"/>
      <c r="J116" s="5">
        <f t="shared" ref="J116:J118" si="72">IF(H$12=0,0,H116/H$12)</f>
        <v>1.1674741696339969E-2</v>
      </c>
      <c r="K116" s="1"/>
      <c r="L116" s="1">
        <f t="shared" ref="L116:L118" si="73">+D116-H116</f>
        <v>513.04999999999995</v>
      </c>
      <c r="M116" s="1"/>
      <c r="N116" s="5">
        <f t="shared" ref="N116:N118" si="74">IF(H116=0,0,L116/H116)</f>
        <v>0.85508333333333331</v>
      </c>
      <c r="O116" s="12"/>
      <c r="P116" s="1">
        <f>SUM(OSRRefP22_12x_0)</f>
        <v>8259.0400000000009</v>
      </c>
      <c r="Q116" s="1"/>
      <c r="R116" s="5">
        <f t="shared" ref="R116:R118" si="75">IF(P$12=0,0,P116/P$12)</f>
        <v>1.6755176062472452E-3</v>
      </c>
      <c r="S116" s="1"/>
      <c r="T116" s="1">
        <f>SUM(OSRRefT22_12x_0)</f>
        <v>8900</v>
      </c>
      <c r="U116" s="1"/>
      <c r="V116" s="5">
        <f t="shared" ref="V116:V118" si="76">IF(T$12=0,0,T116/T$12)</f>
        <v>1.6386412975535085E-3</v>
      </c>
      <c r="W116" s="1"/>
      <c r="X116" s="1">
        <f t="shared" ref="X116:X118" si="77">+P116-T116</f>
        <v>-640.95999999999913</v>
      </c>
      <c r="Y116" s="1"/>
      <c r="Z116" s="5">
        <f t="shared" ref="Z116:Z118" si="78">IF(T116=0,0,X116/T116)</f>
        <v>-7.2017977528089791E-2</v>
      </c>
    </row>
    <row r="117" spans="1:26" s="24" customFormat="1" hidden="1" outlineLevel="2" x14ac:dyDescent="0.25">
      <c r="A117" s="26"/>
      <c r="B117" s="11" t="str">
        <f>CONCATENATE("          ", "6303", " - ", "DATA PHONE LINES")</f>
        <v xml:space="preserve">          6303 - DATA PHONE LINES</v>
      </c>
      <c r="C117" s="11"/>
      <c r="D117" s="7">
        <v>590</v>
      </c>
      <c r="E117" s="2"/>
      <c r="F117" s="6">
        <f t="shared" si="71"/>
        <v>9.7304676941050976E-3</v>
      </c>
      <c r="G117" s="2"/>
      <c r="H117" s="7">
        <v>300</v>
      </c>
      <c r="I117" s="2"/>
      <c r="J117" s="6">
        <f t="shared" si="72"/>
        <v>5.8373708481699845E-3</v>
      </c>
      <c r="K117" s="2"/>
      <c r="L117" s="7">
        <f t="shared" si="73"/>
        <v>290</v>
      </c>
      <c r="M117" s="2"/>
      <c r="N117" s="6">
        <f t="shared" si="74"/>
        <v>0.96666666666666667</v>
      </c>
      <c r="O117" s="11"/>
      <c r="P117" s="7">
        <v>2950</v>
      </c>
      <c r="Q117" s="2"/>
      <c r="R117" s="6">
        <f t="shared" si="75"/>
        <v>5.9846870077265302E-4</v>
      </c>
      <c r="S117" s="2"/>
      <c r="T117" s="7">
        <v>3300</v>
      </c>
      <c r="U117" s="2"/>
      <c r="V117" s="6">
        <f t="shared" si="76"/>
        <v>6.075860990928739E-4</v>
      </c>
      <c r="W117" s="2"/>
      <c r="X117" s="7">
        <f t="shared" si="77"/>
        <v>-350</v>
      </c>
      <c r="Y117" s="2"/>
      <c r="Z117" s="6">
        <f t="shared" si="78"/>
        <v>-0.10606060606060606</v>
      </c>
    </row>
    <row r="118" spans="1:26" s="24" customFormat="1" hidden="1" outlineLevel="2" x14ac:dyDescent="0.25">
      <c r="A118" s="26"/>
      <c r="B118" s="11" t="str">
        <f>CONCATENATE("          ", "6309", " - ", "TELEPHONE")</f>
        <v xml:space="preserve">          6309 - TELEPHONE</v>
      </c>
      <c r="C118" s="11"/>
      <c r="D118" s="7">
        <v>523.04999999999995</v>
      </c>
      <c r="E118" s="2"/>
      <c r="F118" s="6">
        <f t="shared" si="71"/>
        <v>8.626306995596052E-3</v>
      </c>
      <c r="G118" s="2"/>
      <c r="H118" s="7">
        <v>300</v>
      </c>
      <c r="I118" s="2"/>
      <c r="J118" s="6">
        <f t="shared" si="72"/>
        <v>5.8373708481699845E-3</v>
      </c>
      <c r="K118" s="2"/>
      <c r="L118" s="7">
        <f t="shared" si="73"/>
        <v>223.04999999999995</v>
      </c>
      <c r="M118" s="2"/>
      <c r="N118" s="6">
        <f t="shared" si="74"/>
        <v>0.74349999999999983</v>
      </c>
      <c r="O118" s="11"/>
      <c r="P118" s="7">
        <v>5309.04</v>
      </c>
      <c r="Q118" s="2"/>
      <c r="R118" s="6">
        <f t="shared" si="75"/>
        <v>1.0770489054745919E-3</v>
      </c>
      <c r="S118" s="2"/>
      <c r="T118" s="7">
        <v>5600</v>
      </c>
      <c r="U118" s="2"/>
      <c r="V118" s="6">
        <f t="shared" si="76"/>
        <v>1.0310551984606346E-3</v>
      </c>
      <c r="W118" s="2"/>
      <c r="X118" s="7">
        <f t="shared" si="77"/>
        <v>-290.96000000000004</v>
      </c>
      <c r="Y118" s="2"/>
      <c r="Z118" s="6">
        <f t="shared" si="78"/>
        <v>-5.1957142857142861E-2</v>
      </c>
    </row>
    <row r="119" spans="1:26" s="27" customFormat="1" outlineLevel="1" collapsed="1" x14ac:dyDescent="0.25">
      <c r="A119" s="25"/>
      <c r="B119" s="12" t="str">
        <f>CONCATENATE("     ","Training                                          ")</f>
        <v xml:space="preserve">     Training                                          </v>
      </c>
      <c r="C119" s="12"/>
      <c r="D119" s="1">
        <f>SUM(OSRRefD22_13x_0)</f>
        <v>0</v>
      </c>
      <c r="E119" s="1"/>
      <c r="F119" s="5">
        <f t="shared" ref="F119:F123" si="79">IF(D$12=0,0,D119/D$12)</f>
        <v>0</v>
      </c>
      <c r="G119" s="1"/>
      <c r="H119" s="1">
        <f>SUM(OSRRefH22_13x_0)</f>
        <v>0</v>
      </c>
      <c r="I119" s="1"/>
      <c r="J119" s="5">
        <f t="shared" ref="J119:J123" si="80">IF(H$12=0,0,H119/H$12)</f>
        <v>0</v>
      </c>
      <c r="K119" s="1"/>
      <c r="L119" s="1">
        <f t="shared" ref="L119:L123" si="81">+D119-H119</f>
        <v>0</v>
      </c>
      <c r="M119" s="1"/>
      <c r="N119" s="5">
        <f t="shared" ref="N119:N123" si="82">IF(H119=0,0,L119/H119)</f>
        <v>0</v>
      </c>
      <c r="O119" s="12"/>
      <c r="P119" s="1">
        <f>SUM(OSRRefP22_13x_0)</f>
        <v>4157.1499999999996</v>
      </c>
      <c r="Q119" s="1"/>
      <c r="R119" s="5">
        <f t="shared" ref="R119:R123" si="83">IF(P$12=0,0,P119/P$12)</f>
        <v>8.4336412183628291E-4</v>
      </c>
      <c r="S119" s="1"/>
      <c r="T119" s="1">
        <f>SUM(OSRRefT22_13x_0)</f>
        <v>5200</v>
      </c>
      <c r="U119" s="1"/>
      <c r="V119" s="5">
        <f t="shared" ref="V119:V123" si="84">IF(T$12=0,0,T119/T$12)</f>
        <v>9.5740839857058927E-4</v>
      </c>
      <c r="W119" s="1"/>
      <c r="X119" s="1">
        <f t="shared" ref="X119:X123" si="85">+P119-T119</f>
        <v>-1042.8500000000004</v>
      </c>
      <c r="Y119" s="1"/>
      <c r="Z119" s="5">
        <f t="shared" ref="Z119:Z123" si="86">IF(T119=0,0,X119/T119)</f>
        <v>-0.200548076923077</v>
      </c>
    </row>
    <row r="120" spans="1:26" s="24" customFormat="1" hidden="1" outlineLevel="2" x14ac:dyDescent="0.25">
      <c r="A120" s="26"/>
      <c r="B120" s="11" t="str">
        <f>CONCATENATE("          ", "6376", " - ", "TRAINING")</f>
        <v xml:space="preserve">          6376 - TRAINING</v>
      </c>
      <c r="C120" s="11"/>
      <c r="D120" s="7"/>
      <c r="E120" s="2"/>
      <c r="F120" s="6">
        <f t="shared" si="79"/>
        <v>0</v>
      </c>
      <c r="G120" s="2"/>
      <c r="H120" s="7"/>
      <c r="I120" s="2"/>
      <c r="J120" s="6">
        <f t="shared" si="80"/>
        <v>0</v>
      </c>
      <c r="K120" s="2"/>
      <c r="L120" s="7">
        <f t="shared" si="81"/>
        <v>0</v>
      </c>
      <c r="M120" s="2"/>
      <c r="N120" s="6">
        <f t="shared" si="82"/>
        <v>0</v>
      </c>
      <c r="O120" s="11"/>
      <c r="P120" s="7">
        <v>4157.1499999999996</v>
      </c>
      <c r="Q120" s="2"/>
      <c r="R120" s="6">
        <f t="shared" si="83"/>
        <v>8.4336412183628291E-4</v>
      </c>
      <c r="S120" s="2"/>
      <c r="T120" s="7">
        <v>5200</v>
      </c>
      <c r="U120" s="2"/>
      <c r="V120" s="6">
        <f t="shared" si="84"/>
        <v>9.5740839857058927E-4</v>
      </c>
      <c r="W120" s="2"/>
      <c r="X120" s="7">
        <f t="shared" si="85"/>
        <v>-1042.8500000000004</v>
      </c>
      <c r="Y120" s="2"/>
      <c r="Z120" s="6">
        <f t="shared" si="86"/>
        <v>-0.200548076923077</v>
      </c>
    </row>
    <row r="121" spans="1:26" s="27" customFormat="1" outlineLevel="1" collapsed="1" x14ac:dyDescent="0.25">
      <c r="A121" s="25"/>
      <c r="B121" s="12" t="str">
        <f>CONCATENATE("     ","Travel                                            ")</f>
        <v xml:space="preserve">     Travel                                            </v>
      </c>
      <c r="C121" s="12"/>
      <c r="D121" s="1">
        <f>SUM(OSRRefD22_14x_0)</f>
        <v>0</v>
      </c>
      <c r="E121" s="1"/>
      <c r="F121" s="5">
        <f t="shared" si="79"/>
        <v>0</v>
      </c>
      <c r="G121" s="1"/>
      <c r="H121" s="1">
        <f>SUM(OSRRefH22_14x_0)</f>
        <v>0</v>
      </c>
      <c r="I121" s="1"/>
      <c r="J121" s="5">
        <f t="shared" si="80"/>
        <v>0</v>
      </c>
      <c r="K121" s="1"/>
      <c r="L121" s="1">
        <f t="shared" si="81"/>
        <v>0</v>
      </c>
      <c r="M121" s="1"/>
      <c r="N121" s="5">
        <f t="shared" si="82"/>
        <v>0</v>
      </c>
      <c r="O121" s="12"/>
      <c r="P121" s="1">
        <f>SUM(OSRRefP22_14x_0)</f>
        <v>83.93</v>
      </c>
      <c r="Q121" s="1"/>
      <c r="R121" s="5">
        <f t="shared" si="83"/>
        <v>1.7026941713847042E-5</v>
      </c>
      <c r="S121" s="1"/>
      <c r="T121" s="1">
        <f>SUM(OSRRefT22_14x_0)</f>
        <v>550</v>
      </c>
      <c r="U121" s="1"/>
      <c r="V121" s="5">
        <f t="shared" si="84"/>
        <v>1.0126434984881233E-4</v>
      </c>
      <c r="W121" s="1"/>
      <c r="X121" s="1">
        <f t="shared" si="85"/>
        <v>-466.07</v>
      </c>
      <c r="Y121" s="1"/>
      <c r="Z121" s="5">
        <f t="shared" si="86"/>
        <v>-0.84740000000000004</v>
      </c>
    </row>
    <row r="122" spans="1:26" s="24" customFormat="1" hidden="1" outlineLevel="2" x14ac:dyDescent="0.25">
      <c r="A122" s="26"/>
      <c r="B122" s="11" t="str">
        <f>CONCATENATE("          ", "6292", " - ", "TRAVEL/CONFERENCE")</f>
        <v xml:space="preserve">          6292 - TRAVEL/CONFERENCE</v>
      </c>
      <c r="C122" s="11"/>
      <c r="D122" s="7"/>
      <c r="E122" s="2"/>
      <c r="F122" s="6">
        <f t="shared" si="79"/>
        <v>0</v>
      </c>
      <c r="G122" s="2"/>
      <c r="H122" s="7"/>
      <c r="I122" s="2"/>
      <c r="J122" s="6">
        <f t="shared" si="80"/>
        <v>0</v>
      </c>
      <c r="K122" s="2"/>
      <c r="L122" s="7">
        <f t="shared" si="81"/>
        <v>0</v>
      </c>
      <c r="M122" s="2"/>
      <c r="N122" s="6">
        <f t="shared" si="82"/>
        <v>0</v>
      </c>
      <c r="O122" s="11"/>
      <c r="P122" s="7">
        <v>83.93</v>
      </c>
      <c r="Q122" s="2"/>
      <c r="R122" s="6">
        <f t="shared" si="83"/>
        <v>1.7026941713847042E-5</v>
      </c>
      <c r="S122" s="2"/>
      <c r="T122" s="7"/>
      <c r="U122" s="2"/>
      <c r="V122" s="6">
        <f t="shared" si="84"/>
        <v>0</v>
      </c>
      <c r="W122" s="2"/>
      <c r="X122" s="7">
        <f t="shared" si="85"/>
        <v>83.93</v>
      </c>
      <c r="Y122" s="2"/>
      <c r="Z122" s="6">
        <f t="shared" si="86"/>
        <v>0</v>
      </c>
    </row>
    <row r="123" spans="1:26" s="24" customFormat="1" hidden="1" outlineLevel="2" x14ac:dyDescent="0.25">
      <c r="A123" s="26"/>
      <c r="B123" s="11" t="str">
        <f>CONCATENATE("          ", "6298", " - ", "VEHICLE MILEAGE")</f>
        <v xml:space="preserve">          6298 - VEHICLE MILEAGE</v>
      </c>
      <c r="C123" s="11"/>
      <c r="D123" s="7"/>
      <c r="E123" s="2"/>
      <c r="F123" s="6">
        <f t="shared" si="79"/>
        <v>0</v>
      </c>
      <c r="G123" s="2"/>
      <c r="H123" s="7"/>
      <c r="I123" s="2"/>
      <c r="J123" s="6">
        <f t="shared" si="80"/>
        <v>0</v>
      </c>
      <c r="K123" s="2"/>
      <c r="L123" s="7">
        <f t="shared" si="81"/>
        <v>0</v>
      </c>
      <c r="M123" s="2"/>
      <c r="N123" s="6">
        <f t="shared" si="82"/>
        <v>0</v>
      </c>
      <c r="O123" s="11"/>
      <c r="P123" s="7"/>
      <c r="Q123" s="2"/>
      <c r="R123" s="6">
        <f t="shared" si="83"/>
        <v>0</v>
      </c>
      <c r="S123" s="2"/>
      <c r="T123" s="7">
        <v>550</v>
      </c>
      <c r="U123" s="2"/>
      <c r="V123" s="6">
        <f t="shared" si="84"/>
        <v>1.0126434984881233E-4</v>
      </c>
      <c r="W123" s="2"/>
      <c r="X123" s="7">
        <f t="shared" si="85"/>
        <v>-550</v>
      </c>
      <c r="Y123" s="2"/>
      <c r="Z123" s="6">
        <f t="shared" si="86"/>
        <v>-1</v>
      </c>
    </row>
    <row r="124" spans="1:26" s="62" customFormat="1" x14ac:dyDescent="0.25">
      <c r="A124" s="36"/>
      <c r="B124" s="36"/>
      <c r="C124" s="36"/>
      <c r="D124" s="1"/>
      <c r="E124" s="1"/>
      <c r="F124" s="5"/>
      <c r="G124" s="1"/>
      <c r="H124" s="1"/>
      <c r="I124" s="1"/>
      <c r="J124" s="5"/>
      <c r="K124" s="1"/>
      <c r="L124" s="1"/>
      <c r="M124" s="1"/>
      <c r="N124" s="5"/>
      <c r="O124" s="36"/>
      <c r="P124" s="1"/>
      <c r="Q124" s="1"/>
      <c r="R124" s="5"/>
      <c r="S124" s="1"/>
      <c r="T124" s="1"/>
      <c r="U124" s="1"/>
      <c r="V124" s="5"/>
      <c r="W124" s="1"/>
      <c r="X124" s="1"/>
      <c r="Y124" s="1"/>
      <c r="Z124" s="5"/>
    </row>
    <row r="125" spans="1:26" s="23" customFormat="1" collapsed="1" x14ac:dyDescent="0.25">
      <c r="A125" s="10"/>
      <c r="B125" s="28" t="s">
        <v>0</v>
      </c>
      <c r="C125" s="10"/>
      <c r="D125" s="4">
        <f>SUM(OSRRefD25x_0)</f>
        <v>5867.1100000000006</v>
      </c>
      <c r="E125" s="4"/>
      <c r="F125" s="13">
        <f t="shared" ref="F125:F129" si="87">IF(D$12=0,0,D125/D$12)</f>
        <v>9.6762244597899935E-2</v>
      </c>
      <c r="G125" s="4"/>
      <c r="H125" s="4">
        <f>SUM(OSRRefH25x_0)</f>
        <v>3800</v>
      </c>
      <c r="I125" s="4"/>
      <c r="J125" s="13">
        <f t="shared" ref="J125:J129" si="88">IF(H$12=0,0,H125/H$12)</f>
        <v>7.3940030743486471E-2</v>
      </c>
      <c r="K125" s="4"/>
      <c r="L125" s="4">
        <f t="shared" ref="L125:L129" si="89">+D125-H125</f>
        <v>2067.1100000000006</v>
      </c>
      <c r="M125" s="4"/>
      <c r="N125" s="13">
        <f t="shared" ref="N125:N129" si="90">IF(H125=0,0,L125/H125)</f>
        <v>0.54397631578947381</v>
      </c>
      <c r="O125" s="10"/>
      <c r="P125" s="4">
        <f>SUM(OSRRefP25x_0)</f>
        <v>193909.89</v>
      </c>
      <c r="Q125" s="4"/>
      <c r="R125" s="13">
        <f t="shared" ref="R125:R129" si="91">IF(P$12=0,0,P125/P$12)</f>
        <v>3.9338644045853584E-2</v>
      </c>
      <c r="S125" s="4"/>
      <c r="T125" s="4">
        <f>SUM(OSRRefT25x_0)</f>
        <v>178750</v>
      </c>
      <c r="U125" s="4"/>
      <c r="V125" s="13">
        <f t="shared" ref="V125:V129" si="92">IF(T$12=0,0,T125/T$12)</f>
        <v>3.2910913700864006E-2</v>
      </c>
      <c r="W125" s="4"/>
      <c r="X125" s="4">
        <f t="shared" ref="X125:X129" si="93">+P125-T125</f>
        <v>15159.890000000014</v>
      </c>
      <c r="Y125" s="4"/>
      <c r="Z125" s="13">
        <f t="shared" ref="Z125:Z129" si="94">IF(T125=0,0,X125/T125)</f>
        <v>8.4810573426573499E-2</v>
      </c>
    </row>
    <row r="126" spans="1:26" s="24" customFormat="1" hidden="1" outlineLevel="1" x14ac:dyDescent="0.25">
      <c r="A126" s="44"/>
      <c r="B126" s="11" t="str">
        <f>CONCATENATE("          ", "9150", " - ", "MISC. INCOME")</f>
        <v xml:space="preserve">          9150 - MISC. INCOME</v>
      </c>
      <c r="C126" s="11"/>
      <c r="D126" s="2">
        <f>--774.27</f>
        <v>774.27</v>
      </c>
      <c r="E126" s="2"/>
      <c r="F126" s="19">
        <f t="shared" si="87"/>
        <v>1.2769507155109753E-2</v>
      </c>
      <c r="G126" s="2"/>
      <c r="H126" s="2"/>
      <c r="I126" s="2"/>
      <c r="J126" s="19">
        <f t="shared" si="88"/>
        <v>0</v>
      </c>
      <c r="K126" s="2"/>
      <c r="L126" s="2">
        <f t="shared" si="89"/>
        <v>774.27</v>
      </c>
      <c r="M126" s="2"/>
      <c r="N126" s="19">
        <f t="shared" si="90"/>
        <v>0</v>
      </c>
      <c r="O126" s="11"/>
      <c r="P126" s="2">
        <f>--21290.7</f>
        <v>21290.7</v>
      </c>
      <c r="Q126" s="2"/>
      <c r="R126" s="19">
        <f t="shared" si="91"/>
        <v>4.3192601923865512E-3</v>
      </c>
      <c r="S126" s="2"/>
      <c r="T126" s="2"/>
      <c r="U126" s="2"/>
      <c r="V126" s="19">
        <f t="shared" si="92"/>
        <v>0</v>
      </c>
      <c r="W126" s="2"/>
      <c r="X126" s="2">
        <f t="shared" si="93"/>
        <v>21290.7</v>
      </c>
      <c r="Y126" s="2"/>
      <c r="Z126" s="19">
        <f t="shared" si="94"/>
        <v>0</v>
      </c>
    </row>
    <row r="127" spans="1:26" s="24" customFormat="1" hidden="1" outlineLevel="1" x14ac:dyDescent="0.25">
      <c r="A127" s="44"/>
      <c r="B127" s="11" t="str">
        <f>CONCATENATE("          ", "9151", " - ", "MISC. INCOME")</f>
        <v xml:space="preserve">          9151 - MISC. INCOME</v>
      </c>
      <c r="C127" s="11"/>
      <c r="D127" s="2">
        <f>0</f>
        <v>0</v>
      </c>
      <c r="E127" s="2"/>
      <c r="F127" s="19">
        <f t="shared" si="87"/>
        <v>0</v>
      </c>
      <c r="G127" s="2"/>
      <c r="H127" s="2"/>
      <c r="I127" s="2"/>
      <c r="J127" s="19">
        <f t="shared" si="88"/>
        <v>0</v>
      </c>
      <c r="K127" s="2"/>
      <c r="L127" s="2">
        <f t="shared" si="89"/>
        <v>0</v>
      </c>
      <c r="M127" s="2"/>
      <c r="N127" s="19">
        <f t="shared" si="90"/>
        <v>0</v>
      </c>
      <c r="O127" s="11"/>
      <c r="P127" s="2">
        <f>--162744.3</f>
        <v>162744.29999999999</v>
      </c>
      <c r="Q127" s="2"/>
      <c r="R127" s="19">
        <f t="shared" si="91"/>
        <v>3.3016057552255888E-2</v>
      </c>
      <c r="S127" s="2"/>
      <c r="T127" s="2"/>
      <c r="U127" s="2"/>
      <c r="V127" s="19">
        <f t="shared" si="92"/>
        <v>0</v>
      </c>
      <c r="W127" s="2"/>
      <c r="X127" s="2">
        <f t="shared" si="93"/>
        <v>162744.29999999999</v>
      </c>
      <c r="Y127" s="2"/>
      <c r="Z127" s="19">
        <f t="shared" si="94"/>
        <v>0</v>
      </c>
    </row>
    <row r="128" spans="1:26" s="24" customFormat="1" hidden="1" outlineLevel="1" x14ac:dyDescent="0.25">
      <c r="A128" s="44"/>
      <c r="B128" s="11" t="str">
        <f>CONCATENATE("          ", "9152", " - ", "MISC. INCOME")</f>
        <v xml:space="preserve">          9152 - MISC. INCOME</v>
      </c>
      <c r="C128" s="11"/>
      <c r="D128" s="2">
        <f>--5092.84</f>
        <v>5092.84</v>
      </c>
      <c r="E128" s="2"/>
      <c r="F128" s="19">
        <f t="shared" si="87"/>
        <v>8.3992737442790177E-2</v>
      </c>
      <c r="G128" s="2"/>
      <c r="H128" s="2"/>
      <c r="I128" s="2"/>
      <c r="J128" s="19">
        <f t="shared" si="88"/>
        <v>0</v>
      </c>
      <c r="K128" s="2"/>
      <c r="L128" s="2">
        <f t="shared" si="89"/>
        <v>5092.84</v>
      </c>
      <c r="M128" s="2"/>
      <c r="N128" s="19">
        <f t="shared" si="90"/>
        <v>0</v>
      </c>
      <c r="O128" s="11"/>
      <c r="P128" s="2">
        <f>--9874.89</f>
        <v>9874.89</v>
      </c>
      <c r="Q128" s="2"/>
      <c r="R128" s="19">
        <f t="shared" si="91"/>
        <v>2.0033263012111404E-3</v>
      </c>
      <c r="S128" s="2"/>
      <c r="T128" s="2"/>
      <c r="U128" s="2"/>
      <c r="V128" s="19">
        <f t="shared" si="92"/>
        <v>0</v>
      </c>
      <c r="W128" s="2"/>
      <c r="X128" s="2">
        <f t="shared" si="93"/>
        <v>9874.89</v>
      </c>
      <c r="Y128" s="2"/>
      <c r="Z128" s="19">
        <f t="shared" si="94"/>
        <v>0</v>
      </c>
    </row>
    <row r="129" spans="1:26" s="24" customFormat="1" hidden="1" outlineLevel="1" x14ac:dyDescent="0.25">
      <c r="A129" s="44"/>
      <c r="B129" s="11" t="str">
        <f>CONCATENATE("          ", "9160", " - ", "MISC. INCOME")</f>
        <v xml:space="preserve">          9160 - MISC. INCOME</v>
      </c>
      <c r="C129" s="11"/>
      <c r="D129" s="2">
        <f>0</f>
        <v>0</v>
      </c>
      <c r="E129" s="2"/>
      <c r="F129" s="19">
        <f t="shared" si="87"/>
        <v>0</v>
      </c>
      <c r="G129" s="2"/>
      <c r="H129" s="2">
        <v>3800</v>
      </c>
      <c r="I129" s="2"/>
      <c r="J129" s="19">
        <f t="shared" si="88"/>
        <v>7.3940030743486471E-2</v>
      </c>
      <c r="K129" s="2"/>
      <c r="L129" s="2">
        <f t="shared" si="89"/>
        <v>-3800</v>
      </c>
      <c r="M129" s="2"/>
      <c r="N129" s="19">
        <f t="shared" si="90"/>
        <v>-1</v>
      </c>
      <c r="O129" s="11"/>
      <c r="P129" s="2">
        <f>0</f>
        <v>0</v>
      </c>
      <c r="Q129" s="2"/>
      <c r="R129" s="19">
        <f t="shared" si="91"/>
        <v>0</v>
      </c>
      <c r="S129" s="2"/>
      <c r="T129" s="2">
        <v>178750</v>
      </c>
      <c r="U129" s="2"/>
      <c r="V129" s="19">
        <f t="shared" si="92"/>
        <v>3.2910913700864006E-2</v>
      </c>
      <c r="W129" s="2"/>
      <c r="X129" s="2">
        <f t="shared" si="93"/>
        <v>-178750</v>
      </c>
      <c r="Y129" s="2"/>
      <c r="Z129" s="19">
        <f t="shared" si="94"/>
        <v>-1</v>
      </c>
    </row>
    <row r="130" spans="1:26" x14ac:dyDescent="0.25">
      <c r="A130" s="9"/>
      <c r="B130" s="10"/>
      <c r="C130" s="10"/>
      <c r="D130" s="3"/>
      <c r="E130" s="3"/>
      <c r="F130" s="8"/>
      <c r="G130" s="3"/>
      <c r="H130" s="3"/>
      <c r="I130" s="3"/>
      <c r="J130" s="8"/>
      <c r="K130" s="3"/>
      <c r="L130" s="3"/>
      <c r="M130" s="3"/>
      <c r="N130" s="8"/>
      <c r="O130" s="10"/>
      <c r="P130" s="3"/>
      <c r="Q130" s="3"/>
      <c r="R130" s="8"/>
      <c r="S130" s="3"/>
      <c r="T130" s="3"/>
      <c r="U130" s="3"/>
      <c r="V130" s="8"/>
      <c r="W130" s="3"/>
      <c r="X130" s="3"/>
      <c r="Y130" s="3"/>
      <c r="Z130" s="8"/>
    </row>
    <row r="131" spans="1:26" s="23" customFormat="1" x14ac:dyDescent="0.25">
      <c r="A131" s="10"/>
      <c r="B131" s="29" t="s">
        <v>3</v>
      </c>
      <c r="C131" s="29"/>
      <c r="D131" s="20">
        <f>+D63-D65+D125</f>
        <v>-23063.450000000004</v>
      </c>
      <c r="E131" s="14"/>
      <c r="F131" s="22">
        <f>IF(D$12=0,0,D131/D$12)</f>
        <v>-0.3803697544739123</v>
      </c>
      <c r="G131" s="14"/>
      <c r="H131" s="20">
        <f>+H63-H65+H125</f>
        <v>-39972.669197922878</v>
      </c>
      <c r="I131" s="14"/>
      <c r="J131" s="22">
        <f>IF(H$12=0,0,H131/H$12)</f>
        <v>-0.77778431299832429</v>
      </c>
      <c r="K131" s="16"/>
      <c r="L131" s="20">
        <f>+D131-H131</f>
        <v>16909.219197922874</v>
      </c>
      <c r="M131" s="16"/>
      <c r="N131" s="22">
        <f>IF(H131=0,0,L131/H131)</f>
        <v>-0.42301951651508768</v>
      </c>
      <c r="O131" s="28"/>
      <c r="P131" s="20">
        <f>+P63-P65+P125</f>
        <v>1078550.4699999974</v>
      </c>
      <c r="Q131" s="14"/>
      <c r="R131" s="22">
        <f>IF(P$12=0,0,P131/P$12)</f>
        <v>0.21880633847411279</v>
      </c>
      <c r="S131" s="14"/>
      <c r="T131" s="20">
        <f>+T63-T65+T125</f>
        <v>1063920.743277401</v>
      </c>
      <c r="U131" s="14"/>
      <c r="V131" s="22">
        <f>IF(T$12=0,0,T131/T$12)</f>
        <v>0.19588589519754759</v>
      </c>
      <c r="W131" s="16"/>
      <c r="X131" s="20">
        <f>+P131-T131</f>
        <v>14629.726722596446</v>
      </c>
      <c r="Y131" s="16"/>
      <c r="Z131" s="22">
        <f>IF(T131=0,0,X131/T131)</f>
        <v>1.3750767446764565E-2</v>
      </c>
    </row>
    <row r="132" spans="1:26" x14ac:dyDescent="0.25">
      <c r="A132" s="9"/>
      <c r="B132" s="10"/>
      <c r="C132" s="9"/>
      <c r="D132" s="3"/>
      <c r="E132" s="3"/>
      <c r="F132" s="8"/>
      <c r="G132" s="3"/>
      <c r="H132" s="3"/>
      <c r="I132" s="3"/>
      <c r="J132" s="8"/>
      <c r="K132" s="3"/>
      <c r="L132" s="3"/>
      <c r="M132" s="3"/>
      <c r="N132" s="8"/>
      <c r="P132" s="3"/>
      <c r="Q132" s="3"/>
      <c r="R132" s="8"/>
      <c r="S132" s="3"/>
      <c r="T132" s="3"/>
      <c r="U132" s="3"/>
      <c r="V132" s="8"/>
      <c r="W132" s="3"/>
      <c r="X132" s="3"/>
      <c r="Y132" s="3"/>
      <c r="Z132" s="8"/>
    </row>
    <row r="133" spans="1:26" s="23" customFormat="1" x14ac:dyDescent="0.25">
      <c r="A133" s="52"/>
      <c r="B133" s="10" t="s">
        <v>14</v>
      </c>
      <c r="C133" s="10"/>
      <c r="D133" s="4">
        <v>30903.699999999997</v>
      </c>
      <c r="E133" s="4"/>
      <c r="F133" s="13">
        <f>IF(D$12=0,0,D133/D$12)</f>
        <v>0.50967365165816214</v>
      </c>
      <c r="G133" s="4"/>
      <c r="H133" s="4">
        <v>485</v>
      </c>
      <c r="I133" s="4"/>
      <c r="J133" s="13">
        <f>IF(H$12=0,0,H133/H$12)</f>
        <v>9.4370828712081415E-3</v>
      </c>
      <c r="K133" s="4"/>
      <c r="L133" s="4">
        <f>+D133-H133</f>
        <v>30418.699999999997</v>
      </c>
      <c r="M133" s="4"/>
      <c r="N133" s="13">
        <f>IF(H133=0,0,L133/H133)</f>
        <v>62.718969072164946</v>
      </c>
      <c r="O133" s="10"/>
      <c r="P133" s="4">
        <v>583699.82000000007</v>
      </c>
      <c r="Q133" s="4"/>
      <c r="R133" s="13">
        <f>IF(P$12=0,0,P133/P$12)</f>
        <v>0.11841561793784118</v>
      </c>
      <c r="S133" s="4"/>
      <c r="T133" s="4">
        <v>629085</v>
      </c>
      <c r="U133" s="4"/>
      <c r="V133" s="13">
        <f>IF(T$12=0,0,T133/T$12)</f>
        <v>0.11582524277207291</v>
      </c>
      <c r="W133" s="4"/>
      <c r="X133" s="4">
        <f>+P133-T133</f>
        <v>-45385.179999999935</v>
      </c>
      <c r="Y133" s="4"/>
      <c r="Z133" s="13">
        <f>IF(T133=0,0,X133/T133)</f>
        <v>-7.214474991455834E-2</v>
      </c>
    </row>
    <row r="134" spans="1:26" x14ac:dyDescent="0.25">
      <c r="A134" s="9"/>
      <c r="B134" s="10"/>
      <c r="C134" s="10"/>
      <c r="D134" s="3"/>
      <c r="E134" s="3"/>
      <c r="F134" s="8"/>
      <c r="G134" s="3"/>
      <c r="H134" s="3"/>
      <c r="I134" s="3"/>
      <c r="J134" s="8"/>
      <c r="K134" s="3"/>
      <c r="L134" s="3"/>
      <c r="M134" s="3"/>
      <c r="N134" s="8"/>
      <c r="O134" s="10"/>
      <c r="P134" s="3"/>
      <c r="Q134" s="3"/>
      <c r="R134" s="8"/>
      <c r="S134" s="3"/>
      <c r="T134" s="3"/>
      <c r="U134" s="3"/>
      <c r="V134" s="8"/>
      <c r="W134" s="3"/>
      <c r="X134" s="3"/>
      <c r="Y134" s="3"/>
      <c r="Z134" s="8"/>
    </row>
    <row r="135" spans="1:26" s="23" customFormat="1" ht="15.75" thickBot="1" x14ac:dyDescent="0.3">
      <c r="A135" s="10"/>
      <c r="B135" s="29" t="s">
        <v>4</v>
      </c>
      <c r="C135" s="29"/>
      <c r="D135" s="35">
        <f>+D131-D133</f>
        <v>-53967.15</v>
      </c>
      <c r="E135" s="14"/>
      <c r="F135" s="32">
        <f>IF(D$12=0,0,D135/D$12)</f>
        <v>-0.89004340613207444</v>
      </c>
      <c r="G135" s="14"/>
      <c r="H135" s="35">
        <f>+H131-H133</f>
        <v>-40457.669197922878</v>
      </c>
      <c r="I135" s="14"/>
      <c r="J135" s="32">
        <f>IF(H$12=0,0,H135/H$12)</f>
        <v>-0.78722139586953244</v>
      </c>
      <c r="K135" s="16"/>
      <c r="L135" s="35">
        <f>D135-H135</f>
        <v>-13509.480802077123</v>
      </c>
      <c r="M135" s="16"/>
      <c r="N135" s="32">
        <f>IF(H135=0,0,L135/H135)</f>
        <v>0.33391643833922863</v>
      </c>
      <c r="O135" s="28"/>
      <c r="P135" s="35">
        <f>+P131-P133</f>
        <v>494850.64999999735</v>
      </c>
      <c r="Q135" s="14"/>
      <c r="R135" s="32">
        <f>IF(P$12=0,0,P135/P$12)</f>
        <v>0.10039072053627163</v>
      </c>
      <c r="S135" s="14"/>
      <c r="T135" s="35">
        <f>+T131-T133</f>
        <v>434835.74327740096</v>
      </c>
      <c r="U135" s="14"/>
      <c r="V135" s="32">
        <f>IF(T$12=0,0,T135/T$12)</f>
        <v>8.0060652425474679E-2</v>
      </c>
      <c r="W135" s="16"/>
      <c r="X135" s="35">
        <f>P135-T135</f>
        <v>60014.906722596381</v>
      </c>
      <c r="Y135" s="16"/>
      <c r="Z135" s="32">
        <f>IF(T135=0,0,X135/T135)</f>
        <v>0.13801741841702792</v>
      </c>
    </row>
    <row r="136" spans="1:26" ht="15.75" thickTop="1" x14ac:dyDescent="0.25">
      <c r="A136" s="9"/>
      <c r="B136" s="9"/>
      <c r="C136" s="9"/>
      <c r="D136" s="3"/>
      <c r="E136" s="3"/>
      <c r="F136" s="8"/>
      <c r="G136" s="3"/>
      <c r="H136" s="3"/>
      <c r="I136" s="3"/>
      <c r="J136" s="8"/>
      <c r="K136" s="3"/>
      <c r="L136" s="3"/>
      <c r="M136" s="3"/>
      <c r="N136" s="8"/>
      <c r="P136" s="3"/>
      <c r="Q136" s="3"/>
      <c r="R136" s="8"/>
      <c r="S136" s="3"/>
      <c r="T136" s="3"/>
      <c r="U136" s="3"/>
      <c r="V136" s="8"/>
      <c r="W136" s="3"/>
      <c r="X136" s="3"/>
      <c r="Y136" s="3"/>
      <c r="Z136" s="8"/>
    </row>
    <row r="137" spans="1:26" x14ac:dyDescent="0.25">
      <c r="A137" s="9"/>
      <c r="B137" s="9"/>
      <c r="C137" s="9"/>
      <c r="D137" s="3"/>
      <c r="E137" s="3"/>
      <c r="F137" s="8"/>
      <c r="G137" s="3"/>
      <c r="H137" s="3"/>
      <c r="I137" s="3"/>
      <c r="J137" s="8"/>
      <c r="K137" s="3"/>
      <c r="L137" s="3"/>
      <c r="M137" s="3"/>
      <c r="N137" s="8"/>
      <c r="P137" s="3"/>
      <c r="Q137" s="3"/>
      <c r="R137" s="8"/>
      <c r="S137" s="3"/>
      <c r="T137" s="3"/>
      <c r="U137" s="3"/>
      <c r="V137" s="8"/>
      <c r="W137" s="3"/>
      <c r="X137" s="3"/>
      <c r="Y137" s="3"/>
      <c r="Z137" s="8"/>
    </row>
    <row r="138" spans="1:26" s="23" customFormat="1" ht="15.75" thickBot="1" x14ac:dyDescent="0.3">
      <c r="A138" s="10"/>
      <c r="B138" s="29" t="s">
        <v>5</v>
      </c>
      <c r="C138" s="29"/>
      <c r="D138" s="34">
        <f>SUM(D135:D137)</f>
        <v>-53967.15</v>
      </c>
      <c r="E138" s="14"/>
      <c r="F138" s="31">
        <f>IF(D$12=0,0,D138/D$12)</f>
        <v>-0.89004340613207444</v>
      </c>
      <c r="G138" s="14"/>
      <c r="H138" s="34">
        <f>SUM(H135:H137)</f>
        <v>-40457.669197922878</v>
      </c>
      <c r="I138" s="14"/>
      <c r="J138" s="31">
        <f>IF(H$12=0,0,H138/H$12)</f>
        <v>-0.78722139586953244</v>
      </c>
      <c r="K138" s="16"/>
      <c r="L138" s="34">
        <f>+D138-H138</f>
        <v>-13509.480802077123</v>
      </c>
      <c r="M138" s="16"/>
      <c r="N138" s="31">
        <f>IF(H138=0,0,L138/H138)</f>
        <v>0.33391643833922863</v>
      </c>
      <c r="O138" s="28"/>
      <c r="P138" s="34">
        <f>SUM(P135:P137)</f>
        <v>494850.64999999735</v>
      </c>
      <c r="Q138" s="14"/>
      <c r="R138" s="31">
        <f>IF(P$12=0,0,P138/P$12)</f>
        <v>0.10039072053627163</v>
      </c>
      <c r="S138" s="14"/>
      <c r="T138" s="34">
        <f>SUM(T135:T137)</f>
        <v>434835.74327740096</v>
      </c>
      <c r="U138" s="14"/>
      <c r="V138" s="31">
        <f>IF(T$12=0,0,T138/T$12)</f>
        <v>8.0060652425474679E-2</v>
      </c>
      <c r="W138" s="16"/>
      <c r="X138" s="34">
        <f>+P138-T138</f>
        <v>60014.906722596381</v>
      </c>
      <c r="Y138" s="16"/>
      <c r="Z138" s="31">
        <f>IF(T138=0,0,X138/T138)</f>
        <v>0.13801741841702792</v>
      </c>
    </row>
    <row r="139" spans="1:26" ht="15.75" thickTop="1" x14ac:dyDescent="0.25">
      <c r="A139" s="9"/>
      <c r="C139" s="9"/>
      <c r="D139" s="18"/>
      <c r="E139" s="18"/>
      <c r="G139" s="18"/>
      <c r="H139" s="18"/>
      <c r="I139" s="18"/>
      <c r="J139" s="42"/>
      <c r="K139" s="18"/>
      <c r="L139" s="18"/>
      <c r="M139" s="18"/>
      <c r="P139" s="18"/>
      <c r="Q139" s="18"/>
      <c r="R139" s="42"/>
      <c r="S139" s="18"/>
      <c r="T139" s="18"/>
      <c r="U139" s="18"/>
      <c r="V139" s="42"/>
      <c r="W139" s="18"/>
      <c r="X139" s="18"/>
    </row>
    <row r="140" spans="1:26" x14ac:dyDescent="0.25">
      <c r="A140" s="9"/>
      <c r="B140" s="59">
        <v>43992.371096875002</v>
      </c>
      <c r="D140" s="18"/>
      <c r="E140" s="18"/>
      <c r="G140" s="18"/>
      <c r="H140" s="18"/>
      <c r="I140" s="18"/>
      <c r="J140" s="42"/>
      <c r="K140" s="18"/>
      <c r="L140" s="18"/>
      <c r="M140" s="18"/>
      <c r="P140" s="18"/>
      <c r="Q140" s="18"/>
      <c r="R140" s="42"/>
      <c r="S140" s="18"/>
      <c r="T140" s="18"/>
      <c r="U140" s="18"/>
      <c r="V140" s="42"/>
      <c r="W140" s="18"/>
      <c r="X140" s="18"/>
    </row>
    <row r="141" spans="1:26" x14ac:dyDescent="0.25">
      <c r="A141" s="9"/>
      <c r="B141" s="56" t="s">
        <v>314</v>
      </c>
      <c r="D141" s="18"/>
      <c r="E141" s="18"/>
      <c r="G141" s="18"/>
      <c r="H141" s="18"/>
      <c r="I141" s="18"/>
      <c r="J141" s="42"/>
      <c r="K141" s="18"/>
      <c r="L141" s="18"/>
      <c r="M141" s="18"/>
      <c r="P141" s="18"/>
      <c r="Q141" s="18"/>
      <c r="R141" s="42"/>
      <c r="S141" s="18"/>
      <c r="T141" s="18"/>
      <c r="U141" s="18"/>
      <c r="V141" s="42"/>
      <c r="W141" s="18"/>
      <c r="X141" s="18"/>
    </row>
    <row r="142" spans="1:26" x14ac:dyDescent="0.25">
      <c r="A142" s="9"/>
      <c r="B142" s="54"/>
      <c r="D142" s="18"/>
      <c r="E142" s="18"/>
      <c r="G142" s="18"/>
      <c r="H142" s="18"/>
      <c r="I142" s="18"/>
      <c r="J142" s="42"/>
      <c r="K142" s="18"/>
      <c r="L142" s="18"/>
      <c r="M142" s="18"/>
      <c r="P142" s="18"/>
      <c r="Q142" s="18"/>
      <c r="R142" s="42"/>
      <c r="S142" s="18"/>
      <c r="T142" s="18"/>
      <c r="U142" s="18"/>
      <c r="V142" s="42"/>
      <c r="W142" s="18"/>
      <c r="X142" s="18"/>
    </row>
    <row r="143" spans="1:26" x14ac:dyDescent="0.25">
      <c r="D143" s="18"/>
      <c r="E143" s="18"/>
      <c r="G143" s="18"/>
      <c r="H143" s="18"/>
      <c r="I143" s="18"/>
      <c r="J143" s="42"/>
      <c r="K143" s="18"/>
      <c r="L143" s="18"/>
      <c r="M143" s="18"/>
      <c r="P143" s="18"/>
      <c r="Q143" s="18"/>
      <c r="R143" s="42"/>
      <c r="S143" s="18"/>
      <c r="T143" s="18"/>
      <c r="U143" s="18"/>
      <c r="V143" s="42"/>
      <c r="W143" s="18"/>
      <c r="X143" s="18"/>
    </row>
  </sheetData>
  <pageMargins left="0.25" right="0.25" top="0.75" bottom="0.75" header="0.3" footer="0.3"/>
  <pageSetup scale="55" fitToWidth="2" orientation="landscape"/>
  <drawing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143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63" t="s">
        <v>13</v>
      </c>
    </row>
    <row r="3" spans="1:26" x14ac:dyDescent="0.25">
      <c r="D3" s="63" t="s">
        <v>296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61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63" t="str">
        <f>CONCATENATE("Period ",RIGHT(202011,2),", ",2020)</f>
        <v>Period 11, 2020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61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4">
        <v>43981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61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51"/>
      <c r="C6" s="51"/>
      <c r="D6" s="23" t="str">
        <f>CONCATENATE("Department ","311", " - ", "Textbooks")</f>
        <v>Department 311 - Textbooks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57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5" t="s">
        <v>294</v>
      </c>
      <c r="E9" s="15"/>
      <c r="F9" s="38"/>
      <c r="G9" s="15"/>
      <c r="H9" s="15"/>
      <c r="I9" s="15"/>
      <c r="J9" s="46"/>
      <c r="K9" s="15"/>
      <c r="L9" s="15"/>
      <c r="M9" s="15"/>
      <c r="N9" s="38"/>
      <c r="P9" s="15" t="s">
        <v>295</v>
      </c>
      <c r="Q9" s="15"/>
      <c r="R9" s="38"/>
      <c r="S9" s="15"/>
      <c r="T9" s="15"/>
      <c r="U9" s="15"/>
      <c r="V9" s="46"/>
      <c r="W9" s="15"/>
      <c r="X9" s="15"/>
      <c r="Y9" s="15"/>
      <c r="Z9" s="38"/>
    </row>
    <row r="10" spans="1:26" x14ac:dyDescent="0.25">
      <c r="A10" s="10"/>
      <c r="B10" s="55"/>
      <c r="C10" s="10"/>
      <c r="D10" s="43" t="s">
        <v>10</v>
      </c>
      <c r="E10" s="33"/>
      <c r="F10" s="40" t="s">
        <v>15</v>
      </c>
      <c r="G10" s="33"/>
      <c r="H10" s="47" t="s">
        <v>11</v>
      </c>
      <c r="I10" s="33"/>
      <c r="J10" s="45" t="s">
        <v>16</v>
      </c>
      <c r="K10" s="10"/>
      <c r="L10" s="43" t="s">
        <v>12</v>
      </c>
      <c r="M10" s="10"/>
      <c r="N10" s="40" t="s">
        <v>17</v>
      </c>
      <c r="O10" s="10"/>
      <c r="P10" s="53" t="s">
        <v>10</v>
      </c>
      <c r="Q10" s="33"/>
      <c r="R10" s="40" t="s">
        <v>15</v>
      </c>
      <c r="S10" s="33"/>
      <c r="T10" s="47" t="s">
        <v>11</v>
      </c>
      <c r="U10" s="33"/>
      <c r="V10" s="45" t="s">
        <v>16</v>
      </c>
      <c r="W10" s="10"/>
      <c r="X10" s="43" t="s">
        <v>12</v>
      </c>
      <c r="Y10" s="10"/>
      <c r="Z10" s="40" t="s">
        <v>17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38394.049999999996</v>
      </c>
      <c r="E12" s="4"/>
      <c r="F12" s="13"/>
      <c r="G12" s="4"/>
      <c r="H12" s="4">
        <f>SUM(OSRRefH13x_0)</f>
        <v>38893</v>
      </c>
      <c r="I12" s="4"/>
      <c r="J12" s="13"/>
      <c r="K12" s="4"/>
      <c r="L12" s="4">
        <f t="shared" ref="L12:L42" si="0">+D12-H12</f>
        <v>-498.95000000000437</v>
      </c>
      <c r="M12" s="4"/>
      <c r="N12" s="13">
        <f t="shared" ref="N12:N42" si="1">IF(H12=0,0,L12/H12)</f>
        <v>-1.282878667112345E-2</v>
      </c>
      <c r="O12" s="10"/>
      <c r="P12" s="4">
        <f>SUM(OSRRefP13x_0)</f>
        <v>3331407.1599999992</v>
      </c>
      <c r="Q12" s="4"/>
      <c r="R12" s="13"/>
      <c r="S12" s="4"/>
      <c r="T12" s="4">
        <f>SUM(OSRRefT13x_0)</f>
        <v>3387958</v>
      </c>
      <c r="U12" s="4"/>
      <c r="V12" s="13"/>
      <c r="W12" s="4"/>
      <c r="X12" s="4">
        <f t="shared" ref="X12:X42" si="2">+P12-T12</f>
        <v>-56550.840000000782</v>
      </c>
      <c r="Y12" s="4"/>
      <c r="Z12" s="13">
        <f t="shared" ref="Z12:Z42" si="3">IF(T12=0,0,X12/T12)</f>
        <v>-1.6691718138182581E-2</v>
      </c>
    </row>
    <row r="13" spans="1:26" s="24" customFormat="1" hidden="1" outlineLevel="1" x14ac:dyDescent="0.25">
      <c r="A13" s="44"/>
      <c r="B13" s="11" t="str">
        <f>CONCATENATE("          ", "4001", " - ", "TAXABLE SALES-NEW TEXT")</f>
        <v xml:space="preserve">          4001 - TAXABLE SALES-NEW TEXT</v>
      </c>
      <c r="C13" s="11"/>
      <c r="D13" s="2">
        <f>--24452.17</f>
        <v>24452.17</v>
      </c>
      <c r="E13" s="2"/>
      <c r="F13" s="19"/>
      <c r="G13" s="2"/>
      <c r="H13" s="2"/>
      <c r="I13" s="2"/>
      <c r="J13" s="19"/>
      <c r="K13" s="2"/>
      <c r="L13" s="2">
        <f t="shared" si="0"/>
        <v>24452.17</v>
      </c>
      <c r="M13" s="2"/>
      <c r="N13" s="19">
        <f t="shared" si="1"/>
        <v>0</v>
      </c>
      <c r="O13" s="11"/>
      <c r="P13" s="2">
        <f>--2014029.79</f>
        <v>2014029.79</v>
      </c>
      <c r="Q13" s="2"/>
      <c r="R13" s="19"/>
      <c r="S13" s="2"/>
      <c r="T13" s="2"/>
      <c r="U13" s="2"/>
      <c r="V13" s="19"/>
      <c r="W13" s="2"/>
      <c r="X13" s="2">
        <f t="shared" si="2"/>
        <v>2014029.79</v>
      </c>
      <c r="Y13" s="2"/>
      <c r="Z13" s="19">
        <f t="shared" si="3"/>
        <v>0</v>
      </c>
    </row>
    <row r="14" spans="1:26" s="24" customFormat="1" hidden="1" outlineLevel="1" x14ac:dyDescent="0.25">
      <c r="A14" s="44"/>
      <c r="B14" s="11" t="str">
        <f>CONCATENATE("          ", "4002", " - ", "TAXABLE SALES-USED TEXT")</f>
        <v xml:space="preserve">          4002 - TAXABLE SALES-USED TEXT</v>
      </c>
      <c r="C14" s="11"/>
      <c r="D14" s="2">
        <f>--7309.6</f>
        <v>7309.6</v>
      </c>
      <c r="E14" s="2"/>
      <c r="F14" s="19"/>
      <c r="G14" s="2"/>
      <c r="H14" s="2"/>
      <c r="I14" s="2"/>
      <c r="J14" s="19"/>
      <c r="K14" s="2"/>
      <c r="L14" s="2">
        <f t="shared" si="0"/>
        <v>7309.6</v>
      </c>
      <c r="M14" s="2"/>
      <c r="N14" s="19">
        <f t="shared" si="1"/>
        <v>0</v>
      </c>
      <c r="O14" s="11"/>
      <c r="P14" s="2">
        <f>--687263.85</f>
        <v>687263.85</v>
      </c>
      <c r="Q14" s="2"/>
      <c r="R14" s="19"/>
      <c r="S14" s="2"/>
      <c r="T14" s="2"/>
      <c r="U14" s="2"/>
      <c r="V14" s="19"/>
      <c r="W14" s="2"/>
      <c r="X14" s="2">
        <f t="shared" si="2"/>
        <v>687263.85</v>
      </c>
      <c r="Y14" s="2"/>
      <c r="Z14" s="19">
        <f t="shared" si="3"/>
        <v>0</v>
      </c>
    </row>
    <row r="15" spans="1:26" s="24" customFormat="1" hidden="1" outlineLevel="1" x14ac:dyDescent="0.25">
      <c r="A15" s="44"/>
      <c r="B15" s="11" t="str">
        <f>CONCATENATE("          ", "4003", " - ", "TAXABLE SALES-RENTAL TEXT")</f>
        <v xml:space="preserve">          4003 - TAXABLE SALES-RENTAL TEXT</v>
      </c>
      <c r="C15" s="11"/>
      <c r="D15" s="2">
        <f>--69.99</f>
        <v>69.989999999999995</v>
      </c>
      <c r="E15" s="2"/>
      <c r="F15" s="19"/>
      <c r="G15" s="2"/>
      <c r="H15" s="2"/>
      <c r="I15" s="2"/>
      <c r="J15" s="19"/>
      <c r="K15" s="2"/>
      <c r="L15" s="2">
        <f t="shared" si="0"/>
        <v>69.989999999999995</v>
      </c>
      <c r="M15" s="2"/>
      <c r="N15" s="19">
        <f t="shared" si="1"/>
        <v>0</v>
      </c>
      <c r="O15" s="11"/>
      <c r="P15" s="2">
        <f>--33764.88</f>
        <v>33764.879999999997</v>
      </c>
      <c r="Q15" s="2"/>
      <c r="R15" s="19"/>
      <c r="S15" s="2"/>
      <c r="T15" s="2"/>
      <c r="U15" s="2"/>
      <c r="V15" s="19"/>
      <c r="W15" s="2"/>
      <c r="X15" s="2">
        <f t="shared" si="2"/>
        <v>33764.879999999997</v>
      </c>
      <c r="Y15" s="2"/>
      <c r="Z15" s="19">
        <f t="shared" si="3"/>
        <v>0</v>
      </c>
    </row>
    <row r="16" spans="1:26" s="24" customFormat="1" hidden="1" outlineLevel="1" x14ac:dyDescent="0.25">
      <c r="A16" s="44"/>
      <c r="B16" s="11" t="str">
        <f>CONCATENATE("          ", "4004", " - ", "TAXABLE SALES-DIGITAL TEXT")</f>
        <v xml:space="preserve">          4004 - TAXABLE SALES-DIGITAL TEXT</v>
      </c>
      <c r="C16" s="11"/>
      <c r="D16" s="2">
        <f t="shared" ref="D16:D18" si="4">0</f>
        <v>0</v>
      </c>
      <c r="E16" s="2"/>
      <c r="F16" s="19"/>
      <c r="G16" s="2"/>
      <c r="H16" s="2"/>
      <c r="I16" s="2"/>
      <c r="J16" s="19"/>
      <c r="K16" s="2"/>
      <c r="L16" s="2">
        <f t="shared" si="0"/>
        <v>0</v>
      </c>
      <c r="M16" s="2"/>
      <c r="N16" s="19">
        <f t="shared" si="1"/>
        <v>0</v>
      </c>
      <c r="O16" s="11"/>
      <c r="P16" s="2">
        <f>--42195.3</f>
        <v>42195.3</v>
      </c>
      <c r="Q16" s="2"/>
      <c r="R16" s="19"/>
      <c r="S16" s="2"/>
      <c r="T16" s="2"/>
      <c r="U16" s="2"/>
      <c r="V16" s="19"/>
      <c r="W16" s="2"/>
      <c r="X16" s="2">
        <f t="shared" si="2"/>
        <v>42195.3</v>
      </c>
      <c r="Y16" s="2"/>
      <c r="Z16" s="19">
        <f t="shared" si="3"/>
        <v>0</v>
      </c>
    </row>
    <row r="17" spans="1:26" s="24" customFormat="1" hidden="1" outlineLevel="1" x14ac:dyDescent="0.25">
      <c r="A17" s="44"/>
      <c r="B17" s="11" t="str">
        <f>CONCATENATE("          ", "4011", " - ", "TAXABLE SALES-NO VALUE TEXT")</f>
        <v xml:space="preserve">          4011 - TAXABLE SALES-NO VALUE TEXT</v>
      </c>
      <c r="C17" s="11"/>
      <c r="D17" s="2">
        <f t="shared" si="4"/>
        <v>0</v>
      </c>
      <c r="E17" s="2"/>
      <c r="F17" s="19"/>
      <c r="G17" s="2"/>
      <c r="H17" s="2"/>
      <c r="I17" s="2"/>
      <c r="J17" s="19"/>
      <c r="K17" s="2"/>
      <c r="L17" s="2">
        <f t="shared" si="0"/>
        <v>0</v>
      </c>
      <c r="M17" s="2"/>
      <c r="N17" s="19">
        <f t="shared" si="1"/>
        <v>0</v>
      </c>
      <c r="O17" s="11"/>
      <c r="P17" s="2">
        <f>--1052.48</f>
        <v>1052.48</v>
      </c>
      <c r="Q17" s="2"/>
      <c r="R17" s="19"/>
      <c r="S17" s="2"/>
      <c r="T17" s="2"/>
      <c r="U17" s="2"/>
      <c r="V17" s="19"/>
      <c r="W17" s="2"/>
      <c r="X17" s="2">
        <f t="shared" si="2"/>
        <v>1052.48</v>
      </c>
      <c r="Y17" s="2"/>
      <c r="Z17" s="19">
        <f t="shared" si="3"/>
        <v>0</v>
      </c>
    </row>
    <row r="18" spans="1:26" s="24" customFormat="1" hidden="1" outlineLevel="1" x14ac:dyDescent="0.25">
      <c r="A18" s="44"/>
      <c r="B18" s="11" t="str">
        <f>CONCATENATE("          ", "4013", " - ", "TAXABLE SALES-TRADE BOOKS")</f>
        <v xml:space="preserve">          4013 - TAXABLE SALES-TRADE BOOKS</v>
      </c>
      <c r="C18" s="11"/>
      <c r="D18" s="2">
        <f t="shared" si="4"/>
        <v>0</v>
      </c>
      <c r="E18" s="2"/>
      <c r="F18" s="19"/>
      <c r="G18" s="2"/>
      <c r="H18" s="2"/>
      <c r="I18" s="2"/>
      <c r="J18" s="19"/>
      <c r="K18" s="2"/>
      <c r="L18" s="2">
        <f t="shared" si="0"/>
        <v>0</v>
      </c>
      <c r="M18" s="2"/>
      <c r="N18" s="19">
        <f t="shared" si="1"/>
        <v>0</v>
      </c>
      <c r="O18" s="11"/>
      <c r="P18" s="2">
        <f>--2713.36</f>
        <v>2713.36</v>
      </c>
      <c r="Q18" s="2"/>
      <c r="R18" s="19"/>
      <c r="S18" s="2"/>
      <c r="T18" s="2"/>
      <c r="U18" s="2"/>
      <c r="V18" s="19"/>
      <c r="W18" s="2"/>
      <c r="X18" s="2">
        <f t="shared" si="2"/>
        <v>2713.36</v>
      </c>
      <c r="Y18" s="2"/>
      <c r="Z18" s="19">
        <f t="shared" si="3"/>
        <v>0</v>
      </c>
    </row>
    <row r="19" spans="1:26" s="24" customFormat="1" hidden="1" outlineLevel="1" x14ac:dyDescent="0.25">
      <c r="A19" s="44"/>
      <c r="B19" s="11" t="str">
        <f>CONCATENATE("          ", "4014", " - ", "TAXABLE SALES-REMAINDERS")</f>
        <v xml:space="preserve">          4014 - TAXABLE SALES-REMAINDERS</v>
      </c>
      <c r="C19" s="11"/>
      <c r="D19" s="2">
        <f>--0.8</f>
        <v>0.8</v>
      </c>
      <c r="E19" s="2"/>
      <c r="F19" s="19"/>
      <c r="G19" s="2"/>
      <c r="H19" s="2"/>
      <c r="I19" s="2"/>
      <c r="J19" s="19"/>
      <c r="K19" s="2"/>
      <c r="L19" s="2">
        <f t="shared" si="0"/>
        <v>0.8</v>
      </c>
      <c r="M19" s="2"/>
      <c r="N19" s="19">
        <f t="shared" si="1"/>
        <v>0</v>
      </c>
      <c r="O19" s="11"/>
      <c r="P19" s="2">
        <f>--1219.98</f>
        <v>1219.98</v>
      </c>
      <c r="Q19" s="2"/>
      <c r="R19" s="19"/>
      <c r="S19" s="2"/>
      <c r="T19" s="2"/>
      <c r="U19" s="2"/>
      <c r="V19" s="19"/>
      <c r="W19" s="2"/>
      <c r="X19" s="2">
        <f t="shared" si="2"/>
        <v>1219.98</v>
      </c>
      <c r="Y19" s="2"/>
      <c r="Z19" s="19">
        <f t="shared" si="3"/>
        <v>0</v>
      </c>
    </row>
    <row r="20" spans="1:26" s="24" customFormat="1" hidden="1" outlineLevel="1" x14ac:dyDescent="0.25">
      <c r="A20" s="44"/>
      <c r="B20" s="11" t="str">
        <f>CONCATENATE("          ", "4018", " - ", "TAXABLE SALES-STUDY GUIDES")</f>
        <v xml:space="preserve">          4018 - TAXABLE SALES-STUDY GUIDES</v>
      </c>
      <c r="C20" s="11"/>
      <c r="D20" s="2">
        <f>--24.99</f>
        <v>24.99</v>
      </c>
      <c r="E20" s="2"/>
      <c r="F20" s="19"/>
      <c r="G20" s="2"/>
      <c r="H20" s="2"/>
      <c r="I20" s="2"/>
      <c r="J20" s="19"/>
      <c r="K20" s="2"/>
      <c r="L20" s="2">
        <f t="shared" si="0"/>
        <v>24.99</v>
      </c>
      <c r="M20" s="2"/>
      <c r="N20" s="19">
        <f t="shared" si="1"/>
        <v>0</v>
      </c>
      <c r="O20" s="11"/>
      <c r="P20" s="2">
        <f>--4179.3</f>
        <v>4179.3</v>
      </c>
      <c r="Q20" s="2"/>
      <c r="R20" s="19"/>
      <c r="S20" s="2"/>
      <c r="T20" s="2"/>
      <c r="U20" s="2"/>
      <c r="V20" s="19"/>
      <c r="W20" s="2"/>
      <c r="X20" s="2">
        <f t="shared" si="2"/>
        <v>4179.3</v>
      </c>
      <c r="Y20" s="2"/>
      <c r="Z20" s="19">
        <f t="shared" si="3"/>
        <v>0</v>
      </c>
    </row>
    <row r="21" spans="1:26" s="24" customFormat="1" hidden="1" outlineLevel="1" x14ac:dyDescent="0.25">
      <c r="A21" s="44"/>
      <c r="B21" s="11" t="str">
        <f>CONCATENATE("          ", "4100", " - ", "NON-TAXABLE SALES")</f>
        <v xml:space="preserve">          4100 - NON-TAXABLE SALES</v>
      </c>
      <c r="C21" s="11"/>
      <c r="D21" s="2">
        <f>0</f>
        <v>0</v>
      </c>
      <c r="E21" s="2"/>
      <c r="F21" s="19"/>
      <c r="G21" s="2"/>
      <c r="H21" s="2">
        <v>38893</v>
      </c>
      <c r="I21" s="2"/>
      <c r="J21" s="19"/>
      <c r="K21" s="2"/>
      <c r="L21" s="2">
        <f t="shared" si="0"/>
        <v>-38893</v>
      </c>
      <c r="M21" s="2"/>
      <c r="N21" s="19">
        <f t="shared" si="1"/>
        <v>-1</v>
      </c>
      <c r="O21" s="11"/>
      <c r="P21" s="2">
        <f>0</f>
        <v>0</v>
      </c>
      <c r="Q21" s="2"/>
      <c r="R21" s="19"/>
      <c r="S21" s="2"/>
      <c r="T21" s="2">
        <v>3387958</v>
      </c>
      <c r="U21" s="2"/>
      <c r="V21" s="19"/>
      <c r="W21" s="2"/>
      <c r="X21" s="2">
        <f t="shared" si="2"/>
        <v>-3387958</v>
      </c>
      <c r="Y21" s="2"/>
      <c r="Z21" s="19">
        <f t="shared" si="3"/>
        <v>-1</v>
      </c>
    </row>
    <row r="22" spans="1:26" s="24" customFormat="1" hidden="1" outlineLevel="1" x14ac:dyDescent="0.25">
      <c r="A22" s="44"/>
      <c r="B22" s="11" t="str">
        <f>CONCATENATE("          ", "4101", " - ", "NON-TAXABLE SALES-NEW TEXT")</f>
        <v xml:space="preserve">          4101 - NON-TAXABLE SALES-NEW TEXT</v>
      </c>
      <c r="C22" s="11"/>
      <c r="D22" s="2">
        <f>--7118.9</f>
        <v>7118.9</v>
      </c>
      <c r="E22" s="2"/>
      <c r="F22" s="19"/>
      <c r="G22" s="2"/>
      <c r="H22" s="2"/>
      <c r="I22" s="2"/>
      <c r="J22" s="19"/>
      <c r="K22" s="2"/>
      <c r="L22" s="2">
        <f t="shared" si="0"/>
        <v>7118.9</v>
      </c>
      <c r="M22" s="2"/>
      <c r="N22" s="19">
        <f t="shared" si="1"/>
        <v>0</v>
      </c>
      <c r="O22" s="11"/>
      <c r="P22" s="2">
        <f>--151282.34</f>
        <v>151282.34</v>
      </c>
      <c r="Q22" s="2"/>
      <c r="R22" s="19"/>
      <c r="S22" s="2"/>
      <c r="T22" s="2"/>
      <c r="U22" s="2"/>
      <c r="V22" s="19"/>
      <c r="W22" s="2"/>
      <c r="X22" s="2">
        <f t="shared" si="2"/>
        <v>151282.34</v>
      </c>
      <c r="Y22" s="2"/>
      <c r="Z22" s="19">
        <f t="shared" si="3"/>
        <v>0</v>
      </c>
    </row>
    <row r="23" spans="1:26" s="24" customFormat="1" hidden="1" outlineLevel="1" x14ac:dyDescent="0.25">
      <c r="A23" s="44"/>
      <c r="B23" s="11" t="str">
        <f>CONCATENATE("          ", "4102", " - ", "NON-TAXABLE SALES-USED TEXT")</f>
        <v xml:space="preserve">          4102 - NON-TAXABLE SALES-USED TEXT</v>
      </c>
      <c r="C23" s="11"/>
      <c r="D23" s="2">
        <f>--565.56</f>
        <v>565.55999999999995</v>
      </c>
      <c r="E23" s="2"/>
      <c r="F23" s="19"/>
      <c r="G23" s="2"/>
      <c r="H23" s="2"/>
      <c r="I23" s="2"/>
      <c r="J23" s="19"/>
      <c r="K23" s="2"/>
      <c r="L23" s="2">
        <f t="shared" si="0"/>
        <v>565.55999999999995</v>
      </c>
      <c r="M23" s="2"/>
      <c r="N23" s="19">
        <f t="shared" si="1"/>
        <v>0</v>
      </c>
      <c r="O23" s="11"/>
      <c r="P23" s="2">
        <f>--70225.46</f>
        <v>70225.460000000006</v>
      </c>
      <c r="Q23" s="2"/>
      <c r="R23" s="19"/>
      <c r="S23" s="2"/>
      <c r="T23" s="2"/>
      <c r="U23" s="2"/>
      <c r="V23" s="19"/>
      <c r="W23" s="2"/>
      <c r="X23" s="2">
        <f t="shared" si="2"/>
        <v>70225.460000000006</v>
      </c>
      <c r="Y23" s="2"/>
      <c r="Z23" s="19">
        <f t="shared" si="3"/>
        <v>0</v>
      </c>
    </row>
    <row r="24" spans="1:26" s="24" customFormat="1" hidden="1" outlineLevel="1" x14ac:dyDescent="0.25">
      <c r="A24" s="44"/>
      <c r="B24" s="11" t="str">
        <f>CONCATENATE("          ", "4103", " - ", "NON-TAXABLE SALES-RENTAL TEXT")</f>
        <v xml:space="preserve">          4103 - NON-TAXABLE SALES-RENTAL TEXT</v>
      </c>
      <c r="C24" s="11"/>
      <c r="D24" s="2">
        <f>0</f>
        <v>0</v>
      </c>
      <c r="E24" s="2"/>
      <c r="F24" s="19"/>
      <c r="G24" s="2"/>
      <c r="H24" s="2"/>
      <c r="I24" s="2"/>
      <c r="J24" s="19"/>
      <c r="K24" s="2"/>
      <c r="L24" s="2">
        <f t="shared" si="0"/>
        <v>0</v>
      </c>
      <c r="M24" s="2"/>
      <c r="N24" s="19">
        <f t="shared" si="1"/>
        <v>0</v>
      </c>
      <c r="O24" s="11"/>
      <c r="P24" s="2">
        <f>--664.97</f>
        <v>664.97</v>
      </c>
      <c r="Q24" s="2"/>
      <c r="R24" s="19"/>
      <c r="S24" s="2"/>
      <c r="T24" s="2"/>
      <c r="U24" s="2"/>
      <c r="V24" s="19"/>
      <c r="W24" s="2"/>
      <c r="X24" s="2">
        <f t="shared" si="2"/>
        <v>664.97</v>
      </c>
      <c r="Y24" s="2"/>
      <c r="Z24" s="19">
        <f t="shared" si="3"/>
        <v>0</v>
      </c>
    </row>
    <row r="25" spans="1:26" s="24" customFormat="1" hidden="1" outlineLevel="1" x14ac:dyDescent="0.25">
      <c r="A25" s="44"/>
      <c r="B25" s="11" t="str">
        <f>CONCATENATE("          ", "4104", " - ", "NON-TAXABLE SALES-DIGITAL TEXT")</f>
        <v xml:space="preserve">          4104 - NON-TAXABLE SALES-DIGITAL TEXT</v>
      </c>
      <c r="C25" s="11"/>
      <c r="D25" s="2">
        <f>--4949.29</f>
        <v>4949.29</v>
      </c>
      <c r="E25" s="2"/>
      <c r="F25" s="19"/>
      <c r="G25" s="2"/>
      <c r="H25" s="2"/>
      <c r="I25" s="2"/>
      <c r="J25" s="19"/>
      <c r="K25" s="2"/>
      <c r="L25" s="2">
        <f t="shared" si="0"/>
        <v>4949.29</v>
      </c>
      <c r="M25" s="2"/>
      <c r="N25" s="19">
        <f t="shared" si="1"/>
        <v>0</v>
      </c>
      <c r="O25" s="11"/>
      <c r="P25" s="2">
        <f>--531803.38</f>
        <v>531803.38</v>
      </c>
      <c r="Q25" s="2"/>
      <c r="R25" s="19"/>
      <c r="S25" s="2"/>
      <c r="T25" s="2"/>
      <c r="U25" s="2"/>
      <c r="V25" s="19"/>
      <c r="W25" s="2"/>
      <c r="X25" s="2">
        <f t="shared" si="2"/>
        <v>531803.38</v>
      </c>
      <c r="Y25" s="2"/>
      <c r="Z25" s="19">
        <f t="shared" si="3"/>
        <v>0</v>
      </c>
    </row>
    <row r="26" spans="1:26" s="24" customFormat="1" hidden="1" outlineLevel="1" x14ac:dyDescent="0.25">
      <c r="A26" s="44"/>
      <c r="B26" s="11" t="str">
        <f>CONCATENATE("          ", "4111", " - ", "NON-TAXABLE SALES-NO VALUE TEX")</f>
        <v xml:space="preserve">          4111 - NON-TAXABLE SALES-NO VALUE TEX</v>
      </c>
      <c r="C26" s="11"/>
      <c r="D26" s="2">
        <f>--340.46</f>
        <v>340.46</v>
      </c>
      <c r="E26" s="2"/>
      <c r="F26" s="19"/>
      <c r="G26" s="2"/>
      <c r="H26" s="2"/>
      <c r="I26" s="2"/>
      <c r="J26" s="19"/>
      <c r="K26" s="2"/>
      <c r="L26" s="2">
        <f t="shared" si="0"/>
        <v>340.46</v>
      </c>
      <c r="M26" s="2"/>
      <c r="N26" s="19">
        <f t="shared" si="1"/>
        <v>0</v>
      </c>
      <c r="O26" s="11"/>
      <c r="P26" s="2">
        <f>--15663.46</f>
        <v>15663.46</v>
      </c>
      <c r="Q26" s="2"/>
      <c r="R26" s="19"/>
      <c r="S26" s="2"/>
      <c r="T26" s="2"/>
      <c r="U26" s="2"/>
      <c r="V26" s="19"/>
      <c r="W26" s="2"/>
      <c r="X26" s="2">
        <f t="shared" si="2"/>
        <v>15663.46</v>
      </c>
      <c r="Y26" s="2"/>
      <c r="Z26" s="19">
        <f t="shared" si="3"/>
        <v>0</v>
      </c>
    </row>
    <row r="27" spans="1:26" s="24" customFormat="1" hidden="1" outlineLevel="1" x14ac:dyDescent="0.25">
      <c r="A27" s="44"/>
      <c r="B27" s="11" t="str">
        <f>CONCATENATE("          ", "4113", " - ", "NON-TAXABLE SALES-TRADE BOOKS")</f>
        <v xml:space="preserve">          4113 - NON-TAXABLE SALES-TRADE BOOKS</v>
      </c>
      <c r="C27" s="11"/>
      <c r="D27" s="2">
        <f>--24.24</f>
        <v>24.24</v>
      </c>
      <c r="E27" s="2"/>
      <c r="F27" s="19"/>
      <c r="G27" s="2"/>
      <c r="H27" s="2"/>
      <c r="I27" s="2"/>
      <c r="J27" s="19"/>
      <c r="K27" s="2"/>
      <c r="L27" s="2">
        <f t="shared" si="0"/>
        <v>24.24</v>
      </c>
      <c r="M27" s="2"/>
      <c r="N27" s="19">
        <f t="shared" si="1"/>
        <v>0</v>
      </c>
      <c r="O27" s="11"/>
      <c r="P27" s="2">
        <f>--8266.16</f>
        <v>8266.16</v>
      </c>
      <c r="Q27" s="2"/>
      <c r="R27" s="19"/>
      <c r="S27" s="2"/>
      <c r="T27" s="2"/>
      <c r="U27" s="2"/>
      <c r="V27" s="19"/>
      <c r="W27" s="2"/>
      <c r="X27" s="2">
        <f t="shared" si="2"/>
        <v>8266.16</v>
      </c>
      <c r="Y27" s="2"/>
      <c r="Z27" s="19">
        <f t="shared" si="3"/>
        <v>0</v>
      </c>
    </row>
    <row r="28" spans="1:26" s="24" customFormat="1" hidden="1" outlineLevel="1" x14ac:dyDescent="0.25">
      <c r="A28" s="44"/>
      <c r="B28" s="11" t="str">
        <f>CONCATENATE("          ", "4114", " - ", "NON-TAXABLE SALES-REMAINDERS")</f>
        <v xml:space="preserve">          4114 - NON-TAXABLE SALES-REMAINDERS</v>
      </c>
      <c r="C28" s="11"/>
      <c r="D28" s="2">
        <f>--3.19</f>
        <v>3.19</v>
      </c>
      <c r="E28" s="2"/>
      <c r="F28" s="19"/>
      <c r="G28" s="2"/>
      <c r="H28" s="2"/>
      <c r="I28" s="2"/>
      <c r="J28" s="19"/>
      <c r="K28" s="2"/>
      <c r="L28" s="2">
        <f t="shared" si="0"/>
        <v>3.19</v>
      </c>
      <c r="M28" s="2"/>
      <c r="N28" s="19">
        <f t="shared" si="1"/>
        <v>0</v>
      </c>
      <c r="O28" s="11"/>
      <c r="P28" s="2">
        <f>--3.19</f>
        <v>3.19</v>
      </c>
      <c r="Q28" s="2"/>
      <c r="R28" s="19"/>
      <c r="S28" s="2"/>
      <c r="T28" s="2"/>
      <c r="U28" s="2"/>
      <c r="V28" s="19"/>
      <c r="W28" s="2"/>
      <c r="X28" s="2">
        <f t="shared" si="2"/>
        <v>3.19</v>
      </c>
      <c r="Y28" s="2"/>
      <c r="Z28" s="19">
        <f t="shared" si="3"/>
        <v>0</v>
      </c>
    </row>
    <row r="29" spans="1:26" s="24" customFormat="1" hidden="1" outlineLevel="1" x14ac:dyDescent="0.25">
      <c r="A29" s="44"/>
      <c r="B29" s="11" t="str">
        <f>CONCATENATE("          ", "4118", " - ", "NON-TAXABLE SALES-STUDY GUIDES")</f>
        <v xml:space="preserve">          4118 - NON-TAXABLE SALES-STUDY GUIDES</v>
      </c>
      <c r="C29" s="11"/>
      <c r="D29" s="2">
        <f>--40</f>
        <v>40</v>
      </c>
      <c r="E29" s="2"/>
      <c r="F29" s="19"/>
      <c r="G29" s="2"/>
      <c r="H29" s="2"/>
      <c r="I29" s="2"/>
      <c r="J29" s="19"/>
      <c r="K29" s="2"/>
      <c r="L29" s="2">
        <f t="shared" si="0"/>
        <v>40</v>
      </c>
      <c r="M29" s="2"/>
      <c r="N29" s="19">
        <f t="shared" si="1"/>
        <v>0</v>
      </c>
      <c r="O29" s="11"/>
      <c r="P29" s="2">
        <f>--115.94</f>
        <v>115.94</v>
      </c>
      <c r="Q29" s="2"/>
      <c r="R29" s="19"/>
      <c r="S29" s="2"/>
      <c r="T29" s="2"/>
      <c r="U29" s="2"/>
      <c r="V29" s="19"/>
      <c r="W29" s="2"/>
      <c r="X29" s="2">
        <f t="shared" si="2"/>
        <v>115.94</v>
      </c>
      <c r="Y29" s="2"/>
      <c r="Z29" s="19">
        <f t="shared" si="3"/>
        <v>0</v>
      </c>
    </row>
    <row r="30" spans="1:26" s="24" customFormat="1" hidden="1" outlineLevel="1" x14ac:dyDescent="0.25">
      <c r="A30" s="44"/>
      <c r="B30" s="11" t="str">
        <f>CONCATENATE("          ", "4201", " - ", "SALES RETURN TAXABLE-NEW TEXT")</f>
        <v xml:space="preserve">          4201 - SALES RETURN TAXABLE-NEW TEXT</v>
      </c>
      <c r="C30" s="11"/>
      <c r="D30" s="2">
        <f>-228.6</f>
        <v>-228.6</v>
      </c>
      <c r="E30" s="2"/>
      <c r="F30" s="19"/>
      <c r="G30" s="2"/>
      <c r="H30" s="2"/>
      <c r="I30" s="2"/>
      <c r="J30" s="19"/>
      <c r="K30" s="2"/>
      <c r="L30" s="2">
        <f t="shared" si="0"/>
        <v>-228.6</v>
      </c>
      <c r="M30" s="2"/>
      <c r="N30" s="19">
        <f t="shared" si="1"/>
        <v>0</v>
      </c>
      <c r="O30" s="11"/>
      <c r="P30" s="2">
        <f>-121451.61</f>
        <v>-121451.61</v>
      </c>
      <c r="Q30" s="2"/>
      <c r="R30" s="19"/>
      <c r="S30" s="2"/>
      <c r="T30" s="2"/>
      <c r="U30" s="2"/>
      <c r="V30" s="19"/>
      <c r="W30" s="2"/>
      <c r="X30" s="2">
        <f t="shared" si="2"/>
        <v>-121451.61</v>
      </c>
      <c r="Y30" s="2"/>
      <c r="Z30" s="19">
        <f t="shared" si="3"/>
        <v>0</v>
      </c>
    </row>
    <row r="31" spans="1:26" s="24" customFormat="1" hidden="1" outlineLevel="1" x14ac:dyDescent="0.25">
      <c r="A31" s="44"/>
      <c r="B31" s="11" t="str">
        <f>CONCATENATE("          ", "4202", " - ", "SALES RETURN TAXABLE-USED TEXT")</f>
        <v xml:space="preserve">          4202 - SALES RETURN TAXABLE-USED TEXT</v>
      </c>
      <c r="C31" s="11"/>
      <c r="D31" s="2">
        <f>-60.4</f>
        <v>-60.4</v>
      </c>
      <c r="E31" s="2"/>
      <c r="F31" s="19"/>
      <c r="G31" s="2"/>
      <c r="H31" s="2"/>
      <c r="I31" s="2"/>
      <c r="J31" s="19"/>
      <c r="K31" s="2"/>
      <c r="L31" s="2">
        <f t="shared" si="0"/>
        <v>-60.4</v>
      </c>
      <c r="M31" s="2"/>
      <c r="N31" s="19">
        <f t="shared" si="1"/>
        <v>0</v>
      </c>
      <c r="O31" s="11"/>
      <c r="P31" s="2">
        <f>-45613.11</f>
        <v>-45613.11</v>
      </c>
      <c r="Q31" s="2"/>
      <c r="R31" s="19"/>
      <c r="S31" s="2"/>
      <c r="T31" s="2"/>
      <c r="U31" s="2"/>
      <c r="V31" s="19"/>
      <c r="W31" s="2"/>
      <c r="X31" s="2">
        <f t="shared" si="2"/>
        <v>-45613.11</v>
      </c>
      <c r="Y31" s="2"/>
      <c r="Z31" s="19">
        <f t="shared" si="3"/>
        <v>0</v>
      </c>
    </row>
    <row r="32" spans="1:26" s="24" customFormat="1" hidden="1" outlineLevel="1" x14ac:dyDescent="0.25">
      <c r="A32" s="44"/>
      <c r="B32" s="11" t="str">
        <f>CONCATENATE("          ", "4203", " - ", "SALES RETURN TAXABLE-RENTAL TE")</f>
        <v xml:space="preserve">          4203 - SALES RETURN TAXABLE-RENTAL TE</v>
      </c>
      <c r="C32" s="11"/>
      <c r="D32" s="2">
        <f t="shared" ref="D32:D36" si="5">0</f>
        <v>0</v>
      </c>
      <c r="E32" s="2"/>
      <c r="F32" s="19"/>
      <c r="G32" s="2"/>
      <c r="H32" s="2"/>
      <c r="I32" s="2"/>
      <c r="J32" s="19"/>
      <c r="K32" s="2"/>
      <c r="L32" s="2">
        <f t="shared" si="0"/>
        <v>0</v>
      </c>
      <c r="M32" s="2"/>
      <c r="N32" s="19">
        <f t="shared" si="1"/>
        <v>0</v>
      </c>
      <c r="O32" s="11"/>
      <c r="P32" s="2">
        <f>-144.99</f>
        <v>-144.99</v>
      </c>
      <c r="Q32" s="2"/>
      <c r="R32" s="19"/>
      <c r="S32" s="2"/>
      <c r="T32" s="2"/>
      <c r="U32" s="2"/>
      <c r="V32" s="19"/>
      <c r="W32" s="2"/>
      <c r="X32" s="2">
        <f t="shared" si="2"/>
        <v>-144.99</v>
      </c>
      <c r="Y32" s="2"/>
      <c r="Z32" s="19">
        <f t="shared" si="3"/>
        <v>0</v>
      </c>
    </row>
    <row r="33" spans="1:26" s="24" customFormat="1" hidden="1" outlineLevel="1" x14ac:dyDescent="0.25">
      <c r="A33" s="44"/>
      <c r="B33" s="11" t="str">
        <f>CONCATENATE("          ", "4204", " - ", "SALES RETURN TAXABLE-DIGITAL T")</f>
        <v xml:space="preserve">          4204 - SALES RETURN TAXABLE-DIGITAL T</v>
      </c>
      <c r="C33" s="11"/>
      <c r="D33" s="2">
        <f t="shared" si="5"/>
        <v>0</v>
      </c>
      <c r="E33" s="2"/>
      <c r="F33" s="19"/>
      <c r="G33" s="2"/>
      <c r="H33" s="2"/>
      <c r="I33" s="2"/>
      <c r="J33" s="19"/>
      <c r="K33" s="2"/>
      <c r="L33" s="2">
        <f t="shared" si="0"/>
        <v>0</v>
      </c>
      <c r="M33" s="2"/>
      <c r="N33" s="19">
        <f t="shared" si="1"/>
        <v>0</v>
      </c>
      <c r="O33" s="11"/>
      <c r="P33" s="2">
        <f>-17255.33</f>
        <v>-17255.330000000002</v>
      </c>
      <c r="Q33" s="2"/>
      <c r="R33" s="19"/>
      <c r="S33" s="2"/>
      <c r="T33" s="2"/>
      <c r="U33" s="2"/>
      <c r="V33" s="19"/>
      <c r="W33" s="2"/>
      <c r="X33" s="2">
        <f t="shared" si="2"/>
        <v>-17255.330000000002</v>
      </c>
      <c r="Y33" s="2"/>
      <c r="Z33" s="19">
        <f t="shared" si="3"/>
        <v>0</v>
      </c>
    </row>
    <row r="34" spans="1:26" s="24" customFormat="1" hidden="1" outlineLevel="1" x14ac:dyDescent="0.25">
      <c r="A34" s="44"/>
      <c r="B34" s="11" t="str">
        <f>CONCATENATE("          ", "4213", " - ", "NON-TAXABLE SALES-TRADE BOOKS")</f>
        <v xml:space="preserve">          4213 - NON-TAXABLE SALES-TRADE BOOKS</v>
      </c>
      <c r="C34" s="11"/>
      <c r="D34" s="2">
        <f t="shared" si="5"/>
        <v>0</v>
      </c>
      <c r="E34" s="2"/>
      <c r="F34" s="19"/>
      <c r="G34" s="2"/>
      <c r="H34" s="2"/>
      <c r="I34" s="2"/>
      <c r="J34" s="19"/>
      <c r="K34" s="2"/>
      <c r="L34" s="2">
        <f t="shared" si="0"/>
        <v>0</v>
      </c>
      <c r="M34" s="2"/>
      <c r="N34" s="19">
        <f t="shared" si="1"/>
        <v>0</v>
      </c>
      <c r="O34" s="11"/>
      <c r="P34" s="2">
        <f>-2768.67</f>
        <v>-2768.67</v>
      </c>
      <c r="Q34" s="2"/>
      <c r="R34" s="19"/>
      <c r="S34" s="2"/>
      <c r="T34" s="2"/>
      <c r="U34" s="2"/>
      <c r="V34" s="19"/>
      <c r="W34" s="2"/>
      <c r="X34" s="2">
        <f t="shared" si="2"/>
        <v>-2768.67</v>
      </c>
      <c r="Y34" s="2"/>
      <c r="Z34" s="19">
        <f t="shared" si="3"/>
        <v>0</v>
      </c>
    </row>
    <row r="35" spans="1:26" s="24" customFormat="1" hidden="1" outlineLevel="1" x14ac:dyDescent="0.25">
      <c r="A35" s="44"/>
      <c r="B35" s="11" t="str">
        <f>CONCATENATE("          ", "4214", " - ", "SALES RETURN TAXABLE-REMAINDER")</f>
        <v xml:space="preserve">          4214 - SALES RETURN TAXABLE-REMAINDER</v>
      </c>
      <c r="C35" s="11"/>
      <c r="D35" s="2">
        <f t="shared" si="5"/>
        <v>0</v>
      </c>
      <c r="E35" s="2"/>
      <c r="F35" s="19"/>
      <c r="G35" s="2"/>
      <c r="H35" s="2"/>
      <c r="I35" s="2"/>
      <c r="J35" s="19"/>
      <c r="K35" s="2"/>
      <c r="L35" s="2">
        <f t="shared" si="0"/>
        <v>0</v>
      </c>
      <c r="M35" s="2"/>
      <c r="N35" s="19">
        <f t="shared" si="1"/>
        <v>0</v>
      </c>
      <c r="O35" s="11"/>
      <c r="P35" s="2">
        <f>-11.94</f>
        <v>-11.94</v>
      </c>
      <c r="Q35" s="2"/>
      <c r="R35" s="19"/>
      <c r="S35" s="2"/>
      <c r="T35" s="2"/>
      <c r="U35" s="2"/>
      <c r="V35" s="19"/>
      <c r="W35" s="2"/>
      <c r="X35" s="2">
        <f t="shared" si="2"/>
        <v>-11.94</v>
      </c>
      <c r="Y35" s="2"/>
      <c r="Z35" s="19">
        <f t="shared" si="3"/>
        <v>0</v>
      </c>
    </row>
    <row r="36" spans="1:26" s="24" customFormat="1" hidden="1" outlineLevel="1" x14ac:dyDescent="0.25">
      <c r="A36" s="44"/>
      <c r="B36" s="11" t="str">
        <f>CONCATENATE("          ", "4218", " - ", "SALES RETURN TAXABLE-STUDY GUI")</f>
        <v xml:space="preserve">          4218 - SALES RETURN TAXABLE-STUDY GUI</v>
      </c>
      <c r="C36" s="11"/>
      <c r="D36" s="2">
        <f t="shared" si="5"/>
        <v>0</v>
      </c>
      <c r="E36" s="2"/>
      <c r="F36" s="19"/>
      <c r="G36" s="2"/>
      <c r="H36" s="2"/>
      <c r="I36" s="2"/>
      <c r="J36" s="19"/>
      <c r="K36" s="2"/>
      <c r="L36" s="2">
        <f t="shared" si="0"/>
        <v>0</v>
      </c>
      <c r="M36" s="2"/>
      <c r="N36" s="19">
        <f t="shared" si="1"/>
        <v>0</v>
      </c>
      <c r="O36" s="11"/>
      <c r="P36" s="2">
        <f>-39.25</f>
        <v>-39.25</v>
      </c>
      <c r="Q36" s="2"/>
      <c r="R36" s="19"/>
      <c r="S36" s="2"/>
      <c r="T36" s="2"/>
      <c r="U36" s="2"/>
      <c r="V36" s="19"/>
      <c r="W36" s="2"/>
      <c r="X36" s="2">
        <f t="shared" si="2"/>
        <v>-39.25</v>
      </c>
      <c r="Y36" s="2"/>
      <c r="Z36" s="19">
        <f t="shared" si="3"/>
        <v>0</v>
      </c>
    </row>
    <row r="37" spans="1:26" s="24" customFormat="1" hidden="1" outlineLevel="1" x14ac:dyDescent="0.25">
      <c r="A37" s="44"/>
      <c r="B37" s="11" t="str">
        <f>CONCATENATE("          ", "4301", " - ", "SALES RETURN NON TAXABLE-NEW T")</f>
        <v xml:space="preserve">          4301 - SALES RETURN NON TAXABLE-NEW T</v>
      </c>
      <c r="C37" s="11"/>
      <c r="D37" s="2">
        <f>-5710.44</f>
        <v>-5710.44</v>
      </c>
      <c r="E37" s="2"/>
      <c r="F37" s="19"/>
      <c r="G37" s="2"/>
      <c r="H37" s="2"/>
      <c r="I37" s="2"/>
      <c r="J37" s="19"/>
      <c r="K37" s="2"/>
      <c r="L37" s="2">
        <f t="shared" si="0"/>
        <v>-5710.44</v>
      </c>
      <c r="M37" s="2"/>
      <c r="N37" s="19">
        <f t="shared" si="1"/>
        <v>0</v>
      </c>
      <c r="O37" s="11"/>
      <c r="P37" s="2">
        <f>-21289.87</f>
        <v>-21289.87</v>
      </c>
      <c r="Q37" s="2"/>
      <c r="R37" s="19"/>
      <c r="S37" s="2"/>
      <c r="T37" s="2"/>
      <c r="U37" s="2"/>
      <c r="V37" s="19"/>
      <c r="W37" s="2"/>
      <c r="X37" s="2">
        <f t="shared" si="2"/>
        <v>-21289.87</v>
      </c>
      <c r="Y37" s="2"/>
      <c r="Z37" s="19">
        <f t="shared" si="3"/>
        <v>0</v>
      </c>
    </row>
    <row r="38" spans="1:26" s="24" customFormat="1" hidden="1" outlineLevel="1" x14ac:dyDescent="0.25">
      <c r="A38" s="44"/>
      <c r="B38" s="11" t="str">
        <f>CONCATENATE("          ", "4302", " - ", "SALES RETURN NON TAXABLE-TEXT")</f>
        <v xml:space="preserve">          4302 - SALES RETURN NON TAXABLE-TEXT</v>
      </c>
      <c r="C38" s="11"/>
      <c r="D38" s="2">
        <f>-67.5</f>
        <v>-67.5</v>
      </c>
      <c r="E38" s="2"/>
      <c r="F38" s="19"/>
      <c r="G38" s="2"/>
      <c r="H38" s="2"/>
      <c r="I38" s="2"/>
      <c r="J38" s="19"/>
      <c r="K38" s="2"/>
      <c r="L38" s="2">
        <f t="shared" si="0"/>
        <v>-67.5</v>
      </c>
      <c r="M38" s="2"/>
      <c r="N38" s="19">
        <f t="shared" si="1"/>
        <v>0</v>
      </c>
      <c r="O38" s="11"/>
      <c r="P38" s="2">
        <f>-1379.87</f>
        <v>-1379.87</v>
      </c>
      <c r="Q38" s="2"/>
      <c r="R38" s="19"/>
      <c r="S38" s="2"/>
      <c r="T38" s="2"/>
      <c r="U38" s="2"/>
      <c r="V38" s="19"/>
      <c r="W38" s="2"/>
      <c r="X38" s="2">
        <f t="shared" si="2"/>
        <v>-1379.87</v>
      </c>
      <c r="Y38" s="2"/>
      <c r="Z38" s="19">
        <f t="shared" si="3"/>
        <v>0</v>
      </c>
    </row>
    <row r="39" spans="1:26" s="24" customFormat="1" hidden="1" outlineLevel="1" x14ac:dyDescent="0.25">
      <c r="A39" s="44"/>
      <c r="B39" s="11" t="str">
        <f>CONCATENATE("          ", "4303", " - ", "SALES RETURN NON-TAXABLE-RENTA")</f>
        <v xml:space="preserve">          4303 - SALES RETURN NON-TAXABLE-RENTA</v>
      </c>
      <c r="C39" s="11"/>
      <c r="D39" s="2">
        <f>0</f>
        <v>0</v>
      </c>
      <c r="E39" s="2"/>
      <c r="F39" s="19"/>
      <c r="G39" s="2"/>
      <c r="H39" s="2"/>
      <c r="I39" s="2"/>
      <c r="J39" s="19"/>
      <c r="K39" s="2"/>
      <c r="L39" s="2">
        <f t="shared" si="0"/>
        <v>0</v>
      </c>
      <c r="M39" s="2"/>
      <c r="N39" s="19">
        <f t="shared" si="1"/>
        <v>0</v>
      </c>
      <c r="O39" s="11"/>
      <c r="P39" s="2">
        <f>-184.99</f>
        <v>-184.99</v>
      </c>
      <c r="Q39" s="2"/>
      <c r="R39" s="19"/>
      <c r="S39" s="2"/>
      <c r="T39" s="2"/>
      <c r="U39" s="2"/>
      <c r="V39" s="19"/>
      <c r="W39" s="2"/>
      <c r="X39" s="2">
        <f t="shared" si="2"/>
        <v>-184.99</v>
      </c>
      <c r="Y39" s="2"/>
      <c r="Z39" s="19">
        <f t="shared" si="3"/>
        <v>0</v>
      </c>
    </row>
    <row r="40" spans="1:26" s="24" customFormat="1" hidden="1" outlineLevel="1" x14ac:dyDescent="0.25">
      <c r="A40" s="44"/>
      <c r="B40" s="11" t="str">
        <f>CONCATENATE("          ", "4304", " - ", "SALES RETURN NON TAXABLE-DIGIT")</f>
        <v xml:space="preserve">          4304 - SALES RETURN NON TAXABLE-DIGIT</v>
      </c>
      <c r="C40" s="11"/>
      <c r="D40" s="2">
        <f>-438.2</f>
        <v>-438.2</v>
      </c>
      <c r="E40" s="2"/>
      <c r="F40" s="19"/>
      <c r="G40" s="2"/>
      <c r="H40" s="2"/>
      <c r="I40" s="2"/>
      <c r="J40" s="19"/>
      <c r="K40" s="2"/>
      <c r="L40" s="2">
        <f t="shared" si="0"/>
        <v>-438.2</v>
      </c>
      <c r="M40" s="2"/>
      <c r="N40" s="19">
        <f t="shared" si="1"/>
        <v>0</v>
      </c>
      <c r="O40" s="11"/>
      <c r="P40" s="2">
        <f>-19474.33</f>
        <v>-19474.330000000002</v>
      </c>
      <c r="Q40" s="2"/>
      <c r="R40" s="19"/>
      <c r="S40" s="2"/>
      <c r="T40" s="2"/>
      <c r="U40" s="2"/>
      <c r="V40" s="19"/>
      <c r="W40" s="2"/>
      <c r="X40" s="2">
        <f t="shared" si="2"/>
        <v>-19474.330000000002</v>
      </c>
      <c r="Y40" s="2"/>
      <c r="Z40" s="19">
        <f t="shared" si="3"/>
        <v>0</v>
      </c>
    </row>
    <row r="41" spans="1:26" s="24" customFormat="1" hidden="1" outlineLevel="1" x14ac:dyDescent="0.25">
      <c r="A41" s="44"/>
      <c r="B41" s="11" t="str">
        <f>CONCATENATE("          ", "4311", " - ", "SALES RETURN NON TAXABLE-NO VA")</f>
        <v xml:space="preserve">          4311 - SALES RETURN NON TAXABLE-NO VA</v>
      </c>
      <c r="C41" s="11"/>
      <c r="D41" s="2">
        <f t="shared" ref="D41:D42" si="6">0</f>
        <v>0</v>
      </c>
      <c r="E41" s="2"/>
      <c r="F41" s="19"/>
      <c r="G41" s="2"/>
      <c r="H41" s="2"/>
      <c r="I41" s="2"/>
      <c r="J41" s="19"/>
      <c r="K41" s="2"/>
      <c r="L41" s="2">
        <f t="shared" si="0"/>
        <v>0</v>
      </c>
      <c r="M41" s="2"/>
      <c r="N41" s="19">
        <f t="shared" si="1"/>
        <v>0</v>
      </c>
      <c r="O41" s="11"/>
      <c r="P41" s="2">
        <f>-941.28</f>
        <v>-941.28</v>
      </c>
      <c r="Q41" s="2"/>
      <c r="R41" s="19"/>
      <c r="S41" s="2"/>
      <c r="T41" s="2"/>
      <c r="U41" s="2"/>
      <c r="V41" s="19"/>
      <c r="W41" s="2"/>
      <c r="X41" s="2">
        <f t="shared" si="2"/>
        <v>-941.28</v>
      </c>
      <c r="Y41" s="2"/>
      <c r="Z41" s="19">
        <f t="shared" si="3"/>
        <v>0</v>
      </c>
    </row>
    <row r="42" spans="1:26" s="24" customFormat="1" hidden="1" outlineLevel="1" x14ac:dyDescent="0.25">
      <c r="A42" s="44"/>
      <c r="B42" s="11" t="str">
        <f>CONCATENATE("          ", "4313", " - ", "SALES RETURN NON TAXABLE-TRADE")</f>
        <v xml:space="preserve">          4313 - SALES RETURN NON TAXABLE-TRADE</v>
      </c>
      <c r="C42" s="11"/>
      <c r="D42" s="2">
        <f t="shared" si="6"/>
        <v>0</v>
      </c>
      <c r="E42" s="2"/>
      <c r="F42" s="19"/>
      <c r="G42" s="2"/>
      <c r="H42" s="2"/>
      <c r="I42" s="2"/>
      <c r="J42" s="19"/>
      <c r="K42" s="2"/>
      <c r="L42" s="2">
        <f t="shared" si="0"/>
        <v>0</v>
      </c>
      <c r="M42" s="2"/>
      <c r="N42" s="19">
        <f t="shared" si="1"/>
        <v>0</v>
      </c>
      <c r="O42" s="11"/>
      <c r="P42" s="2">
        <f>-2481.44</f>
        <v>-2481.44</v>
      </c>
      <c r="Q42" s="2"/>
      <c r="R42" s="19"/>
      <c r="S42" s="2"/>
      <c r="T42" s="2"/>
      <c r="U42" s="2"/>
      <c r="V42" s="19"/>
      <c r="W42" s="2"/>
      <c r="X42" s="2">
        <f t="shared" si="2"/>
        <v>-2481.44</v>
      </c>
      <c r="Y42" s="2"/>
      <c r="Z42" s="19">
        <f t="shared" si="3"/>
        <v>0</v>
      </c>
    </row>
    <row r="43" spans="1:26" x14ac:dyDescent="0.25">
      <c r="A43" s="9"/>
      <c r="B43" s="10"/>
      <c r="C43" s="9"/>
      <c r="D43" s="3"/>
      <c r="E43" s="3"/>
      <c r="F43" s="8"/>
      <c r="G43" s="3"/>
      <c r="H43" s="3"/>
      <c r="I43" s="3"/>
      <c r="J43" s="8"/>
      <c r="K43" s="3"/>
      <c r="L43" s="3"/>
      <c r="M43" s="3"/>
      <c r="N43" s="8"/>
      <c r="P43" s="3"/>
      <c r="Q43" s="3"/>
      <c r="R43" s="8"/>
      <c r="S43" s="3"/>
      <c r="T43" s="3"/>
      <c r="U43" s="3"/>
      <c r="V43" s="8"/>
      <c r="W43" s="3"/>
      <c r="X43" s="3"/>
      <c r="Y43" s="3"/>
      <c r="Z43" s="8"/>
    </row>
    <row r="44" spans="1:26" s="23" customFormat="1" collapsed="1" x14ac:dyDescent="0.25">
      <c r="A44" s="10"/>
      <c r="B44" s="28" t="s">
        <v>8</v>
      </c>
      <c r="C44" s="10"/>
      <c r="D44" s="4">
        <f>SUM(OSRRefD16x_0)</f>
        <v>43311.700000000012</v>
      </c>
      <c r="E44" s="4"/>
      <c r="F44" s="13">
        <f t="shared" ref="F44:F61" si="7">IF(D$12=0,0,D44/D$12)</f>
        <v>1.1280836483778089</v>
      </c>
      <c r="G44" s="4"/>
      <c r="H44" s="4">
        <f>SUM(OSRRefH16x_0)</f>
        <v>28054</v>
      </c>
      <c r="I44" s="4"/>
      <c r="J44" s="13">
        <f t="shared" ref="J44:J61" si="8">IF(H$12=0,0,H44/H$12)</f>
        <v>0.72131231841205357</v>
      </c>
      <c r="K44" s="4"/>
      <c r="L44" s="4">
        <f t="shared" ref="L44:L61" si="9">+D44-H44</f>
        <v>15257.700000000012</v>
      </c>
      <c r="M44" s="4"/>
      <c r="N44" s="13">
        <f t="shared" ref="N44:N61" si="10">IF(H44=0,0,L44/H44)</f>
        <v>0.54386896699222964</v>
      </c>
      <c r="O44" s="10"/>
      <c r="P44" s="4">
        <f>SUM(OSRRefP16x_0)</f>
        <v>2360877.1200000006</v>
      </c>
      <c r="Q44" s="4"/>
      <c r="R44" s="13">
        <f t="shared" ref="R44:R61" si="11">IF(P$12=0,0,P44/P$12)</f>
        <v>0.70867264390462592</v>
      </c>
      <c r="S44" s="4"/>
      <c r="T44" s="4">
        <f>SUM(OSRRefT16x_0)</f>
        <v>2435962</v>
      </c>
      <c r="U44" s="4"/>
      <c r="V44" s="13">
        <f t="shared" ref="V44:V61" si="12">IF(T$12=0,0,T44/T$12)</f>
        <v>0.7190059617031852</v>
      </c>
      <c r="W44" s="4"/>
      <c r="X44" s="4">
        <f t="shared" ref="X44:X61" si="13">+P44-T44</f>
        <v>-75084.879999999423</v>
      </c>
      <c r="Y44" s="4"/>
      <c r="Z44" s="13">
        <f t="shared" ref="Z44:Z61" si="14">IF(T44=0,0,X44/T44)</f>
        <v>-3.082350217285796E-2</v>
      </c>
    </row>
    <row r="45" spans="1:26" s="24" customFormat="1" hidden="1" outlineLevel="1" x14ac:dyDescent="0.25">
      <c r="A45" s="44"/>
      <c r="B45" s="11" t="str">
        <f>CONCATENATE("          ", "5000", " - ", "PURCHASES @ COST")</f>
        <v xml:space="preserve">          5000 - PURCHASES @ COST</v>
      </c>
      <c r="C45" s="11"/>
      <c r="D45" s="2"/>
      <c r="E45" s="2"/>
      <c r="F45" s="19">
        <f t="shared" si="7"/>
        <v>0</v>
      </c>
      <c r="G45" s="2"/>
      <c r="H45" s="2">
        <v>28054</v>
      </c>
      <c r="I45" s="2"/>
      <c r="J45" s="19">
        <f t="shared" si="8"/>
        <v>0.72131231841205357</v>
      </c>
      <c r="K45" s="2"/>
      <c r="L45" s="2">
        <f t="shared" si="9"/>
        <v>-28054</v>
      </c>
      <c r="M45" s="2"/>
      <c r="N45" s="19">
        <f t="shared" si="10"/>
        <v>-1</v>
      </c>
      <c r="O45" s="11"/>
      <c r="P45" s="2"/>
      <c r="Q45" s="2"/>
      <c r="R45" s="19">
        <f t="shared" si="11"/>
        <v>0</v>
      </c>
      <c r="S45" s="2"/>
      <c r="T45" s="2">
        <v>2435962</v>
      </c>
      <c r="U45" s="2"/>
      <c r="V45" s="19">
        <f t="shared" si="12"/>
        <v>0.7190059617031852</v>
      </c>
      <c r="W45" s="2"/>
      <c r="X45" s="2">
        <f t="shared" si="13"/>
        <v>-2435962</v>
      </c>
      <c r="Y45" s="2"/>
      <c r="Z45" s="19">
        <f t="shared" si="14"/>
        <v>-1</v>
      </c>
    </row>
    <row r="46" spans="1:26" s="24" customFormat="1" hidden="1" outlineLevel="1" x14ac:dyDescent="0.25">
      <c r="A46" s="44"/>
      <c r="B46" s="11" t="str">
        <f>CONCATENATE("          ", "5001", " - ", "PURCHASES @ COST-NEW TEXT")</f>
        <v xml:space="preserve">          5001 - PURCHASES @ COST-NEW TEXT</v>
      </c>
      <c r="C46" s="11"/>
      <c r="D46" s="2">
        <v>69416.47</v>
      </c>
      <c r="E46" s="2"/>
      <c r="F46" s="19">
        <f t="shared" si="7"/>
        <v>1.8080007188613862</v>
      </c>
      <c r="G46" s="2"/>
      <c r="H46" s="2"/>
      <c r="I46" s="2"/>
      <c r="J46" s="19">
        <f t="shared" si="8"/>
        <v>0</v>
      </c>
      <c r="K46" s="2"/>
      <c r="L46" s="2">
        <f t="shared" si="9"/>
        <v>69416.47</v>
      </c>
      <c r="M46" s="2"/>
      <c r="N46" s="19">
        <f t="shared" si="10"/>
        <v>0</v>
      </c>
      <c r="O46" s="11"/>
      <c r="P46" s="2">
        <v>1153896.26</v>
      </c>
      <c r="Q46" s="2"/>
      <c r="R46" s="19">
        <f t="shared" si="11"/>
        <v>0.3463690280355885</v>
      </c>
      <c r="S46" s="2"/>
      <c r="T46" s="2"/>
      <c r="U46" s="2"/>
      <c r="V46" s="19">
        <f t="shared" si="12"/>
        <v>0</v>
      </c>
      <c r="W46" s="2"/>
      <c r="X46" s="2">
        <f t="shared" si="13"/>
        <v>1153896.26</v>
      </c>
      <c r="Y46" s="2"/>
      <c r="Z46" s="19">
        <f t="shared" si="14"/>
        <v>0</v>
      </c>
    </row>
    <row r="47" spans="1:26" s="24" customFormat="1" hidden="1" outlineLevel="1" x14ac:dyDescent="0.25">
      <c r="A47" s="44"/>
      <c r="B47" s="11" t="str">
        <f>CONCATENATE("          ", "5002", " - ", "PURCHASES @ COST-USED TEXT")</f>
        <v xml:space="preserve">          5002 - PURCHASES @ COST-USED TEXT</v>
      </c>
      <c r="C47" s="11"/>
      <c r="D47" s="2">
        <v>8828.2900000000009</v>
      </c>
      <c r="E47" s="2"/>
      <c r="F47" s="19">
        <f t="shared" si="7"/>
        <v>0.22993901398784453</v>
      </c>
      <c r="G47" s="2"/>
      <c r="H47" s="2"/>
      <c r="I47" s="2"/>
      <c r="J47" s="19">
        <f t="shared" si="8"/>
        <v>0</v>
      </c>
      <c r="K47" s="2"/>
      <c r="L47" s="2">
        <f t="shared" si="9"/>
        <v>8828.2900000000009</v>
      </c>
      <c r="M47" s="2"/>
      <c r="N47" s="19">
        <f t="shared" si="10"/>
        <v>0</v>
      </c>
      <c r="O47" s="11"/>
      <c r="P47" s="2">
        <v>-76795.039999999994</v>
      </c>
      <c r="Q47" s="2"/>
      <c r="R47" s="19">
        <f t="shared" si="11"/>
        <v>-2.3051832547541264E-2</v>
      </c>
      <c r="S47" s="2"/>
      <c r="T47" s="2"/>
      <c r="U47" s="2"/>
      <c r="V47" s="19">
        <f t="shared" si="12"/>
        <v>0</v>
      </c>
      <c r="W47" s="2"/>
      <c r="X47" s="2">
        <f t="shared" si="13"/>
        <v>-76795.039999999994</v>
      </c>
      <c r="Y47" s="2"/>
      <c r="Z47" s="19">
        <f t="shared" si="14"/>
        <v>0</v>
      </c>
    </row>
    <row r="48" spans="1:26" s="24" customFormat="1" hidden="1" outlineLevel="1" x14ac:dyDescent="0.25">
      <c r="A48" s="44"/>
      <c r="B48" s="11" t="str">
        <f>CONCATENATE("          ", "5003", " - ", "PURCHASES @ COST-RENTAL TEXT")</f>
        <v xml:space="preserve">          5003 - PURCHASES @ COST-RENTAL TEXT</v>
      </c>
      <c r="C48" s="11"/>
      <c r="D48" s="2"/>
      <c r="E48" s="2"/>
      <c r="F48" s="19">
        <f t="shared" si="7"/>
        <v>0</v>
      </c>
      <c r="G48" s="2"/>
      <c r="H48" s="2"/>
      <c r="I48" s="2"/>
      <c r="J48" s="19">
        <f t="shared" si="8"/>
        <v>0</v>
      </c>
      <c r="K48" s="2"/>
      <c r="L48" s="2">
        <f t="shared" si="9"/>
        <v>0</v>
      </c>
      <c r="M48" s="2"/>
      <c r="N48" s="19">
        <f t="shared" si="10"/>
        <v>0</v>
      </c>
      <c r="O48" s="11"/>
      <c r="P48" s="2">
        <v>-78.400000000000006</v>
      </c>
      <c r="Q48" s="2"/>
      <c r="R48" s="19">
        <f t="shared" si="11"/>
        <v>-2.3533598937213075E-5</v>
      </c>
      <c r="S48" s="2"/>
      <c r="T48" s="2"/>
      <c r="U48" s="2"/>
      <c r="V48" s="19">
        <f t="shared" si="12"/>
        <v>0</v>
      </c>
      <c r="W48" s="2"/>
      <c r="X48" s="2">
        <f t="shared" si="13"/>
        <v>-78.400000000000006</v>
      </c>
      <c r="Y48" s="2"/>
      <c r="Z48" s="19">
        <f t="shared" si="14"/>
        <v>0</v>
      </c>
    </row>
    <row r="49" spans="1:26" s="24" customFormat="1" hidden="1" outlineLevel="1" x14ac:dyDescent="0.25">
      <c r="A49" s="44"/>
      <c r="B49" s="11" t="str">
        <f>CONCATENATE("          ", "5004", " - ", "PURCHASES @ COST-DIGITAL TEXT")</f>
        <v xml:space="preserve">          5004 - PURCHASES @ COST-DIGITAL TEXT</v>
      </c>
      <c r="C49" s="11"/>
      <c r="D49" s="2">
        <v>-46518.259999999995</v>
      </c>
      <c r="E49" s="2"/>
      <c r="F49" s="19">
        <f t="shared" si="7"/>
        <v>-1.2116007558462836</v>
      </c>
      <c r="G49" s="2"/>
      <c r="H49" s="2"/>
      <c r="I49" s="2"/>
      <c r="J49" s="19">
        <f t="shared" si="8"/>
        <v>0</v>
      </c>
      <c r="K49" s="2"/>
      <c r="L49" s="2">
        <f t="shared" si="9"/>
        <v>-46518.259999999995</v>
      </c>
      <c r="M49" s="2"/>
      <c r="N49" s="19">
        <f t="shared" si="10"/>
        <v>0</v>
      </c>
      <c r="O49" s="11"/>
      <c r="P49" s="2">
        <v>446269.65</v>
      </c>
      <c r="Q49" s="2"/>
      <c r="R49" s="19">
        <f t="shared" si="11"/>
        <v>0.13395830307334758</v>
      </c>
      <c r="S49" s="2"/>
      <c r="T49" s="2"/>
      <c r="U49" s="2"/>
      <c r="V49" s="19">
        <f t="shared" si="12"/>
        <v>0</v>
      </c>
      <c r="W49" s="2"/>
      <c r="X49" s="2">
        <f t="shared" si="13"/>
        <v>446269.65</v>
      </c>
      <c r="Y49" s="2"/>
      <c r="Z49" s="19">
        <f t="shared" si="14"/>
        <v>0</v>
      </c>
    </row>
    <row r="50" spans="1:26" s="24" customFormat="1" hidden="1" outlineLevel="1" x14ac:dyDescent="0.25">
      <c r="A50" s="44"/>
      <c r="B50" s="11" t="str">
        <f>CONCATENATE("          ", "5011", " - ", "PURCHASES @ COST-NO VALUE TEXT")</f>
        <v xml:space="preserve">          5011 - PURCHASES @ COST-NO VALUE TEXT</v>
      </c>
      <c r="C50" s="11"/>
      <c r="D50" s="2"/>
      <c r="E50" s="2"/>
      <c r="F50" s="19">
        <f t="shared" si="7"/>
        <v>0</v>
      </c>
      <c r="G50" s="2"/>
      <c r="H50" s="2"/>
      <c r="I50" s="2"/>
      <c r="J50" s="19">
        <f t="shared" si="8"/>
        <v>0</v>
      </c>
      <c r="K50" s="2"/>
      <c r="L50" s="2">
        <f t="shared" si="9"/>
        <v>0</v>
      </c>
      <c r="M50" s="2"/>
      <c r="N50" s="19">
        <f t="shared" si="10"/>
        <v>0</v>
      </c>
      <c r="O50" s="11"/>
      <c r="P50" s="2">
        <v>6363</v>
      </c>
      <c r="Q50" s="2"/>
      <c r="R50" s="19">
        <f t="shared" si="11"/>
        <v>1.9100036994577395E-3</v>
      </c>
      <c r="S50" s="2"/>
      <c r="T50" s="2"/>
      <c r="U50" s="2"/>
      <c r="V50" s="19">
        <f t="shared" si="12"/>
        <v>0</v>
      </c>
      <c r="W50" s="2"/>
      <c r="X50" s="2">
        <f t="shared" si="13"/>
        <v>6363</v>
      </c>
      <c r="Y50" s="2"/>
      <c r="Z50" s="19">
        <f t="shared" si="14"/>
        <v>0</v>
      </c>
    </row>
    <row r="51" spans="1:26" s="24" customFormat="1" hidden="1" outlineLevel="1" x14ac:dyDescent="0.25">
      <c r="A51" s="44"/>
      <c r="B51" s="11" t="str">
        <f>CONCATENATE("          ", "5013", " - ", "PURCHASES @ COST-TRADE BOOKS")</f>
        <v xml:space="preserve">          5013 - PURCHASES @ COST-TRADE BOOKS</v>
      </c>
      <c r="C51" s="11"/>
      <c r="D51" s="2"/>
      <c r="E51" s="2"/>
      <c r="F51" s="19">
        <f t="shared" si="7"/>
        <v>0</v>
      </c>
      <c r="G51" s="2"/>
      <c r="H51" s="2"/>
      <c r="I51" s="2"/>
      <c r="J51" s="19">
        <f t="shared" si="8"/>
        <v>0</v>
      </c>
      <c r="K51" s="2"/>
      <c r="L51" s="2">
        <f t="shared" si="9"/>
        <v>0</v>
      </c>
      <c r="M51" s="2"/>
      <c r="N51" s="19">
        <f t="shared" si="10"/>
        <v>0</v>
      </c>
      <c r="O51" s="11"/>
      <c r="P51" s="2">
        <v>3197.85</v>
      </c>
      <c r="Q51" s="2"/>
      <c r="R51" s="19">
        <f t="shared" si="11"/>
        <v>9.5990968573171967E-4</v>
      </c>
      <c r="S51" s="2"/>
      <c r="T51" s="2"/>
      <c r="U51" s="2"/>
      <c r="V51" s="19">
        <f t="shared" si="12"/>
        <v>0</v>
      </c>
      <c r="W51" s="2"/>
      <c r="X51" s="2">
        <f t="shared" si="13"/>
        <v>3197.85</v>
      </c>
      <c r="Y51" s="2"/>
      <c r="Z51" s="19">
        <f t="shared" si="14"/>
        <v>0</v>
      </c>
    </row>
    <row r="52" spans="1:26" s="24" customFormat="1" hidden="1" outlineLevel="1" x14ac:dyDescent="0.25">
      <c r="A52" s="44"/>
      <c r="B52" s="11" t="str">
        <f>CONCATENATE("          ", "5014", " - ", "PURCHASES @ COST-REMAINDERS")</f>
        <v xml:space="preserve">          5014 - PURCHASES @ COST-REMAINDERS</v>
      </c>
      <c r="C52" s="11"/>
      <c r="D52" s="2"/>
      <c r="E52" s="2"/>
      <c r="F52" s="19">
        <f t="shared" si="7"/>
        <v>0</v>
      </c>
      <c r="G52" s="2"/>
      <c r="H52" s="2"/>
      <c r="I52" s="2"/>
      <c r="J52" s="19">
        <f t="shared" si="8"/>
        <v>0</v>
      </c>
      <c r="K52" s="2"/>
      <c r="L52" s="2">
        <f t="shared" si="9"/>
        <v>0</v>
      </c>
      <c r="M52" s="2"/>
      <c r="N52" s="19">
        <f t="shared" si="10"/>
        <v>0</v>
      </c>
      <c r="O52" s="11"/>
      <c r="P52" s="2">
        <v>600.61</v>
      </c>
      <c r="Q52" s="2"/>
      <c r="R52" s="19">
        <f t="shared" si="11"/>
        <v>1.8028717930713704E-4</v>
      </c>
      <c r="S52" s="2"/>
      <c r="T52" s="2"/>
      <c r="U52" s="2"/>
      <c r="V52" s="19">
        <f t="shared" si="12"/>
        <v>0</v>
      </c>
      <c r="W52" s="2"/>
      <c r="X52" s="2">
        <f t="shared" si="13"/>
        <v>600.61</v>
      </c>
      <c r="Y52" s="2"/>
      <c r="Z52" s="19">
        <f t="shared" si="14"/>
        <v>0</v>
      </c>
    </row>
    <row r="53" spans="1:26" s="24" customFormat="1" hidden="1" outlineLevel="1" x14ac:dyDescent="0.25">
      <c r="A53" s="44"/>
      <c r="B53" s="11" t="str">
        <f>CONCATENATE("          ", "5018", " - ", "PURCHASES @ COST-STUDY GUIDES")</f>
        <v xml:space="preserve">          5018 - PURCHASES @ COST-STUDY GUIDES</v>
      </c>
      <c r="C53" s="11"/>
      <c r="D53" s="2"/>
      <c r="E53" s="2"/>
      <c r="F53" s="19">
        <f t="shared" si="7"/>
        <v>0</v>
      </c>
      <c r="G53" s="2"/>
      <c r="H53" s="2"/>
      <c r="I53" s="2"/>
      <c r="J53" s="19">
        <f t="shared" si="8"/>
        <v>0</v>
      </c>
      <c r="K53" s="2"/>
      <c r="L53" s="2">
        <f t="shared" si="9"/>
        <v>0</v>
      </c>
      <c r="M53" s="2"/>
      <c r="N53" s="19">
        <f t="shared" si="10"/>
        <v>0</v>
      </c>
      <c r="O53" s="11"/>
      <c r="P53" s="2">
        <v>-205.14</v>
      </c>
      <c r="Q53" s="2"/>
      <c r="R53" s="19">
        <f t="shared" si="11"/>
        <v>-6.1577582729335323E-5</v>
      </c>
      <c r="S53" s="2"/>
      <c r="T53" s="2"/>
      <c r="U53" s="2"/>
      <c r="V53" s="19">
        <f t="shared" si="12"/>
        <v>0</v>
      </c>
      <c r="W53" s="2"/>
      <c r="X53" s="2">
        <f t="shared" si="13"/>
        <v>-205.14</v>
      </c>
      <c r="Y53" s="2"/>
      <c r="Z53" s="19">
        <f t="shared" si="14"/>
        <v>0</v>
      </c>
    </row>
    <row r="54" spans="1:26" s="24" customFormat="1" hidden="1" outlineLevel="1" x14ac:dyDescent="0.25">
      <c r="A54" s="44"/>
      <c r="B54" s="11" t="str">
        <f>CONCATENATE("          ", "5200", " - ", "PURCHASES OFFSET")</f>
        <v xml:space="preserve">          5200 - PURCHASES OFFSET</v>
      </c>
      <c r="C54" s="11"/>
      <c r="D54" s="2">
        <v>-32085</v>
      </c>
      <c r="E54" s="2"/>
      <c r="F54" s="19">
        <f t="shared" si="7"/>
        <v>-0.83567636131119283</v>
      </c>
      <c r="G54" s="2"/>
      <c r="H54" s="2"/>
      <c r="I54" s="2"/>
      <c r="J54" s="19">
        <f t="shared" si="8"/>
        <v>0</v>
      </c>
      <c r="K54" s="2"/>
      <c r="L54" s="2">
        <f t="shared" si="9"/>
        <v>-32085</v>
      </c>
      <c r="M54" s="2"/>
      <c r="N54" s="19">
        <f t="shared" si="10"/>
        <v>0</v>
      </c>
      <c r="O54" s="11"/>
      <c r="P54" s="2">
        <v>-1618852</v>
      </c>
      <c r="Q54" s="2"/>
      <c r="R54" s="19">
        <f t="shared" si="11"/>
        <v>-0.48593639932022009</v>
      </c>
      <c r="S54" s="2"/>
      <c r="T54" s="2"/>
      <c r="U54" s="2"/>
      <c r="V54" s="19">
        <f t="shared" si="12"/>
        <v>0</v>
      </c>
      <c r="W54" s="2"/>
      <c r="X54" s="2">
        <f t="shared" si="13"/>
        <v>-1618852</v>
      </c>
      <c r="Y54" s="2"/>
      <c r="Z54" s="19">
        <f t="shared" si="14"/>
        <v>0</v>
      </c>
    </row>
    <row r="55" spans="1:26" s="24" customFormat="1" hidden="1" outlineLevel="1" x14ac:dyDescent="0.25">
      <c r="A55" s="44"/>
      <c r="B55" s="11" t="str">
        <f>CONCATENATE("          ", "5300", " - ", "COG$ OFFSET")</f>
        <v xml:space="preserve">          5300 - COG$ OFFSET</v>
      </c>
      <c r="C55" s="11"/>
      <c r="D55" s="2">
        <v>43312</v>
      </c>
      <c r="E55" s="2"/>
      <c r="F55" s="19">
        <f t="shared" si="7"/>
        <v>1.128091462088527</v>
      </c>
      <c r="G55" s="2"/>
      <c r="H55" s="2"/>
      <c r="I55" s="2"/>
      <c r="J55" s="19">
        <f t="shared" si="8"/>
        <v>0</v>
      </c>
      <c r="K55" s="2"/>
      <c r="L55" s="2">
        <f t="shared" si="9"/>
        <v>43312</v>
      </c>
      <c r="M55" s="2"/>
      <c r="N55" s="19">
        <f t="shared" si="10"/>
        <v>0</v>
      </c>
      <c r="O55" s="11"/>
      <c r="P55" s="2">
        <v>2360840.4700000002</v>
      </c>
      <c r="Q55" s="2"/>
      <c r="R55" s="19">
        <f t="shared" si="11"/>
        <v>0.70866164254746955</v>
      </c>
      <c r="S55" s="2"/>
      <c r="T55" s="2"/>
      <c r="U55" s="2"/>
      <c r="V55" s="19">
        <f t="shared" si="12"/>
        <v>0</v>
      </c>
      <c r="W55" s="2"/>
      <c r="X55" s="2">
        <f t="shared" si="13"/>
        <v>2360840.4700000002</v>
      </c>
      <c r="Y55" s="2"/>
      <c r="Z55" s="19">
        <f t="shared" si="14"/>
        <v>0</v>
      </c>
    </row>
    <row r="56" spans="1:26" s="24" customFormat="1" hidden="1" outlineLevel="1" x14ac:dyDescent="0.25">
      <c r="A56" s="44"/>
      <c r="B56" s="11" t="str">
        <f>CONCATENATE("          ", "5500", " - ", "FREIGHT-IN")</f>
        <v xml:space="preserve">          5500 - FREIGHT-IN</v>
      </c>
      <c r="C56" s="11"/>
      <c r="D56" s="2"/>
      <c r="E56" s="2"/>
      <c r="F56" s="19">
        <f t="shared" si="7"/>
        <v>0</v>
      </c>
      <c r="G56" s="2"/>
      <c r="H56" s="2"/>
      <c r="I56" s="2"/>
      <c r="J56" s="19">
        <f t="shared" si="8"/>
        <v>0</v>
      </c>
      <c r="K56" s="2"/>
      <c r="L56" s="2">
        <f t="shared" si="9"/>
        <v>0</v>
      </c>
      <c r="M56" s="2"/>
      <c r="N56" s="19">
        <f t="shared" si="10"/>
        <v>0</v>
      </c>
      <c r="O56" s="11"/>
      <c r="P56" s="2">
        <v>41.25</v>
      </c>
      <c r="Q56" s="2"/>
      <c r="R56" s="19">
        <f t="shared" si="11"/>
        <v>1.2382155053061725E-5</v>
      </c>
      <c r="S56" s="2"/>
      <c r="T56" s="2"/>
      <c r="U56" s="2"/>
      <c r="V56" s="19">
        <f t="shared" si="12"/>
        <v>0</v>
      </c>
      <c r="W56" s="2"/>
      <c r="X56" s="2">
        <f t="shared" si="13"/>
        <v>41.25</v>
      </c>
      <c r="Y56" s="2"/>
      <c r="Z56" s="19">
        <f t="shared" si="14"/>
        <v>0</v>
      </c>
    </row>
    <row r="57" spans="1:26" s="24" customFormat="1" hidden="1" outlineLevel="1" x14ac:dyDescent="0.25">
      <c r="A57" s="44"/>
      <c r="B57" s="11" t="str">
        <f>CONCATENATE("          ", "5501", " - ", "FREIGHT-IN-NEW TEXT")</f>
        <v xml:space="preserve">          5501 - FREIGHT-IN-NEW TEXT</v>
      </c>
      <c r="C57" s="11"/>
      <c r="D57" s="2">
        <v>-21.22</v>
      </c>
      <c r="E57" s="2"/>
      <c r="F57" s="19">
        <f t="shared" si="7"/>
        <v>-5.526898048004834E-4</v>
      </c>
      <c r="G57" s="2"/>
      <c r="H57" s="2"/>
      <c r="I57" s="2"/>
      <c r="J57" s="19">
        <f t="shared" si="8"/>
        <v>0</v>
      </c>
      <c r="K57" s="2"/>
      <c r="L57" s="2">
        <f t="shared" si="9"/>
        <v>-21.22</v>
      </c>
      <c r="M57" s="2"/>
      <c r="N57" s="19">
        <f t="shared" si="10"/>
        <v>0</v>
      </c>
      <c r="O57" s="11"/>
      <c r="P57" s="2">
        <v>69747.73000000001</v>
      </c>
      <c r="Q57" s="2"/>
      <c r="R57" s="19">
        <f t="shared" si="11"/>
        <v>2.0936417150523273E-2</v>
      </c>
      <c r="S57" s="2"/>
      <c r="T57" s="2"/>
      <c r="U57" s="2"/>
      <c r="V57" s="19">
        <f t="shared" si="12"/>
        <v>0</v>
      </c>
      <c r="W57" s="2"/>
      <c r="X57" s="2">
        <f t="shared" si="13"/>
        <v>69747.73000000001</v>
      </c>
      <c r="Y57" s="2"/>
      <c r="Z57" s="19">
        <f t="shared" si="14"/>
        <v>0</v>
      </c>
    </row>
    <row r="58" spans="1:26" s="24" customFormat="1" hidden="1" outlineLevel="1" x14ac:dyDescent="0.25">
      <c r="A58" s="44"/>
      <c r="B58" s="11" t="str">
        <f>CONCATENATE("          ", "5502", " - ", "FREIGHT-IN-USED TEXT")</f>
        <v xml:space="preserve">          5502 - FREIGHT-IN-USED TEXT</v>
      </c>
      <c r="C58" s="11"/>
      <c r="D58" s="2">
        <v>379.42</v>
      </c>
      <c r="E58" s="2"/>
      <c r="F58" s="19">
        <f t="shared" si="7"/>
        <v>9.8822604023279664E-3</v>
      </c>
      <c r="G58" s="2"/>
      <c r="H58" s="2"/>
      <c r="I58" s="2"/>
      <c r="J58" s="19">
        <f t="shared" si="8"/>
        <v>0</v>
      </c>
      <c r="K58" s="2"/>
      <c r="L58" s="2">
        <f t="shared" si="9"/>
        <v>379.42</v>
      </c>
      <c r="M58" s="2"/>
      <c r="N58" s="19">
        <f t="shared" si="10"/>
        <v>0</v>
      </c>
      <c r="O58" s="11"/>
      <c r="P58" s="2">
        <v>15680.76</v>
      </c>
      <c r="Q58" s="2"/>
      <c r="R58" s="19">
        <f t="shared" si="11"/>
        <v>4.7069479192690467E-3</v>
      </c>
      <c r="S58" s="2"/>
      <c r="T58" s="2"/>
      <c r="U58" s="2"/>
      <c r="V58" s="19">
        <f t="shared" si="12"/>
        <v>0</v>
      </c>
      <c r="W58" s="2"/>
      <c r="X58" s="2">
        <f t="shared" si="13"/>
        <v>15680.76</v>
      </c>
      <c r="Y58" s="2"/>
      <c r="Z58" s="19">
        <f t="shared" si="14"/>
        <v>0</v>
      </c>
    </row>
    <row r="59" spans="1:26" s="24" customFormat="1" hidden="1" outlineLevel="1" x14ac:dyDescent="0.25">
      <c r="A59" s="44"/>
      <c r="B59" s="11" t="str">
        <f>CONCATENATE("          ", "5504", " - ", "FREIGHT-IN-DIGITAL TEXT")</f>
        <v xml:space="preserve">          5504 - FREIGHT-IN-DIGITAL TEXT</v>
      </c>
      <c r="C59" s="11"/>
      <c r="D59" s="2"/>
      <c r="E59" s="2"/>
      <c r="F59" s="19">
        <f t="shared" si="7"/>
        <v>0</v>
      </c>
      <c r="G59" s="2"/>
      <c r="H59" s="2"/>
      <c r="I59" s="2"/>
      <c r="J59" s="19">
        <f t="shared" si="8"/>
        <v>0</v>
      </c>
      <c r="K59" s="2"/>
      <c r="L59" s="2">
        <f t="shared" si="9"/>
        <v>0</v>
      </c>
      <c r="M59" s="2"/>
      <c r="N59" s="19">
        <f t="shared" si="10"/>
        <v>0</v>
      </c>
      <c r="O59" s="11"/>
      <c r="P59" s="2">
        <v>118.75</v>
      </c>
      <c r="Q59" s="2"/>
      <c r="R59" s="19">
        <f t="shared" si="11"/>
        <v>3.5645597880026176E-5</v>
      </c>
      <c r="S59" s="2"/>
      <c r="T59" s="2"/>
      <c r="U59" s="2"/>
      <c r="V59" s="19">
        <f t="shared" si="12"/>
        <v>0</v>
      </c>
      <c r="W59" s="2"/>
      <c r="X59" s="2">
        <f t="shared" si="13"/>
        <v>118.75</v>
      </c>
      <c r="Y59" s="2"/>
      <c r="Z59" s="19">
        <f t="shared" si="14"/>
        <v>0</v>
      </c>
    </row>
    <row r="60" spans="1:26" s="24" customFormat="1" hidden="1" outlineLevel="1" x14ac:dyDescent="0.25">
      <c r="A60" s="44"/>
      <c r="B60" s="11" t="str">
        <f>CONCATENATE("          ", "5513", " - ", "FREIGHT-IN-TRADE BOOKS")</f>
        <v xml:space="preserve">          5513 - FREIGHT-IN-TRADE BOOKS</v>
      </c>
      <c r="C60" s="11"/>
      <c r="D60" s="2"/>
      <c r="E60" s="2"/>
      <c r="F60" s="19">
        <f t="shared" si="7"/>
        <v>0</v>
      </c>
      <c r="G60" s="2"/>
      <c r="H60" s="2"/>
      <c r="I60" s="2"/>
      <c r="J60" s="19">
        <f t="shared" si="8"/>
        <v>0</v>
      </c>
      <c r="K60" s="2"/>
      <c r="L60" s="2">
        <f t="shared" si="9"/>
        <v>0</v>
      </c>
      <c r="M60" s="2"/>
      <c r="N60" s="19">
        <f t="shared" si="10"/>
        <v>0</v>
      </c>
      <c r="O60" s="11"/>
      <c r="P60" s="2">
        <v>30.24</v>
      </c>
      <c r="Q60" s="2"/>
      <c r="R60" s="19">
        <f t="shared" si="11"/>
        <v>9.0772453043536135E-6</v>
      </c>
      <c r="S60" s="2"/>
      <c r="T60" s="2"/>
      <c r="U60" s="2"/>
      <c r="V60" s="19">
        <f t="shared" si="12"/>
        <v>0</v>
      </c>
      <c r="W60" s="2"/>
      <c r="X60" s="2">
        <f t="shared" si="13"/>
        <v>30.24</v>
      </c>
      <c r="Y60" s="2"/>
      <c r="Z60" s="19">
        <f t="shared" si="14"/>
        <v>0</v>
      </c>
    </row>
    <row r="61" spans="1:26" s="24" customFormat="1" hidden="1" outlineLevel="1" x14ac:dyDescent="0.25">
      <c r="A61" s="44"/>
      <c r="B61" s="11" t="str">
        <f>CONCATENATE("          ", "5518", " - ", "FREIGHT-IN-STUDY GUIDES")</f>
        <v xml:space="preserve">          5518 - FREIGHT-IN-STUDY GUIDES</v>
      </c>
      <c r="C61" s="11"/>
      <c r="D61" s="2"/>
      <c r="E61" s="2"/>
      <c r="F61" s="19">
        <f t="shared" si="7"/>
        <v>0</v>
      </c>
      <c r="G61" s="2"/>
      <c r="H61" s="2"/>
      <c r="I61" s="2"/>
      <c r="J61" s="19">
        <f t="shared" si="8"/>
        <v>0</v>
      </c>
      <c r="K61" s="2"/>
      <c r="L61" s="2">
        <f t="shared" si="9"/>
        <v>0</v>
      </c>
      <c r="M61" s="2"/>
      <c r="N61" s="19">
        <f t="shared" si="10"/>
        <v>0</v>
      </c>
      <c r="O61" s="11"/>
      <c r="P61" s="2">
        <v>21.13</v>
      </c>
      <c r="Q61" s="2"/>
      <c r="R61" s="19">
        <f t="shared" si="11"/>
        <v>6.3426651217259211E-6</v>
      </c>
      <c r="S61" s="2"/>
      <c r="T61" s="2"/>
      <c r="U61" s="2"/>
      <c r="V61" s="19">
        <f t="shared" si="12"/>
        <v>0</v>
      </c>
      <c r="W61" s="2"/>
      <c r="X61" s="2">
        <f t="shared" si="13"/>
        <v>21.13</v>
      </c>
      <c r="Y61" s="2"/>
      <c r="Z61" s="19">
        <f t="shared" si="14"/>
        <v>0</v>
      </c>
    </row>
    <row r="62" spans="1:26" x14ac:dyDescent="0.25">
      <c r="A62" s="9"/>
      <c r="B62" s="10"/>
      <c r="C62" s="10"/>
      <c r="D62" s="3"/>
      <c r="E62" s="3"/>
      <c r="F62" s="8"/>
      <c r="G62" s="3"/>
      <c r="H62" s="3"/>
      <c r="I62" s="3"/>
      <c r="J62" s="8"/>
      <c r="K62" s="3"/>
      <c r="L62" s="3"/>
      <c r="M62" s="3"/>
      <c r="N62" s="8"/>
      <c r="O62" s="10"/>
      <c r="P62" s="3"/>
      <c r="Q62" s="3"/>
      <c r="R62" s="8"/>
      <c r="S62" s="3"/>
      <c r="T62" s="3"/>
      <c r="U62" s="3"/>
      <c r="V62" s="8"/>
      <c r="W62" s="3"/>
      <c r="X62" s="3"/>
      <c r="Y62" s="3"/>
      <c r="Z62" s="8"/>
    </row>
    <row r="63" spans="1:26" s="23" customFormat="1" x14ac:dyDescent="0.25">
      <c r="A63" s="10"/>
      <c r="B63" s="29" t="s">
        <v>6</v>
      </c>
      <c r="C63" s="29"/>
      <c r="D63" s="20">
        <f>D12-D44</f>
        <v>-4917.650000000016</v>
      </c>
      <c r="E63" s="14"/>
      <c r="F63" s="22">
        <f>IF(D$12=0,0,D63/D$12)</f>
        <v>-0.12808364837780897</v>
      </c>
      <c r="G63" s="14"/>
      <c r="H63" s="20">
        <f>H12-H44</f>
        <v>10839</v>
      </c>
      <c r="I63" s="14"/>
      <c r="J63" s="22">
        <f>IF(H$12=0,0,H63/H$12)</f>
        <v>0.27868768158794643</v>
      </c>
      <c r="K63" s="16"/>
      <c r="L63" s="20">
        <f>+D63-H63</f>
        <v>-15756.650000000016</v>
      </c>
      <c r="M63" s="16"/>
      <c r="N63" s="22">
        <f>IF(H63=0,0,L63/H63)</f>
        <v>-1.4536996032844374</v>
      </c>
      <c r="O63" s="28"/>
      <c r="P63" s="20">
        <f>P12-P44</f>
        <v>970530.03999999864</v>
      </c>
      <c r="Q63" s="14"/>
      <c r="R63" s="22">
        <f>IF(P$12=0,0,P63/P$12)</f>
        <v>0.29132735609537408</v>
      </c>
      <c r="S63" s="14"/>
      <c r="T63" s="20">
        <f>T12-T44</f>
        <v>951996</v>
      </c>
      <c r="U63" s="14"/>
      <c r="V63" s="22">
        <f>IF(T$12=0,0,T63/T$12)</f>
        <v>0.2809940382968148</v>
      </c>
      <c r="W63" s="16"/>
      <c r="X63" s="20">
        <f>+P63-T63</f>
        <v>18534.03999999864</v>
      </c>
      <c r="Y63" s="16"/>
      <c r="Z63" s="22">
        <f>IF(T63=0,0,X63/T63)</f>
        <v>1.9468611212650727E-2</v>
      </c>
    </row>
    <row r="64" spans="1:26" x14ac:dyDescent="0.25">
      <c r="A64" s="9"/>
      <c r="B64" s="10"/>
      <c r="C64" s="9"/>
      <c r="D64" s="1"/>
      <c r="E64" s="1"/>
      <c r="F64" s="5"/>
      <c r="G64" s="1"/>
      <c r="H64" s="1"/>
      <c r="I64" s="1"/>
      <c r="J64" s="5"/>
      <c r="K64" s="1"/>
      <c r="L64" s="1"/>
      <c r="M64" s="1"/>
      <c r="N64" s="5"/>
      <c r="O64" s="36"/>
      <c r="P64" s="1"/>
      <c r="Q64" s="1"/>
      <c r="R64" s="5"/>
      <c r="S64" s="1"/>
      <c r="T64" s="1"/>
      <c r="U64" s="1"/>
      <c r="V64" s="5"/>
      <c r="W64" s="1"/>
      <c r="X64" s="1"/>
      <c r="Y64" s="1"/>
      <c r="Z64" s="5"/>
    </row>
    <row r="65" spans="1:26" s="23" customFormat="1" x14ac:dyDescent="0.25">
      <c r="A65" s="10"/>
      <c r="B65" s="28" t="s">
        <v>9</v>
      </c>
      <c r="C65" s="10"/>
      <c r="D65" s="21">
        <f>SUM(OSRRefD22x_0)</f>
        <v>38231.100000000013</v>
      </c>
      <c r="E65" s="21"/>
      <c r="F65" s="30">
        <f t="shared" ref="F65:F76" si="15">IF(D$12=0,0,D65/D$12)</f>
        <v>0.99575585279489964</v>
      </c>
      <c r="G65" s="21"/>
      <c r="H65" s="21">
        <f>SUM(OSRRefH22x_0)</f>
        <v>58266.119197922875</v>
      </c>
      <c r="I65" s="21"/>
      <c r="J65" s="30">
        <f t="shared" ref="J65:J76" si="16">IF(H$12=0,0,H65/H$12)</f>
        <v>1.4981132645443365</v>
      </c>
      <c r="K65" s="4"/>
      <c r="L65" s="21">
        <f t="shared" ref="L65:L76" si="17">+D65-H65</f>
        <v>-20035.019197922862</v>
      </c>
      <c r="M65" s="4"/>
      <c r="N65" s="30">
        <f t="shared" ref="N65:N76" si="18">IF(H65=0,0,L65/H65)</f>
        <v>-0.34385367472074729</v>
      </c>
      <c r="O65" s="10"/>
      <c r="P65" s="21">
        <f>SUM(OSRRefP22x_0)</f>
        <v>509228.60000000003</v>
      </c>
      <c r="Q65" s="21"/>
      <c r="R65" s="30">
        <f t="shared" ref="R65:R76" si="19">IF(P$12=0,0,P65/P$12)</f>
        <v>0.15285690867038904</v>
      </c>
      <c r="S65" s="21"/>
      <c r="T65" s="21">
        <f>SUM(OSRRefT22x_0)</f>
        <v>628788.62672259915</v>
      </c>
      <c r="U65" s="21"/>
      <c r="V65" s="30">
        <f t="shared" ref="V65:V76" si="20">IF(T$12=0,0,T65/T$12)</f>
        <v>0.18559516579680124</v>
      </c>
      <c r="W65" s="4"/>
      <c r="X65" s="21">
        <f t="shared" ref="X65:X76" si="21">+P65-T65</f>
        <v>-119560.02672259911</v>
      </c>
      <c r="Y65" s="4"/>
      <c r="Z65" s="30">
        <f t="shared" ref="Z65:Z76" si="22">IF(T65=0,0,X65/T65)</f>
        <v>-0.19014343078337048</v>
      </c>
    </row>
    <row r="66" spans="1:26" s="27" customFormat="1" outlineLevel="1" collapsed="1" x14ac:dyDescent="0.25">
      <c r="A66" s="25"/>
      <c r="B66" s="12" t="str">
        <f>CONCATENATE("     ","*Benefits                                         ")</f>
        <v xml:space="preserve">     *Benefits                                         </v>
      </c>
      <c r="C66" s="12"/>
      <c r="D66" s="1">
        <f>SUM(OSRRefD22_0x_0)</f>
        <v>10281.040000000001</v>
      </c>
      <c r="E66" s="1"/>
      <c r="F66" s="5">
        <f t="shared" si="15"/>
        <v>0.26777690814071459</v>
      </c>
      <c r="G66" s="1"/>
      <c r="H66" s="1">
        <f>SUM(OSRRefH22_0x_0)</f>
        <v>12173.394482199772</v>
      </c>
      <c r="I66" s="1"/>
      <c r="J66" s="5">
        <f t="shared" si="16"/>
        <v>0.31299705556783414</v>
      </c>
      <c r="K66" s="1"/>
      <c r="L66" s="1">
        <f t="shared" si="17"/>
        <v>-1892.3544821997712</v>
      </c>
      <c r="M66" s="1"/>
      <c r="N66" s="5">
        <f t="shared" si="18"/>
        <v>-0.15545002546059089</v>
      </c>
      <c r="O66" s="12"/>
      <c r="P66" s="1">
        <f>SUM(OSRRefP22_0x_0)</f>
        <v>116667.29000000001</v>
      </c>
      <c r="Q66" s="1"/>
      <c r="R66" s="5">
        <f t="shared" si="19"/>
        <v>3.5020423621830735E-2</v>
      </c>
      <c r="S66" s="1"/>
      <c r="T66" s="1">
        <f>SUM(OSRRefT22_0x_0)</f>
        <v>141034.37113392222</v>
      </c>
      <c r="U66" s="1"/>
      <c r="V66" s="5">
        <f t="shared" si="20"/>
        <v>4.1628134449695722E-2</v>
      </c>
      <c r="W66" s="1"/>
      <c r="X66" s="1">
        <f t="shared" si="21"/>
        <v>-24367.081133922213</v>
      </c>
      <c r="Y66" s="1"/>
      <c r="Z66" s="5">
        <f t="shared" si="22"/>
        <v>-0.17277406165610457</v>
      </c>
    </row>
    <row r="67" spans="1:26" s="24" customFormat="1" hidden="1" outlineLevel="2" x14ac:dyDescent="0.25">
      <c r="A67" s="26"/>
      <c r="B67" s="11" t="str">
        <f>CONCATENATE("          ", "6111", " - ", "F.I.C.A.")</f>
        <v xml:space="preserve">          6111 - F.I.C.A.</v>
      </c>
      <c r="C67" s="11"/>
      <c r="D67" s="7">
        <v>1559.66</v>
      </c>
      <c r="E67" s="2"/>
      <c r="F67" s="6">
        <f t="shared" si="15"/>
        <v>4.0622440195811599E-2</v>
      </c>
      <c r="G67" s="2"/>
      <c r="H67" s="7">
        <v>1782.25334527362</v>
      </c>
      <c r="I67" s="2"/>
      <c r="J67" s="6">
        <f t="shared" si="16"/>
        <v>4.5824527428422079E-2</v>
      </c>
      <c r="K67" s="2"/>
      <c r="L67" s="7">
        <f t="shared" si="17"/>
        <v>-222.59334527361989</v>
      </c>
      <c r="M67" s="2"/>
      <c r="N67" s="6">
        <f t="shared" si="18"/>
        <v>-0.12489433439074078</v>
      </c>
      <c r="O67" s="11"/>
      <c r="P67" s="7">
        <v>19849.41</v>
      </c>
      <c r="Q67" s="2"/>
      <c r="R67" s="6">
        <f t="shared" si="19"/>
        <v>5.9582659959222769E-3</v>
      </c>
      <c r="S67" s="2"/>
      <c r="T67" s="7">
        <v>20316.390226408421</v>
      </c>
      <c r="U67" s="2"/>
      <c r="V67" s="6">
        <f t="shared" si="20"/>
        <v>5.9966476049609883E-3</v>
      </c>
      <c r="W67" s="2"/>
      <c r="X67" s="7">
        <f t="shared" si="21"/>
        <v>-466.980226408421</v>
      </c>
      <c r="Y67" s="2"/>
      <c r="Z67" s="6">
        <f t="shared" si="22"/>
        <v>-2.2985393625754101E-2</v>
      </c>
    </row>
    <row r="68" spans="1:26" s="24" customFormat="1" hidden="1" outlineLevel="2" x14ac:dyDescent="0.25">
      <c r="A68" s="26"/>
      <c r="B68" s="11" t="str">
        <f>CONCATENATE("          ", "6112", " - ", "COMPENSATION INSURANCE")</f>
        <v xml:space="preserve">          6112 - COMPENSATION INSURANCE</v>
      </c>
      <c r="C68" s="11"/>
      <c r="D68" s="7">
        <v>226.23</v>
      </c>
      <c r="E68" s="2"/>
      <c r="F68" s="6">
        <f t="shared" si="15"/>
        <v>5.8923192525925242E-3</v>
      </c>
      <c r="G68" s="2"/>
      <c r="H68" s="7">
        <v>548.00297200769194</v>
      </c>
      <c r="I68" s="2"/>
      <c r="J68" s="6">
        <f t="shared" si="16"/>
        <v>1.4090015478561488E-2</v>
      </c>
      <c r="K68" s="2"/>
      <c r="L68" s="7">
        <f t="shared" si="17"/>
        <v>-321.77297200769192</v>
      </c>
      <c r="M68" s="2"/>
      <c r="N68" s="6">
        <f t="shared" si="18"/>
        <v>-0.58717377175679886</v>
      </c>
      <c r="O68" s="11"/>
      <c r="P68" s="7">
        <v>1091.83</v>
      </c>
      <c r="Q68" s="2"/>
      <c r="R68" s="6">
        <f t="shared" si="19"/>
        <v>3.277383842808335E-4</v>
      </c>
      <c r="S68" s="2"/>
      <c r="T68" s="7">
        <v>6695.8602850923035</v>
      </c>
      <c r="U68" s="2"/>
      <c r="V68" s="6">
        <f t="shared" si="20"/>
        <v>1.976370511409027E-3</v>
      </c>
      <c r="W68" s="2"/>
      <c r="X68" s="7">
        <f t="shared" si="21"/>
        <v>-5604.0302850923035</v>
      </c>
      <c r="Y68" s="2"/>
      <c r="Z68" s="6">
        <f t="shared" si="22"/>
        <v>-0.83693954868938114</v>
      </c>
    </row>
    <row r="69" spans="1:26" s="24" customFormat="1" hidden="1" outlineLevel="2" x14ac:dyDescent="0.25">
      <c r="A69" s="26"/>
      <c r="B69" s="11" t="str">
        <f>CONCATENATE("          ", "6113", " - ", "GROUP INSURANCE")</f>
        <v xml:space="preserve">          6113 - GROUP INSURANCE</v>
      </c>
      <c r="C69" s="11"/>
      <c r="D69" s="7">
        <v>4248.21</v>
      </c>
      <c r="E69" s="2"/>
      <c r="F69" s="6">
        <f t="shared" si="15"/>
        <v>0.11064761336717539</v>
      </c>
      <c r="G69" s="2"/>
      <c r="H69" s="7">
        <v>5311.7692307692296</v>
      </c>
      <c r="I69" s="2"/>
      <c r="J69" s="6">
        <f t="shared" si="16"/>
        <v>0.13657391383460338</v>
      </c>
      <c r="K69" s="2"/>
      <c r="L69" s="7">
        <f t="shared" si="17"/>
        <v>-1063.5592307692295</v>
      </c>
      <c r="M69" s="2"/>
      <c r="N69" s="6">
        <f t="shared" si="18"/>
        <v>-0.20022692714291901</v>
      </c>
      <c r="O69" s="11"/>
      <c r="P69" s="7">
        <v>46252.47</v>
      </c>
      <c r="Q69" s="2"/>
      <c r="R69" s="6">
        <f t="shared" si="19"/>
        <v>1.3883763760656627E-2</v>
      </c>
      <c r="S69" s="2"/>
      <c r="T69" s="7">
        <v>60316.230769230766</v>
      </c>
      <c r="U69" s="2"/>
      <c r="V69" s="6">
        <f t="shared" si="20"/>
        <v>1.78031223436745E-2</v>
      </c>
      <c r="W69" s="2"/>
      <c r="X69" s="7">
        <f t="shared" si="21"/>
        <v>-14063.760769230765</v>
      </c>
      <c r="Y69" s="2"/>
      <c r="Z69" s="6">
        <f t="shared" si="22"/>
        <v>-0.23316710261684884</v>
      </c>
    </row>
    <row r="70" spans="1:26" s="24" customFormat="1" hidden="1" outlineLevel="2" x14ac:dyDescent="0.25">
      <c r="A70" s="26"/>
      <c r="B70" s="11" t="str">
        <f>CONCATENATE("          ", "6114", " - ", "STATE UNEMPLOYMENT INSURANCE")</f>
        <v xml:space="preserve">          6114 - STATE UNEMPLOYMENT INSURANCE</v>
      </c>
      <c r="C70" s="11"/>
      <c r="D70" s="7">
        <v>91.38</v>
      </c>
      <c r="E70" s="2"/>
      <c r="F70" s="6">
        <f t="shared" si="15"/>
        <v>2.3800562847628736E-3</v>
      </c>
      <c r="G70" s="2"/>
      <c r="H70" s="7">
        <v>74.989880380000002</v>
      </c>
      <c r="I70" s="2"/>
      <c r="J70" s="6">
        <f t="shared" si="16"/>
        <v>1.9281073812768366E-3</v>
      </c>
      <c r="K70" s="2"/>
      <c r="L70" s="7">
        <f t="shared" si="17"/>
        <v>16.390119619999993</v>
      </c>
      <c r="M70" s="2"/>
      <c r="N70" s="6">
        <f t="shared" si="18"/>
        <v>0.21856441878484822</v>
      </c>
      <c r="O70" s="11"/>
      <c r="P70" s="7">
        <v>745.41</v>
      </c>
      <c r="Q70" s="2"/>
      <c r="R70" s="6">
        <f t="shared" si="19"/>
        <v>2.2375229571158157E-4</v>
      </c>
      <c r="S70" s="2"/>
      <c r="T70" s="7">
        <v>916.27561795999998</v>
      </c>
      <c r="U70" s="2"/>
      <c r="V70" s="6">
        <f t="shared" si="20"/>
        <v>2.7045070156123542E-4</v>
      </c>
      <c r="W70" s="2"/>
      <c r="X70" s="7">
        <f t="shared" si="21"/>
        <v>-170.86561796000001</v>
      </c>
      <c r="Y70" s="2"/>
      <c r="Z70" s="6">
        <f t="shared" si="22"/>
        <v>-0.18647840738184868</v>
      </c>
    </row>
    <row r="71" spans="1:26" s="24" customFormat="1" hidden="1" outlineLevel="2" x14ac:dyDescent="0.25">
      <c r="A71" s="26"/>
      <c r="B71" s="11" t="str">
        <f>CONCATENATE("          ", "6115", " - ", "P.E.R.S.")</f>
        <v xml:space="preserve">          6115 - P.E.R.S.</v>
      </c>
      <c r="C71" s="11"/>
      <c r="D71" s="7">
        <v>1363.4</v>
      </c>
      <c r="E71" s="2"/>
      <c r="F71" s="6">
        <f t="shared" si="15"/>
        <v>3.5510710643966978E-2</v>
      </c>
      <c r="G71" s="2"/>
      <c r="H71" s="7">
        <v>1235.9586478769202</v>
      </c>
      <c r="I71" s="2"/>
      <c r="J71" s="6">
        <f t="shared" si="16"/>
        <v>3.1778434368059036E-2</v>
      </c>
      <c r="K71" s="2"/>
      <c r="L71" s="7">
        <f t="shared" si="17"/>
        <v>127.44135212307992</v>
      </c>
      <c r="M71" s="2"/>
      <c r="N71" s="6">
        <f t="shared" si="18"/>
        <v>0.10311133980250353</v>
      </c>
      <c r="O71" s="11"/>
      <c r="P71" s="7">
        <v>15839.689999999999</v>
      </c>
      <c r="Q71" s="2"/>
      <c r="R71" s="6">
        <f t="shared" si="19"/>
        <v>4.7546544866043945E-3</v>
      </c>
      <c r="S71" s="2"/>
      <c r="T71" s="7">
        <v>14831.503774523042</v>
      </c>
      <c r="U71" s="2"/>
      <c r="V71" s="6">
        <f t="shared" si="20"/>
        <v>4.3777118177152855E-3</v>
      </c>
      <c r="W71" s="2"/>
      <c r="X71" s="7">
        <f t="shared" si="21"/>
        <v>1008.1862254769567</v>
      </c>
      <c r="Y71" s="2"/>
      <c r="Z71" s="6">
        <f t="shared" si="22"/>
        <v>6.7975994936452649E-2</v>
      </c>
    </row>
    <row r="72" spans="1:26" s="24" customFormat="1" hidden="1" outlineLevel="2" x14ac:dyDescent="0.25">
      <c r="A72" s="26"/>
      <c r="B72" s="11" t="str">
        <f>CONCATENATE("          ", "6116", " - ", "EDUCATIONAL BENEFITS")</f>
        <v xml:space="preserve">          6116 - EDUCATIONAL BENEFITS</v>
      </c>
      <c r="C72" s="11"/>
      <c r="D72" s="7"/>
      <c r="E72" s="2"/>
      <c r="F72" s="6">
        <f t="shared" si="15"/>
        <v>0</v>
      </c>
      <c r="G72" s="2"/>
      <c r="H72" s="7">
        <v>0</v>
      </c>
      <c r="I72" s="2"/>
      <c r="J72" s="6">
        <f t="shared" si="16"/>
        <v>0</v>
      </c>
      <c r="K72" s="2"/>
      <c r="L72" s="7">
        <f t="shared" si="17"/>
        <v>0</v>
      </c>
      <c r="M72" s="2"/>
      <c r="N72" s="6">
        <f t="shared" si="18"/>
        <v>0</v>
      </c>
      <c r="O72" s="11"/>
      <c r="P72" s="7"/>
      <c r="Q72" s="2"/>
      <c r="R72" s="6">
        <f t="shared" si="19"/>
        <v>0</v>
      </c>
      <c r="S72" s="2"/>
      <c r="T72" s="7">
        <v>0</v>
      </c>
      <c r="U72" s="2"/>
      <c r="V72" s="6">
        <f t="shared" si="20"/>
        <v>0</v>
      </c>
      <c r="W72" s="2"/>
      <c r="X72" s="7">
        <f t="shared" si="21"/>
        <v>0</v>
      </c>
      <c r="Y72" s="2"/>
      <c r="Z72" s="6">
        <f t="shared" si="22"/>
        <v>0</v>
      </c>
    </row>
    <row r="73" spans="1:26" s="24" customFormat="1" hidden="1" outlineLevel="2" x14ac:dyDescent="0.25">
      <c r="A73" s="26"/>
      <c r="B73" s="11" t="str">
        <f>CONCATENATE("          ", "6117", " - ", "RETIREMENT STAFF HOURLY")</f>
        <v xml:space="preserve">          6117 - RETIREMENT STAFF HOURLY</v>
      </c>
      <c r="C73" s="11"/>
      <c r="D73" s="7">
        <v>219.6</v>
      </c>
      <c r="E73" s="2"/>
      <c r="F73" s="6">
        <f t="shared" si="15"/>
        <v>5.7196362457203661E-3</v>
      </c>
      <c r="G73" s="2"/>
      <c r="H73" s="7"/>
      <c r="I73" s="2"/>
      <c r="J73" s="6">
        <f t="shared" si="16"/>
        <v>0</v>
      </c>
      <c r="K73" s="2"/>
      <c r="L73" s="7">
        <f t="shared" si="17"/>
        <v>219.6</v>
      </c>
      <c r="M73" s="2"/>
      <c r="N73" s="6">
        <f t="shared" si="18"/>
        <v>0</v>
      </c>
      <c r="O73" s="11"/>
      <c r="P73" s="7">
        <v>1789.27</v>
      </c>
      <c r="Q73" s="2"/>
      <c r="R73" s="6">
        <f t="shared" si="19"/>
        <v>5.3709135931616369E-4</v>
      </c>
      <c r="S73" s="2"/>
      <c r="T73" s="7"/>
      <c r="U73" s="2"/>
      <c r="V73" s="6">
        <f t="shared" si="20"/>
        <v>0</v>
      </c>
      <c r="W73" s="2"/>
      <c r="X73" s="7">
        <f t="shared" si="21"/>
        <v>1789.27</v>
      </c>
      <c r="Y73" s="2"/>
      <c r="Z73" s="6">
        <f t="shared" si="22"/>
        <v>0</v>
      </c>
    </row>
    <row r="74" spans="1:26" s="24" customFormat="1" hidden="1" outlineLevel="2" x14ac:dyDescent="0.25">
      <c r="A74" s="26"/>
      <c r="B74" s="11" t="str">
        <f>CONCATENATE("          ", "6118", " - ", "VACATION")</f>
        <v xml:space="preserve">          6118 - VACATION</v>
      </c>
      <c r="C74" s="11"/>
      <c r="D74" s="7">
        <v>1355.16</v>
      </c>
      <c r="E74" s="2"/>
      <c r="F74" s="6">
        <f t="shared" si="15"/>
        <v>3.5296094056240492E-2</v>
      </c>
      <c r="G74" s="2"/>
      <c r="H74" s="7">
        <v>1427.9603583999999</v>
      </c>
      <c r="I74" s="2"/>
      <c r="J74" s="6">
        <f t="shared" si="16"/>
        <v>3.6715099334070397E-2</v>
      </c>
      <c r="K74" s="2"/>
      <c r="L74" s="7">
        <f t="shared" si="17"/>
        <v>-72.800358399999823</v>
      </c>
      <c r="M74" s="2"/>
      <c r="N74" s="6">
        <f t="shared" si="18"/>
        <v>-5.0982058410620812E-2</v>
      </c>
      <c r="O74" s="11"/>
      <c r="P74" s="7">
        <v>11998.22</v>
      </c>
      <c r="Q74" s="2"/>
      <c r="R74" s="6">
        <f t="shared" si="19"/>
        <v>3.601547161230212E-3</v>
      </c>
      <c r="S74" s="2"/>
      <c r="T74" s="7">
        <v>17135.5243008</v>
      </c>
      <c r="U74" s="2"/>
      <c r="V74" s="6">
        <f t="shared" si="20"/>
        <v>5.0577735322574835E-3</v>
      </c>
      <c r="W74" s="2"/>
      <c r="X74" s="7">
        <f t="shared" si="21"/>
        <v>-5137.3043008000004</v>
      </c>
      <c r="Y74" s="2"/>
      <c r="Z74" s="6">
        <f t="shared" si="22"/>
        <v>-0.29980432524963108</v>
      </c>
    </row>
    <row r="75" spans="1:26" s="24" customFormat="1" hidden="1" outlineLevel="2" x14ac:dyDescent="0.25">
      <c r="A75" s="26"/>
      <c r="B75" s="11" t="str">
        <f>CONCATENATE("          ", "6119", " - ", "SICK LEAVE")</f>
        <v xml:space="preserve">          6119 - SICK LEAVE</v>
      </c>
      <c r="C75" s="11"/>
      <c r="D75" s="7">
        <v>944.6</v>
      </c>
      <c r="E75" s="2"/>
      <c r="F75" s="6">
        <f t="shared" si="15"/>
        <v>2.4602770481363653E-2</v>
      </c>
      <c r="G75" s="2"/>
      <c r="H75" s="7">
        <v>1042.46004749231</v>
      </c>
      <c r="I75" s="2"/>
      <c r="J75" s="6">
        <f t="shared" si="16"/>
        <v>2.6803282017131873E-2</v>
      </c>
      <c r="K75" s="2"/>
      <c r="L75" s="7">
        <f t="shared" si="17"/>
        <v>-97.860047492309945</v>
      </c>
      <c r="M75" s="2"/>
      <c r="N75" s="6">
        <f t="shared" si="18"/>
        <v>-9.3874146762475172E-2</v>
      </c>
      <c r="O75" s="11"/>
      <c r="P75" s="7">
        <v>12958.89</v>
      </c>
      <c r="Q75" s="2"/>
      <c r="R75" s="6">
        <f t="shared" si="19"/>
        <v>3.8899147950441468E-3</v>
      </c>
      <c r="S75" s="2"/>
      <c r="T75" s="7">
        <v>12572.586159907691</v>
      </c>
      <c r="U75" s="2"/>
      <c r="V75" s="6">
        <f t="shared" si="20"/>
        <v>3.7109628159226562E-3</v>
      </c>
      <c r="W75" s="2"/>
      <c r="X75" s="7">
        <f t="shared" si="21"/>
        <v>386.30384009230875</v>
      </c>
      <c r="Y75" s="2"/>
      <c r="Z75" s="6">
        <f t="shared" si="22"/>
        <v>3.0725885285573181E-2</v>
      </c>
    </row>
    <row r="76" spans="1:26" s="24" customFormat="1" hidden="1" outlineLevel="2" x14ac:dyDescent="0.25">
      <c r="A76" s="26"/>
      <c r="B76" s="11" t="str">
        <f>CONCATENATE("          ", "6156", " - ", "EMPLOYEE MEALS")</f>
        <v xml:space="preserve">          6156 - EMPLOYEE MEALS</v>
      </c>
      <c r="C76" s="11"/>
      <c r="D76" s="7">
        <v>272.8</v>
      </c>
      <c r="E76" s="2"/>
      <c r="F76" s="6">
        <f t="shared" si="15"/>
        <v>7.1052676130806741E-3</v>
      </c>
      <c r="G76" s="2"/>
      <c r="H76" s="7">
        <v>750</v>
      </c>
      <c r="I76" s="2"/>
      <c r="J76" s="6">
        <f t="shared" si="16"/>
        <v>1.9283675725708996E-2</v>
      </c>
      <c r="K76" s="2"/>
      <c r="L76" s="7">
        <f t="shared" si="17"/>
        <v>-477.2</v>
      </c>
      <c r="M76" s="2"/>
      <c r="N76" s="6">
        <f t="shared" si="18"/>
        <v>-0.63626666666666665</v>
      </c>
      <c r="O76" s="11"/>
      <c r="P76" s="7">
        <v>6142.1</v>
      </c>
      <c r="Q76" s="2"/>
      <c r="R76" s="6">
        <f t="shared" si="19"/>
        <v>1.8436953830644951E-3</v>
      </c>
      <c r="S76" s="2"/>
      <c r="T76" s="7">
        <v>8250</v>
      </c>
      <c r="U76" s="2"/>
      <c r="V76" s="6">
        <f t="shared" si="20"/>
        <v>2.4350951221945492E-3</v>
      </c>
      <c r="W76" s="2"/>
      <c r="X76" s="7">
        <f t="shared" si="21"/>
        <v>-2107.8999999999996</v>
      </c>
      <c r="Y76" s="2"/>
      <c r="Z76" s="6">
        <f t="shared" si="22"/>
        <v>-0.25550303030303023</v>
      </c>
    </row>
    <row r="77" spans="1:26" s="27" customFormat="1" outlineLevel="1" collapsed="1" x14ac:dyDescent="0.25">
      <c r="A77" s="25"/>
      <c r="B77" s="12" t="str">
        <f>CONCATENATE("     ","*Payroll                                          ")</f>
        <v xml:space="preserve">     *Payroll                                          </v>
      </c>
      <c r="C77" s="12"/>
      <c r="D77" s="1">
        <f>SUM(OSRRefD22_1x_0)</f>
        <v>23297.91</v>
      </c>
      <c r="E77" s="1"/>
      <c r="F77" s="5">
        <f t="shared" ref="F77:F87" si="23">IF(D$12=0,0,D77/D$12)</f>
        <v>0.60681043026198078</v>
      </c>
      <c r="G77" s="1"/>
      <c r="H77" s="1">
        <f>SUM(OSRRefH22_1x_0)</f>
        <v>26527.7247157231</v>
      </c>
      <c r="I77" s="1"/>
      <c r="J77" s="5">
        <f t="shared" ref="J77:J87" si="24">IF(H$12=0,0,H77/H$12)</f>
        <v>0.68206938821184016</v>
      </c>
      <c r="K77" s="1"/>
      <c r="L77" s="1">
        <f t="shared" ref="L77:L87" si="25">+D77-H77</f>
        <v>-3229.8147157230997</v>
      </c>
      <c r="M77" s="1"/>
      <c r="N77" s="5">
        <f t="shared" ref="N77:N87" si="26">IF(H77=0,0,L77/H77)</f>
        <v>-0.12175242130014921</v>
      </c>
      <c r="O77" s="12"/>
      <c r="P77" s="1">
        <f>SUM(OSRRefP22_1x_0)</f>
        <v>307286.41000000003</v>
      </c>
      <c r="Q77" s="1"/>
      <c r="R77" s="5">
        <f t="shared" ref="R77:R87" si="27">IF(P$12=0,0,P77/P$12)</f>
        <v>9.223922361984721E-2</v>
      </c>
      <c r="S77" s="1"/>
      <c r="T77" s="1">
        <f>SUM(OSRRefT22_1x_0)</f>
        <v>324639.25558867684</v>
      </c>
      <c r="U77" s="1"/>
      <c r="V77" s="5">
        <f t="shared" ref="V77:V87" si="28">IF(T$12=0,0,T77/T$12)</f>
        <v>9.5821511243255331E-2</v>
      </c>
      <c r="W77" s="1"/>
      <c r="X77" s="1">
        <f t="shared" ref="X77:X87" si="29">+P77-T77</f>
        <v>-17352.845588676806</v>
      </c>
      <c r="Y77" s="1"/>
      <c r="Z77" s="5">
        <f t="shared" ref="Z77:Z87" si="30">IF(T77=0,0,X77/T77)</f>
        <v>-5.3452702622824949E-2</v>
      </c>
    </row>
    <row r="78" spans="1:26" s="24" customFormat="1" hidden="1" outlineLevel="2" x14ac:dyDescent="0.25">
      <c r="A78" s="26"/>
      <c r="B78" s="11" t="str">
        <f>CONCATENATE("          ", "6001", " - ", "ADMINISTRATIVE SALARIES")</f>
        <v xml:space="preserve">          6001 - ADMINISTRATIVE SALARIES</v>
      </c>
      <c r="C78" s="11"/>
      <c r="D78" s="7"/>
      <c r="E78" s="2"/>
      <c r="F78" s="6">
        <f t="shared" si="23"/>
        <v>0</v>
      </c>
      <c r="G78" s="2"/>
      <c r="H78" s="7">
        <v>0</v>
      </c>
      <c r="I78" s="2"/>
      <c r="J78" s="6">
        <f t="shared" si="24"/>
        <v>0</v>
      </c>
      <c r="K78" s="2"/>
      <c r="L78" s="7">
        <f t="shared" si="25"/>
        <v>0</v>
      </c>
      <c r="M78" s="2"/>
      <c r="N78" s="6">
        <f t="shared" si="26"/>
        <v>0</v>
      </c>
      <c r="O78" s="11"/>
      <c r="P78" s="7"/>
      <c r="Q78" s="2"/>
      <c r="R78" s="6">
        <f t="shared" si="27"/>
        <v>0</v>
      </c>
      <c r="S78" s="2"/>
      <c r="T78" s="7">
        <v>0</v>
      </c>
      <c r="U78" s="2"/>
      <c r="V78" s="6">
        <f t="shared" si="28"/>
        <v>0</v>
      </c>
      <c r="W78" s="2"/>
      <c r="X78" s="7">
        <f t="shared" si="29"/>
        <v>0</v>
      </c>
      <c r="Y78" s="2"/>
      <c r="Z78" s="6">
        <f t="shared" si="30"/>
        <v>0</v>
      </c>
    </row>
    <row r="79" spans="1:26" s="24" customFormat="1" hidden="1" outlineLevel="2" x14ac:dyDescent="0.25">
      <c r="A79" s="26"/>
      <c r="B79" s="11" t="str">
        <f>CONCATENATE("          ", "6002", " - ", "STAFF SALARIES")</f>
        <v xml:space="preserve">          6002 - STAFF SALARIES</v>
      </c>
      <c r="C79" s="11"/>
      <c r="D79" s="7">
        <v>14586.65</v>
      </c>
      <c r="E79" s="2"/>
      <c r="F79" s="6">
        <f t="shared" si="23"/>
        <v>0.37991954482530499</v>
      </c>
      <c r="G79" s="2"/>
      <c r="H79" s="7">
        <v>12765.0123437231</v>
      </c>
      <c r="I79" s="2"/>
      <c r="J79" s="6">
        <f t="shared" si="24"/>
        <v>0.32820847822803845</v>
      </c>
      <c r="K79" s="2"/>
      <c r="L79" s="7">
        <f t="shared" si="25"/>
        <v>1821.6376562769001</v>
      </c>
      <c r="M79" s="2"/>
      <c r="N79" s="6">
        <f t="shared" si="26"/>
        <v>0.14270551466976436</v>
      </c>
      <c r="O79" s="11"/>
      <c r="P79" s="7">
        <v>172008.78</v>
      </c>
      <c r="Q79" s="2"/>
      <c r="R79" s="6">
        <f t="shared" si="27"/>
        <v>5.1632469926011698E-2</v>
      </c>
      <c r="S79" s="2"/>
      <c r="T79" s="7">
        <v>153180.1481246769</v>
      </c>
      <c r="U79" s="2"/>
      <c r="V79" s="6">
        <f t="shared" si="28"/>
        <v>4.5213118971568392E-2</v>
      </c>
      <c r="W79" s="2"/>
      <c r="X79" s="7">
        <f t="shared" si="29"/>
        <v>18828.631875323103</v>
      </c>
      <c r="Y79" s="2"/>
      <c r="Z79" s="6">
        <f t="shared" si="30"/>
        <v>0.12291822475584786</v>
      </c>
    </row>
    <row r="80" spans="1:26" s="24" customFormat="1" hidden="1" outlineLevel="2" x14ac:dyDescent="0.25">
      <c r="A80" s="26"/>
      <c r="B80" s="11" t="str">
        <f>CONCATENATE("          ", "6003", " - ", "STAFF HOURLY-9 MONTH")</f>
        <v xml:space="preserve">          6003 - STAFF HOURLY-9 MONTH</v>
      </c>
      <c r="C80" s="11"/>
      <c r="D80" s="7"/>
      <c r="E80" s="2"/>
      <c r="F80" s="6">
        <f t="shared" si="23"/>
        <v>0</v>
      </c>
      <c r="G80" s="2"/>
      <c r="H80" s="7">
        <v>0</v>
      </c>
      <c r="I80" s="2"/>
      <c r="J80" s="6">
        <f t="shared" si="24"/>
        <v>0</v>
      </c>
      <c r="K80" s="2"/>
      <c r="L80" s="7">
        <f t="shared" si="25"/>
        <v>0</v>
      </c>
      <c r="M80" s="2"/>
      <c r="N80" s="6">
        <f t="shared" si="26"/>
        <v>0</v>
      </c>
      <c r="O80" s="11"/>
      <c r="P80" s="7"/>
      <c r="Q80" s="2"/>
      <c r="R80" s="6">
        <f t="shared" si="27"/>
        <v>0</v>
      </c>
      <c r="S80" s="2"/>
      <c r="T80" s="7">
        <v>0</v>
      </c>
      <c r="U80" s="2"/>
      <c r="V80" s="6">
        <f t="shared" si="28"/>
        <v>0</v>
      </c>
      <c r="W80" s="2"/>
      <c r="X80" s="7">
        <f t="shared" si="29"/>
        <v>0</v>
      </c>
      <c r="Y80" s="2"/>
      <c r="Z80" s="6">
        <f t="shared" si="30"/>
        <v>0</v>
      </c>
    </row>
    <row r="81" spans="1:26" s="24" customFormat="1" hidden="1" outlineLevel="2" x14ac:dyDescent="0.25">
      <c r="A81" s="26"/>
      <c r="B81" s="11" t="str">
        <f>CONCATENATE("          ", "6004", " - ", "STAFF HOURLY")</f>
        <v xml:space="preserve">          6004 - STAFF HOURLY</v>
      </c>
      <c r="C81" s="11"/>
      <c r="D81" s="7">
        <v>5396.64</v>
      </c>
      <c r="E81" s="2"/>
      <c r="F81" s="6">
        <f t="shared" si="23"/>
        <v>0.1405592793675062</v>
      </c>
      <c r="G81" s="2"/>
      <c r="H81" s="7">
        <v>5865.9348719999998</v>
      </c>
      <c r="I81" s="2"/>
      <c r="J81" s="6">
        <f t="shared" si="24"/>
        <v>0.15082238119970173</v>
      </c>
      <c r="K81" s="2"/>
      <c r="L81" s="7">
        <f t="shared" si="25"/>
        <v>-469.29487199999949</v>
      </c>
      <c r="M81" s="2"/>
      <c r="N81" s="6">
        <f t="shared" si="26"/>
        <v>-8.0003423536134946E-2</v>
      </c>
      <c r="O81" s="11"/>
      <c r="P81" s="7">
        <v>45627.8</v>
      </c>
      <c r="Q81" s="2"/>
      <c r="R81" s="6">
        <f t="shared" si="27"/>
        <v>1.3696254408002177E-2</v>
      </c>
      <c r="S81" s="2"/>
      <c r="T81" s="7">
        <v>70391.21846399999</v>
      </c>
      <c r="U81" s="2"/>
      <c r="V81" s="6">
        <f t="shared" si="28"/>
        <v>2.0776886391153607E-2</v>
      </c>
      <c r="W81" s="2"/>
      <c r="X81" s="7">
        <f t="shared" si="29"/>
        <v>-24763.418463999988</v>
      </c>
      <c r="Y81" s="2"/>
      <c r="Z81" s="6">
        <f t="shared" si="30"/>
        <v>-0.3517969855382555</v>
      </c>
    </row>
    <row r="82" spans="1:26" s="24" customFormat="1" hidden="1" outlineLevel="2" x14ac:dyDescent="0.25">
      <c r="A82" s="26"/>
      <c r="B82" s="11" t="str">
        <f>CONCATENATE("          ", "6005", " - ", "TEMPORARY WAGES-HOURLY")</f>
        <v xml:space="preserve">          6005 - TEMPORARY WAGES-HOURLY</v>
      </c>
      <c r="C82" s="11"/>
      <c r="D82" s="7">
        <v>218.74</v>
      </c>
      <c r="E82" s="2"/>
      <c r="F82" s="6">
        <f t="shared" si="23"/>
        <v>5.697236941661534E-3</v>
      </c>
      <c r="G82" s="2"/>
      <c r="H82" s="7">
        <v>3545.84</v>
      </c>
      <c r="I82" s="2"/>
      <c r="J82" s="6">
        <f t="shared" si="24"/>
        <v>9.1169104980330651E-2</v>
      </c>
      <c r="K82" s="2"/>
      <c r="L82" s="7">
        <f t="shared" si="25"/>
        <v>-3327.1000000000004</v>
      </c>
      <c r="M82" s="2"/>
      <c r="N82" s="6">
        <f t="shared" si="26"/>
        <v>-0.93831080928637511</v>
      </c>
      <c r="O82" s="11"/>
      <c r="P82" s="7">
        <v>24432.25</v>
      </c>
      <c r="Q82" s="2"/>
      <c r="R82" s="6">
        <f t="shared" si="27"/>
        <v>7.3339129162464803E-3</v>
      </c>
      <c r="S82" s="2"/>
      <c r="T82" s="7">
        <v>37161.519999999997</v>
      </c>
      <c r="U82" s="2"/>
      <c r="V82" s="6">
        <f t="shared" si="28"/>
        <v>1.0968707404283051E-2</v>
      </c>
      <c r="W82" s="2"/>
      <c r="X82" s="7">
        <f t="shared" si="29"/>
        <v>-12729.269999999997</v>
      </c>
      <c r="Y82" s="2"/>
      <c r="Z82" s="6">
        <f t="shared" si="30"/>
        <v>-0.34253900271033039</v>
      </c>
    </row>
    <row r="83" spans="1:26" s="24" customFormat="1" hidden="1" outlineLevel="2" x14ac:dyDescent="0.25">
      <c r="A83" s="26"/>
      <c r="B83" s="11" t="str">
        <f>CONCATENATE("          ", "6006", " - ", "TEMPORARY PART TIME")</f>
        <v xml:space="preserve">          6006 - TEMPORARY PART TIME</v>
      </c>
      <c r="C83" s="11"/>
      <c r="D83" s="7">
        <v>1155.1199999999999</v>
      </c>
      <c r="E83" s="2"/>
      <c r="F83" s="6">
        <f t="shared" si="23"/>
        <v>3.0085911749346578E-2</v>
      </c>
      <c r="G83" s="2"/>
      <c r="H83" s="7">
        <v>0</v>
      </c>
      <c r="I83" s="2"/>
      <c r="J83" s="6">
        <f t="shared" si="24"/>
        <v>0</v>
      </c>
      <c r="K83" s="2"/>
      <c r="L83" s="7">
        <f t="shared" si="25"/>
        <v>1155.1199999999999</v>
      </c>
      <c r="M83" s="2"/>
      <c r="N83" s="6">
        <f t="shared" si="26"/>
        <v>0</v>
      </c>
      <c r="O83" s="11"/>
      <c r="P83" s="7">
        <v>5282.37</v>
      </c>
      <c r="Q83" s="2"/>
      <c r="R83" s="6">
        <f t="shared" si="27"/>
        <v>1.5856272578822221E-3</v>
      </c>
      <c r="S83" s="2"/>
      <c r="T83" s="7">
        <v>0</v>
      </c>
      <c r="U83" s="2"/>
      <c r="V83" s="6">
        <f t="shared" si="28"/>
        <v>0</v>
      </c>
      <c r="W83" s="2"/>
      <c r="X83" s="7">
        <f t="shared" si="29"/>
        <v>5282.37</v>
      </c>
      <c r="Y83" s="2"/>
      <c r="Z83" s="6">
        <f t="shared" si="30"/>
        <v>0</v>
      </c>
    </row>
    <row r="84" spans="1:26" s="24" customFormat="1" hidden="1" outlineLevel="2" x14ac:dyDescent="0.25">
      <c r="A84" s="26"/>
      <c r="B84" s="11" t="str">
        <f>CONCATENATE("          ", "6007", " - ", "STUDENT HOURLY")</f>
        <v xml:space="preserve">          6007 - STUDENT HOURLY</v>
      </c>
      <c r="C84" s="11"/>
      <c r="D84" s="7">
        <v>1940.76</v>
      </c>
      <c r="E84" s="2"/>
      <c r="F84" s="6">
        <f t="shared" si="23"/>
        <v>5.0548457378161465E-2</v>
      </c>
      <c r="G84" s="2"/>
      <c r="H84" s="7">
        <v>2342.8125</v>
      </c>
      <c r="I84" s="2"/>
      <c r="J84" s="6">
        <f t="shared" si="24"/>
        <v>6.0237382048183477E-2</v>
      </c>
      <c r="K84" s="2"/>
      <c r="L84" s="7">
        <f t="shared" si="25"/>
        <v>-402.05250000000001</v>
      </c>
      <c r="M84" s="2"/>
      <c r="N84" s="6">
        <f t="shared" si="26"/>
        <v>-0.17161104441776712</v>
      </c>
      <c r="O84" s="11"/>
      <c r="P84" s="7">
        <v>59935.21</v>
      </c>
      <c r="Q84" s="2"/>
      <c r="R84" s="6">
        <f t="shared" si="27"/>
        <v>1.7990959111704622E-2</v>
      </c>
      <c r="S84" s="2"/>
      <c r="T84" s="7">
        <v>14123.8125</v>
      </c>
      <c r="U84" s="2"/>
      <c r="V84" s="6">
        <f t="shared" si="28"/>
        <v>4.1688275061261089E-3</v>
      </c>
      <c r="W84" s="2"/>
      <c r="X84" s="7">
        <f t="shared" si="29"/>
        <v>45811.397499999999</v>
      </c>
      <c r="Y84" s="2"/>
      <c r="Z84" s="6">
        <f t="shared" si="30"/>
        <v>3.2435574672206955</v>
      </c>
    </row>
    <row r="85" spans="1:26" s="24" customFormat="1" hidden="1" outlineLevel="2" x14ac:dyDescent="0.25">
      <c r="A85" s="26"/>
      <c r="B85" s="11" t="str">
        <f>CONCATENATE("          ", "6008", " - ", "STUDENT HOURLY-FICA EXEMPT")</f>
        <v xml:space="preserve">          6008 - STUDENT HOURLY-FICA EXEMPT</v>
      </c>
      <c r="C85" s="11"/>
      <c r="D85" s="7"/>
      <c r="E85" s="2"/>
      <c r="F85" s="6">
        <f t="shared" si="23"/>
        <v>0</v>
      </c>
      <c r="G85" s="2"/>
      <c r="H85" s="7">
        <v>2008.125</v>
      </c>
      <c r="I85" s="2"/>
      <c r="J85" s="6">
        <f t="shared" si="24"/>
        <v>5.163204175558584E-2</v>
      </c>
      <c r="K85" s="2"/>
      <c r="L85" s="7">
        <f t="shared" si="25"/>
        <v>-2008.125</v>
      </c>
      <c r="M85" s="2"/>
      <c r="N85" s="6">
        <f t="shared" si="26"/>
        <v>-1</v>
      </c>
      <c r="O85" s="11"/>
      <c r="P85" s="7"/>
      <c r="Q85" s="2"/>
      <c r="R85" s="6">
        <f t="shared" si="27"/>
        <v>0</v>
      </c>
      <c r="S85" s="2"/>
      <c r="T85" s="7">
        <v>49782.556499999999</v>
      </c>
      <c r="U85" s="2"/>
      <c r="V85" s="6">
        <f t="shared" si="28"/>
        <v>1.4693970970124186E-2</v>
      </c>
      <c r="W85" s="2"/>
      <c r="X85" s="7">
        <f t="shared" si="29"/>
        <v>-49782.556499999999</v>
      </c>
      <c r="Y85" s="2"/>
      <c r="Z85" s="6">
        <f t="shared" si="30"/>
        <v>-1</v>
      </c>
    </row>
    <row r="86" spans="1:26" s="24" customFormat="1" hidden="1" outlineLevel="2" x14ac:dyDescent="0.25">
      <c r="A86" s="26"/>
      <c r="B86" s="11" t="str">
        <f>CONCATENATE("          ", "6009", " - ", "TEMPORARY-SEASONAL")</f>
        <v xml:space="preserve">          6009 - TEMPORARY-SEASONAL</v>
      </c>
      <c r="C86" s="11"/>
      <c r="D86" s="7"/>
      <c r="E86" s="2"/>
      <c r="F86" s="6">
        <f t="shared" si="23"/>
        <v>0</v>
      </c>
      <c r="G86" s="2"/>
      <c r="H86" s="7">
        <v>0</v>
      </c>
      <c r="I86" s="2"/>
      <c r="J86" s="6">
        <f t="shared" si="24"/>
        <v>0</v>
      </c>
      <c r="K86" s="2"/>
      <c r="L86" s="7">
        <f t="shared" si="25"/>
        <v>0</v>
      </c>
      <c r="M86" s="2"/>
      <c r="N86" s="6">
        <f t="shared" si="26"/>
        <v>0</v>
      </c>
      <c r="O86" s="11"/>
      <c r="P86" s="7"/>
      <c r="Q86" s="2"/>
      <c r="R86" s="6">
        <f t="shared" si="27"/>
        <v>0</v>
      </c>
      <c r="S86" s="2"/>
      <c r="T86" s="7">
        <v>0</v>
      </c>
      <c r="U86" s="2"/>
      <c r="V86" s="6">
        <f t="shared" si="28"/>
        <v>0</v>
      </c>
      <c r="W86" s="2"/>
      <c r="X86" s="7">
        <f t="shared" si="29"/>
        <v>0</v>
      </c>
      <c r="Y86" s="2"/>
      <c r="Z86" s="6">
        <f t="shared" si="30"/>
        <v>0</v>
      </c>
    </row>
    <row r="87" spans="1:26" s="24" customFormat="1" hidden="1" outlineLevel="2" x14ac:dyDescent="0.25">
      <c r="A87" s="26"/>
      <c r="B87" s="11" t="str">
        <f>CONCATENATE("          ", "6010", " - ", "GRATUITY")</f>
        <v xml:space="preserve">          6010 - GRATUITY</v>
      </c>
      <c r="C87" s="11"/>
      <c r="D87" s="7"/>
      <c r="E87" s="2"/>
      <c r="F87" s="6">
        <f t="shared" si="23"/>
        <v>0</v>
      </c>
      <c r="G87" s="2"/>
      <c r="H87" s="7">
        <v>0</v>
      </c>
      <c r="I87" s="2"/>
      <c r="J87" s="6">
        <f t="shared" si="24"/>
        <v>0</v>
      </c>
      <c r="K87" s="2"/>
      <c r="L87" s="7">
        <f t="shared" si="25"/>
        <v>0</v>
      </c>
      <c r="M87" s="2"/>
      <c r="N87" s="6">
        <f t="shared" si="26"/>
        <v>0</v>
      </c>
      <c r="O87" s="11"/>
      <c r="P87" s="7"/>
      <c r="Q87" s="2"/>
      <c r="R87" s="6">
        <f t="shared" si="27"/>
        <v>0</v>
      </c>
      <c r="S87" s="2"/>
      <c r="T87" s="7">
        <v>0</v>
      </c>
      <c r="U87" s="2"/>
      <c r="V87" s="6">
        <f t="shared" si="28"/>
        <v>0</v>
      </c>
      <c r="W87" s="2"/>
      <c r="X87" s="7">
        <f t="shared" si="29"/>
        <v>0</v>
      </c>
      <c r="Y87" s="2"/>
      <c r="Z87" s="6">
        <f t="shared" si="30"/>
        <v>0</v>
      </c>
    </row>
    <row r="88" spans="1:26" s="27" customFormat="1" outlineLevel="1" collapsed="1" x14ac:dyDescent="0.25">
      <c r="A88" s="25"/>
      <c r="B88" s="12" t="str">
        <f>CONCATENATE("     ","Advertising/Promo                                 ")</f>
        <v xml:space="preserve">     Advertising/Promo                                 </v>
      </c>
      <c r="C88" s="12"/>
      <c r="D88" s="1">
        <f>SUM(OSRRefD22_2x_0)</f>
        <v>0</v>
      </c>
      <c r="E88" s="1"/>
      <c r="F88" s="5">
        <f t="shared" ref="F88:F92" si="31">IF(D$12=0,0,D88/D$12)</f>
        <v>0</v>
      </c>
      <c r="G88" s="1"/>
      <c r="H88" s="1">
        <f>SUM(OSRRefH22_2x_0)</f>
        <v>900</v>
      </c>
      <c r="I88" s="1"/>
      <c r="J88" s="5">
        <f t="shared" ref="J88:J92" si="32">IF(H$12=0,0,H88/H$12)</f>
        <v>2.3140410870850794E-2</v>
      </c>
      <c r="K88" s="1"/>
      <c r="L88" s="1">
        <f t="shared" ref="L88:L92" si="33">+D88-H88</f>
        <v>-900</v>
      </c>
      <c r="M88" s="1"/>
      <c r="N88" s="5">
        <f t="shared" ref="N88:N92" si="34">IF(H88=0,0,L88/H88)</f>
        <v>-1</v>
      </c>
      <c r="O88" s="12"/>
      <c r="P88" s="1">
        <f>SUM(OSRRefP22_2x_0)</f>
        <v>3981.59</v>
      </c>
      <c r="Q88" s="1"/>
      <c r="R88" s="5">
        <f t="shared" ref="R88:R92" si="35">IF(P$12=0,0,P88/P$12)</f>
        <v>1.1951676300053342E-3</v>
      </c>
      <c r="S88" s="1"/>
      <c r="T88" s="1">
        <f>SUM(OSRRefT22_2x_0)</f>
        <v>5900</v>
      </c>
      <c r="U88" s="1"/>
      <c r="V88" s="5">
        <f t="shared" ref="V88:V92" si="36">IF(T$12=0,0,T88/T$12)</f>
        <v>1.7414619661754956E-3</v>
      </c>
      <c r="W88" s="1"/>
      <c r="X88" s="1">
        <f t="shared" ref="X88:X92" si="37">+P88-T88</f>
        <v>-1918.4099999999999</v>
      </c>
      <c r="Y88" s="1"/>
      <c r="Z88" s="5">
        <f t="shared" ref="Z88:Z92" si="38">IF(T88=0,0,X88/T88)</f>
        <v>-0.32515423728813558</v>
      </c>
    </row>
    <row r="89" spans="1:26" s="24" customFormat="1" hidden="1" outlineLevel="2" x14ac:dyDescent="0.25">
      <c r="A89" s="26"/>
      <c r="B89" s="11" t="str">
        <f>CONCATENATE("          ", "6362", " - ", "ADVERTISING EXPENSE")</f>
        <v xml:space="preserve">          6362 - ADVERTISING EXPENSE</v>
      </c>
      <c r="C89" s="11"/>
      <c r="D89" s="7"/>
      <c r="E89" s="2"/>
      <c r="F89" s="6">
        <f t="shared" si="31"/>
        <v>0</v>
      </c>
      <c r="G89" s="2"/>
      <c r="H89" s="7">
        <v>900</v>
      </c>
      <c r="I89" s="2"/>
      <c r="J89" s="6">
        <f t="shared" si="32"/>
        <v>2.3140410870850794E-2</v>
      </c>
      <c r="K89" s="2"/>
      <c r="L89" s="7">
        <f t="shared" si="33"/>
        <v>-900</v>
      </c>
      <c r="M89" s="2"/>
      <c r="N89" s="6">
        <f t="shared" si="34"/>
        <v>-1</v>
      </c>
      <c r="O89" s="11"/>
      <c r="P89" s="7">
        <v>3981.59</v>
      </c>
      <c r="Q89" s="2"/>
      <c r="R89" s="6">
        <f t="shared" si="35"/>
        <v>1.1951676300053342E-3</v>
      </c>
      <c r="S89" s="2"/>
      <c r="T89" s="7">
        <v>5900</v>
      </c>
      <c r="U89" s="2"/>
      <c r="V89" s="6">
        <f t="shared" si="36"/>
        <v>1.7414619661754956E-3</v>
      </c>
      <c r="W89" s="2"/>
      <c r="X89" s="7">
        <f t="shared" si="37"/>
        <v>-1918.4099999999999</v>
      </c>
      <c r="Y89" s="2"/>
      <c r="Z89" s="6">
        <f t="shared" si="38"/>
        <v>-0.32515423728813558</v>
      </c>
    </row>
    <row r="90" spans="1:26" s="27" customFormat="1" outlineLevel="1" collapsed="1" x14ac:dyDescent="0.25">
      <c r="A90" s="25"/>
      <c r="B90" s="12" t="str">
        <f>CONCATENATE("     ","Discounts and Markdowns                           ")</f>
        <v xml:space="preserve">     Discounts and Markdowns                           </v>
      </c>
      <c r="C90" s="12"/>
      <c r="D90" s="1">
        <f>SUM(OSRRefD22_3x_0)</f>
        <v>286.66000000000003</v>
      </c>
      <c r="E90" s="1"/>
      <c r="F90" s="5">
        <f t="shared" si="31"/>
        <v>7.4662610482613854E-3</v>
      </c>
      <c r="G90" s="1"/>
      <c r="H90" s="1">
        <f>SUM(OSRRefH22_3x_0)</f>
        <v>1625</v>
      </c>
      <c r="I90" s="1"/>
      <c r="J90" s="5">
        <f t="shared" si="32"/>
        <v>4.1781297405702827E-2</v>
      </c>
      <c r="K90" s="1"/>
      <c r="L90" s="1">
        <f t="shared" si="33"/>
        <v>-1338.34</v>
      </c>
      <c r="M90" s="1"/>
      <c r="N90" s="5">
        <f t="shared" si="34"/>
        <v>-0.82359384615384612</v>
      </c>
      <c r="O90" s="12"/>
      <c r="P90" s="1">
        <f>SUM(OSRRefP22_3x_0)</f>
        <v>307.76</v>
      </c>
      <c r="Q90" s="1"/>
      <c r="R90" s="5">
        <f t="shared" si="35"/>
        <v>9.2381382766794574E-5</v>
      </c>
      <c r="S90" s="1"/>
      <c r="T90" s="1">
        <f>SUM(OSRRefT22_3x_0)</f>
        <v>26375</v>
      </c>
      <c r="U90" s="1"/>
      <c r="V90" s="5">
        <f t="shared" si="36"/>
        <v>7.7849253148946944E-3</v>
      </c>
      <c r="W90" s="1"/>
      <c r="X90" s="1">
        <f t="shared" si="37"/>
        <v>-26067.24</v>
      </c>
      <c r="Y90" s="1"/>
      <c r="Z90" s="5">
        <f t="shared" si="38"/>
        <v>-0.98833137440758301</v>
      </c>
    </row>
    <row r="91" spans="1:26" s="24" customFormat="1" hidden="1" outlineLevel="2" x14ac:dyDescent="0.25">
      <c r="A91" s="26"/>
      <c r="B91" s="11" t="str">
        <f>CONCATENATE("          ", "6382", " - ", "DISCOUNTS/MARK DOWNS")</f>
        <v xml:space="preserve">          6382 - DISCOUNTS/MARK DOWNS</v>
      </c>
      <c r="C91" s="11"/>
      <c r="D91" s="7">
        <v>286.66000000000003</v>
      </c>
      <c r="E91" s="2"/>
      <c r="F91" s="6">
        <f t="shared" si="31"/>
        <v>7.4662610482613854E-3</v>
      </c>
      <c r="G91" s="2"/>
      <c r="H91" s="7">
        <v>1625</v>
      </c>
      <c r="I91" s="2"/>
      <c r="J91" s="6">
        <f t="shared" si="32"/>
        <v>4.1781297405702827E-2</v>
      </c>
      <c r="K91" s="2"/>
      <c r="L91" s="7">
        <f t="shared" si="33"/>
        <v>-1338.34</v>
      </c>
      <c r="M91" s="2"/>
      <c r="N91" s="6">
        <f t="shared" si="34"/>
        <v>-0.82359384615384612</v>
      </c>
      <c r="O91" s="11"/>
      <c r="P91" s="7">
        <v>760.03</v>
      </c>
      <c r="Q91" s="2"/>
      <c r="R91" s="6">
        <f t="shared" si="35"/>
        <v>2.2814083163584249E-4</v>
      </c>
      <c r="S91" s="2"/>
      <c r="T91" s="7">
        <v>26375</v>
      </c>
      <c r="U91" s="2"/>
      <c r="V91" s="6">
        <f t="shared" si="36"/>
        <v>7.7849253148946944E-3</v>
      </c>
      <c r="W91" s="2"/>
      <c r="X91" s="7">
        <f t="shared" si="37"/>
        <v>-25614.97</v>
      </c>
      <c r="Y91" s="2"/>
      <c r="Z91" s="6">
        <f t="shared" si="38"/>
        <v>-0.97118369668246451</v>
      </c>
    </row>
    <row r="92" spans="1:26" s="24" customFormat="1" hidden="1" outlineLevel="2" x14ac:dyDescent="0.25">
      <c r="A92" s="26"/>
      <c r="B92" s="11" t="str">
        <f>CONCATENATE("          ", "9175", " - ", "EARNED DISCOUNTS")</f>
        <v xml:space="preserve">          9175 - EARNED DISCOUNTS</v>
      </c>
      <c r="C92" s="11"/>
      <c r="D92" s="7"/>
      <c r="E92" s="2"/>
      <c r="F92" s="6">
        <f t="shared" si="31"/>
        <v>0</v>
      </c>
      <c r="G92" s="2"/>
      <c r="H92" s="7"/>
      <c r="I92" s="2"/>
      <c r="J92" s="6">
        <f t="shared" si="32"/>
        <v>0</v>
      </c>
      <c r="K92" s="2"/>
      <c r="L92" s="7">
        <f t="shared" si="33"/>
        <v>0</v>
      </c>
      <c r="M92" s="2"/>
      <c r="N92" s="6">
        <f t="shared" si="34"/>
        <v>0</v>
      </c>
      <c r="O92" s="11"/>
      <c r="P92" s="7">
        <v>-452.27</v>
      </c>
      <c r="Q92" s="2"/>
      <c r="R92" s="6">
        <f t="shared" si="35"/>
        <v>-1.3575944886904791E-4</v>
      </c>
      <c r="S92" s="2"/>
      <c r="T92" s="7"/>
      <c r="U92" s="2"/>
      <c r="V92" s="6">
        <f t="shared" si="36"/>
        <v>0</v>
      </c>
      <c r="W92" s="2"/>
      <c r="X92" s="7">
        <f t="shared" si="37"/>
        <v>-452.27</v>
      </c>
      <c r="Y92" s="2"/>
      <c r="Z92" s="6">
        <f t="shared" si="38"/>
        <v>0</v>
      </c>
    </row>
    <row r="93" spans="1:26" s="27" customFormat="1" outlineLevel="1" collapsed="1" x14ac:dyDescent="0.25">
      <c r="A93" s="25"/>
      <c r="B93" s="12" t="str">
        <f>CONCATENATE("     ","Employees' Appreciation                           ")</f>
        <v xml:space="preserve">     Employees' Appreciation                           </v>
      </c>
      <c r="C93" s="12"/>
      <c r="D93" s="1">
        <f>SUM(OSRRefD22_4x_0)</f>
        <v>0</v>
      </c>
      <c r="E93" s="1"/>
      <c r="F93" s="5">
        <f t="shared" ref="F93:F99" si="39">IF(D$12=0,0,D93/D$12)</f>
        <v>0</v>
      </c>
      <c r="G93" s="1"/>
      <c r="H93" s="1">
        <f>SUM(OSRRefH22_4x_0)</f>
        <v>100</v>
      </c>
      <c r="I93" s="1"/>
      <c r="J93" s="5">
        <f t="shared" ref="J93:J99" si="40">IF(H$12=0,0,H93/H$12)</f>
        <v>2.5711567634278663E-3</v>
      </c>
      <c r="K93" s="1"/>
      <c r="L93" s="1">
        <f t="shared" ref="L93:L99" si="41">+D93-H93</f>
        <v>-100</v>
      </c>
      <c r="M93" s="1"/>
      <c r="N93" s="5">
        <f t="shared" ref="N93:N99" si="42">IF(H93=0,0,L93/H93)</f>
        <v>-1</v>
      </c>
      <c r="O93" s="12"/>
      <c r="P93" s="1">
        <f>SUM(OSRRefP22_4x_0)</f>
        <v>120.18</v>
      </c>
      <c r="Q93" s="1"/>
      <c r="R93" s="5">
        <f t="shared" ref="R93:R99" si="43">IF(P$12=0,0,P93/P$12)</f>
        <v>3.6074845921865651E-5</v>
      </c>
      <c r="S93" s="1"/>
      <c r="T93" s="1">
        <f>SUM(OSRRefT22_4x_0)</f>
        <v>1100</v>
      </c>
      <c r="U93" s="1"/>
      <c r="V93" s="5">
        <f t="shared" ref="V93:V99" si="44">IF(T$12=0,0,T93/T$12)</f>
        <v>3.2467934962593988E-4</v>
      </c>
      <c r="W93" s="1"/>
      <c r="X93" s="1">
        <f t="shared" ref="X93:X99" si="45">+P93-T93</f>
        <v>-979.81999999999994</v>
      </c>
      <c r="Y93" s="1"/>
      <c r="Z93" s="5">
        <f t="shared" ref="Z93:Z99" si="46">IF(T93=0,0,X93/T93)</f>
        <v>-0.89074545454545451</v>
      </c>
    </row>
    <row r="94" spans="1:26" s="24" customFormat="1" hidden="1" outlineLevel="2" x14ac:dyDescent="0.25">
      <c r="A94" s="26"/>
      <c r="B94" s="11" t="str">
        <f>CONCATENATE("          ", "6277", " - ", "EMPLOYEE APPRECIATION")</f>
        <v xml:space="preserve">          6277 - EMPLOYEE APPRECIATION</v>
      </c>
      <c r="C94" s="11"/>
      <c r="D94" s="7"/>
      <c r="E94" s="2"/>
      <c r="F94" s="6">
        <f t="shared" si="39"/>
        <v>0</v>
      </c>
      <c r="G94" s="2"/>
      <c r="H94" s="7">
        <v>100</v>
      </c>
      <c r="I94" s="2"/>
      <c r="J94" s="6">
        <f t="shared" si="40"/>
        <v>2.5711567634278663E-3</v>
      </c>
      <c r="K94" s="2"/>
      <c r="L94" s="7">
        <f t="shared" si="41"/>
        <v>-100</v>
      </c>
      <c r="M94" s="2"/>
      <c r="N94" s="6">
        <f t="shared" si="42"/>
        <v>-1</v>
      </c>
      <c r="O94" s="11"/>
      <c r="P94" s="7">
        <v>120.18</v>
      </c>
      <c r="Q94" s="2"/>
      <c r="R94" s="6">
        <f t="shared" si="43"/>
        <v>3.6074845921865651E-5</v>
      </c>
      <c r="S94" s="2"/>
      <c r="T94" s="7">
        <v>1100</v>
      </c>
      <c r="U94" s="2"/>
      <c r="V94" s="6">
        <f t="shared" si="44"/>
        <v>3.2467934962593988E-4</v>
      </c>
      <c r="W94" s="2"/>
      <c r="X94" s="7">
        <f t="shared" si="45"/>
        <v>-979.81999999999994</v>
      </c>
      <c r="Y94" s="2"/>
      <c r="Z94" s="6">
        <f t="shared" si="46"/>
        <v>-0.89074545454545451</v>
      </c>
    </row>
    <row r="95" spans="1:26" s="27" customFormat="1" outlineLevel="1" collapsed="1" x14ac:dyDescent="0.25">
      <c r="A95" s="25"/>
      <c r="B95" s="12" t="str">
        <f>CONCATENATE("     ","Equipment Rental                                  ")</f>
        <v xml:space="preserve">     Equipment Rental                                  </v>
      </c>
      <c r="C95" s="12"/>
      <c r="D95" s="1">
        <f>SUM(OSRRefD22_5x_0)</f>
        <v>91.26</v>
      </c>
      <c r="E95" s="1"/>
      <c r="F95" s="5">
        <f t="shared" si="39"/>
        <v>2.3769308004755949E-3</v>
      </c>
      <c r="G95" s="1"/>
      <c r="H95" s="1">
        <f>SUM(OSRRefH22_5x_0)</f>
        <v>100</v>
      </c>
      <c r="I95" s="1"/>
      <c r="J95" s="5">
        <f t="shared" si="40"/>
        <v>2.5711567634278663E-3</v>
      </c>
      <c r="K95" s="1"/>
      <c r="L95" s="1">
        <f t="shared" si="41"/>
        <v>-8.7399999999999949</v>
      </c>
      <c r="M95" s="1"/>
      <c r="N95" s="5">
        <f t="shared" si="42"/>
        <v>-8.739999999999995E-2</v>
      </c>
      <c r="O95" s="12"/>
      <c r="P95" s="1">
        <f>SUM(OSRRefP22_5x_0)</f>
        <v>1003.86</v>
      </c>
      <c r="Q95" s="1"/>
      <c r="R95" s="5">
        <f t="shared" si="43"/>
        <v>3.0133212537131014E-4</v>
      </c>
      <c r="S95" s="1"/>
      <c r="T95" s="1">
        <f>SUM(OSRRefT22_5x_0)</f>
        <v>1100</v>
      </c>
      <c r="U95" s="1"/>
      <c r="V95" s="5">
        <f t="shared" si="44"/>
        <v>3.2467934962593988E-4</v>
      </c>
      <c r="W95" s="1"/>
      <c r="X95" s="1">
        <f t="shared" si="45"/>
        <v>-96.139999999999986</v>
      </c>
      <c r="Y95" s="1"/>
      <c r="Z95" s="5">
        <f t="shared" si="46"/>
        <v>-8.7399999999999992E-2</v>
      </c>
    </row>
    <row r="96" spans="1:26" s="24" customFormat="1" hidden="1" outlineLevel="2" x14ac:dyDescent="0.25">
      <c r="A96" s="26"/>
      <c r="B96" s="11" t="str">
        <f>CONCATENATE("          ", "6351", " - ", "EQUIPMENT RENTAL")</f>
        <v xml:space="preserve">          6351 - EQUIPMENT RENTAL</v>
      </c>
      <c r="C96" s="11"/>
      <c r="D96" s="7">
        <v>91.26</v>
      </c>
      <c r="E96" s="2"/>
      <c r="F96" s="6">
        <f t="shared" si="39"/>
        <v>2.3769308004755949E-3</v>
      </c>
      <c r="G96" s="2"/>
      <c r="H96" s="7">
        <v>100</v>
      </c>
      <c r="I96" s="2"/>
      <c r="J96" s="6">
        <f t="shared" si="40"/>
        <v>2.5711567634278663E-3</v>
      </c>
      <c r="K96" s="2"/>
      <c r="L96" s="7">
        <f t="shared" si="41"/>
        <v>-8.7399999999999949</v>
      </c>
      <c r="M96" s="2"/>
      <c r="N96" s="6">
        <f t="shared" si="42"/>
        <v>-8.739999999999995E-2</v>
      </c>
      <c r="O96" s="11"/>
      <c r="P96" s="7">
        <v>1003.86</v>
      </c>
      <c r="Q96" s="2"/>
      <c r="R96" s="6">
        <f t="shared" si="43"/>
        <v>3.0133212537131014E-4</v>
      </c>
      <c r="S96" s="2"/>
      <c r="T96" s="7">
        <v>1100</v>
      </c>
      <c r="U96" s="2"/>
      <c r="V96" s="6">
        <f t="shared" si="44"/>
        <v>3.2467934962593988E-4</v>
      </c>
      <c r="W96" s="2"/>
      <c r="X96" s="7">
        <f t="shared" si="45"/>
        <v>-96.139999999999986</v>
      </c>
      <c r="Y96" s="2"/>
      <c r="Z96" s="6">
        <f t="shared" si="46"/>
        <v>-8.7399999999999992E-2</v>
      </c>
    </row>
    <row r="97" spans="1:26" s="27" customFormat="1" outlineLevel="1" collapsed="1" x14ac:dyDescent="0.25">
      <c r="A97" s="25"/>
      <c r="B97" s="12" t="str">
        <f>CONCATENATE("     ","Freight out/Postage                               ")</f>
        <v xml:space="preserve">     Freight out/Postage                               </v>
      </c>
      <c r="C97" s="12"/>
      <c r="D97" s="1">
        <f>SUM(OSRRefD22_6x_0)</f>
        <v>1082.96</v>
      </c>
      <c r="E97" s="1"/>
      <c r="F97" s="5">
        <f t="shared" si="39"/>
        <v>2.820645386459621E-2</v>
      </c>
      <c r="G97" s="1"/>
      <c r="H97" s="1">
        <f>SUM(OSRRefH22_6x_0)</f>
        <v>1500</v>
      </c>
      <c r="I97" s="1"/>
      <c r="J97" s="5">
        <f t="shared" si="40"/>
        <v>3.8567351451417993E-2</v>
      </c>
      <c r="K97" s="1"/>
      <c r="L97" s="1">
        <f t="shared" si="41"/>
        <v>-417.03999999999996</v>
      </c>
      <c r="M97" s="1"/>
      <c r="N97" s="5">
        <f t="shared" si="42"/>
        <v>-0.27802666666666664</v>
      </c>
      <c r="O97" s="12"/>
      <c r="P97" s="1">
        <f>SUM(OSRRefP22_6x_0)</f>
        <v>23849.200000000001</v>
      </c>
      <c r="Q97" s="1"/>
      <c r="R97" s="5">
        <f t="shared" si="43"/>
        <v>7.1588967828237499E-3</v>
      </c>
      <c r="S97" s="1"/>
      <c r="T97" s="1">
        <f>SUM(OSRRefT22_6x_0)</f>
        <v>27800</v>
      </c>
      <c r="U97" s="1"/>
      <c r="V97" s="5">
        <f t="shared" si="44"/>
        <v>8.2055326541828448E-3</v>
      </c>
      <c r="W97" s="1"/>
      <c r="X97" s="1">
        <f t="shared" si="45"/>
        <v>-3950.7999999999993</v>
      </c>
      <c r="Y97" s="1"/>
      <c r="Z97" s="5">
        <f t="shared" si="46"/>
        <v>-0.14211510791366905</v>
      </c>
    </row>
    <row r="98" spans="1:26" s="24" customFormat="1" hidden="1" outlineLevel="2" x14ac:dyDescent="0.25">
      <c r="A98" s="26"/>
      <c r="B98" s="11" t="str">
        <f>CONCATENATE("          ", "6305", " - ", "FREIGHT OUT")</f>
        <v xml:space="preserve">          6305 - FREIGHT OUT</v>
      </c>
      <c r="C98" s="11"/>
      <c r="D98" s="7">
        <v>1082.96</v>
      </c>
      <c r="E98" s="2"/>
      <c r="F98" s="6">
        <f t="shared" si="39"/>
        <v>2.820645386459621E-2</v>
      </c>
      <c r="G98" s="2"/>
      <c r="H98" s="7">
        <v>1500</v>
      </c>
      <c r="I98" s="2"/>
      <c r="J98" s="6">
        <f t="shared" si="40"/>
        <v>3.8567351451417993E-2</v>
      </c>
      <c r="K98" s="2"/>
      <c r="L98" s="7">
        <f t="shared" si="41"/>
        <v>-417.03999999999996</v>
      </c>
      <c r="M98" s="2"/>
      <c r="N98" s="6">
        <f t="shared" si="42"/>
        <v>-0.27802666666666664</v>
      </c>
      <c r="O98" s="11"/>
      <c r="P98" s="7">
        <v>23847.25</v>
      </c>
      <c r="Q98" s="2"/>
      <c r="R98" s="6">
        <f t="shared" si="43"/>
        <v>7.1583114445848781E-3</v>
      </c>
      <c r="S98" s="2"/>
      <c r="T98" s="7">
        <v>27800</v>
      </c>
      <c r="U98" s="2"/>
      <c r="V98" s="6">
        <f t="shared" si="44"/>
        <v>8.2055326541828448E-3</v>
      </c>
      <c r="W98" s="2"/>
      <c r="X98" s="7">
        <f t="shared" si="45"/>
        <v>-3952.75</v>
      </c>
      <c r="Y98" s="2"/>
      <c r="Z98" s="6">
        <f t="shared" si="46"/>
        <v>-0.14218525179856115</v>
      </c>
    </row>
    <row r="99" spans="1:26" s="24" customFormat="1" hidden="1" outlineLevel="2" x14ac:dyDescent="0.25">
      <c r="A99" s="26"/>
      <c r="B99" s="11" t="str">
        <f>CONCATENATE("          ", "6307", " - ", "POSTAGE")</f>
        <v xml:space="preserve">          6307 - POSTAGE</v>
      </c>
      <c r="C99" s="11"/>
      <c r="D99" s="7"/>
      <c r="E99" s="2"/>
      <c r="F99" s="6">
        <f t="shared" si="39"/>
        <v>0</v>
      </c>
      <c r="G99" s="2"/>
      <c r="H99" s="7"/>
      <c r="I99" s="2"/>
      <c r="J99" s="6">
        <f t="shared" si="40"/>
        <v>0</v>
      </c>
      <c r="K99" s="2"/>
      <c r="L99" s="7">
        <f t="shared" si="41"/>
        <v>0</v>
      </c>
      <c r="M99" s="2"/>
      <c r="N99" s="6">
        <f t="shared" si="42"/>
        <v>0</v>
      </c>
      <c r="O99" s="11"/>
      <c r="P99" s="7">
        <v>1.95</v>
      </c>
      <c r="Q99" s="2"/>
      <c r="R99" s="6">
        <f t="shared" si="43"/>
        <v>5.8533823887200881E-7</v>
      </c>
      <c r="S99" s="2"/>
      <c r="T99" s="7"/>
      <c r="U99" s="2"/>
      <c r="V99" s="6">
        <f t="shared" si="44"/>
        <v>0</v>
      </c>
      <c r="W99" s="2"/>
      <c r="X99" s="7">
        <f t="shared" si="45"/>
        <v>1.95</v>
      </c>
      <c r="Y99" s="2"/>
      <c r="Z99" s="6">
        <f t="shared" si="46"/>
        <v>0</v>
      </c>
    </row>
    <row r="100" spans="1:26" s="27" customFormat="1" outlineLevel="1" collapsed="1" x14ac:dyDescent="0.25">
      <c r="A100" s="25"/>
      <c r="B100" s="12" t="str">
        <f>CONCATENATE("     ","General                                           ")</f>
        <v xml:space="preserve">     General                                           </v>
      </c>
      <c r="C100" s="12"/>
      <c r="D100" s="1">
        <f>SUM(OSRRefD22_7x_0)</f>
        <v>0</v>
      </c>
      <c r="E100" s="1"/>
      <c r="F100" s="5">
        <f t="shared" ref="F100:F108" si="47">IF(D$12=0,0,D100/D$12)</f>
        <v>0</v>
      </c>
      <c r="G100" s="1"/>
      <c r="H100" s="1">
        <f>SUM(OSRRefH22_7x_0)</f>
        <v>0</v>
      </c>
      <c r="I100" s="1"/>
      <c r="J100" s="5">
        <f t="shared" ref="J100:J108" si="48">IF(H$12=0,0,H100/H$12)</f>
        <v>0</v>
      </c>
      <c r="K100" s="1"/>
      <c r="L100" s="1">
        <f t="shared" ref="L100:L108" si="49">+D100-H100</f>
        <v>0</v>
      </c>
      <c r="M100" s="1"/>
      <c r="N100" s="5">
        <f t="shared" ref="N100:N108" si="50">IF(H100=0,0,L100/H100)</f>
        <v>0</v>
      </c>
      <c r="O100" s="12"/>
      <c r="P100" s="1">
        <f>SUM(OSRRefP22_7x_0)</f>
        <v>7593.03</v>
      </c>
      <c r="Q100" s="1"/>
      <c r="R100" s="5">
        <f t="shared" ref="R100:R108" si="51">IF(P$12=0,0,P100/P$12)</f>
        <v>2.2792260553345278E-3</v>
      </c>
      <c r="S100" s="1"/>
      <c r="T100" s="1">
        <f>SUM(OSRRefT22_7x_0)</f>
        <v>26000</v>
      </c>
      <c r="U100" s="1"/>
      <c r="V100" s="5">
        <f t="shared" ref="V100:V108" si="52">IF(T$12=0,0,T100/T$12)</f>
        <v>7.6742391729767608E-3</v>
      </c>
      <c r="W100" s="1"/>
      <c r="X100" s="1">
        <f t="shared" ref="X100:X108" si="53">+P100-T100</f>
        <v>-18406.97</v>
      </c>
      <c r="Y100" s="1"/>
      <c r="Z100" s="5">
        <f t="shared" ref="Z100:Z108" si="54">IF(T100=0,0,X100/T100)</f>
        <v>-0.70796038461538469</v>
      </c>
    </row>
    <row r="101" spans="1:26" s="24" customFormat="1" hidden="1" outlineLevel="2" x14ac:dyDescent="0.25">
      <c r="A101" s="26"/>
      <c r="B101" s="11" t="str">
        <f>CONCATENATE("          ", "6279", " - ", "GENERAL EXPENSE")</f>
        <v xml:space="preserve">          6279 - GENERAL EXPENSE</v>
      </c>
      <c r="C101" s="11"/>
      <c r="D101" s="7"/>
      <c r="E101" s="2"/>
      <c r="F101" s="6">
        <f t="shared" si="47"/>
        <v>0</v>
      </c>
      <c r="G101" s="2"/>
      <c r="H101" s="7"/>
      <c r="I101" s="2"/>
      <c r="J101" s="6">
        <f t="shared" si="48"/>
        <v>0</v>
      </c>
      <c r="K101" s="2"/>
      <c r="L101" s="7">
        <f t="shared" si="49"/>
        <v>0</v>
      </c>
      <c r="M101" s="2"/>
      <c r="N101" s="6">
        <f t="shared" si="50"/>
        <v>0</v>
      </c>
      <c r="O101" s="11"/>
      <c r="P101" s="7">
        <v>7593.03</v>
      </c>
      <c r="Q101" s="2"/>
      <c r="R101" s="6">
        <f t="shared" si="51"/>
        <v>2.2792260553345278E-3</v>
      </c>
      <c r="S101" s="2"/>
      <c r="T101" s="7">
        <v>26000</v>
      </c>
      <c r="U101" s="2"/>
      <c r="V101" s="6">
        <f t="shared" si="52"/>
        <v>7.6742391729767608E-3</v>
      </c>
      <c r="W101" s="2"/>
      <c r="X101" s="7">
        <f t="shared" si="53"/>
        <v>-18406.97</v>
      </c>
      <c r="Y101" s="2"/>
      <c r="Z101" s="6">
        <f t="shared" si="54"/>
        <v>-0.70796038461538469</v>
      </c>
    </row>
    <row r="102" spans="1:26" s="27" customFormat="1" outlineLevel="1" collapsed="1" x14ac:dyDescent="0.25">
      <c r="A102" s="25"/>
      <c r="B102" s="12" t="str">
        <f>CONCATENATE("     ","Inventory Adjustment                              ")</f>
        <v xml:space="preserve">     Inventory Adjustment                              </v>
      </c>
      <c r="C102" s="12"/>
      <c r="D102" s="1">
        <f>SUM(OSRRefD22_8x_0)</f>
        <v>1000</v>
      </c>
      <c r="E102" s="1"/>
      <c r="F102" s="5">
        <f t="shared" si="47"/>
        <v>2.604570239399074E-2</v>
      </c>
      <c r="G102" s="1"/>
      <c r="H102" s="1">
        <f>SUM(OSRRefH22_8x_0)</f>
        <v>1000</v>
      </c>
      <c r="I102" s="1"/>
      <c r="J102" s="5">
        <f t="shared" si="48"/>
        <v>2.5711567634278662E-2</v>
      </c>
      <c r="K102" s="1"/>
      <c r="L102" s="1">
        <f t="shared" si="49"/>
        <v>0</v>
      </c>
      <c r="M102" s="1"/>
      <c r="N102" s="5">
        <f t="shared" si="50"/>
        <v>0</v>
      </c>
      <c r="O102" s="12"/>
      <c r="P102" s="1">
        <f>SUM(OSRRefP22_8x_0)</f>
        <v>16800</v>
      </c>
      <c r="Q102" s="1"/>
      <c r="R102" s="5">
        <f t="shared" si="51"/>
        <v>5.0429140579742295E-3</v>
      </c>
      <c r="S102" s="1"/>
      <c r="T102" s="1">
        <f>SUM(OSRRefT22_8x_0)</f>
        <v>16800</v>
      </c>
      <c r="U102" s="1"/>
      <c r="V102" s="5">
        <f t="shared" si="52"/>
        <v>4.9587391579234454E-3</v>
      </c>
      <c r="W102" s="1"/>
      <c r="X102" s="1">
        <f t="shared" si="53"/>
        <v>0</v>
      </c>
      <c r="Y102" s="1"/>
      <c r="Z102" s="5">
        <f t="shared" si="54"/>
        <v>0</v>
      </c>
    </row>
    <row r="103" spans="1:26" s="24" customFormat="1" hidden="1" outlineLevel="2" x14ac:dyDescent="0.25">
      <c r="A103" s="26"/>
      <c r="B103" s="11" t="str">
        <f>CONCATENATE("          ", "6408", " - ", "INVENTORY ADJUSTMENT")</f>
        <v xml:space="preserve">          6408 - INVENTORY ADJUSTMENT</v>
      </c>
      <c r="C103" s="11"/>
      <c r="D103" s="7">
        <v>1000</v>
      </c>
      <c r="E103" s="2"/>
      <c r="F103" s="6">
        <f t="shared" si="47"/>
        <v>2.604570239399074E-2</v>
      </c>
      <c r="G103" s="2"/>
      <c r="H103" s="7">
        <v>1000</v>
      </c>
      <c r="I103" s="2"/>
      <c r="J103" s="6">
        <f t="shared" si="48"/>
        <v>2.5711567634278662E-2</v>
      </c>
      <c r="K103" s="2"/>
      <c r="L103" s="7">
        <f t="shared" si="49"/>
        <v>0</v>
      </c>
      <c r="M103" s="2"/>
      <c r="N103" s="6">
        <f t="shared" si="50"/>
        <v>0</v>
      </c>
      <c r="O103" s="11"/>
      <c r="P103" s="7">
        <v>16800</v>
      </c>
      <c r="Q103" s="2"/>
      <c r="R103" s="6">
        <f t="shared" si="51"/>
        <v>5.0429140579742295E-3</v>
      </c>
      <c r="S103" s="2"/>
      <c r="T103" s="7">
        <v>16800</v>
      </c>
      <c r="U103" s="2"/>
      <c r="V103" s="6">
        <f t="shared" si="52"/>
        <v>4.9587391579234454E-3</v>
      </c>
      <c r="W103" s="2"/>
      <c r="X103" s="7">
        <f t="shared" si="53"/>
        <v>0</v>
      </c>
      <c r="Y103" s="2"/>
      <c r="Z103" s="6">
        <f t="shared" si="54"/>
        <v>0</v>
      </c>
    </row>
    <row r="104" spans="1:26" s="27" customFormat="1" outlineLevel="1" collapsed="1" x14ac:dyDescent="0.25">
      <c r="A104" s="25"/>
      <c r="B104" s="12" t="str">
        <f>CONCATENATE("     ","Repair and Maintenance                            ")</f>
        <v xml:space="preserve">     Repair and Maintenance                            </v>
      </c>
      <c r="C104" s="12"/>
      <c r="D104" s="1">
        <f>SUM(OSRRefD22_9x_0)</f>
        <v>45.72</v>
      </c>
      <c r="E104" s="1"/>
      <c r="F104" s="5">
        <f t="shared" si="47"/>
        <v>1.1908095134532566E-3</v>
      </c>
      <c r="G104" s="1"/>
      <c r="H104" s="1">
        <f>SUM(OSRRefH22_9x_0)</f>
        <v>12140</v>
      </c>
      <c r="I104" s="1"/>
      <c r="J104" s="5">
        <f t="shared" si="48"/>
        <v>0.31213843108014294</v>
      </c>
      <c r="K104" s="1"/>
      <c r="L104" s="1">
        <f t="shared" si="49"/>
        <v>-12094.28</v>
      </c>
      <c r="M104" s="1"/>
      <c r="N104" s="5">
        <f t="shared" si="50"/>
        <v>-0.9962339373970347</v>
      </c>
      <c r="O104" s="12"/>
      <c r="P104" s="1">
        <f>SUM(OSRRefP22_9x_0)</f>
        <v>288.17</v>
      </c>
      <c r="Q104" s="1"/>
      <c r="R104" s="5">
        <f t="shared" si="51"/>
        <v>8.6500984767049632E-5</v>
      </c>
      <c r="S104" s="1"/>
      <c r="T104" s="1">
        <f>SUM(OSRRefT22_9x_0)</f>
        <v>15540</v>
      </c>
      <c r="U104" s="1"/>
      <c r="V104" s="5">
        <f t="shared" si="52"/>
        <v>4.586833721079187E-3</v>
      </c>
      <c r="W104" s="1"/>
      <c r="X104" s="1">
        <f t="shared" si="53"/>
        <v>-15251.83</v>
      </c>
      <c r="Y104" s="1"/>
      <c r="Z104" s="5">
        <f t="shared" si="54"/>
        <v>-0.98145624195624193</v>
      </c>
    </row>
    <row r="105" spans="1:26" s="24" customFormat="1" hidden="1" outlineLevel="2" x14ac:dyDescent="0.25">
      <c r="A105" s="26"/>
      <c r="B105" s="11" t="str">
        <f>CONCATENATE("          ", "6371", " - ", "COMPUTER SOFTWARE MAINTENANCE")</f>
        <v xml:space="preserve">          6371 - COMPUTER SOFTWARE MAINTENANCE</v>
      </c>
      <c r="C105" s="11"/>
      <c r="D105" s="7"/>
      <c r="E105" s="2"/>
      <c r="F105" s="6">
        <f t="shared" si="47"/>
        <v>0</v>
      </c>
      <c r="G105" s="2"/>
      <c r="H105" s="7">
        <v>12000</v>
      </c>
      <c r="I105" s="2"/>
      <c r="J105" s="6">
        <f t="shared" si="48"/>
        <v>0.30853881161134394</v>
      </c>
      <c r="K105" s="2"/>
      <c r="L105" s="7">
        <f t="shared" si="49"/>
        <v>-12000</v>
      </c>
      <c r="M105" s="2"/>
      <c r="N105" s="6">
        <f t="shared" si="50"/>
        <v>-1</v>
      </c>
      <c r="O105" s="11"/>
      <c r="P105" s="7"/>
      <c r="Q105" s="2"/>
      <c r="R105" s="6">
        <f t="shared" si="51"/>
        <v>0</v>
      </c>
      <c r="S105" s="2"/>
      <c r="T105" s="7">
        <v>12000</v>
      </c>
      <c r="U105" s="2"/>
      <c r="V105" s="6">
        <f t="shared" si="52"/>
        <v>3.5419565413738895E-3</v>
      </c>
      <c r="W105" s="2"/>
      <c r="X105" s="7">
        <f t="shared" si="53"/>
        <v>-12000</v>
      </c>
      <c r="Y105" s="2"/>
      <c r="Z105" s="6">
        <f t="shared" si="54"/>
        <v>-1</v>
      </c>
    </row>
    <row r="106" spans="1:26" s="24" customFormat="1" hidden="1" outlineLevel="2" x14ac:dyDescent="0.25">
      <c r="A106" s="26"/>
      <c r="B106" s="11" t="str">
        <f>CONCATENATE("          ", "6372", " - ", "COMPUTER HARDWARE MAINTENANCE")</f>
        <v xml:space="preserve">          6372 - COMPUTER HARDWARE MAINTENANCE</v>
      </c>
      <c r="C106" s="11"/>
      <c r="D106" s="7"/>
      <c r="E106" s="2"/>
      <c r="F106" s="6">
        <f t="shared" si="47"/>
        <v>0</v>
      </c>
      <c r="G106" s="2"/>
      <c r="H106" s="7"/>
      <c r="I106" s="2"/>
      <c r="J106" s="6">
        <f t="shared" si="48"/>
        <v>0</v>
      </c>
      <c r="K106" s="2"/>
      <c r="L106" s="7">
        <f t="shared" si="49"/>
        <v>0</v>
      </c>
      <c r="M106" s="2"/>
      <c r="N106" s="6">
        <f t="shared" si="50"/>
        <v>0</v>
      </c>
      <c r="O106" s="11"/>
      <c r="P106" s="7"/>
      <c r="Q106" s="2"/>
      <c r="R106" s="6">
        <f t="shared" si="51"/>
        <v>0</v>
      </c>
      <c r="S106" s="2"/>
      <c r="T106" s="7">
        <v>2000</v>
      </c>
      <c r="U106" s="2"/>
      <c r="V106" s="6">
        <f t="shared" si="52"/>
        <v>5.9032609022898158E-4</v>
      </c>
      <c r="W106" s="2"/>
      <c r="X106" s="7">
        <f t="shared" si="53"/>
        <v>-2000</v>
      </c>
      <c r="Y106" s="2"/>
      <c r="Z106" s="6">
        <f t="shared" si="54"/>
        <v>-1</v>
      </c>
    </row>
    <row r="107" spans="1:26" s="24" customFormat="1" hidden="1" outlineLevel="2" x14ac:dyDescent="0.25">
      <c r="A107" s="26"/>
      <c r="B107" s="11" t="str">
        <f>CONCATENATE("          ", "6373", " - ", "MAINTENANCE CONTRACTS")</f>
        <v xml:space="preserve">          6373 - MAINTENANCE CONTRACTS</v>
      </c>
      <c r="C107" s="11"/>
      <c r="D107" s="7">
        <v>45.72</v>
      </c>
      <c r="E107" s="2"/>
      <c r="F107" s="6">
        <f t="shared" si="47"/>
        <v>1.1908095134532566E-3</v>
      </c>
      <c r="G107" s="2"/>
      <c r="H107" s="7">
        <v>40</v>
      </c>
      <c r="I107" s="2"/>
      <c r="J107" s="6">
        <f t="shared" si="48"/>
        <v>1.0284627053711464E-3</v>
      </c>
      <c r="K107" s="2"/>
      <c r="L107" s="7">
        <f t="shared" si="49"/>
        <v>5.7199999999999989</v>
      </c>
      <c r="M107" s="2"/>
      <c r="N107" s="6">
        <f t="shared" si="50"/>
        <v>0.14299999999999996</v>
      </c>
      <c r="O107" s="11"/>
      <c r="P107" s="7">
        <v>288.17</v>
      </c>
      <c r="Q107" s="2"/>
      <c r="R107" s="6">
        <f t="shared" si="51"/>
        <v>8.6500984767049632E-5</v>
      </c>
      <c r="S107" s="2"/>
      <c r="T107" s="7">
        <v>440</v>
      </c>
      <c r="U107" s="2"/>
      <c r="V107" s="6">
        <f t="shared" si="52"/>
        <v>1.2987173985037594E-4</v>
      </c>
      <c r="W107" s="2"/>
      <c r="X107" s="7">
        <f t="shared" si="53"/>
        <v>-151.82999999999998</v>
      </c>
      <c r="Y107" s="2"/>
      <c r="Z107" s="6">
        <f t="shared" si="54"/>
        <v>-0.34506818181818177</v>
      </c>
    </row>
    <row r="108" spans="1:26" s="24" customFormat="1" hidden="1" outlineLevel="2" x14ac:dyDescent="0.25">
      <c r="A108" s="26"/>
      <c r="B108" s="11" t="str">
        <f>CONCATENATE("          ", "6375", " - ", "OUTSIDE REPAIRS &amp; MAINTENANCE")</f>
        <v xml:space="preserve">          6375 - OUTSIDE REPAIRS &amp; MAINTENANCE</v>
      </c>
      <c r="C108" s="11"/>
      <c r="D108" s="7"/>
      <c r="E108" s="2"/>
      <c r="F108" s="6">
        <f t="shared" si="47"/>
        <v>0</v>
      </c>
      <c r="G108" s="2"/>
      <c r="H108" s="7">
        <v>100</v>
      </c>
      <c r="I108" s="2"/>
      <c r="J108" s="6">
        <f t="shared" si="48"/>
        <v>2.5711567634278663E-3</v>
      </c>
      <c r="K108" s="2"/>
      <c r="L108" s="7">
        <f t="shared" si="49"/>
        <v>-100</v>
      </c>
      <c r="M108" s="2"/>
      <c r="N108" s="6">
        <f t="shared" si="50"/>
        <v>-1</v>
      </c>
      <c r="O108" s="11"/>
      <c r="P108" s="7"/>
      <c r="Q108" s="2"/>
      <c r="R108" s="6">
        <f t="shared" si="51"/>
        <v>0</v>
      </c>
      <c r="S108" s="2"/>
      <c r="T108" s="7">
        <v>1100</v>
      </c>
      <c r="U108" s="2"/>
      <c r="V108" s="6">
        <f t="shared" si="52"/>
        <v>3.2467934962593988E-4</v>
      </c>
      <c r="W108" s="2"/>
      <c r="X108" s="7">
        <f t="shared" si="53"/>
        <v>-1100</v>
      </c>
      <c r="Y108" s="2"/>
      <c r="Z108" s="6">
        <f t="shared" si="54"/>
        <v>-1</v>
      </c>
    </row>
    <row r="109" spans="1:26" s="27" customFormat="1" outlineLevel="1" collapsed="1" x14ac:dyDescent="0.25">
      <c r="A109" s="25"/>
      <c r="B109" s="12" t="str">
        <f>CONCATENATE("     ","Subscriptions &amp; Dues                              ")</f>
        <v xml:space="preserve">     Subscriptions &amp; Dues                              </v>
      </c>
      <c r="C109" s="12"/>
      <c r="D109" s="1">
        <f>SUM(OSRRefD22_10x_0)</f>
        <v>260</v>
      </c>
      <c r="E109" s="1"/>
      <c r="F109" s="5">
        <f t="shared" ref="F109:F111" si="55">IF(D$12=0,0,D109/D$12)</f>
        <v>6.7718826224375918E-3</v>
      </c>
      <c r="G109" s="1"/>
      <c r="H109" s="1">
        <f>SUM(OSRRefH22_10x_0)</f>
        <v>300</v>
      </c>
      <c r="I109" s="1"/>
      <c r="J109" s="5">
        <f t="shared" ref="J109:J111" si="56">IF(H$12=0,0,H109/H$12)</f>
        <v>7.7134702902835984E-3</v>
      </c>
      <c r="K109" s="1"/>
      <c r="L109" s="1">
        <f t="shared" ref="L109:L111" si="57">+D109-H109</f>
        <v>-40</v>
      </c>
      <c r="M109" s="1"/>
      <c r="N109" s="5">
        <f t="shared" ref="N109:N111" si="58">IF(H109=0,0,L109/H109)</f>
        <v>-0.13333333333333333</v>
      </c>
      <c r="O109" s="12"/>
      <c r="P109" s="1">
        <f>SUM(OSRRefP22_10x_0)</f>
        <v>5310.5599999999995</v>
      </c>
      <c r="Q109" s="1"/>
      <c r="R109" s="5">
        <f t="shared" ref="R109:R111" si="59">IF(P$12=0,0,P109/P$12)</f>
        <v>1.5940891476021203E-3</v>
      </c>
      <c r="S109" s="1"/>
      <c r="T109" s="1">
        <f>SUM(OSRRefT22_10x_0)</f>
        <v>7600</v>
      </c>
      <c r="U109" s="1"/>
      <c r="V109" s="5">
        <f t="shared" ref="V109:V111" si="60">IF(T$12=0,0,T109/T$12)</f>
        <v>2.24323914287013E-3</v>
      </c>
      <c r="W109" s="1"/>
      <c r="X109" s="1">
        <f t="shared" ref="X109:X111" si="61">+P109-T109</f>
        <v>-2289.4400000000005</v>
      </c>
      <c r="Y109" s="1"/>
      <c r="Z109" s="5">
        <f t="shared" ref="Z109:Z111" si="62">IF(T109=0,0,X109/T109)</f>
        <v>-0.30124210526315798</v>
      </c>
    </row>
    <row r="110" spans="1:26" s="24" customFormat="1" hidden="1" outlineLevel="2" x14ac:dyDescent="0.25">
      <c r="A110" s="26"/>
      <c r="B110" s="11" t="str">
        <f>CONCATENATE("          ", "6258", " - ", "MEMBERSHIP DUES")</f>
        <v xml:space="preserve">          6258 - MEMBERSHIP DUES</v>
      </c>
      <c r="C110" s="11"/>
      <c r="D110" s="7">
        <v>260</v>
      </c>
      <c r="E110" s="2"/>
      <c r="F110" s="6">
        <f t="shared" si="55"/>
        <v>6.7718826224375918E-3</v>
      </c>
      <c r="G110" s="2"/>
      <c r="H110" s="7">
        <v>300</v>
      </c>
      <c r="I110" s="2"/>
      <c r="J110" s="6">
        <f t="shared" si="56"/>
        <v>7.7134702902835984E-3</v>
      </c>
      <c r="K110" s="2"/>
      <c r="L110" s="7">
        <f t="shared" si="57"/>
        <v>-40</v>
      </c>
      <c r="M110" s="2"/>
      <c r="N110" s="6">
        <f t="shared" si="58"/>
        <v>-0.13333333333333333</v>
      </c>
      <c r="O110" s="11"/>
      <c r="P110" s="7">
        <v>3458.48</v>
      </c>
      <c r="Q110" s="2"/>
      <c r="R110" s="6">
        <f t="shared" si="59"/>
        <v>1.0381438935251615E-3</v>
      </c>
      <c r="S110" s="2"/>
      <c r="T110" s="7">
        <v>7600</v>
      </c>
      <c r="U110" s="2"/>
      <c r="V110" s="6">
        <f t="shared" si="60"/>
        <v>2.24323914287013E-3</v>
      </c>
      <c r="W110" s="2"/>
      <c r="X110" s="7">
        <f t="shared" si="61"/>
        <v>-4141.5200000000004</v>
      </c>
      <c r="Y110" s="2"/>
      <c r="Z110" s="6">
        <f t="shared" si="62"/>
        <v>-0.54493684210526316</v>
      </c>
    </row>
    <row r="111" spans="1:26" s="24" customFormat="1" hidden="1" outlineLevel="2" x14ac:dyDescent="0.25">
      <c r="A111" s="26"/>
      <c r="B111" s="11" t="str">
        <f>CONCATENATE("          ", "6275", " - ", "SUBSCRIPTIONS")</f>
        <v xml:space="preserve">          6275 - SUBSCRIPTIONS</v>
      </c>
      <c r="C111" s="11"/>
      <c r="D111" s="7"/>
      <c r="E111" s="2"/>
      <c r="F111" s="6">
        <f t="shared" si="55"/>
        <v>0</v>
      </c>
      <c r="G111" s="2"/>
      <c r="H111" s="7"/>
      <c r="I111" s="2"/>
      <c r="J111" s="6">
        <f t="shared" si="56"/>
        <v>0</v>
      </c>
      <c r="K111" s="2"/>
      <c r="L111" s="7">
        <f t="shared" si="57"/>
        <v>0</v>
      </c>
      <c r="M111" s="2"/>
      <c r="N111" s="6">
        <f t="shared" si="58"/>
        <v>0</v>
      </c>
      <c r="O111" s="11"/>
      <c r="P111" s="7">
        <v>1852.08</v>
      </c>
      <c r="Q111" s="2"/>
      <c r="R111" s="6">
        <f t="shared" si="59"/>
        <v>5.5594525407695898E-4</v>
      </c>
      <c r="S111" s="2"/>
      <c r="T111" s="7"/>
      <c r="U111" s="2"/>
      <c r="V111" s="6">
        <f t="shared" si="60"/>
        <v>0</v>
      </c>
      <c r="W111" s="2"/>
      <c r="X111" s="7">
        <f t="shared" si="61"/>
        <v>1852.08</v>
      </c>
      <c r="Y111" s="2"/>
      <c r="Z111" s="6">
        <f t="shared" si="62"/>
        <v>0</v>
      </c>
    </row>
    <row r="112" spans="1:26" s="27" customFormat="1" outlineLevel="1" collapsed="1" x14ac:dyDescent="0.25">
      <c r="A112" s="25"/>
      <c r="B112" s="12" t="str">
        <f>CONCATENATE("     ","Supplies                                          ")</f>
        <v xml:space="preserve">     Supplies                                          </v>
      </c>
      <c r="C112" s="12"/>
      <c r="D112" s="1">
        <f>SUM(OSRRefD22_11x_0)</f>
        <v>772.5</v>
      </c>
      <c r="E112" s="1"/>
      <c r="F112" s="5">
        <f t="shared" ref="F112:F115" si="63">IF(D$12=0,0,D112/D$12)</f>
        <v>2.0120305099357846E-2</v>
      </c>
      <c r="G112" s="1"/>
      <c r="H112" s="1">
        <f>SUM(OSRRefH22_11x_0)</f>
        <v>1300</v>
      </c>
      <c r="I112" s="1"/>
      <c r="J112" s="5">
        <f t="shared" ref="J112:J115" si="64">IF(H$12=0,0,H112/H$12)</f>
        <v>3.3425037924562258E-2</v>
      </c>
      <c r="K112" s="1"/>
      <c r="L112" s="1">
        <f t="shared" ref="L112:L115" si="65">+D112-H112</f>
        <v>-527.5</v>
      </c>
      <c r="M112" s="1"/>
      <c r="N112" s="5">
        <f t="shared" ref="N112:N115" si="66">IF(H112=0,0,L112/H112)</f>
        <v>-0.40576923076923077</v>
      </c>
      <c r="O112" s="12"/>
      <c r="P112" s="1">
        <f>SUM(OSRRefP22_11x_0)</f>
        <v>13520.43</v>
      </c>
      <c r="Q112" s="1"/>
      <c r="R112" s="5">
        <f t="shared" ref="R112:R115" si="67">IF(P$12=0,0,P112/P$12)</f>
        <v>4.0584741974319357E-3</v>
      </c>
      <c r="S112" s="1"/>
      <c r="T112" s="1">
        <f>SUM(OSRRefT22_11x_0)</f>
        <v>20250</v>
      </c>
      <c r="U112" s="1"/>
      <c r="V112" s="5">
        <f t="shared" ref="V112:V115" si="68">IF(T$12=0,0,T112/T$12)</f>
        <v>5.9770516635684386E-3</v>
      </c>
      <c r="W112" s="1"/>
      <c r="X112" s="1">
        <f t="shared" ref="X112:X115" si="69">+P112-T112</f>
        <v>-6729.57</v>
      </c>
      <c r="Y112" s="1"/>
      <c r="Z112" s="5">
        <f t="shared" ref="Z112:Z115" si="70">IF(T112=0,0,X112/T112)</f>
        <v>-0.33232444444444442</v>
      </c>
    </row>
    <row r="113" spans="1:26" s="24" customFormat="1" hidden="1" outlineLevel="2" x14ac:dyDescent="0.25">
      <c r="A113" s="26"/>
      <c r="B113" s="11" t="str">
        <f>CONCATENATE("          ", "6241", " - ", "OFFICE EXPENSE")</f>
        <v xml:space="preserve">          6241 - OFFICE EXPENSE</v>
      </c>
      <c r="C113" s="11"/>
      <c r="D113" s="7">
        <v>250.63</v>
      </c>
      <c r="E113" s="2"/>
      <c r="F113" s="6">
        <f t="shared" si="63"/>
        <v>6.5278343910058984E-3</v>
      </c>
      <c r="G113" s="2"/>
      <c r="H113" s="7">
        <v>300</v>
      </c>
      <c r="I113" s="2"/>
      <c r="J113" s="6">
        <f t="shared" si="64"/>
        <v>7.7134702902835984E-3</v>
      </c>
      <c r="K113" s="2"/>
      <c r="L113" s="7">
        <f t="shared" si="65"/>
        <v>-49.370000000000005</v>
      </c>
      <c r="M113" s="2"/>
      <c r="N113" s="6">
        <f t="shared" si="66"/>
        <v>-0.16456666666666669</v>
      </c>
      <c r="O113" s="11"/>
      <c r="P113" s="7">
        <v>4278.49</v>
      </c>
      <c r="Q113" s="2"/>
      <c r="R113" s="6">
        <f t="shared" si="67"/>
        <v>1.2842891290417954E-3</v>
      </c>
      <c r="S113" s="2"/>
      <c r="T113" s="7">
        <v>7850</v>
      </c>
      <c r="U113" s="2"/>
      <c r="V113" s="6">
        <f t="shared" si="68"/>
        <v>2.3170299041487528E-3</v>
      </c>
      <c r="W113" s="2"/>
      <c r="X113" s="7">
        <f t="shared" si="69"/>
        <v>-3571.51</v>
      </c>
      <c r="Y113" s="2"/>
      <c r="Z113" s="6">
        <f t="shared" si="70"/>
        <v>-0.45496942675159241</v>
      </c>
    </row>
    <row r="114" spans="1:26" s="24" customFormat="1" hidden="1" outlineLevel="2" x14ac:dyDescent="0.25">
      <c r="A114" s="26"/>
      <c r="B114" s="11" t="str">
        <f>CONCATENATE("          ", "6245", " - ", "PRINTING")</f>
        <v xml:space="preserve">          6245 - PRINTING</v>
      </c>
      <c r="C114" s="11"/>
      <c r="D114" s="7"/>
      <c r="E114" s="2"/>
      <c r="F114" s="6">
        <f t="shared" si="63"/>
        <v>0</v>
      </c>
      <c r="G114" s="2"/>
      <c r="H114" s="7">
        <v>500</v>
      </c>
      <c r="I114" s="2"/>
      <c r="J114" s="6">
        <f t="shared" si="64"/>
        <v>1.2855783817139331E-2</v>
      </c>
      <c r="K114" s="2"/>
      <c r="L114" s="7">
        <f t="shared" si="65"/>
        <v>-500</v>
      </c>
      <c r="M114" s="2"/>
      <c r="N114" s="6">
        <f t="shared" si="66"/>
        <v>-1</v>
      </c>
      <c r="O114" s="11"/>
      <c r="P114" s="7">
        <v>5198.58</v>
      </c>
      <c r="Q114" s="2"/>
      <c r="R114" s="6">
        <f t="shared" si="67"/>
        <v>1.5604757240180757E-3</v>
      </c>
      <c r="S114" s="2"/>
      <c r="T114" s="7">
        <v>2700</v>
      </c>
      <c r="U114" s="2"/>
      <c r="V114" s="6">
        <f t="shared" si="68"/>
        <v>7.969402218091251E-4</v>
      </c>
      <c r="W114" s="2"/>
      <c r="X114" s="7">
        <f t="shared" si="69"/>
        <v>2498.58</v>
      </c>
      <c r="Y114" s="2"/>
      <c r="Z114" s="6">
        <f t="shared" si="70"/>
        <v>0.9254</v>
      </c>
    </row>
    <row r="115" spans="1:26" s="24" customFormat="1" hidden="1" outlineLevel="2" x14ac:dyDescent="0.25">
      <c r="A115" s="26"/>
      <c r="B115" s="11" t="str">
        <f>CONCATENATE("          ", "6247", " - ", "STORE SUPPLIES")</f>
        <v xml:space="preserve">          6247 - STORE SUPPLIES</v>
      </c>
      <c r="C115" s="11"/>
      <c r="D115" s="7">
        <v>521.87</v>
      </c>
      <c r="E115" s="2"/>
      <c r="F115" s="6">
        <f t="shared" si="63"/>
        <v>1.3592470708351947E-2</v>
      </c>
      <c r="G115" s="2"/>
      <c r="H115" s="7">
        <v>500</v>
      </c>
      <c r="I115" s="2"/>
      <c r="J115" s="6">
        <f t="shared" si="64"/>
        <v>1.2855783817139331E-2</v>
      </c>
      <c r="K115" s="2"/>
      <c r="L115" s="7">
        <f t="shared" si="65"/>
        <v>21.870000000000005</v>
      </c>
      <c r="M115" s="2"/>
      <c r="N115" s="6">
        <f t="shared" si="66"/>
        <v>4.3740000000000008E-2</v>
      </c>
      <c r="O115" s="11"/>
      <c r="P115" s="7">
        <v>4043.36</v>
      </c>
      <c r="Q115" s="2"/>
      <c r="R115" s="6">
        <f t="shared" si="67"/>
        <v>1.2137093443720644E-3</v>
      </c>
      <c r="S115" s="2"/>
      <c r="T115" s="7">
        <v>9700</v>
      </c>
      <c r="U115" s="2"/>
      <c r="V115" s="6">
        <f t="shared" si="68"/>
        <v>2.8630815376105606E-3</v>
      </c>
      <c r="W115" s="2"/>
      <c r="X115" s="7">
        <f t="shared" si="69"/>
        <v>-5656.6399999999994</v>
      </c>
      <c r="Y115" s="2"/>
      <c r="Z115" s="6">
        <f t="shared" si="70"/>
        <v>-0.58315876288659785</v>
      </c>
    </row>
    <row r="116" spans="1:26" s="27" customFormat="1" outlineLevel="1" collapsed="1" x14ac:dyDescent="0.25">
      <c r="A116" s="25"/>
      <c r="B116" s="12" t="str">
        <f>CONCATENATE("     ","Telephone/Data Lines                              ")</f>
        <v xml:space="preserve">     Telephone/Data Lines                              </v>
      </c>
      <c r="C116" s="12"/>
      <c r="D116" s="1">
        <f>SUM(OSRRefD22_12x_0)</f>
        <v>1113.05</v>
      </c>
      <c r="E116" s="1"/>
      <c r="F116" s="5">
        <f t="shared" ref="F116:F118" si="71">IF(D$12=0,0,D116/D$12)</f>
        <v>2.8990169049631389E-2</v>
      </c>
      <c r="G116" s="1"/>
      <c r="H116" s="1">
        <f>SUM(OSRRefH22_12x_0)</f>
        <v>600</v>
      </c>
      <c r="I116" s="1"/>
      <c r="J116" s="5">
        <f t="shared" ref="J116:J118" si="72">IF(H$12=0,0,H116/H$12)</f>
        <v>1.5426940580567197E-2</v>
      </c>
      <c r="K116" s="1"/>
      <c r="L116" s="1">
        <f t="shared" ref="L116:L118" si="73">+D116-H116</f>
        <v>513.04999999999995</v>
      </c>
      <c r="M116" s="1"/>
      <c r="N116" s="5">
        <f t="shared" ref="N116:N118" si="74">IF(H116=0,0,L116/H116)</f>
        <v>0.85508333333333331</v>
      </c>
      <c r="O116" s="12"/>
      <c r="P116" s="1">
        <f>SUM(OSRRefP22_12x_0)</f>
        <v>8259.0400000000009</v>
      </c>
      <c r="Q116" s="1"/>
      <c r="R116" s="5">
        <f t="shared" ref="R116:R118" si="75">IF(P$12=0,0,P116/P$12)</f>
        <v>2.4791445786530647E-3</v>
      </c>
      <c r="S116" s="1"/>
      <c r="T116" s="1">
        <f>SUM(OSRRefT22_12x_0)</f>
        <v>8900</v>
      </c>
      <c r="U116" s="1"/>
      <c r="V116" s="5">
        <f t="shared" ref="V116:V118" si="76">IF(T$12=0,0,T116/T$12)</f>
        <v>2.6269511015189679E-3</v>
      </c>
      <c r="W116" s="1"/>
      <c r="X116" s="1">
        <f t="shared" ref="X116:X118" si="77">+P116-T116</f>
        <v>-640.95999999999913</v>
      </c>
      <c r="Y116" s="1"/>
      <c r="Z116" s="5">
        <f t="shared" ref="Z116:Z118" si="78">IF(T116=0,0,X116/T116)</f>
        <v>-7.2017977528089791E-2</v>
      </c>
    </row>
    <row r="117" spans="1:26" s="24" customFormat="1" hidden="1" outlineLevel="2" x14ac:dyDescent="0.25">
      <c r="A117" s="26"/>
      <c r="B117" s="11" t="str">
        <f>CONCATENATE("          ", "6303", " - ", "DATA PHONE LINES")</f>
        <v xml:space="preserve">          6303 - DATA PHONE LINES</v>
      </c>
      <c r="C117" s="11"/>
      <c r="D117" s="7">
        <v>590</v>
      </c>
      <c r="E117" s="2"/>
      <c r="F117" s="6">
        <f t="shared" si="71"/>
        <v>1.5366964412454536E-2</v>
      </c>
      <c r="G117" s="2"/>
      <c r="H117" s="7">
        <v>300</v>
      </c>
      <c r="I117" s="2"/>
      <c r="J117" s="6">
        <f t="shared" si="72"/>
        <v>7.7134702902835984E-3</v>
      </c>
      <c r="K117" s="2"/>
      <c r="L117" s="7">
        <f t="shared" si="73"/>
        <v>290</v>
      </c>
      <c r="M117" s="2"/>
      <c r="N117" s="6">
        <f t="shared" si="74"/>
        <v>0.96666666666666667</v>
      </c>
      <c r="O117" s="11"/>
      <c r="P117" s="7">
        <v>2950</v>
      </c>
      <c r="Q117" s="2"/>
      <c r="R117" s="6">
        <f t="shared" si="75"/>
        <v>8.8551169470380822E-4</v>
      </c>
      <c r="S117" s="2"/>
      <c r="T117" s="7">
        <v>3300</v>
      </c>
      <c r="U117" s="2"/>
      <c r="V117" s="6">
        <f t="shared" si="76"/>
        <v>9.7403804887781964E-4</v>
      </c>
      <c r="W117" s="2"/>
      <c r="X117" s="7">
        <f t="shared" si="77"/>
        <v>-350</v>
      </c>
      <c r="Y117" s="2"/>
      <c r="Z117" s="6">
        <f t="shared" si="78"/>
        <v>-0.10606060606060606</v>
      </c>
    </row>
    <row r="118" spans="1:26" s="24" customFormat="1" hidden="1" outlineLevel="2" x14ac:dyDescent="0.25">
      <c r="A118" s="26"/>
      <c r="B118" s="11" t="str">
        <f>CONCATENATE("          ", "6309", " - ", "TELEPHONE")</f>
        <v xml:space="preserve">          6309 - TELEPHONE</v>
      </c>
      <c r="C118" s="11"/>
      <c r="D118" s="7">
        <v>523.04999999999995</v>
      </c>
      <c r="E118" s="2"/>
      <c r="F118" s="6">
        <f t="shared" si="71"/>
        <v>1.3623204637176855E-2</v>
      </c>
      <c r="G118" s="2"/>
      <c r="H118" s="7">
        <v>300</v>
      </c>
      <c r="I118" s="2"/>
      <c r="J118" s="6">
        <f t="shared" si="72"/>
        <v>7.7134702902835984E-3</v>
      </c>
      <c r="K118" s="2"/>
      <c r="L118" s="7">
        <f t="shared" si="73"/>
        <v>223.04999999999995</v>
      </c>
      <c r="M118" s="2"/>
      <c r="N118" s="6">
        <f t="shared" si="74"/>
        <v>0.74349999999999983</v>
      </c>
      <c r="O118" s="11"/>
      <c r="P118" s="7">
        <v>5309.04</v>
      </c>
      <c r="Q118" s="2"/>
      <c r="R118" s="6">
        <f t="shared" si="75"/>
        <v>1.5936328839492562E-3</v>
      </c>
      <c r="S118" s="2"/>
      <c r="T118" s="7">
        <v>5600</v>
      </c>
      <c r="U118" s="2"/>
      <c r="V118" s="6">
        <f t="shared" si="76"/>
        <v>1.6529130526411484E-3</v>
      </c>
      <c r="W118" s="2"/>
      <c r="X118" s="7">
        <f t="shared" si="77"/>
        <v>-290.96000000000004</v>
      </c>
      <c r="Y118" s="2"/>
      <c r="Z118" s="6">
        <f t="shared" si="78"/>
        <v>-5.1957142857142861E-2</v>
      </c>
    </row>
    <row r="119" spans="1:26" s="27" customFormat="1" outlineLevel="1" collapsed="1" x14ac:dyDescent="0.25">
      <c r="A119" s="25"/>
      <c r="B119" s="12" t="str">
        <f>CONCATENATE("     ","Training                                          ")</f>
        <v xml:space="preserve">     Training                                          </v>
      </c>
      <c r="C119" s="12"/>
      <c r="D119" s="1">
        <f>SUM(OSRRefD22_13x_0)</f>
        <v>0</v>
      </c>
      <c r="E119" s="1"/>
      <c r="F119" s="5">
        <f t="shared" ref="F119:F123" si="79">IF(D$12=0,0,D119/D$12)</f>
        <v>0</v>
      </c>
      <c r="G119" s="1"/>
      <c r="H119" s="1">
        <f>SUM(OSRRefH22_13x_0)</f>
        <v>0</v>
      </c>
      <c r="I119" s="1"/>
      <c r="J119" s="5">
        <f t="shared" ref="J119:J123" si="80">IF(H$12=0,0,H119/H$12)</f>
        <v>0</v>
      </c>
      <c r="K119" s="1"/>
      <c r="L119" s="1">
        <f t="shared" ref="L119:L123" si="81">+D119-H119</f>
        <v>0</v>
      </c>
      <c r="M119" s="1"/>
      <c r="N119" s="5">
        <f t="shared" ref="N119:N123" si="82">IF(H119=0,0,L119/H119)</f>
        <v>0</v>
      </c>
      <c r="O119" s="12"/>
      <c r="P119" s="1">
        <f>SUM(OSRRefP22_13x_0)</f>
        <v>4157.1499999999996</v>
      </c>
      <c r="Q119" s="1"/>
      <c r="R119" s="5">
        <f t="shared" ref="R119:R123" si="83">IF(P$12=0,0,P119/P$12)</f>
        <v>1.2478660819111647E-3</v>
      </c>
      <c r="S119" s="1"/>
      <c r="T119" s="1">
        <f>SUM(OSRRefT22_13x_0)</f>
        <v>5200</v>
      </c>
      <c r="U119" s="1"/>
      <c r="V119" s="5">
        <f t="shared" ref="V119:V123" si="84">IF(T$12=0,0,T119/T$12)</f>
        <v>1.534847834595352E-3</v>
      </c>
      <c r="W119" s="1"/>
      <c r="X119" s="1">
        <f t="shared" ref="X119:X123" si="85">+P119-T119</f>
        <v>-1042.8500000000004</v>
      </c>
      <c r="Y119" s="1"/>
      <c r="Z119" s="5">
        <f t="shared" ref="Z119:Z123" si="86">IF(T119=0,0,X119/T119)</f>
        <v>-0.200548076923077</v>
      </c>
    </row>
    <row r="120" spans="1:26" s="24" customFormat="1" hidden="1" outlineLevel="2" x14ac:dyDescent="0.25">
      <c r="A120" s="26"/>
      <c r="B120" s="11" t="str">
        <f>CONCATENATE("          ", "6376", " - ", "TRAINING")</f>
        <v xml:space="preserve">          6376 - TRAINING</v>
      </c>
      <c r="C120" s="11"/>
      <c r="D120" s="7"/>
      <c r="E120" s="2"/>
      <c r="F120" s="6">
        <f t="shared" si="79"/>
        <v>0</v>
      </c>
      <c r="G120" s="2"/>
      <c r="H120" s="7"/>
      <c r="I120" s="2"/>
      <c r="J120" s="6">
        <f t="shared" si="80"/>
        <v>0</v>
      </c>
      <c r="K120" s="2"/>
      <c r="L120" s="7">
        <f t="shared" si="81"/>
        <v>0</v>
      </c>
      <c r="M120" s="2"/>
      <c r="N120" s="6">
        <f t="shared" si="82"/>
        <v>0</v>
      </c>
      <c r="O120" s="11"/>
      <c r="P120" s="7">
        <v>4157.1499999999996</v>
      </c>
      <c r="Q120" s="2"/>
      <c r="R120" s="6">
        <f t="shared" si="83"/>
        <v>1.2478660819111647E-3</v>
      </c>
      <c r="S120" s="2"/>
      <c r="T120" s="7">
        <v>5200</v>
      </c>
      <c r="U120" s="2"/>
      <c r="V120" s="6">
        <f t="shared" si="84"/>
        <v>1.534847834595352E-3</v>
      </c>
      <c r="W120" s="2"/>
      <c r="X120" s="7">
        <f t="shared" si="85"/>
        <v>-1042.8500000000004</v>
      </c>
      <c r="Y120" s="2"/>
      <c r="Z120" s="6">
        <f t="shared" si="86"/>
        <v>-0.200548076923077</v>
      </c>
    </row>
    <row r="121" spans="1:26" s="27" customFormat="1" outlineLevel="1" collapsed="1" x14ac:dyDescent="0.25">
      <c r="A121" s="25"/>
      <c r="B121" s="12" t="str">
        <f>CONCATENATE("     ","Travel                                            ")</f>
        <v xml:space="preserve">     Travel                                            </v>
      </c>
      <c r="C121" s="12"/>
      <c r="D121" s="1">
        <f>SUM(OSRRefD22_14x_0)</f>
        <v>0</v>
      </c>
      <c r="E121" s="1"/>
      <c r="F121" s="5">
        <f t="shared" si="79"/>
        <v>0</v>
      </c>
      <c r="G121" s="1"/>
      <c r="H121" s="1">
        <f>SUM(OSRRefH22_14x_0)</f>
        <v>0</v>
      </c>
      <c r="I121" s="1"/>
      <c r="J121" s="5">
        <f t="shared" si="80"/>
        <v>0</v>
      </c>
      <c r="K121" s="1"/>
      <c r="L121" s="1">
        <f t="shared" si="81"/>
        <v>0</v>
      </c>
      <c r="M121" s="1"/>
      <c r="N121" s="5">
        <f t="shared" si="82"/>
        <v>0</v>
      </c>
      <c r="O121" s="12"/>
      <c r="P121" s="1">
        <f>SUM(OSRRefP22_14x_0)</f>
        <v>83.93</v>
      </c>
      <c r="Q121" s="1"/>
      <c r="R121" s="5">
        <f t="shared" si="83"/>
        <v>2.5193558147962924E-5</v>
      </c>
      <c r="S121" s="1"/>
      <c r="T121" s="1">
        <f>SUM(OSRRefT22_14x_0)</f>
        <v>550</v>
      </c>
      <c r="U121" s="1"/>
      <c r="V121" s="5">
        <f t="shared" si="84"/>
        <v>1.6233967481296994E-4</v>
      </c>
      <c r="W121" s="1"/>
      <c r="X121" s="1">
        <f t="shared" si="85"/>
        <v>-466.07</v>
      </c>
      <c r="Y121" s="1"/>
      <c r="Z121" s="5">
        <f t="shared" si="86"/>
        <v>-0.84740000000000004</v>
      </c>
    </row>
    <row r="122" spans="1:26" s="24" customFormat="1" hidden="1" outlineLevel="2" x14ac:dyDescent="0.25">
      <c r="A122" s="26"/>
      <c r="B122" s="11" t="str">
        <f>CONCATENATE("          ", "6292", " - ", "TRAVEL/CONFERENCE")</f>
        <v xml:space="preserve">          6292 - TRAVEL/CONFERENCE</v>
      </c>
      <c r="C122" s="11"/>
      <c r="D122" s="7"/>
      <c r="E122" s="2"/>
      <c r="F122" s="6">
        <f t="shared" si="79"/>
        <v>0</v>
      </c>
      <c r="G122" s="2"/>
      <c r="H122" s="7"/>
      <c r="I122" s="2"/>
      <c r="J122" s="6">
        <f t="shared" si="80"/>
        <v>0</v>
      </c>
      <c r="K122" s="2"/>
      <c r="L122" s="7">
        <f t="shared" si="81"/>
        <v>0</v>
      </c>
      <c r="M122" s="2"/>
      <c r="N122" s="6">
        <f t="shared" si="82"/>
        <v>0</v>
      </c>
      <c r="O122" s="11"/>
      <c r="P122" s="7">
        <v>83.93</v>
      </c>
      <c r="Q122" s="2"/>
      <c r="R122" s="6">
        <f t="shared" si="83"/>
        <v>2.5193558147962924E-5</v>
      </c>
      <c r="S122" s="2"/>
      <c r="T122" s="7"/>
      <c r="U122" s="2"/>
      <c r="V122" s="6">
        <f t="shared" si="84"/>
        <v>0</v>
      </c>
      <c r="W122" s="2"/>
      <c r="X122" s="7">
        <f t="shared" si="85"/>
        <v>83.93</v>
      </c>
      <c r="Y122" s="2"/>
      <c r="Z122" s="6">
        <f t="shared" si="86"/>
        <v>0</v>
      </c>
    </row>
    <row r="123" spans="1:26" s="24" customFormat="1" hidden="1" outlineLevel="2" x14ac:dyDescent="0.25">
      <c r="A123" s="26"/>
      <c r="B123" s="11" t="str">
        <f>CONCATENATE("          ", "6298", " - ", "VEHICLE MILEAGE")</f>
        <v xml:space="preserve">          6298 - VEHICLE MILEAGE</v>
      </c>
      <c r="C123" s="11"/>
      <c r="D123" s="7"/>
      <c r="E123" s="2"/>
      <c r="F123" s="6">
        <f t="shared" si="79"/>
        <v>0</v>
      </c>
      <c r="G123" s="2"/>
      <c r="H123" s="7"/>
      <c r="I123" s="2"/>
      <c r="J123" s="6">
        <f t="shared" si="80"/>
        <v>0</v>
      </c>
      <c r="K123" s="2"/>
      <c r="L123" s="7">
        <f t="shared" si="81"/>
        <v>0</v>
      </c>
      <c r="M123" s="2"/>
      <c r="N123" s="6">
        <f t="shared" si="82"/>
        <v>0</v>
      </c>
      <c r="O123" s="11"/>
      <c r="P123" s="7"/>
      <c r="Q123" s="2"/>
      <c r="R123" s="6">
        <f t="shared" si="83"/>
        <v>0</v>
      </c>
      <c r="S123" s="2"/>
      <c r="T123" s="7">
        <v>550</v>
      </c>
      <c r="U123" s="2"/>
      <c r="V123" s="6">
        <f t="shared" si="84"/>
        <v>1.6233967481296994E-4</v>
      </c>
      <c r="W123" s="2"/>
      <c r="X123" s="7">
        <f t="shared" si="85"/>
        <v>-550</v>
      </c>
      <c r="Y123" s="2"/>
      <c r="Z123" s="6">
        <f t="shared" si="86"/>
        <v>-1</v>
      </c>
    </row>
    <row r="124" spans="1:26" s="62" customFormat="1" x14ac:dyDescent="0.25">
      <c r="A124" s="36"/>
      <c r="B124" s="36"/>
      <c r="C124" s="36"/>
      <c r="D124" s="1"/>
      <c r="E124" s="1"/>
      <c r="F124" s="5"/>
      <c r="G124" s="1"/>
      <c r="H124" s="1"/>
      <c r="I124" s="1"/>
      <c r="J124" s="5"/>
      <c r="K124" s="1"/>
      <c r="L124" s="1"/>
      <c r="M124" s="1"/>
      <c r="N124" s="5"/>
      <c r="O124" s="36"/>
      <c r="P124" s="1"/>
      <c r="Q124" s="1"/>
      <c r="R124" s="5"/>
      <c r="S124" s="1"/>
      <c r="T124" s="1"/>
      <c r="U124" s="1"/>
      <c r="V124" s="5"/>
      <c r="W124" s="1"/>
      <c r="X124" s="1"/>
      <c r="Y124" s="1"/>
      <c r="Z124" s="5"/>
    </row>
    <row r="125" spans="1:26" s="23" customFormat="1" collapsed="1" x14ac:dyDescent="0.25">
      <c r="A125" s="10"/>
      <c r="B125" s="28" t="s">
        <v>0</v>
      </c>
      <c r="C125" s="10"/>
      <c r="D125" s="4">
        <f>SUM(OSRRefD25x_0)</f>
        <v>5867.1100000000006</v>
      </c>
      <c r="E125" s="4"/>
      <c r="F125" s="13">
        <f t="shared" ref="F125:F129" si="87">IF(D$12=0,0,D125/D$12)</f>
        <v>0.15281300097280701</v>
      </c>
      <c r="G125" s="4"/>
      <c r="H125" s="4">
        <f>SUM(OSRRefH25x_0)</f>
        <v>3800</v>
      </c>
      <c r="I125" s="4"/>
      <c r="J125" s="13">
        <f t="shared" ref="J125:J129" si="88">IF(H$12=0,0,H125/H$12)</f>
        <v>9.7703957010258913E-2</v>
      </c>
      <c r="K125" s="4"/>
      <c r="L125" s="4">
        <f t="shared" ref="L125:L129" si="89">+D125-H125</f>
        <v>2067.1100000000006</v>
      </c>
      <c r="M125" s="4"/>
      <c r="N125" s="13">
        <f t="shared" ref="N125:N129" si="90">IF(H125=0,0,L125/H125)</f>
        <v>0.54397631578947381</v>
      </c>
      <c r="O125" s="10"/>
      <c r="P125" s="4">
        <f>SUM(OSRRefP25x_0)</f>
        <v>193909.89</v>
      </c>
      <c r="Q125" s="4"/>
      <c r="R125" s="13">
        <f t="shared" ref="R125:R129" si="91">IF(P$12=0,0,P125/P$12)</f>
        <v>5.820660180126408E-2</v>
      </c>
      <c r="S125" s="4"/>
      <c r="T125" s="4">
        <f>SUM(OSRRefT25x_0)</f>
        <v>178750</v>
      </c>
      <c r="U125" s="4"/>
      <c r="V125" s="13">
        <f t="shared" ref="V125:V129" si="92">IF(T$12=0,0,T125/T$12)</f>
        <v>5.2760394314215232E-2</v>
      </c>
      <c r="W125" s="4"/>
      <c r="X125" s="4">
        <f t="shared" ref="X125:X129" si="93">+P125-T125</f>
        <v>15159.890000000014</v>
      </c>
      <c r="Y125" s="4"/>
      <c r="Z125" s="13">
        <f t="shared" ref="Z125:Z129" si="94">IF(T125=0,0,X125/T125)</f>
        <v>8.4810573426573499E-2</v>
      </c>
    </row>
    <row r="126" spans="1:26" s="24" customFormat="1" hidden="1" outlineLevel="1" x14ac:dyDescent="0.25">
      <c r="A126" s="44"/>
      <c r="B126" s="11" t="str">
        <f>CONCATENATE("          ", "9150", " - ", "MISC. INCOME")</f>
        <v xml:space="preserve">          9150 - MISC. INCOME</v>
      </c>
      <c r="C126" s="11"/>
      <c r="D126" s="2">
        <f>--774.27</f>
        <v>774.27</v>
      </c>
      <c r="E126" s="2"/>
      <c r="F126" s="19">
        <f t="shared" si="87"/>
        <v>2.0166405992595209E-2</v>
      </c>
      <c r="G126" s="2"/>
      <c r="H126" s="2"/>
      <c r="I126" s="2"/>
      <c r="J126" s="19">
        <f t="shared" si="88"/>
        <v>0</v>
      </c>
      <c r="K126" s="2"/>
      <c r="L126" s="2">
        <f t="shared" si="89"/>
        <v>774.27</v>
      </c>
      <c r="M126" s="2"/>
      <c r="N126" s="19">
        <f t="shared" si="90"/>
        <v>0</v>
      </c>
      <c r="O126" s="11"/>
      <c r="P126" s="2">
        <f>--21290.7</f>
        <v>21290.7</v>
      </c>
      <c r="Q126" s="2"/>
      <c r="R126" s="19">
        <f t="shared" si="91"/>
        <v>6.3909029960780911E-3</v>
      </c>
      <c r="S126" s="2"/>
      <c r="T126" s="2"/>
      <c r="U126" s="2"/>
      <c r="V126" s="19">
        <f t="shared" si="92"/>
        <v>0</v>
      </c>
      <c r="W126" s="2"/>
      <c r="X126" s="2">
        <f t="shared" si="93"/>
        <v>21290.7</v>
      </c>
      <c r="Y126" s="2"/>
      <c r="Z126" s="19">
        <f t="shared" si="94"/>
        <v>0</v>
      </c>
    </row>
    <row r="127" spans="1:26" s="24" customFormat="1" hidden="1" outlineLevel="1" x14ac:dyDescent="0.25">
      <c r="A127" s="44"/>
      <c r="B127" s="11" t="str">
        <f>CONCATENATE("          ", "9151", " - ", "MISC. INCOME")</f>
        <v xml:space="preserve">          9151 - MISC. INCOME</v>
      </c>
      <c r="C127" s="11"/>
      <c r="D127" s="2">
        <f>0</f>
        <v>0</v>
      </c>
      <c r="E127" s="2"/>
      <c r="F127" s="19">
        <f t="shared" si="87"/>
        <v>0</v>
      </c>
      <c r="G127" s="2"/>
      <c r="H127" s="2"/>
      <c r="I127" s="2"/>
      <c r="J127" s="19">
        <f t="shared" si="88"/>
        <v>0</v>
      </c>
      <c r="K127" s="2"/>
      <c r="L127" s="2">
        <f t="shared" si="89"/>
        <v>0</v>
      </c>
      <c r="M127" s="2"/>
      <c r="N127" s="19">
        <f t="shared" si="90"/>
        <v>0</v>
      </c>
      <c r="O127" s="11"/>
      <c r="P127" s="2">
        <f>--162744.3</f>
        <v>162744.29999999999</v>
      </c>
      <c r="Q127" s="2"/>
      <c r="R127" s="19">
        <f t="shared" si="91"/>
        <v>4.8851518947927108E-2</v>
      </c>
      <c r="S127" s="2"/>
      <c r="T127" s="2"/>
      <c r="U127" s="2"/>
      <c r="V127" s="19">
        <f t="shared" si="92"/>
        <v>0</v>
      </c>
      <c r="W127" s="2"/>
      <c r="X127" s="2">
        <f t="shared" si="93"/>
        <v>162744.29999999999</v>
      </c>
      <c r="Y127" s="2"/>
      <c r="Z127" s="19">
        <f t="shared" si="94"/>
        <v>0</v>
      </c>
    </row>
    <row r="128" spans="1:26" s="24" customFormat="1" hidden="1" outlineLevel="1" x14ac:dyDescent="0.25">
      <c r="A128" s="44"/>
      <c r="B128" s="11" t="str">
        <f>CONCATENATE("          ", "9152", " - ", "MISC. INCOME")</f>
        <v xml:space="preserve">          9152 - MISC. INCOME</v>
      </c>
      <c r="C128" s="11"/>
      <c r="D128" s="2">
        <f>--5092.84</f>
        <v>5092.84</v>
      </c>
      <c r="E128" s="2"/>
      <c r="F128" s="19">
        <f t="shared" si="87"/>
        <v>0.13264659498021181</v>
      </c>
      <c r="G128" s="2"/>
      <c r="H128" s="2"/>
      <c r="I128" s="2"/>
      <c r="J128" s="19">
        <f t="shared" si="88"/>
        <v>0</v>
      </c>
      <c r="K128" s="2"/>
      <c r="L128" s="2">
        <f t="shared" si="89"/>
        <v>5092.84</v>
      </c>
      <c r="M128" s="2"/>
      <c r="N128" s="19">
        <f t="shared" si="90"/>
        <v>0</v>
      </c>
      <c r="O128" s="11"/>
      <c r="P128" s="2">
        <f>--9874.89</f>
        <v>9874.89</v>
      </c>
      <c r="Q128" s="2"/>
      <c r="R128" s="19">
        <f t="shared" si="91"/>
        <v>2.9641798572588771E-3</v>
      </c>
      <c r="S128" s="2"/>
      <c r="T128" s="2"/>
      <c r="U128" s="2"/>
      <c r="V128" s="19">
        <f t="shared" si="92"/>
        <v>0</v>
      </c>
      <c r="W128" s="2"/>
      <c r="X128" s="2">
        <f t="shared" si="93"/>
        <v>9874.89</v>
      </c>
      <c r="Y128" s="2"/>
      <c r="Z128" s="19">
        <f t="shared" si="94"/>
        <v>0</v>
      </c>
    </row>
    <row r="129" spans="1:26" s="24" customFormat="1" hidden="1" outlineLevel="1" x14ac:dyDescent="0.25">
      <c r="A129" s="44"/>
      <c r="B129" s="11" t="str">
        <f>CONCATENATE("          ", "9160", " - ", "MISC. INCOME")</f>
        <v xml:space="preserve">          9160 - MISC. INCOME</v>
      </c>
      <c r="C129" s="11"/>
      <c r="D129" s="2">
        <f>0</f>
        <v>0</v>
      </c>
      <c r="E129" s="2"/>
      <c r="F129" s="19">
        <f t="shared" si="87"/>
        <v>0</v>
      </c>
      <c r="G129" s="2"/>
      <c r="H129" s="2">
        <v>3800</v>
      </c>
      <c r="I129" s="2"/>
      <c r="J129" s="19">
        <f t="shared" si="88"/>
        <v>9.7703957010258913E-2</v>
      </c>
      <c r="K129" s="2"/>
      <c r="L129" s="2">
        <f t="shared" si="89"/>
        <v>-3800</v>
      </c>
      <c r="M129" s="2"/>
      <c r="N129" s="19">
        <f t="shared" si="90"/>
        <v>-1</v>
      </c>
      <c r="O129" s="11"/>
      <c r="P129" s="2">
        <f>0</f>
        <v>0</v>
      </c>
      <c r="Q129" s="2"/>
      <c r="R129" s="19">
        <f t="shared" si="91"/>
        <v>0</v>
      </c>
      <c r="S129" s="2"/>
      <c r="T129" s="2">
        <v>178750</v>
      </c>
      <c r="U129" s="2"/>
      <c r="V129" s="19">
        <f t="shared" si="92"/>
        <v>5.2760394314215232E-2</v>
      </c>
      <c r="W129" s="2"/>
      <c r="X129" s="2">
        <f t="shared" si="93"/>
        <v>-178750</v>
      </c>
      <c r="Y129" s="2"/>
      <c r="Z129" s="19">
        <f t="shared" si="94"/>
        <v>-1</v>
      </c>
    </row>
    <row r="130" spans="1:26" x14ac:dyDescent="0.25">
      <c r="A130" s="9"/>
      <c r="B130" s="10"/>
      <c r="C130" s="10"/>
      <c r="D130" s="3"/>
      <c r="E130" s="3"/>
      <c r="F130" s="8"/>
      <c r="G130" s="3"/>
      <c r="H130" s="3"/>
      <c r="I130" s="3"/>
      <c r="J130" s="8"/>
      <c r="K130" s="3"/>
      <c r="L130" s="3"/>
      <c r="M130" s="3"/>
      <c r="N130" s="8"/>
      <c r="O130" s="10"/>
      <c r="P130" s="3"/>
      <c r="Q130" s="3"/>
      <c r="R130" s="8"/>
      <c r="S130" s="3"/>
      <c r="T130" s="3"/>
      <c r="U130" s="3"/>
      <c r="V130" s="8"/>
      <c r="W130" s="3"/>
      <c r="X130" s="3"/>
      <c r="Y130" s="3"/>
      <c r="Z130" s="8"/>
    </row>
    <row r="131" spans="1:26" s="23" customFormat="1" x14ac:dyDescent="0.25">
      <c r="A131" s="10"/>
      <c r="B131" s="29" t="s">
        <v>3</v>
      </c>
      <c r="C131" s="29"/>
      <c r="D131" s="20">
        <f>+D63-D65+D125</f>
        <v>-37281.640000000029</v>
      </c>
      <c r="E131" s="14"/>
      <c r="F131" s="22">
        <f>IF(D$12=0,0,D131/D$12)</f>
        <v>-0.97102650019990167</v>
      </c>
      <c r="G131" s="14"/>
      <c r="H131" s="20">
        <f>+H63-H65+H125</f>
        <v>-43627.119197922875</v>
      </c>
      <c r="I131" s="14"/>
      <c r="J131" s="22">
        <f>IF(H$12=0,0,H131/H$12)</f>
        <v>-1.1217216259461311</v>
      </c>
      <c r="K131" s="16"/>
      <c r="L131" s="20">
        <f>+D131-H131</f>
        <v>6345.4791979228467</v>
      </c>
      <c r="M131" s="16"/>
      <c r="N131" s="22">
        <f>IF(H131=0,0,L131/H131)</f>
        <v>-0.14544804503674311</v>
      </c>
      <c r="O131" s="28"/>
      <c r="P131" s="20">
        <f>+P63-P65+P125</f>
        <v>655211.32999999868</v>
      </c>
      <c r="Q131" s="14"/>
      <c r="R131" s="22">
        <f>IF(P$12=0,0,P131/P$12)</f>
        <v>0.19667704922624912</v>
      </c>
      <c r="S131" s="14"/>
      <c r="T131" s="20">
        <f>+T63-T65+T125</f>
        <v>501957.37327740085</v>
      </c>
      <c r="U131" s="14"/>
      <c r="V131" s="22">
        <f>IF(T$12=0,0,T131/T$12)</f>
        <v>0.14815926681422875</v>
      </c>
      <c r="W131" s="16"/>
      <c r="X131" s="20">
        <f>+P131-T131</f>
        <v>153253.95672259782</v>
      </c>
      <c r="Y131" s="16"/>
      <c r="Z131" s="22">
        <f>IF(T131=0,0,X131/T131)</f>
        <v>0.3053126916374706</v>
      </c>
    </row>
    <row r="132" spans="1:26" x14ac:dyDescent="0.25">
      <c r="A132" s="9"/>
      <c r="B132" s="10"/>
      <c r="C132" s="9"/>
      <c r="D132" s="3"/>
      <c r="E132" s="3"/>
      <c r="F132" s="8"/>
      <c r="G132" s="3"/>
      <c r="H132" s="3"/>
      <c r="I132" s="3"/>
      <c r="J132" s="8"/>
      <c r="K132" s="3"/>
      <c r="L132" s="3"/>
      <c r="M132" s="3"/>
      <c r="N132" s="8"/>
      <c r="P132" s="3"/>
      <c r="Q132" s="3"/>
      <c r="R132" s="8"/>
      <c r="S132" s="3"/>
      <c r="T132" s="3"/>
      <c r="U132" s="3"/>
      <c r="V132" s="8"/>
      <c r="W132" s="3"/>
      <c r="X132" s="3"/>
      <c r="Y132" s="3"/>
      <c r="Z132" s="8"/>
    </row>
    <row r="133" spans="1:26" s="23" customFormat="1" x14ac:dyDescent="0.25">
      <c r="A133" s="52"/>
      <c r="B133" s="10" t="s">
        <v>14</v>
      </c>
      <c r="C133" s="10"/>
      <c r="D133" s="4">
        <v>20592.57</v>
      </c>
      <c r="E133" s="4"/>
      <c r="F133" s="13">
        <f>IF(D$12=0,0,D133/D$12)</f>
        <v>0.53634794974742184</v>
      </c>
      <c r="G133" s="4"/>
      <c r="H133" s="4">
        <v>1101</v>
      </c>
      <c r="I133" s="4"/>
      <c r="J133" s="13">
        <f>IF(H$12=0,0,H133/H$12)</f>
        <v>2.8308435965340807E-2</v>
      </c>
      <c r="K133" s="4"/>
      <c r="L133" s="4">
        <f>+D133-H133</f>
        <v>19491.57</v>
      </c>
      <c r="M133" s="4"/>
      <c r="N133" s="13">
        <f>IF(H133=0,0,L133/H133)</f>
        <v>17.703514986376021</v>
      </c>
      <c r="O133" s="10"/>
      <c r="P133" s="4">
        <v>394490.64</v>
      </c>
      <c r="Q133" s="4"/>
      <c r="R133" s="13">
        <f>IF(P$12=0,0,P133/P$12)</f>
        <v>0.11841561870209828</v>
      </c>
      <c r="S133" s="4"/>
      <c r="T133" s="4">
        <v>392412</v>
      </c>
      <c r="U133" s="4"/>
      <c r="V133" s="13">
        <f>IF(T$12=0,0,T133/T$12)</f>
        <v>0.11582552085946757</v>
      </c>
      <c r="W133" s="4"/>
      <c r="X133" s="4">
        <f>+P133-T133</f>
        <v>2078.640000000014</v>
      </c>
      <c r="Y133" s="4"/>
      <c r="Z133" s="13">
        <f>IF(T133=0,0,X133/T133)</f>
        <v>5.2970857160331841E-3</v>
      </c>
    </row>
    <row r="134" spans="1:26" x14ac:dyDescent="0.25">
      <c r="A134" s="9"/>
      <c r="B134" s="10"/>
      <c r="C134" s="10"/>
      <c r="D134" s="3"/>
      <c r="E134" s="3"/>
      <c r="F134" s="8"/>
      <c r="G134" s="3"/>
      <c r="H134" s="3"/>
      <c r="I134" s="3"/>
      <c r="J134" s="8"/>
      <c r="K134" s="3"/>
      <c r="L134" s="3"/>
      <c r="M134" s="3"/>
      <c r="N134" s="8"/>
      <c r="O134" s="10"/>
      <c r="P134" s="3"/>
      <c r="Q134" s="3"/>
      <c r="R134" s="8"/>
      <c r="S134" s="3"/>
      <c r="T134" s="3"/>
      <c r="U134" s="3"/>
      <c r="V134" s="8"/>
      <c r="W134" s="3"/>
      <c r="X134" s="3"/>
      <c r="Y134" s="3"/>
      <c r="Z134" s="8"/>
    </row>
    <row r="135" spans="1:26" s="23" customFormat="1" ht="15.75" thickBot="1" x14ac:dyDescent="0.3">
      <c r="A135" s="10"/>
      <c r="B135" s="29" t="s">
        <v>4</v>
      </c>
      <c r="C135" s="29"/>
      <c r="D135" s="35">
        <f>+D131-D133</f>
        <v>-57874.210000000028</v>
      </c>
      <c r="E135" s="14"/>
      <c r="F135" s="32">
        <f>IF(D$12=0,0,D135/D$12)</f>
        <v>-1.5073744499473234</v>
      </c>
      <c r="G135" s="14"/>
      <c r="H135" s="35">
        <f>+H131-H133</f>
        <v>-44728.119197922875</v>
      </c>
      <c r="I135" s="14"/>
      <c r="J135" s="32">
        <f>IF(H$12=0,0,H135/H$12)</f>
        <v>-1.1500300619114718</v>
      </c>
      <c r="K135" s="16"/>
      <c r="L135" s="35">
        <f>D135-H135</f>
        <v>-13146.090802077153</v>
      </c>
      <c r="M135" s="16"/>
      <c r="N135" s="32">
        <f>IF(H135=0,0,L135/H135)</f>
        <v>0.29391110196038922</v>
      </c>
      <c r="O135" s="28"/>
      <c r="P135" s="35">
        <f>+P131-P133</f>
        <v>260720.68999999866</v>
      </c>
      <c r="Q135" s="14"/>
      <c r="R135" s="32">
        <f>IF(P$12=0,0,P135/P$12)</f>
        <v>7.8261430524150855E-2</v>
      </c>
      <c r="S135" s="14"/>
      <c r="T135" s="35">
        <f>+T131-T133</f>
        <v>109545.37327740085</v>
      </c>
      <c r="U135" s="14"/>
      <c r="V135" s="32">
        <f>IF(T$12=0,0,T135/T$12)</f>
        <v>3.2333745954761205E-2</v>
      </c>
      <c r="W135" s="16"/>
      <c r="X135" s="35">
        <f>P135-T135</f>
        <v>151175.31672259781</v>
      </c>
      <c r="Y135" s="16"/>
      <c r="Z135" s="32">
        <f>IF(T135=0,0,X135/T135)</f>
        <v>1.3800246619250436</v>
      </c>
    </row>
    <row r="136" spans="1:26" ht="15.75" thickTop="1" x14ac:dyDescent="0.25">
      <c r="A136" s="9"/>
      <c r="B136" s="9"/>
      <c r="C136" s="9"/>
      <c r="D136" s="3"/>
      <c r="E136" s="3"/>
      <c r="F136" s="8"/>
      <c r="G136" s="3"/>
      <c r="H136" s="3"/>
      <c r="I136" s="3"/>
      <c r="J136" s="8"/>
      <c r="K136" s="3"/>
      <c r="L136" s="3"/>
      <c r="M136" s="3"/>
      <c r="N136" s="8"/>
      <c r="P136" s="3"/>
      <c r="Q136" s="3"/>
      <c r="R136" s="8"/>
      <c r="S136" s="3"/>
      <c r="T136" s="3"/>
      <c r="U136" s="3"/>
      <c r="V136" s="8"/>
      <c r="W136" s="3"/>
      <c r="X136" s="3"/>
      <c r="Y136" s="3"/>
      <c r="Z136" s="8"/>
    </row>
    <row r="137" spans="1:26" x14ac:dyDescent="0.25">
      <c r="A137" s="9"/>
      <c r="B137" s="9"/>
      <c r="C137" s="9"/>
      <c r="D137" s="3"/>
      <c r="E137" s="3"/>
      <c r="F137" s="8"/>
      <c r="G137" s="3"/>
      <c r="H137" s="3"/>
      <c r="I137" s="3"/>
      <c r="J137" s="8"/>
      <c r="K137" s="3"/>
      <c r="L137" s="3"/>
      <c r="M137" s="3"/>
      <c r="N137" s="8"/>
      <c r="P137" s="3"/>
      <c r="Q137" s="3"/>
      <c r="R137" s="8"/>
      <c r="S137" s="3"/>
      <c r="T137" s="3"/>
      <c r="U137" s="3"/>
      <c r="V137" s="8"/>
      <c r="W137" s="3"/>
      <c r="X137" s="3"/>
      <c r="Y137" s="3"/>
      <c r="Z137" s="8"/>
    </row>
    <row r="138" spans="1:26" s="23" customFormat="1" ht="15.75" thickBot="1" x14ac:dyDescent="0.3">
      <c r="A138" s="10"/>
      <c r="B138" s="29" t="s">
        <v>5</v>
      </c>
      <c r="C138" s="29"/>
      <c r="D138" s="34">
        <f>SUM(D135:D137)</f>
        <v>-57874.210000000028</v>
      </c>
      <c r="E138" s="14"/>
      <c r="F138" s="31">
        <f>IF(D$12=0,0,D138/D$12)</f>
        <v>-1.5073744499473234</v>
      </c>
      <c r="G138" s="14"/>
      <c r="H138" s="34">
        <f>SUM(H135:H137)</f>
        <v>-44728.119197922875</v>
      </c>
      <c r="I138" s="14"/>
      <c r="J138" s="31">
        <f>IF(H$12=0,0,H138/H$12)</f>
        <v>-1.1500300619114718</v>
      </c>
      <c r="K138" s="16"/>
      <c r="L138" s="34">
        <f>+D138-H138</f>
        <v>-13146.090802077153</v>
      </c>
      <c r="M138" s="16"/>
      <c r="N138" s="31">
        <f>IF(H138=0,0,L138/H138)</f>
        <v>0.29391110196038922</v>
      </c>
      <c r="O138" s="28"/>
      <c r="P138" s="34">
        <f>SUM(P135:P137)</f>
        <v>260720.68999999866</v>
      </c>
      <c r="Q138" s="14"/>
      <c r="R138" s="31">
        <f>IF(P$12=0,0,P138/P$12)</f>
        <v>7.8261430524150855E-2</v>
      </c>
      <c r="S138" s="14"/>
      <c r="T138" s="34">
        <f>SUM(T135:T137)</f>
        <v>109545.37327740085</v>
      </c>
      <c r="U138" s="14"/>
      <c r="V138" s="31">
        <f>IF(T$12=0,0,T138/T$12)</f>
        <v>3.2333745954761205E-2</v>
      </c>
      <c r="W138" s="16"/>
      <c r="X138" s="34">
        <f>+P138-T138</f>
        <v>151175.31672259781</v>
      </c>
      <c r="Y138" s="16"/>
      <c r="Z138" s="31">
        <f>IF(T138=0,0,X138/T138)</f>
        <v>1.3800246619250436</v>
      </c>
    </row>
    <row r="139" spans="1:26" ht="15.75" thickTop="1" x14ac:dyDescent="0.25">
      <c r="A139" s="9"/>
      <c r="C139" s="9"/>
      <c r="D139" s="18"/>
      <c r="E139" s="18"/>
      <c r="G139" s="18"/>
      <c r="H139" s="18"/>
      <c r="I139" s="18"/>
      <c r="J139" s="42"/>
      <c r="K139" s="18"/>
      <c r="L139" s="18"/>
      <c r="M139" s="18"/>
      <c r="P139" s="18"/>
      <c r="Q139" s="18"/>
      <c r="R139" s="42"/>
      <c r="S139" s="18"/>
      <c r="T139" s="18"/>
      <c r="U139" s="18"/>
      <c r="V139" s="42"/>
      <c r="W139" s="18"/>
      <c r="X139" s="18"/>
    </row>
    <row r="140" spans="1:26" x14ac:dyDescent="0.25">
      <c r="A140" s="9"/>
      <c r="B140" s="59">
        <v>43992.371555324076</v>
      </c>
      <c r="D140" s="18"/>
      <c r="E140" s="18"/>
      <c r="G140" s="18"/>
      <c r="H140" s="18"/>
      <c r="I140" s="18"/>
      <c r="J140" s="42"/>
      <c r="K140" s="18"/>
      <c r="L140" s="18"/>
      <c r="M140" s="18"/>
      <c r="P140" s="18"/>
      <c r="Q140" s="18"/>
      <c r="R140" s="42"/>
      <c r="S140" s="18"/>
      <c r="T140" s="18"/>
      <c r="U140" s="18"/>
      <c r="V140" s="42"/>
      <c r="W140" s="18"/>
      <c r="X140" s="18"/>
    </row>
    <row r="141" spans="1:26" x14ac:dyDescent="0.25">
      <c r="A141" s="9"/>
      <c r="B141" s="56" t="s">
        <v>314</v>
      </c>
      <c r="D141" s="18"/>
      <c r="E141" s="18"/>
      <c r="G141" s="18"/>
      <c r="H141" s="18"/>
      <c r="I141" s="18"/>
      <c r="J141" s="42"/>
      <c r="K141" s="18"/>
      <c r="L141" s="18"/>
      <c r="M141" s="18"/>
      <c r="P141" s="18"/>
      <c r="Q141" s="18"/>
      <c r="R141" s="42"/>
      <c r="S141" s="18"/>
      <c r="T141" s="18"/>
      <c r="U141" s="18"/>
      <c r="V141" s="42"/>
      <c r="W141" s="18"/>
      <c r="X141" s="18"/>
    </row>
    <row r="142" spans="1:26" x14ac:dyDescent="0.25">
      <c r="A142" s="9"/>
      <c r="B142" s="54"/>
      <c r="D142" s="18"/>
      <c r="E142" s="18"/>
      <c r="G142" s="18"/>
      <c r="H142" s="18"/>
      <c r="I142" s="18"/>
      <c r="J142" s="42"/>
      <c r="K142" s="18"/>
      <c r="L142" s="18"/>
      <c r="M142" s="18"/>
      <c r="P142" s="18"/>
      <c r="Q142" s="18"/>
      <c r="R142" s="42"/>
      <c r="S142" s="18"/>
      <c r="T142" s="18"/>
      <c r="U142" s="18"/>
      <c r="V142" s="42"/>
      <c r="W142" s="18"/>
      <c r="X142" s="18"/>
    </row>
    <row r="143" spans="1:26" x14ac:dyDescent="0.25">
      <c r="D143" s="18"/>
      <c r="E143" s="18"/>
      <c r="G143" s="18"/>
      <c r="H143" s="18"/>
      <c r="I143" s="18"/>
      <c r="J143" s="42"/>
      <c r="K143" s="18"/>
      <c r="L143" s="18"/>
      <c r="M143" s="18"/>
      <c r="P143" s="18"/>
      <c r="Q143" s="18"/>
      <c r="R143" s="42"/>
      <c r="S143" s="18"/>
      <c r="T143" s="18"/>
      <c r="U143" s="18"/>
      <c r="V143" s="42"/>
      <c r="W143" s="18"/>
      <c r="X143" s="18"/>
    </row>
  </sheetData>
  <pageMargins left="0.25" right="0.25" top="0.75" bottom="0.75" header="0.3" footer="0.3"/>
  <pageSetup scale="55" fitToWidth="2" orientation="landscape"/>
  <drawing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0"/>
  <sheetViews>
    <sheetView zoomScale="80" workbookViewId="0">
      <pane xSplit="3" ySplit="10" topLeftCell="D2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1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63" t="s">
        <v>13</v>
      </c>
    </row>
    <row r="3" spans="1:26" x14ac:dyDescent="0.25">
      <c r="D3" s="63" t="s">
        <v>296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61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63" t="str">
        <f>CONCATENATE("Period ",RIGHT(202011,2),", ",2020)</f>
        <v>Period 11, 2020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61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4">
        <v>43981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61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51"/>
      <c r="C6" s="51"/>
      <c r="D6" s="23" t="str">
        <f>CONCATENATE("Department ","324", " - ", "Textbook Rental")</f>
        <v>Department 324 - Textbook Rental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57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5" t="s">
        <v>294</v>
      </c>
      <c r="E9" s="15"/>
      <c r="F9" s="38"/>
      <c r="G9" s="15"/>
      <c r="H9" s="15"/>
      <c r="I9" s="15"/>
      <c r="J9" s="46"/>
      <c r="K9" s="15"/>
      <c r="L9" s="15"/>
      <c r="M9" s="15"/>
      <c r="N9" s="38"/>
      <c r="P9" s="15" t="s">
        <v>295</v>
      </c>
      <c r="Q9" s="15"/>
      <c r="R9" s="38"/>
      <c r="S9" s="15"/>
      <c r="T9" s="15"/>
      <c r="U9" s="15"/>
      <c r="V9" s="46"/>
      <c r="W9" s="15"/>
      <c r="X9" s="15"/>
      <c r="Y9" s="15"/>
      <c r="Z9" s="38"/>
    </row>
    <row r="10" spans="1:26" x14ac:dyDescent="0.25">
      <c r="A10" s="10"/>
      <c r="B10" s="55"/>
      <c r="C10" s="10"/>
      <c r="D10" s="43" t="s">
        <v>10</v>
      </c>
      <c r="E10" s="33"/>
      <c r="F10" s="40" t="s">
        <v>15</v>
      </c>
      <c r="G10" s="33"/>
      <c r="H10" s="47" t="s">
        <v>11</v>
      </c>
      <c r="I10" s="33"/>
      <c r="J10" s="45" t="s">
        <v>16</v>
      </c>
      <c r="K10" s="10"/>
      <c r="L10" s="43" t="s">
        <v>12</v>
      </c>
      <c r="M10" s="10"/>
      <c r="N10" s="40" t="s">
        <v>17</v>
      </c>
      <c r="O10" s="10"/>
      <c r="P10" s="53" t="s">
        <v>10</v>
      </c>
      <c r="Q10" s="33"/>
      <c r="R10" s="40" t="s">
        <v>15</v>
      </c>
      <c r="S10" s="33"/>
      <c r="T10" s="47" t="s">
        <v>11</v>
      </c>
      <c r="U10" s="33"/>
      <c r="V10" s="45" t="s">
        <v>16</v>
      </c>
      <c r="W10" s="10"/>
      <c r="X10" s="43" t="s">
        <v>12</v>
      </c>
      <c r="Y10" s="10"/>
      <c r="Z10" s="40" t="s">
        <v>17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22240.239999999998</v>
      </c>
      <c r="E12" s="4"/>
      <c r="F12" s="13"/>
      <c r="G12" s="4"/>
      <c r="H12" s="4">
        <f>SUM(OSRRefH13x_0)</f>
        <v>12500</v>
      </c>
      <c r="I12" s="4"/>
      <c r="J12" s="13"/>
      <c r="K12" s="4"/>
      <c r="L12" s="4">
        <f t="shared" ref="L12:L15" si="0">+D12-H12</f>
        <v>9740.239999999998</v>
      </c>
      <c r="M12" s="4"/>
      <c r="N12" s="13">
        <f t="shared" ref="N12:N15" si="1">IF(H12=0,0,L12/H12)</f>
        <v>0.77921919999999989</v>
      </c>
      <c r="O12" s="10"/>
      <c r="P12" s="4">
        <f>SUM(OSRRefP13x_0)</f>
        <v>1597839.76</v>
      </c>
      <c r="Q12" s="4"/>
      <c r="R12" s="13"/>
      <c r="S12" s="4"/>
      <c r="T12" s="4">
        <f>SUM(OSRRefT13x_0)</f>
        <v>2043371.0000000002</v>
      </c>
      <c r="U12" s="4"/>
      <c r="V12" s="13"/>
      <c r="W12" s="4"/>
      <c r="X12" s="4">
        <f t="shared" ref="X12:X15" si="2">+P12-T12</f>
        <v>-445531.24000000022</v>
      </c>
      <c r="Y12" s="4"/>
      <c r="Z12" s="13">
        <f t="shared" ref="Z12:Z15" si="3">IF(T12=0,0,X12/T12)</f>
        <v>-0.21803737059985689</v>
      </c>
    </row>
    <row r="13" spans="1:26" s="24" customFormat="1" hidden="1" outlineLevel="1" x14ac:dyDescent="0.25">
      <c r="A13" s="44"/>
      <c r="B13" s="11" t="str">
        <f>CONCATENATE("          ", "4001", " - ", "TAXABLE SALES-NEW TEXT")</f>
        <v xml:space="preserve">          4001 - TAXABLE SALES-NEW TEXT</v>
      </c>
      <c r="C13" s="11"/>
      <c r="D13" s="2">
        <f>--12829.74</f>
        <v>12829.74</v>
      </c>
      <c r="E13" s="2"/>
      <c r="F13" s="19"/>
      <c r="G13" s="2"/>
      <c r="H13" s="2"/>
      <c r="I13" s="2"/>
      <c r="J13" s="19"/>
      <c r="K13" s="2"/>
      <c r="L13" s="2">
        <f t="shared" si="0"/>
        <v>12829.74</v>
      </c>
      <c r="M13" s="2"/>
      <c r="N13" s="19">
        <f t="shared" si="1"/>
        <v>0</v>
      </c>
      <c r="O13" s="11"/>
      <c r="P13" s="2">
        <f>--421229.85</f>
        <v>421229.85</v>
      </c>
      <c r="Q13" s="2"/>
      <c r="R13" s="19"/>
      <c r="S13" s="2"/>
      <c r="T13" s="2"/>
      <c r="U13" s="2"/>
      <c r="V13" s="19"/>
      <c r="W13" s="2"/>
      <c r="X13" s="2">
        <f t="shared" si="2"/>
        <v>421229.85</v>
      </c>
      <c r="Y13" s="2"/>
      <c r="Z13" s="19">
        <f t="shared" si="3"/>
        <v>0</v>
      </c>
    </row>
    <row r="14" spans="1:26" s="24" customFormat="1" hidden="1" outlineLevel="1" x14ac:dyDescent="0.25">
      <c r="A14" s="44"/>
      <c r="B14" s="11" t="str">
        <f>CONCATENATE("          ", "4002", " - ", "TAXABLE SALES-USED TEXT")</f>
        <v xml:space="preserve">          4002 - TAXABLE SALES-USED TEXT</v>
      </c>
      <c r="C14" s="11"/>
      <c r="D14" s="2">
        <f>--4199.95</f>
        <v>4199.95</v>
      </c>
      <c r="E14" s="2"/>
      <c r="F14" s="19"/>
      <c r="G14" s="2"/>
      <c r="H14" s="2"/>
      <c r="I14" s="2"/>
      <c r="J14" s="19"/>
      <c r="K14" s="2"/>
      <c r="L14" s="2">
        <f t="shared" si="0"/>
        <v>4199.95</v>
      </c>
      <c r="M14" s="2"/>
      <c r="N14" s="19">
        <f t="shared" si="1"/>
        <v>0</v>
      </c>
      <c r="O14" s="11"/>
      <c r="P14" s="2">
        <f>--569162.89</f>
        <v>569162.89</v>
      </c>
      <c r="Q14" s="2"/>
      <c r="R14" s="19"/>
      <c r="S14" s="2"/>
      <c r="T14" s="2"/>
      <c r="U14" s="2"/>
      <c r="V14" s="19"/>
      <c r="W14" s="2"/>
      <c r="X14" s="2">
        <f t="shared" si="2"/>
        <v>569162.89</v>
      </c>
      <c r="Y14" s="2"/>
      <c r="Z14" s="19">
        <f t="shared" si="3"/>
        <v>0</v>
      </c>
    </row>
    <row r="15" spans="1:26" s="24" customFormat="1" hidden="1" outlineLevel="1" x14ac:dyDescent="0.25">
      <c r="A15" s="44"/>
      <c r="B15" s="11" t="str">
        <f>CONCATENATE("          ", "4100", " - ", "NON-TAXABLE SALES")</f>
        <v xml:space="preserve">          4100 - NON-TAXABLE SALES</v>
      </c>
      <c r="C15" s="11"/>
      <c r="D15" s="2">
        <f>--5210.55</f>
        <v>5210.55</v>
      </c>
      <c r="E15" s="2"/>
      <c r="F15" s="19"/>
      <c r="G15" s="2"/>
      <c r="H15" s="2">
        <v>12500</v>
      </c>
      <c r="I15" s="2"/>
      <c r="J15" s="19"/>
      <c r="K15" s="2"/>
      <c r="L15" s="2">
        <f t="shared" si="0"/>
        <v>-7289.45</v>
      </c>
      <c r="M15" s="2"/>
      <c r="N15" s="19">
        <f t="shared" si="1"/>
        <v>-0.58315600000000001</v>
      </c>
      <c r="O15" s="11"/>
      <c r="P15" s="2">
        <f>--607447.02</f>
        <v>607447.02</v>
      </c>
      <c r="Q15" s="2"/>
      <c r="R15" s="19"/>
      <c r="S15" s="2"/>
      <c r="T15" s="2">
        <v>2043371.0000000002</v>
      </c>
      <c r="U15" s="2"/>
      <c r="V15" s="19"/>
      <c r="W15" s="2"/>
      <c r="X15" s="2">
        <f t="shared" si="2"/>
        <v>-1435923.9800000002</v>
      </c>
      <c r="Y15" s="2"/>
      <c r="Z15" s="19">
        <f t="shared" si="3"/>
        <v>-0.70272308846509035</v>
      </c>
    </row>
    <row r="16" spans="1:26" x14ac:dyDescent="0.25">
      <c r="A16" s="9"/>
      <c r="B16" s="10"/>
      <c r="C16" s="9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3" customFormat="1" collapsed="1" x14ac:dyDescent="0.25">
      <c r="A17" s="10"/>
      <c r="B17" s="28" t="s">
        <v>8</v>
      </c>
      <c r="C17" s="10"/>
      <c r="D17" s="4">
        <f>SUM(OSRRefD16x_0)</f>
        <v>8022.05</v>
      </c>
      <c r="E17" s="4"/>
      <c r="F17" s="13">
        <f t="shared" ref="F17:F20" si="4">IF(D$12=0,0,D17/D$12)</f>
        <v>0.36069979460653306</v>
      </c>
      <c r="G17" s="4"/>
      <c r="H17" s="4">
        <f>SUM(OSRRefH16x_0)</f>
        <v>8845.5499999999993</v>
      </c>
      <c r="I17" s="4"/>
      <c r="J17" s="13">
        <f t="shared" ref="J17:J20" si="5">IF(H$12=0,0,H17/H$12)</f>
        <v>0.70764399999999994</v>
      </c>
      <c r="K17" s="4"/>
      <c r="L17" s="4">
        <f t="shared" ref="L17:L20" si="6">+D17-H17</f>
        <v>-823.49999999999909</v>
      </c>
      <c r="M17" s="4"/>
      <c r="N17" s="13">
        <f t="shared" ref="N17:N20" si="7">IF(H17=0,0,L17/H17)</f>
        <v>-9.3097659275002589E-2</v>
      </c>
      <c r="O17" s="10"/>
      <c r="P17" s="4">
        <f>SUM(OSRRefP16x_0)</f>
        <v>639779.6399999999</v>
      </c>
      <c r="Q17" s="4"/>
      <c r="R17" s="13">
        <f t="shared" ref="R17:R20" si="8">IF(P$12=0,0,P17/P$12)</f>
        <v>0.40040287894701027</v>
      </c>
      <c r="S17" s="4"/>
      <c r="T17" s="4">
        <f>SUM(OSRRefT16x_0)</f>
        <v>1481407.6300000001</v>
      </c>
      <c r="U17" s="4"/>
      <c r="V17" s="13">
        <f t="shared" ref="V17:V20" si="9">IF(T$12=0,0,T17/T$12)</f>
        <v>0.72498221321531919</v>
      </c>
      <c r="W17" s="4"/>
      <c r="X17" s="4">
        <f t="shared" ref="X17:X20" si="10">+P17-T17</f>
        <v>-841627.99000000022</v>
      </c>
      <c r="Y17" s="4"/>
      <c r="Z17" s="13">
        <f t="shared" ref="Z17:Z20" si="11">IF(T17=0,0,X17/T17)</f>
        <v>-0.56812721424959867</v>
      </c>
    </row>
    <row r="18" spans="1:26" s="24" customFormat="1" hidden="1" outlineLevel="1" x14ac:dyDescent="0.25">
      <c r="A18" s="44"/>
      <c r="B18" s="11" t="str">
        <f>CONCATENATE("          ", "5000", " - ", "PURCHASES @ COST")</f>
        <v xml:space="preserve">          5000 - PURCHASES @ COST</v>
      </c>
      <c r="C18" s="11"/>
      <c r="D18" s="2"/>
      <c r="E18" s="2"/>
      <c r="F18" s="19">
        <f t="shared" si="4"/>
        <v>0</v>
      </c>
      <c r="G18" s="2"/>
      <c r="H18" s="2">
        <v>8845.5499999999993</v>
      </c>
      <c r="I18" s="2"/>
      <c r="J18" s="19">
        <f t="shared" si="5"/>
        <v>0.70764399999999994</v>
      </c>
      <c r="K18" s="2"/>
      <c r="L18" s="2">
        <f t="shared" si="6"/>
        <v>-8845.5499999999993</v>
      </c>
      <c r="M18" s="2"/>
      <c r="N18" s="19">
        <f t="shared" si="7"/>
        <v>-1</v>
      </c>
      <c r="O18" s="11"/>
      <c r="P18" s="2"/>
      <c r="Q18" s="2"/>
      <c r="R18" s="19">
        <f t="shared" si="8"/>
        <v>0</v>
      </c>
      <c r="S18" s="2"/>
      <c r="T18" s="2">
        <v>1481407.6300000001</v>
      </c>
      <c r="U18" s="2"/>
      <c r="V18" s="19">
        <f t="shared" si="9"/>
        <v>0.72498221321531919</v>
      </c>
      <c r="W18" s="2"/>
      <c r="X18" s="2">
        <f t="shared" si="10"/>
        <v>-1481407.6300000001</v>
      </c>
      <c r="Y18" s="2"/>
      <c r="Z18" s="19">
        <f t="shared" si="11"/>
        <v>-1</v>
      </c>
    </row>
    <row r="19" spans="1:26" s="24" customFormat="1" hidden="1" outlineLevel="1" x14ac:dyDescent="0.25">
      <c r="A19" s="44"/>
      <c r="B19" s="11" t="str">
        <f>CONCATENATE("          ", "5001", " - ", "PURCHASES @ COST-NEW TEXT")</f>
        <v xml:space="preserve">          5001 - PURCHASES @ COST-NEW TEXT</v>
      </c>
      <c r="C19" s="11"/>
      <c r="D19" s="2">
        <v>2111.7399999999998</v>
      </c>
      <c r="E19" s="2"/>
      <c r="F19" s="19">
        <f t="shared" si="4"/>
        <v>9.4951313475034438E-2</v>
      </c>
      <c r="G19" s="2"/>
      <c r="H19" s="2"/>
      <c r="I19" s="2"/>
      <c r="J19" s="19">
        <f t="shared" si="5"/>
        <v>0</v>
      </c>
      <c r="K19" s="2"/>
      <c r="L19" s="2">
        <f t="shared" si="6"/>
        <v>2111.7399999999998</v>
      </c>
      <c r="M19" s="2"/>
      <c r="N19" s="19">
        <f t="shared" si="7"/>
        <v>0</v>
      </c>
      <c r="O19" s="11"/>
      <c r="P19" s="2">
        <v>269156.09999999998</v>
      </c>
      <c r="Q19" s="2"/>
      <c r="R19" s="19">
        <f t="shared" si="8"/>
        <v>0.16844999526110177</v>
      </c>
      <c r="S19" s="2"/>
      <c r="T19" s="2"/>
      <c r="U19" s="2"/>
      <c r="V19" s="19">
        <f t="shared" si="9"/>
        <v>0</v>
      </c>
      <c r="W19" s="2"/>
      <c r="X19" s="2">
        <f t="shared" si="10"/>
        <v>269156.09999999998</v>
      </c>
      <c r="Y19" s="2"/>
      <c r="Z19" s="19">
        <f t="shared" si="11"/>
        <v>0</v>
      </c>
    </row>
    <row r="20" spans="1:26" s="24" customFormat="1" hidden="1" outlineLevel="1" x14ac:dyDescent="0.25">
      <c r="A20" s="44"/>
      <c r="B20" s="11" t="str">
        <f>CONCATENATE("          ", "5002", " - ", "PURCHASES @ COST-USED TEXT")</f>
        <v xml:space="preserve">          5002 - PURCHASES @ COST-USED TEXT</v>
      </c>
      <c r="C20" s="11"/>
      <c r="D20" s="2">
        <v>5910.31</v>
      </c>
      <c r="E20" s="2"/>
      <c r="F20" s="19">
        <f t="shared" si="4"/>
        <v>0.26574848113149863</v>
      </c>
      <c r="G20" s="2"/>
      <c r="H20" s="2"/>
      <c r="I20" s="2"/>
      <c r="J20" s="19">
        <f t="shared" si="5"/>
        <v>0</v>
      </c>
      <c r="K20" s="2"/>
      <c r="L20" s="2">
        <f t="shared" si="6"/>
        <v>5910.31</v>
      </c>
      <c r="M20" s="2"/>
      <c r="N20" s="19">
        <f t="shared" si="7"/>
        <v>0</v>
      </c>
      <c r="O20" s="11"/>
      <c r="P20" s="2">
        <v>370623.54</v>
      </c>
      <c r="Q20" s="2"/>
      <c r="R20" s="19">
        <f t="shared" si="8"/>
        <v>0.23195288368590852</v>
      </c>
      <c r="S20" s="2"/>
      <c r="T20" s="2"/>
      <c r="U20" s="2"/>
      <c r="V20" s="19">
        <f t="shared" si="9"/>
        <v>0</v>
      </c>
      <c r="W20" s="2"/>
      <c r="X20" s="2">
        <f t="shared" si="10"/>
        <v>370623.54</v>
      </c>
      <c r="Y20" s="2"/>
      <c r="Z20" s="19">
        <f t="shared" si="11"/>
        <v>0</v>
      </c>
    </row>
    <row r="21" spans="1:26" x14ac:dyDescent="0.25">
      <c r="A21" s="9"/>
      <c r="B21" s="10"/>
      <c r="C21" s="10"/>
      <c r="D21" s="3"/>
      <c r="E21" s="3"/>
      <c r="F21" s="8"/>
      <c r="G21" s="3"/>
      <c r="H21" s="3"/>
      <c r="I21" s="3"/>
      <c r="J21" s="8"/>
      <c r="K21" s="3"/>
      <c r="L21" s="3"/>
      <c r="M21" s="3"/>
      <c r="N21" s="8"/>
      <c r="O21" s="10"/>
      <c r="P21" s="3"/>
      <c r="Q21" s="3"/>
      <c r="R21" s="8"/>
      <c r="S21" s="3"/>
      <c r="T21" s="3"/>
      <c r="U21" s="3"/>
      <c r="V21" s="8"/>
      <c r="W21" s="3"/>
      <c r="X21" s="3"/>
      <c r="Y21" s="3"/>
      <c r="Z21" s="8"/>
    </row>
    <row r="22" spans="1:26" s="23" customFormat="1" x14ac:dyDescent="0.25">
      <c r="A22" s="10"/>
      <c r="B22" s="29" t="s">
        <v>6</v>
      </c>
      <c r="C22" s="29"/>
      <c r="D22" s="20">
        <f>D12-D17</f>
        <v>14218.189999999999</v>
      </c>
      <c r="E22" s="14"/>
      <c r="F22" s="22">
        <f>IF(D$12=0,0,D22/D$12)</f>
        <v>0.63930020539346699</v>
      </c>
      <c r="G22" s="14"/>
      <c r="H22" s="20">
        <f>H12-H17</f>
        <v>3654.4500000000007</v>
      </c>
      <c r="I22" s="14"/>
      <c r="J22" s="22">
        <f>IF(H$12=0,0,H22/H$12)</f>
        <v>0.29235600000000006</v>
      </c>
      <c r="K22" s="16"/>
      <c r="L22" s="20">
        <f>+D22-H22</f>
        <v>10563.739999999998</v>
      </c>
      <c r="M22" s="16"/>
      <c r="N22" s="22">
        <f>IF(H22=0,0,L22/H22)</f>
        <v>2.8906511239721424</v>
      </c>
      <c r="O22" s="28"/>
      <c r="P22" s="20">
        <f>P12-P17</f>
        <v>958060.12000000011</v>
      </c>
      <c r="Q22" s="14"/>
      <c r="R22" s="22">
        <f>IF(P$12=0,0,P22/P$12)</f>
        <v>0.59959712105298979</v>
      </c>
      <c r="S22" s="14"/>
      <c r="T22" s="20">
        <f>T12-T17</f>
        <v>561963.37000000011</v>
      </c>
      <c r="U22" s="14"/>
      <c r="V22" s="22">
        <f>IF(T$12=0,0,T22/T$12)</f>
        <v>0.27501778678468081</v>
      </c>
      <c r="W22" s="16"/>
      <c r="X22" s="20">
        <f>+P22-T22</f>
        <v>396096.75</v>
      </c>
      <c r="Y22" s="16"/>
      <c r="Z22" s="22">
        <f>IF(T22=0,0,X22/T22)</f>
        <v>0.704844427849452</v>
      </c>
    </row>
    <row r="23" spans="1:26" x14ac:dyDescent="0.25">
      <c r="A23" s="9"/>
      <c r="B23" s="10"/>
      <c r="C23" s="9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x14ac:dyDescent="0.25">
      <c r="A24" s="10"/>
      <c r="B24" s="28" t="s">
        <v>9</v>
      </c>
      <c r="C24" s="10"/>
      <c r="D24" s="21">
        <f>SUM(0)</f>
        <v>0</v>
      </c>
      <c r="E24" s="21"/>
      <c r="F24" s="30">
        <f>IF(D$12=0,0,D24/D$12)</f>
        <v>0</v>
      </c>
      <c r="G24" s="21"/>
      <c r="H24" s="21">
        <f>SUM(0)</f>
        <v>0</v>
      </c>
      <c r="I24" s="21"/>
      <c r="J24" s="30">
        <f>IF(H$12=0,0,H24/H$12)</f>
        <v>0</v>
      </c>
      <c r="K24" s="4"/>
      <c r="L24" s="21">
        <f>+D24-H24</f>
        <v>0</v>
      </c>
      <c r="M24" s="4"/>
      <c r="N24" s="30">
        <f>IF(H24=0,0,L24/H24)</f>
        <v>0</v>
      </c>
      <c r="O24" s="10"/>
      <c r="P24" s="21">
        <f>SUM(0)</f>
        <v>0</v>
      </c>
      <c r="Q24" s="21"/>
      <c r="R24" s="30">
        <f>IF(P$12=0,0,P24/P$12)</f>
        <v>0</v>
      </c>
      <c r="S24" s="21"/>
      <c r="T24" s="21">
        <f>SUM(0)</f>
        <v>0</v>
      </c>
      <c r="U24" s="21"/>
      <c r="V24" s="30">
        <f>IF(T$12=0,0,T24/T$12)</f>
        <v>0</v>
      </c>
      <c r="W24" s="4"/>
      <c r="X24" s="21">
        <f>+P24-T24</f>
        <v>0</v>
      </c>
      <c r="Y24" s="4"/>
      <c r="Z24" s="30">
        <f>IF(T24=0,0,X24/T24)</f>
        <v>0</v>
      </c>
    </row>
    <row r="25" spans="1:26" s="62" customFormat="1" x14ac:dyDescent="0.25">
      <c r="A25" s="36"/>
      <c r="B25" s="36"/>
      <c r="C25" s="36"/>
      <c r="D25" s="1"/>
      <c r="E25" s="1"/>
      <c r="F25" s="5"/>
      <c r="G25" s="1"/>
      <c r="H25" s="1"/>
      <c r="I25" s="1"/>
      <c r="J25" s="5"/>
      <c r="K25" s="1"/>
      <c r="L25" s="1"/>
      <c r="M25" s="1"/>
      <c r="N25" s="5"/>
      <c r="O25" s="36"/>
      <c r="P25" s="1"/>
      <c r="Q25" s="1"/>
      <c r="R25" s="5"/>
      <c r="S25" s="1"/>
      <c r="T25" s="1"/>
      <c r="U25" s="1"/>
      <c r="V25" s="5"/>
      <c r="W25" s="1"/>
      <c r="X25" s="1"/>
      <c r="Y25" s="1"/>
      <c r="Z25" s="5"/>
    </row>
    <row r="26" spans="1:26" s="23" customFormat="1" x14ac:dyDescent="0.25">
      <c r="A26" s="10"/>
      <c r="B26" s="28" t="s">
        <v>0</v>
      </c>
      <c r="C26" s="10"/>
      <c r="D26" s="4">
        <f>SUM(0)</f>
        <v>0</v>
      </c>
      <c r="E26" s="4"/>
      <c r="F26" s="13">
        <f>IF(D$12=0,0,D26/D$12)</f>
        <v>0</v>
      </c>
      <c r="G26" s="4"/>
      <c r="H26" s="4">
        <f>SUM(0)</f>
        <v>0</v>
      </c>
      <c r="I26" s="4"/>
      <c r="J26" s="13">
        <f>IF(H$12=0,0,H26/H$12)</f>
        <v>0</v>
      </c>
      <c r="K26" s="4"/>
      <c r="L26" s="4">
        <f>+D26-H26</f>
        <v>0</v>
      </c>
      <c r="M26" s="4"/>
      <c r="N26" s="13">
        <f>IF(H26=0,0,L26/H26)</f>
        <v>0</v>
      </c>
      <c r="O26" s="10"/>
      <c r="P26" s="4">
        <f>SUM(0)</f>
        <v>0</v>
      </c>
      <c r="Q26" s="4"/>
      <c r="R26" s="13">
        <f>IF(P$12=0,0,P26/P$12)</f>
        <v>0</v>
      </c>
      <c r="S26" s="4"/>
      <c r="T26" s="4">
        <f>SUM(0)</f>
        <v>0</v>
      </c>
      <c r="U26" s="4"/>
      <c r="V26" s="13">
        <f>IF(T$12=0,0,T26/T$12)</f>
        <v>0</v>
      </c>
      <c r="W26" s="4"/>
      <c r="X26" s="4">
        <f>+P26-T26</f>
        <v>0</v>
      </c>
      <c r="Y26" s="4"/>
      <c r="Z26" s="13">
        <f>IF(T26=0,0,X26/T26)</f>
        <v>0</v>
      </c>
    </row>
    <row r="27" spans="1:26" x14ac:dyDescent="0.25">
      <c r="A27" s="9"/>
      <c r="B27" s="10"/>
      <c r="C27" s="10"/>
      <c r="D27" s="3"/>
      <c r="E27" s="3"/>
      <c r="F27" s="8"/>
      <c r="G27" s="3"/>
      <c r="H27" s="3"/>
      <c r="I27" s="3"/>
      <c r="J27" s="8"/>
      <c r="K27" s="3"/>
      <c r="L27" s="3"/>
      <c r="M27" s="3"/>
      <c r="N27" s="8"/>
      <c r="O27" s="10"/>
      <c r="P27" s="3"/>
      <c r="Q27" s="3"/>
      <c r="R27" s="8"/>
      <c r="S27" s="3"/>
      <c r="T27" s="3"/>
      <c r="U27" s="3"/>
      <c r="V27" s="8"/>
      <c r="W27" s="3"/>
      <c r="X27" s="3"/>
      <c r="Y27" s="3"/>
      <c r="Z27" s="8"/>
    </row>
    <row r="28" spans="1:26" s="23" customFormat="1" x14ac:dyDescent="0.25">
      <c r="A28" s="10"/>
      <c r="B28" s="29" t="s">
        <v>3</v>
      </c>
      <c r="C28" s="29"/>
      <c r="D28" s="20">
        <f>+D22-D24+D26</f>
        <v>14218.189999999999</v>
      </c>
      <c r="E28" s="14"/>
      <c r="F28" s="22">
        <f>IF(D$12=0,0,D28/D$12)</f>
        <v>0.63930020539346699</v>
      </c>
      <c r="G28" s="14"/>
      <c r="H28" s="20">
        <f>+H22-H24+H26</f>
        <v>3654.4500000000007</v>
      </c>
      <c r="I28" s="14"/>
      <c r="J28" s="22">
        <f>IF(H$12=0,0,H28/H$12)</f>
        <v>0.29235600000000006</v>
      </c>
      <c r="K28" s="16"/>
      <c r="L28" s="20">
        <f>+D28-H28</f>
        <v>10563.739999999998</v>
      </c>
      <c r="M28" s="16"/>
      <c r="N28" s="22">
        <f>IF(H28=0,0,L28/H28)</f>
        <v>2.8906511239721424</v>
      </c>
      <c r="O28" s="28"/>
      <c r="P28" s="20">
        <f>+P22-P24+P26</f>
        <v>958060.12000000011</v>
      </c>
      <c r="Q28" s="14"/>
      <c r="R28" s="22">
        <f>IF(P$12=0,0,P28/P$12)</f>
        <v>0.59959712105298979</v>
      </c>
      <c r="S28" s="14"/>
      <c r="T28" s="20">
        <f>+T22-T24+T26</f>
        <v>561963.37000000011</v>
      </c>
      <c r="U28" s="14"/>
      <c r="V28" s="22">
        <f>IF(T$12=0,0,T28/T$12)</f>
        <v>0.27501778678468081</v>
      </c>
      <c r="W28" s="16"/>
      <c r="X28" s="20">
        <f>+P28-T28</f>
        <v>396096.75</v>
      </c>
      <c r="Y28" s="16"/>
      <c r="Z28" s="22">
        <f>IF(T28=0,0,X28/T28)</f>
        <v>0.704844427849452</v>
      </c>
    </row>
    <row r="29" spans="1:26" x14ac:dyDescent="0.25">
      <c r="A29" s="9"/>
      <c r="B29" s="10"/>
      <c r="C29" s="9"/>
      <c r="D29" s="3"/>
      <c r="E29" s="3"/>
      <c r="F29" s="8"/>
      <c r="G29" s="3"/>
      <c r="H29" s="3"/>
      <c r="I29" s="3"/>
      <c r="J29" s="8"/>
      <c r="K29" s="3"/>
      <c r="L29" s="3"/>
      <c r="M29" s="3"/>
      <c r="N29" s="8"/>
      <c r="P29" s="3"/>
      <c r="Q29" s="3"/>
      <c r="R29" s="8"/>
      <c r="S29" s="3"/>
      <c r="T29" s="3"/>
      <c r="U29" s="3"/>
      <c r="V29" s="8"/>
      <c r="W29" s="3"/>
      <c r="X29" s="3"/>
      <c r="Y29" s="3"/>
      <c r="Z29" s="8"/>
    </row>
    <row r="30" spans="1:26" s="23" customFormat="1" x14ac:dyDescent="0.25">
      <c r="A30" s="52"/>
      <c r="B30" s="10" t="s">
        <v>14</v>
      </c>
      <c r="C30" s="10"/>
      <c r="D30" s="4">
        <v>10311.129999999999</v>
      </c>
      <c r="E30" s="4"/>
      <c r="F30" s="13">
        <f>IF(D$12=0,0,D30/D$12)</f>
        <v>0.46362494289629969</v>
      </c>
      <c r="G30" s="4"/>
      <c r="H30" s="4">
        <v>-616</v>
      </c>
      <c r="I30" s="4"/>
      <c r="J30" s="13">
        <f>IF(H$12=0,0,H30/H$12)</f>
        <v>-4.9279999999999997E-2</v>
      </c>
      <c r="K30" s="4"/>
      <c r="L30" s="4">
        <f>+D30-H30</f>
        <v>10927.13</v>
      </c>
      <c r="M30" s="4"/>
      <c r="N30" s="13">
        <f>IF(H30=0,0,L30/H30)</f>
        <v>-17.738847402597401</v>
      </c>
      <c r="O30" s="10"/>
      <c r="P30" s="4">
        <v>186174</v>
      </c>
      <c r="Q30" s="4"/>
      <c r="R30" s="13">
        <f>IF(P$12=0,0,P30/P$12)</f>
        <v>0.11651606416403107</v>
      </c>
      <c r="S30" s="4"/>
      <c r="T30" s="4">
        <v>236673</v>
      </c>
      <c r="U30" s="4"/>
      <c r="V30" s="13">
        <f>IF(T$12=0,0,T30/T$12)</f>
        <v>0.11582478169652009</v>
      </c>
      <c r="W30" s="4"/>
      <c r="X30" s="4">
        <f>+P30-T30</f>
        <v>-50499</v>
      </c>
      <c r="Y30" s="4"/>
      <c r="Z30" s="13">
        <f>IF(T30=0,0,X30/T30)</f>
        <v>-0.21337034642734912</v>
      </c>
    </row>
    <row r="31" spans="1:26" x14ac:dyDescent="0.25">
      <c r="A31" s="9"/>
      <c r="B31" s="10"/>
      <c r="C31" s="10"/>
      <c r="D31" s="3"/>
      <c r="E31" s="3"/>
      <c r="F31" s="8"/>
      <c r="G31" s="3"/>
      <c r="H31" s="3"/>
      <c r="I31" s="3"/>
      <c r="J31" s="8"/>
      <c r="K31" s="3"/>
      <c r="L31" s="3"/>
      <c r="M31" s="3"/>
      <c r="N31" s="8"/>
      <c r="O31" s="10"/>
      <c r="P31" s="3"/>
      <c r="Q31" s="3"/>
      <c r="R31" s="8"/>
      <c r="S31" s="3"/>
      <c r="T31" s="3"/>
      <c r="U31" s="3"/>
      <c r="V31" s="8"/>
      <c r="W31" s="3"/>
      <c r="X31" s="3"/>
      <c r="Y31" s="3"/>
      <c r="Z31" s="8"/>
    </row>
    <row r="32" spans="1:26" s="23" customFormat="1" ht="15.75" thickBot="1" x14ac:dyDescent="0.3">
      <c r="A32" s="10"/>
      <c r="B32" s="29" t="s">
        <v>4</v>
      </c>
      <c r="C32" s="29"/>
      <c r="D32" s="35">
        <f>+D28-D30</f>
        <v>3907.0599999999995</v>
      </c>
      <c r="E32" s="14"/>
      <c r="F32" s="32">
        <f>IF(D$12=0,0,D32/D$12)</f>
        <v>0.17567526249716728</v>
      </c>
      <c r="G32" s="14"/>
      <c r="H32" s="35">
        <f>+H28-H30</f>
        <v>4270.4500000000007</v>
      </c>
      <c r="I32" s="14"/>
      <c r="J32" s="32">
        <f>IF(H$12=0,0,H32/H$12)</f>
        <v>0.34163600000000005</v>
      </c>
      <c r="K32" s="16"/>
      <c r="L32" s="35">
        <f>D32-H32</f>
        <v>-363.39000000000124</v>
      </c>
      <c r="M32" s="16"/>
      <c r="N32" s="32">
        <f>IF(H32=0,0,L32/H32)</f>
        <v>-8.5094076736643959E-2</v>
      </c>
      <c r="O32" s="28"/>
      <c r="P32" s="35">
        <f>+P28-P30</f>
        <v>771886.12000000011</v>
      </c>
      <c r="Q32" s="14"/>
      <c r="R32" s="32">
        <f>IF(P$12=0,0,P32/P$12)</f>
        <v>0.48308105688895869</v>
      </c>
      <c r="S32" s="14"/>
      <c r="T32" s="35">
        <f>+T28-T30</f>
        <v>325290.37000000011</v>
      </c>
      <c r="U32" s="14"/>
      <c r="V32" s="32">
        <f>IF(T$12=0,0,T32/T$12)</f>
        <v>0.15919300508816073</v>
      </c>
      <c r="W32" s="16"/>
      <c r="X32" s="35">
        <f>P32-T32</f>
        <v>446595.75</v>
      </c>
      <c r="Y32" s="16"/>
      <c r="Z32" s="32">
        <f>IF(T32=0,0,X32/T32)</f>
        <v>1.3729141443689215</v>
      </c>
    </row>
    <row r="33" spans="1:26" ht="15.75" thickTop="1" x14ac:dyDescent="0.25">
      <c r="A33" s="9"/>
      <c r="B33" s="9"/>
      <c r="C33" s="9"/>
      <c r="D33" s="3"/>
      <c r="E33" s="3"/>
      <c r="F33" s="8"/>
      <c r="G33" s="3"/>
      <c r="H33" s="3"/>
      <c r="I33" s="3"/>
      <c r="J33" s="8"/>
      <c r="K33" s="3"/>
      <c r="L33" s="3"/>
      <c r="M33" s="3"/>
      <c r="N33" s="8"/>
      <c r="P33" s="3"/>
      <c r="Q33" s="3"/>
      <c r="R33" s="8"/>
      <c r="S33" s="3"/>
      <c r="T33" s="3"/>
      <c r="U33" s="3"/>
      <c r="V33" s="8"/>
      <c r="W33" s="3"/>
      <c r="X33" s="3"/>
      <c r="Y33" s="3"/>
      <c r="Z33" s="8"/>
    </row>
    <row r="34" spans="1:26" x14ac:dyDescent="0.25">
      <c r="A34" s="9"/>
      <c r="B34" s="9"/>
      <c r="C34" s="9"/>
      <c r="D34" s="3"/>
      <c r="E34" s="3"/>
      <c r="F34" s="8"/>
      <c r="G34" s="3"/>
      <c r="H34" s="3"/>
      <c r="I34" s="3"/>
      <c r="J34" s="8"/>
      <c r="K34" s="3"/>
      <c r="L34" s="3"/>
      <c r="M34" s="3"/>
      <c r="N34" s="8"/>
      <c r="P34" s="3"/>
      <c r="Q34" s="3"/>
      <c r="R34" s="8"/>
      <c r="S34" s="3"/>
      <c r="T34" s="3"/>
      <c r="U34" s="3"/>
      <c r="V34" s="8"/>
      <c r="W34" s="3"/>
      <c r="X34" s="3"/>
      <c r="Y34" s="3"/>
      <c r="Z34" s="8"/>
    </row>
    <row r="35" spans="1:26" s="23" customFormat="1" ht="15.75" thickBot="1" x14ac:dyDescent="0.3">
      <c r="A35" s="10"/>
      <c r="B35" s="29" t="s">
        <v>5</v>
      </c>
      <c r="C35" s="29"/>
      <c r="D35" s="34">
        <f>SUM(D32:D34)</f>
        <v>3907.0599999999995</v>
      </c>
      <c r="E35" s="14"/>
      <c r="F35" s="31">
        <f>IF(D$12=0,0,D35/D$12)</f>
        <v>0.17567526249716728</v>
      </c>
      <c r="G35" s="14"/>
      <c r="H35" s="34">
        <f>SUM(H32:H34)</f>
        <v>4270.4500000000007</v>
      </c>
      <c r="I35" s="14"/>
      <c r="J35" s="31">
        <f>IF(H$12=0,0,H35/H$12)</f>
        <v>0.34163600000000005</v>
      </c>
      <c r="K35" s="16"/>
      <c r="L35" s="34">
        <f>+D35-H35</f>
        <v>-363.39000000000124</v>
      </c>
      <c r="M35" s="16"/>
      <c r="N35" s="31">
        <f>IF(H35=0,0,L35/H35)</f>
        <v>-8.5094076736643959E-2</v>
      </c>
      <c r="O35" s="28"/>
      <c r="P35" s="34">
        <f>SUM(P32:P34)</f>
        <v>771886.12000000011</v>
      </c>
      <c r="Q35" s="14"/>
      <c r="R35" s="31">
        <f>IF(P$12=0,0,P35/P$12)</f>
        <v>0.48308105688895869</v>
      </c>
      <c r="S35" s="14"/>
      <c r="T35" s="34">
        <f>SUM(T32:T34)</f>
        <v>325290.37000000011</v>
      </c>
      <c r="U35" s="14"/>
      <c r="V35" s="31">
        <f>IF(T$12=0,0,T35/T$12)</f>
        <v>0.15919300508816073</v>
      </c>
      <c r="W35" s="16"/>
      <c r="X35" s="34">
        <f>+P35-T35</f>
        <v>446595.75</v>
      </c>
      <c r="Y35" s="16"/>
      <c r="Z35" s="31">
        <f>IF(T35=0,0,X35/T35)</f>
        <v>1.3729141443689215</v>
      </c>
    </row>
    <row r="36" spans="1:26" ht="15.75" thickTop="1" x14ac:dyDescent="0.25">
      <c r="A36" s="9"/>
      <c r="C36" s="9"/>
      <c r="D36" s="18"/>
      <c r="E36" s="18"/>
      <c r="G36" s="18"/>
      <c r="H36" s="18"/>
      <c r="I36" s="18"/>
      <c r="J36" s="42"/>
      <c r="K36" s="18"/>
      <c r="L36" s="18"/>
      <c r="M36" s="18"/>
      <c r="P36" s="18"/>
      <c r="Q36" s="18"/>
      <c r="R36" s="42"/>
      <c r="S36" s="18"/>
      <c r="T36" s="18"/>
      <c r="U36" s="18"/>
      <c r="V36" s="42"/>
      <c r="W36" s="18"/>
      <c r="X36" s="18"/>
    </row>
    <row r="37" spans="1:26" x14ac:dyDescent="0.25">
      <c r="A37" s="9"/>
      <c r="B37" s="59">
        <v>43992.371920254627</v>
      </c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56" t="s">
        <v>314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54"/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</sheetData>
  <pageMargins left="0.25" right="0.25" top="0.75" bottom="0.75" header="0.3" footer="0.3"/>
  <pageSetup scale="55" fitToWidth="2" orientation="landscape"/>
  <drawing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169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63" t="s">
        <v>13</v>
      </c>
    </row>
    <row r="3" spans="1:26" x14ac:dyDescent="0.25">
      <c r="D3" s="63" t="s">
        <v>296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61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63" t="str">
        <f>CONCATENATE("Period ",RIGHT(202011,2),", ",2020)</f>
        <v>Period 11, 2020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61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4">
        <v>43981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61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51"/>
      <c r="C6" s="51"/>
      <c r="D6" s="23" t="s">
        <v>304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57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5" t="s">
        <v>294</v>
      </c>
      <c r="E9" s="15"/>
      <c r="F9" s="38"/>
      <c r="G9" s="15"/>
      <c r="H9" s="15"/>
      <c r="I9" s="15"/>
      <c r="J9" s="46"/>
      <c r="K9" s="15"/>
      <c r="L9" s="15"/>
      <c r="M9" s="15"/>
      <c r="N9" s="38"/>
      <c r="P9" s="15" t="s">
        <v>295</v>
      </c>
      <c r="Q9" s="15"/>
      <c r="R9" s="38"/>
      <c r="S9" s="15"/>
      <c r="T9" s="15"/>
      <c r="U9" s="15"/>
      <c r="V9" s="46"/>
      <c r="W9" s="15"/>
      <c r="X9" s="15"/>
      <c r="Y9" s="15"/>
      <c r="Z9" s="38"/>
    </row>
    <row r="10" spans="1:26" x14ac:dyDescent="0.25">
      <c r="A10" s="10"/>
      <c r="B10" s="55"/>
      <c r="C10" s="10"/>
      <c r="D10" s="43" t="s">
        <v>10</v>
      </c>
      <c r="E10" s="33"/>
      <c r="F10" s="40" t="s">
        <v>15</v>
      </c>
      <c r="G10" s="33"/>
      <c r="H10" s="47" t="s">
        <v>11</v>
      </c>
      <c r="I10" s="33"/>
      <c r="J10" s="45" t="s">
        <v>16</v>
      </c>
      <c r="K10" s="10"/>
      <c r="L10" s="43" t="s">
        <v>12</v>
      </c>
      <c r="M10" s="10"/>
      <c r="N10" s="40" t="s">
        <v>17</v>
      </c>
      <c r="O10" s="10"/>
      <c r="P10" s="53" t="s">
        <v>10</v>
      </c>
      <c r="Q10" s="33"/>
      <c r="R10" s="40" t="s">
        <v>15</v>
      </c>
      <c r="S10" s="33"/>
      <c r="T10" s="47" t="s">
        <v>11</v>
      </c>
      <c r="U10" s="33"/>
      <c r="V10" s="45" t="s">
        <v>16</v>
      </c>
      <c r="W10" s="10"/>
      <c r="X10" s="43" t="s">
        <v>12</v>
      </c>
      <c r="Y10" s="10"/>
      <c r="Z10" s="40" t="s">
        <v>17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179475.76000000004</v>
      </c>
      <c r="E12" s="4"/>
      <c r="F12" s="13"/>
      <c r="G12" s="4"/>
      <c r="H12" s="4">
        <f>SUM(OSRRefH13x_0)</f>
        <v>550165.64854999993</v>
      </c>
      <c r="I12" s="4"/>
      <c r="J12" s="13"/>
      <c r="K12" s="4"/>
      <c r="L12" s="4">
        <f t="shared" ref="L12:L42" si="0">+D12-H12</f>
        <v>-370689.88854999992</v>
      </c>
      <c r="M12" s="4"/>
      <c r="N12" s="13">
        <f t="shared" ref="N12:N42" si="1">IF(H12=0,0,L12/H12)</f>
        <v>-0.67377868743164726</v>
      </c>
      <c r="O12" s="10"/>
      <c r="P12" s="4">
        <f>SUM(OSRRefP13x_0)</f>
        <v>2767453.9000000004</v>
      </c>
      <c r="Q12" s="4"/>
      <c r="R12" s="13"/>
      <c r="S12" s="4"/>
      <c r="T12" s="4">
        <f>SUM(OSRRefT13x_0)</f>
        <v>3696236.8487</v>
      </c>
      <c r="U12" s="4"/>
      <c r="V12" s="13"/>
      <c r="W12" s="4"/>
      <c r="X12" s="4">
        <f t="shared" ref="X12:X42" si="2">+P12-T12</f>
        <v>-928782.9486999996</v>
      </c>
      <c r="Y12" s="4"/>
      <c r="Z12" s="13">
        <f t="shared" ref="Z12:Z42" si="3">IF(T12=0,0,X12/T12)</f>
        <v>-0.25127798534519263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 t="shared" ref="D13:D16" si="4">0</f>
        <v>0</v>
      </c>
      <c r="E13" s="2"/>
      <c r="F13" s="19"/>
      <c r="G13" s="2"/>
      <c r="H13" s="2">
        <v>550165.64854999993</v>
      </c>
      <c r="I13" s="2"/>
      <c r="J13" s="19"/>
      <c r="K13" s="2"/>
      <c r="L13" s="2">
        <f t="shared" si="0"/>
        <v>-550165.64854999993</v>
      </c>
      <c r="M13" s="2"/>
      <c r="N13" s="19">
        <f t="shared" si="1"/>
        <v>-1</v>
      </c>
      <c r="O13" s="11"/>
      <c r="P13" s="2">
        <f>0</f>
        <v>0</v>
      </c>
      <c r="Q13" s="2"/>
      <c r="R13" s="19"/>
      <c r="S13" s="2"/>
      <c r="T13" s="2">
        <v>3696236.8487</v>
      </c>
      <c r="U13" s="2"/>
      <c r="V13" s="19"/>
      <c r="W13" s="2"/>
      <c r="X13" s="2">
        <f t="shared" si="2"/>
        <v>-3696236.8487</v>
      </c>
      <c r="Y13" s="2"/>
      <c r="Z13" s="19">
        <f t="shared" si="3"/>
        <v>-1</v>
      </c>
    </row>
    <row r="14" spans="1:26" s="24" customFormat="1" hidden="1" outlineLevel="1" x14ac:dyDescent="0.25">
      <c r="A14" s="44"/>
      <c r="B14" s="11" t="str">
        <f>CONCATENATE("          ", "4025", " - ", "TAXABLE SALES-TEST FORMS")</f>
        <v xml:space="preserve">          4025 - TAXABLE SALES-TEST FORMS</v>
      </c>
      <c r="C14" s="11"/>
      <c r="D14" s="2">
        <f t="shared" si="4"/>
        <v>0</v>
      </c>
      <c r="E14" s="2"/>
      <c r="F14" s="19"/>
      <c r="G14" s="2"/>
      <c r="H14" s="2"/>
      <c r="I14" s="2"/>
      <c r="J14" s="19"/>
      <c r="K14" s="2"/>
      <c r="L14" s="2">
        <f t="shared" si="0"/>
        <v>0</v>
      </c>
      <c r="M14" s="2"/>
      <c r="N14" s="19">
        <f t="shared" si="1"/>
        <v>0</v>
      </c>
      <c r="O14" s="11"/>
      <c r="P14" s="2">
        <f>--13.62</f>
        <v>13.62</v>
      </c>
      <c r="Q14" s="2"/>
      <c r="R14" s="19"/>
      <c r="S14" s="2"/>
      <c r="T14" s="2"/>
      <c r="U14" s="2"/>
      <c r="V14" s="19"/>
      <c r="W14" s="2"/>
      <c r="X14" s="2">
        <f t="shared" si="2"/>
        <v>13.62</v>
      </c>
      <c r="Y14" s="2"/>
      <c r="Z14" s="19">
        <f t="shared" si="3"/>
        <v>0</v>
      </c>
    </row>
    <row r="15" spans="1:26" s="24" customFormat="1" hidden="1" outlineLevel="1" x14ac:dyDescent="0.25">
      <c r="A15" s="44"/>
      <c r="B15" s="11" t="str">
        <f>CONCATENATE("          ", "4026", " - ", "TAXABLE SALES-WRITING INSTRUME")</f>
        <v xml:space="preserve">          4026 - TAXABLE SALES-WRITING INSTRUME</v>
      </c>
      <c r="C15" s="11"/>
      <c r="D15" s="2">
        <f t="shared" si="4"/>
        <v>0</v>
      </c>
      <c r="E15" s="2"/>
      <c r="F15" s="19"/>
      <c r="G15" s="2"/>
      <c r="H15" s="2"/>
      <c r="I15" s="2"/>
      <c r="J15" s="19"/>
      <c r="K15" s="2"/>
      <c r="L15" s="2">
        <f t="shared" si="0"/>
        <v>0</v>
      </c>
      <c r="M15" s="2"/>
      <c r="N15" s="19">
        <f t="shared" si="1"/>
        <v>0</v>
      </c>
      <c r="O15" s="11"/>
      <c r="P15" s="2">
        <f>--229.51</f>
        <v>229.51</v>
      </c>
      <c r="Q15" s="2"/>
      <c r="R15" s="19"/>
      <c r="S15" s="2"/>
      <c r="T15" s="2"/>
      <c r="U15" s="2"/>
      <c r="V15" s="19"/>
      <c r="W15" s="2"/>
      <c r="X15" s="2">
        <f t="shared" si="2"/>
        <v>229.51</v>
      </c>
      <c r="Y15" s="2"/>
      <c r="Z15" s="19">
        <f t="shared" si="3"/>
        <v>0</v>
      </c>
    </row>
    <row r="16" spans="1:26" s="24" customFormat="1" hidden="1" outlineLevel="1" x14ac:dyDescent="0.25">
      <c r="A16" s="44"/>
      <c r="B16" s="11" t="str">
        <f>CONCATENATE("          ", "4027", " - ", "TAXABLE SALES-SCHOOL SUPPLIES")</f>
        <v xml:space="preserve">          4027 - TAXABLE SALES-SCHOOL SUPPLIES</v>
      </c>
      <c r="C16" s="11"/>
      <c r="D16" s="2">
        <f t="shared" si="4"/>
        <v>0</v>
      </c>
      <c r="E16" s="2"/>
      <c r="F16" s="19"/>
      <c r="G16" s="2"/>
      <c r="H16" s="2"/>
      <c r="I16" s="2"/>
      <c r="J16" s="19"/>
      <c r="K16" s="2"/>
      <c r="L16" s="2">
        <f t="shared" si="0"/>
        <v>0</v>
      </c>
      <c r="M16" s="2"/>
      <c r="N16" s="19">
        <f t="shared" si="1"/>
        <v>0</v>
      </c>
      <c r="O16" s="11"/>
      <c r="P16" s="2">
        <f>--161.59</f>
        <v>161.59</v>
      </c>
      <c r="Q16" s="2"/>
      <c r="R16" s="19"/>
      <c r="S16" s="2"/>
      <c r="T16" s="2"/>
      <c r="U16" s="2"/>
      <c r="V16" s="19"/>
      <c r="W16" s="2"/>
      <c r="X16" s="2">
        <f t="shared" si="2"/>
        <v>161.59</v>
      </c>
      <c r="Y16" s="2"/>
      <c r="Z16" s="19">
        <f t="shared" si="3"/>
        <v>0</v>
      </c>
    </row>
    <row r="17" spans="1:26" s="24" customFormat="1" hidden="1" outlineLevel="1" x14ac:dyDescent="0.25">
      <c r="A17" s="44"/>
      <c r="B17" s="11" t="str">
        <f>CONCATENATE("          ", "4040", " - ", "TAXABLE SALES-LOGO CLOTHING")</f>
        <v xml:space="preserve">          4040 - TAXABLE SALES-LOGO CLOTHING</v>
      </c>
      <c r="C17" s="11"/>
      <c r="D17" s="2">
        <f>--50806.72</f>
        <v>50806.720000000001</v>
      </c>
      <c r="E17" s="2"/>
      <c r="F17" s="19"/>
      <c r="G17" s="2"/>
      <c r="H17" s="2"/>
      <c r="I17" s="2"/>
      <c r="J17" s="19"/>
      <c r="K17" s="2"/>
      <c r="L17" s="2">
        <f t="shared" si="0"/>
        <v>50806.720000000001</v>
      </c>
      <c r="M17" s="2"/>
      <c r="N17" s="19">
        <f t="shared" si="1"/>
        <v>0</v>
      </c>
      <c r="O17" s="11"/>
      <c r="P17" s="2">
        <f>--1894910.12</f>
        <v>1894910.12</v>
      </c>
      <c r="Q17" s="2"/>
      <c r="R17" s="19"/>
      <c r="S17" s="2"/>
      <c r="T17" s="2"/>
      <c r="U17" s="2"/>
      <c r="V17" s="19"/>
      <c r="W17" s="2"/>
      <c r="X17" s="2">
        <f t="shared" si="2"/>
        <v>1894910.12</v>
      </c>
      <c r="Y17" s="2"/>
      <c r="Z17" s="19">
        <f t="shared" si="3"/>
        <v>0</v>
      </c>
    </row>
    <row r="18" spans="1:26" s="24" customFormat="1" hidden="1" outlineLevel="1" x14ac:dyDescent="0.25">
      <c r="A18" s="44"/>
      <c r="B18" s="11" t="str">
        <f>CONCATENATE("          ", "4041", " - ", "TAXABLE SALES-LOGO GIFTS")</f>
        <v xml:space="preserve">          4041 - TAXABLE SALES-LOGO GIFTS</v>
      </c>
      <c r="C18" s="11"/>
      <c r="D18" s="2">
        <f>--44686.17</f>
        <v>44686.17</v>
      </c>
      <c r="E18" s="2"/>
      <c r="F18" s="19"/>
      <c r="G18" s="2"/>
      <c r="H18" s="2"/>
      <c r="I18" s="2"/>
      <c r="J18" s="19"/>
      <c r="K18" s="2"/>
      <c r="L18" s="2">
        <f t="shared" si="0"/>
        <v>44686.17</v>
      </c>
      <c r="M18" s="2"/>
      <c r="N18" s="19">
        <f t="shared" si="1"/>
        <v>0</v>
      </c>
      <c r="O18" s="11"/>
      <c r="P18" s="2">
        <f>--351118.01</f>
        <v>351118.01</v>
      </c>
      <c r="Q18" s="2"/>
      <c r="R18" s="19"/>
      <c r="S18" s="2"/>
      <c r="T18" s="2"/>
      <c r="U18" s="2"/>
      <c r="V18" s="19"/>
      <c r="W18" s="2"/>
      <c r="X18" s="2">
        <f t="shared" si="2"/>
        <v>351118.01</v>
      </c>
      <c r="Y18" s="2"/>
      <c r="Z18" s="19">
        <f t="shared" si="3"/>
        <v>0</v>
      </c>
    </row>
    <row r="19" spans="1:26" s="24" customFormat="1" hidden="1" outlineLevel="1" x14ac:dyDescent="0.25">
      <c r="A19" s="44"/>
      <c r="B19" s="11" t="str">
        <f>CONCATENATE("          ", "4042", " - ", "TAXABLE SALES-EVERYDAY GIFTS")</f>
        <v xml:space="preserve">          4042 - TAXABLE SALES-EVERYDAY GIFTS</v>
      </c>
      <c r="C19" s="11"/>
      <c r="D19" s="2">
        <f>--1342.97</f>
        <v>1342.97</v>
      </c>
      <c r="E19" s="2"/>
      <c r="F19" s="19"/>
      <c r="G19" s="2"/>
      <c r="H19" s="2"/>
      <c r="I19" s="2"/>
      <c r="J19" s="19"/>
      <c r="K19" s="2"/>
      <c r="L19" s="2">
        <f t="shared" si="0"/>
        <v>1342.97</v>
      </c>
      <c r="M19" s="2"/>
      <c r="N19" s="19">
        <f t="shared" si="1"/>
        <v>0</v>
      </c>
      <c r="O19" s="11"/>
      <c r="P19" s="2">
        <f>--205614.84</f>
        <v>205614.84</v>
      </c>
      <c r="Q19" s="2"/>
      <c r="R19" s="19"/>
      <c r="S19" s="2"/>
      <c r="T19" s="2"/>
      <c r="U19" s="2"/>
      <c r="V19" s="19"/>
      <c r="W19" s="2"/>
      <c r="X19" s="2">
        <f t="shared" si="2"/>
        <v>205614.84</v>
      </c>
      <c r="Y19" s="2"/>
      <c r="Z19" s="19">
        <f t="shared" si="3"/>
        <v>0</v>
      </c>
    </row>
    <row r="20" spans="1:26" s="24" customFormat="1" hidden="1" outlineLevel="1" x14ac:dyDescent="0.25">
      <c r="A20" s="44"/>
      <c r="B20" s="11" t="str">
        <f>CONCATENATE("          ", "4043", " - ", "TAXABLE SALES-CARDS")</f>
        <v xml:space="preserve">          4043 - TAXABLE SALES-CARDS</v>
      </c>
      <c r="C20" s="11"/>
      <c r="D20" s="2">
        <f>--49.95</f>
        <v>49.95</v>
      </c>
      <c r="E20" s="2"/>
      <c r="F20" s="19"/>
      <c r="G20" s="2"/>
      <c r="H20" s="2"/>
      <c r="I20" s="2"/>
      <c r="J20" s="19"/>
      <c r="K20" s="2"/>
      <c r="L20" s="2">
        <f t="shared" si="0"/>
        <v>49.95</v>
      </c>
      <c r="M20" s="2"/>
      <c r="N20" s="19">
        <f t="shared" si="1"/>
        <v>0</v>
      </c>
      <c r="O20" s="11"/>
      <c r="P20" s="2">
        <f>--76347.46</f>
        <v>76347.460000000006</v>
      </c>
      <c r="Q20" s="2"/>
      <c r="R20" s="19"/>
      <c r="S20" s="2"/>
      <c r="T20" s="2"/>
      <c r="U20" s="2"/>
      <c r="V20" s="19"/>
      <c r="W20" s="2"/>
      <c r="X20" s="2">
        <f t="shared" si="2"/>
        <v>76347.460000000006</v>
      </c>
      <c r="Y20" s="2"/>
      <c r="Z20" s="19">
        <f t="shared" si="3"/>
        <v>0</v>
      </c>
    </row>
    <row r="21" spans="1:26" s="24" customFormat="1" hidden="1" outlineLevel="1" x14ac:dyDescent="0.25">
      <c r="A21" s="44"/>
      <c r="B21" s="11" t="str">
        <f>CONCATENATE("          ", "4044", " - ", "TAXABLE SALES-ACCESSORIES")</f>
        <v xml:space="preserve">          4044 - TAXABLE SALES-ACCESSORIES</v>
      </c>
      <c r="C21" s="11"/>
      <c r="D21" s="2">
        <f>--3915.24</f>
        <v>3915.24</v>
      </c>
      <c r="E21" s="2"/>
      <c r="F21" s="19"/>
      <c r="G21" s="2"/>
      <c r="H21" s="2"/>
      <c r="I21" s="2"/>
      <c r="J21" s="19"/>
      <c r="K21" s="2"/>
      <c r="L21" s="2">
        <f t="shared" si="0"/>
        <v>3915.24</v>
      </c>
      <c r="M21" s="2"/>
      <c r="N21" s="19">
        <f t="shared" si="1"/>
        <v>0</v>
      </c>
      <c r="O21" s="11"/>
      <c r="P21" s="2">
        <f>--70841.08</f>
        <v>70841.08</v>
      </c>
      <c r="Q21" s="2"/>
      <c r="R21" s="19"/>
      <c r="S21" s="2"/>
      <c r="T21" s="2"/>
      <c r="U21" s="2"/>
      <c r="V21" s="19"/>
      <c r="W21" s="2"/>
      <c r="X21" s="2">
        <f t="shared" si="2"/>
        <v>70841.08</v>
      </c>
      <c r="Y21" s="2"/>
      <c r="Z21" s="19">
        <f t="shared" si="3"/>
        <v>0</v>
      </c>
    </row>
    <row r="22" spans="1:26" s="24" customFormat="1" hidden="1" outlineLevel="1" x14ac:dyDescent="0.25">
      <c r="A22" s="44"/>
      <c r="B22" s="11" t="str">
        <f>CONCATENATE("          ", "4045", " - ", "TAXABLE SALES-SPECIAL ORDERS")</f>
        <v xml:space="preserve">          4045 - TAXABLE SALES-SPECIAL ORDERS</v>
      </c>
      <c r="C22" s="11"/>
      <c r="D22" s="2">
        <f>--13525.59</f>
        <v>13525.59</v>
      </c>
      <c r="E22" s="2"/>
      <c r="F22" s="19"/>
      <c r="G22" s="2"/>
      <c r="H22" s="2"/>
      <c r="I22" s="2"/>
      <c r="J22" s="19"/>
      <c r="K22" s="2"/>
      <c r="L22" s="2">
        <f t="shared" si="0"/>
        <v>13525.59</v>
      </c>
      <c r="M22" s="2"/>
      <c r="N22" s="19">
        <f t="shared" si="1"/>
        <v>0</v>
      </c>
      <c r="O22" s="11"/>
      <c r="P22" s="2">
        <f>--96839.56</f>
        <v>96839.56</v>
      </c>
      <c r="Q22" s="2"/>
      <c r="R22" s="19"/>
      <c r="S22" s="2"/>
      <c r="T22" s="2"/>
      <c r="U22" s="2"/>
      <c r="V22" s="19"/>
      <c r="W22" s="2"/>
      <c r="X22" s="2">
        <f t="shared" si="2"/>
        <v>96839.56</v>
      </c>
      <c r="Y22" s="2"/>
      <c r="Z22" s="19">
        <f t="shared" si="3"/>
        <v>0</v>
      </c>
    </row>
    <row r="23" spans="1:26" s="24" customFormat="1" hidden="1" outlineLevel="1" x14ac:dyDescent="0.25">
      <c r="A23" s="44"/>
      <c r="B23" s="11" t="str">
        <f>CONCATENATE("          ", "4092", " - ", "TAXABLE SALES-GRAD MERCH")</f>
        <v xml:space="preserve">          4092 - TAXABLE SALES-GRAD MERCH</v>
      </c>
      <c r="C23" s="11"/>
      <c r="D23" s="2">
        <f t="shared" ref="D23:D25" si="5">0</f>
        <v>0</v>
      </c>
      <c r="E23" s="2"/>
      <c r="F23" s="19"/>
      <c r="G23" s="2"/>
      <c r="H23" s="2"/>
      <c r="I23" s="2"/>
      <c r="J23" s="19"/>
      <c r="K23" s="2"/>
      <c r="L23" s="2">
        <f t="shared" si="0"/>
        <v>0</v>
      </c>
      <c r="M23" s="2"/>
      <c r="N23" s="19">
        <f t="shared" si="1"/>
        <v>0</v>
      </c>
      <c r="O23" s="11"/>
      <c r="P23" s="2">
        <f>-39.95</f>
        <v>-39.950000000000003</v>
      </c>
      <c r="Q23" s="2"/>
      <c r="R23" s="19"/>
      <c r="S23" s="2"/>
      <c r="T23" s="2"/>
      <c r="U23" s="2"/>
      <c r="V23" s="19"/>
      <c r="W23" s="2"/>
      <c r="X23" s="2">
        <f t="shared" si="2"/>
        <v>-39.950000000000003</v>
      </c>
      <c r="Y23" s="2"/>
      <c r="Z23" s="19">
        <f t="shared" si="3"/>
        <v>0</v>
      </c>
    </row>
    <row r="24" spans="1:26" s="24" customFormat="1" hidden="1" outlineLevel="1" x14ac:dyDescent="0.25">
      <c r="A24" s="44"/>
      <c r="B24" s="11" t="str">
        <f>CONCATENATE("          ", "4095", " - ", "TAXABLE SALES-CUSTOMER SERVICE")</f>
        <v xml:space="preserve">          4095 - TAXABLE SALES-CUSTOMER SERVICE</v>
      </c>
      <c r="C24" s="11"/>
      <c r="D24" s="2">
        <f t="shared" si="5"/>
        <v>0</v>
      </c>
      <c r="E24" s="2"/>
      <c r="F24" s="19"/>
      <c r="G24" s="2"/>
      <c r="H24" s="2"/>
      <c r="I24" s="2"/>
      <c r="J24" s="19"/>
      <c r="K24" s="2"/>
      <c r="L24" s="2">
        <f t="shared" si="0"/>
        <v>0</v>
      </c>
      <c r="M24" s="2"/>
      <c r="N24" s="19">
        <f t="shared" si="1"/>
        <v>0</v>
      </c>
      <c r="O24" s="11"/>
      <c r="P24" s="2">
        <f>--29.7</f>
        <v>29.7</v>
      </c>
      <c r="Q24" s="2"/>
      <c r="R24" s="19"/>
      <c r="S24" s="2"/>
      <c r="T24" s="2"/>
      <c r="U24" s="2"/>
      <c r="V24" s="19"/>
      <c r="W24" s="2"/>
      <c r="X24" s="2">
        <f t="shared" si="2"/>
        <v>29.7</v>
      </c>
      <c r="Y24" s="2"/>
      <c r="Z24" s="19">
        <f t="shared" si="3"/>
        <v>0</v>
      </c>
    </row>
    <row r="25" spans="1:26" s="24" customFormat="1" hidden="1" outlineLevel="1" x14ac:dyDescent="0.25">
      <c r="A25" s="44"/>
      <c r="B25" s="11" t="str">
        <f>CONCATENATE("          ", "4137", " - ", "NON-TAXABLE SALES-WATER")</f>
        <v xml:space="preserve">          4137 - NON-TAXABLE SALES-WATER</v>
      </c>
      <c r="C25" s="11"/>
      <c r="D25" s="2">
        <f t="shared" si="5"/>
        <v>0</v>
      </c>
      <c r="E25" s="2"/>
      <c r="F25" s="19"/>
      <c r="G25" s="2"/>
      <c r="H25" s="2"/>
      <c r="I25" s="2"/>
      <c r="J25" s="19"/>
      <c r="K25" s="2"/>
      <c r="L25" s="2">
        <f t="shared" si="0"/>
        <v>0</v>
      </c>
      <c r="M25" s="2"/>
      <c r="N25" s="19">
        <f t="shared" si="1"/>
        <v>0</v>
      </c>
      <c r="O25" s="11"/>
      <c r="P25" s="2">
        <f>--123</f>
        <v>123</v>
      </c>
      <c r="Q25" s="2"/>
      <c r="R25" s="19"/>
      <c r="S25" s="2"/>
      <c r="T25" s="2"/>
      <c r="U25" s="2"/>
      <c r="V25" s="19"/>
      <c r="W25" s="2"/>
      <c r="X25" s="2">
        <f t="shared" si="2"/>
        <v>123</v>
      </c>
      <c r="Y25" s="2"/>
      <c r="Z25" s="19">
        <f t="shared" si="3"/>
        <v>0</v>
      </c>
    </row>
    <row r="26" spans="1:26" s="24" customFormat="1" hidden="1" outlineLevel="1" x14ac:dyDescent="0.25">
      <c r="A26" s="44"/>
      <c r="B26" s="11" t="str">
        <f>CONCATENATE("          ", "4140", " - ", "NON-TAXABLE SALES-LOGO CLOTHIN")</f>
        <v xml:space="preserve">          4140 - NON-TAXABLE SALES-LOGO CLOTHIN</v>
      </c>
      <c r="C26" s="11"/>
      <c r="D26" s="2">
        <f>--56556.05</f>
        <v>56556.05</v>
      </c>
      <c r="E26" s="2"/>
      <c r="F26" s="19"/>
      <c r="G26" s="2"/>
      <c r="H26" s="2"/>
      <c r="I26" s="2"/>
      <c r="J26" s="19"/>
      <c r="K26" s="2"/>
      <c r="L26" s="2">
        <f t="shared" si="0"/>
        <v>56556.05</v>
      </c>
      <c r="M26" s="2"/>
      <c r="N26" s="19">
        <f t="shared" si="1"/>
        <v>0</v>
      </c>
      <c r="O26" s="11"/>
      <c r="P26" s="2">
        <f>--135480.76</f>
        <v>135480.76</v>
      </c>
      <c r="Q26" s="2"/>
      <c r="R26" s="19"/>
      <c r="S26" s="2"/>
      <c r="T26" s="2"/>
      <c r="U26" s="2"/>
      <c r="V26" s="19"/>
      <c r="W26" s="2"/>
      <c r="X26" s="2">
        <f t="shared" si="2"/>
        <v>135480.76</v>
      </c>
      <c r="Y26" s="2"/>
      <c r="Z26" s="19">
        <f t="shared" si="3"/>
        <v>0</v>
      </c>
    </row>
    <row r="27" spans="1:26" s="24" customFormat="1" hidden="1" outlineLevel="1" x14ac:dyDescent="0.25">
      <c r="A27" s="44"/>
      <c r="B27" s="11" t="str">
        <f>CONCATENATE("          ", "4141", " - ", "NON-TAXABLE SALES-LOGO GIFTS")</f>
        <v xml:space="preserve">          4141 - NON-TAXABLE SALES-LOGO GIFTS</v>
      </c>
      <c r="C27" s="11"/>
      <c r="D27" s="2">
        <f>--4127.98</f>
        <v>4127.9799999999996</v>
      </c>
      <c r="E27" s="2"/>
      <c r="F27" s="19"/>
      <c r="G27" s="2"/>
      <c r="H27" s="2"/>
      <c r="I27" s="2"/>
      <c r="J27" s="19"/>
      <c r="K27" s="2"/>
      <c r="L27" s="2">
        <f t="shared" si="0"/>
        <v>4127.9799999999996</v>
      </c>
      <c r="M27" s="2"/>
      <c r="N27" s="19">
        <f t="shared" si="1"/>
        <v>0</v>
      </c>
      <c r="O27" s="11"/>
      <c r="P27" s="2">
        <f>--16038.71</f>
        <v>16038.71</v>
      </c>
      <c r="Q27" s="2"/>
      <c r="R27" s="19"/>
      <c r="S27" s="2"/>
      <c r="T27" s="2"/>
      <c r="U27" s="2"/>
      <c r="V27" s="19"/>
      <c r="W27" s="2"/>
      <c r="X27" s="2">
        <f t="shared" si="2"/>
        <v>16038.71</v>
      </c>
      <c r="Y27" s="2"/>
      <c r="Z27" s="19">
        <f t="shared" si="3"/>
        <v>0</v>
      </c>
    </row>
    <row r="28" spans="1:26" s="24" customFormat="1" hidden="1" outlineLevel="1" x14ac:dyDescent="0.25">
      <c r="A28" s="44"/>
      <c r="B28" s="11" t="str">
        <f>CONCATENATE("          ", "4142", " - ", "NON-TAXABLE SALES-EVERYDAY GIF")</f>
        <v xml:space="preserve">          4142 - NON-TAXABLE SALES-EVERYDAY GIF</v>
      </c>
      <c r="C28" s="11"/>
      <c r="D28" s="2">
        <f>--1204.14</f>
        <v>1204.1400000000001</v>
      </c>
      <c r="E28" s="2"/>
      <c r="F28" s="19"/>
      <c r="G28" s="2"/>
      <c r="H28" s="2"/>
      <c r="I28" s="2"/>
      <c r="J28" s="19"/>
      <c r="K28" s="2"/>
      <c r="L28" s="2">
        <f t="shared" si="0"/>
        <v>1204.1400000000001</v>
      </c>
      <c r="M28" s="2"/>
      <c r="N28" s="19">
        <f t="shared" si="1"/>
        <v>0</v>
      </c>
      <c r="O28" s="11"/>
      <c r="P28" s="2">
        <f>--6408.2</f>
        <v>6408.2</v>
      </c>
      <c r="Q28" s="2"/>
      <c r="R28" s="19"/>
      <c r="S28" s="2"/>
      <c r="T28" s="2"/>
      <c r="U28" s="2"/>
      <c r="V28" s="19"/>
      <c r="W28" s="2"/>
      <c r="X28" s="2">
        <f t="shared" si="2"/>
        <v>6408.2</v>
      </c>
      <c r="Y28" s="2"/>
      <c r="Z28" s="19">
        <f t="shared" si="3"/>
        <v>0</v>
      </c>
    </row>
    <row r="29" spans="1:26" s="24" customFormat="1" hidden="1" outlineLevel="1" x14ac:dyDescent="0.25">
      <c r="A29" s="44"/>
      <c r="B29" s="11" t="str">
        <f>CONCATENATE("          ", "4143", " - ", "NON-TAXABLE SALES-CARDS")</f>
        <v xml:space="preserve">          4143 - NON-TAXABLE SALES-CARDS</v>
      </c>
      <c r="C29" s="11"/>
      <c r="D29" s="2">
        <f>--19.98</f>
        <v>19.98</v>
      </c>
      <c r="E29" s="2"/>
      <c r="F29" s="19"/>
      <c r="G29" s="2"/>
      <c r="H29" s="2"/>
      <c r="I29" s="2"/>
      <c r="J29" s="19"/>
      <c r="K29" s="2"/>
      <c r="L29" s="2">
        <f t="shared" si="0"/>
        <v>19.98</v>
      </c>
      <c r="M29" s="2"/>
      <c r="N29" s="19">
        <f t="shared" si="1"/>
        <v>0</v>
      </c>
      <c r="O29" s="11"/>
      <c r="P29" s="2">
        <f>--19.98</f>
        <v>19.98</v>
      </c>
      <c r="Q29" s="2"/>
      <c r="R29" s="19"/>
      <c r="S29" s="2"/>
      <c r="T29" s="2"/>
      <c r="U29" s="2"/>
      <c r="V29" s="19"/>
      <c r="W29" s="2"/>
      <c r="X29" s="2">
        <f t="shared" si="2"/>
        <v>19.98</v>
      </c>
      <c r="Y29" s="2"/>
      <c r="Z29" s="19">
        <f t="shared" si="3"/>
        <v>0</v>
      </c>
    </row>
    <row r="30" spans="1:26" s="24" customFormat="1" hidden="1" outlineLevel="1" x14ac:dyDescent="0.25">
      <c r="A30" s="44"/>
      <c r="B30" s="11" t="str">
        <f>CONCATENATE("          ", "4144", " - ", "NON-TAXABLE SALES-ACCESSORIES")</f>
        <v xml:space="preserve">          4144 - NON-TAXABLE SALES-ACCESSORIES</v>
      </c>
      <c r="C30" s="11"/>
      <c r="D30" s="2">
        <f>--984.35</f>
        <v>984.35</v>
      </c>
      <c r="E30" s="2"/>
      <c r="F30" s="19"/>
      <c r="G30" s="2"/>
      <c r="H30" s="2"/>
      <c r="I30" s="2"/>
      <c r="J30" s="19"/>
      <c r="K30" s="2"/>
      <c r="L30" s="2">
        <f t="shared" si="0"/>
        <v>984.35</v>
      </c>
      <c r="M30" s="2"/>
      <c r="N30" s="19">
        <f t="shared" si="1"/>
        <v>0</v>
      </c>
      <c r="O30" s="11"/>
      <c r="P30" s="2">
        <f>--3324.02</f>
        <v>3324.02</v>
      </c>
      <c r="Q30" s="2"/>
      <c r="R30" s="19"/>
      <c r="S30" s="2"/>
      <c r="T30" s="2"/>
      <c r="U30" s="2"/>
      <c r="V30" s="19"/>
      <c r="W30" s="2"/>
      <c r="X30" s="2">
        <f t="shared" si="2"/>
        <v>3324.02</v>
      </c>
      <c r="Y30" s="2"/>
      <c r="Z30" s="19">
        <f t="shared" si="3"/>
        <v>0</v>
      </c>
    </row>
    <row r="31" spans="1:26" s="24" customFormat="1" hidden="1" outlineLevel="1" x14ac:dyDescent="0.25">
      <c r="A31" s="44"/>
      <c r="B31" s="11" t="str">
        <f>CONCATENATE("          ", "4145", " - ", "NON-TAXABLE SALES-SPECIAL ORDE")</f>
        <v xml:space="preserve">          4145 - NON-TAXABLE SALES-SPECIAL ORDE</v>
      </c>
      <c r="C31" s="11"/>
      <c r="D31" s="2">
        <f>--7688.68</f>
        <v>7688.68</v>
      </c>
      <c r="E31" s="2"/>
      <c r="F31" s="19"/>
      <c r="G31" s="2"/>
      <c r="H31" s="2"/>
      <c r="I31" s="2"/>
      <c r="J31" s="19"/>
      <c r="K31" s="2"/>
      <c r="L31" s="2">
        <f t="shared" si="0"/>
        <v>7688.68</v>
      </c>
      <c r="M31" s="2"/>
      <c r="N31" s="19">
        <f t="shared" si="1"/>
        <v>0</v>
      </c>
      <c r="O31" s="11"/>
      <c r="P31" s="2">
        <f>--7828.68</f>
        <v>7828.68</v>
      </c>
      <c r="Q31" s="2"/>
      <c r="R31" s="19"/>
      <c r="S31" s="2"/>
      <c r="T31" s="2"/>
      <c r="U31" s="2"/>
      <c r="V31" s="19"/>
      <c r="W31" s="2"/>
      <c r="X31" s="2">
        <f t="shared" si="2"/>
        <v>7828.68</v>
      </c>
      <c r="Y31" s="2"/>
      <c r="Z31" s="19">
        <f t="shared" si="3"/>
        <v>0</v>
      </c>
    </row>
    <row r="32" spans="1:26" s="24" customFormat="1" hidden="1" outlineLevel="1" x14ac:dyDescent="0.25">
      <c r="A32" s="44"/>
      <c r="B32" s="11" t="str">
        <f>CONCATENATE("          ", "4226", " - ", "SALES RETURN TAXABLE-WRITING I")</f>
        <v xml:space="preserve">          4226 - SALES RETURN TAXABLE-WRITING I</v>
      </c>
      <c r="C32" s="11"/>
      <c r="D32" s="2">
        <f>0</f>
        <v>0</v>
      </c>
      <c r="E32" s="2"/>
      <c r="F32" s="19"/>
      <c r="G32" s="2"/>
      <c r="H32" s="2"/>
      <c r="I32" s="2"/>
      <c r="J32" s="19"/>
      <c r="K32" s="2"/>
      <c r="L32" s="2">
        <f t="shared" si="0"/>
        <v>0</v>
      </c>
      <c r="M32" s="2"/>
      <c r="N32" s="19">
        <f t="shared" si="1"/>
        <v>0</v>
      </c>
      <c r="O32" s="11"/>
      <c r="P32" s="2">
        <f>-134.8</f>
        <v>-134.80000000000001</v>
      </c>
      <c r="Q32" s="2"/>
      <c r="R32" s="19"/>
      <c r="S32" s="2"/>
      <c r="T32" s="2"/>
      <c r="U32" s="2"/>
      <c r="V32" s="19"/>
      <c r="W32" s="2"/>
      <c r="X32" s="2">
        <f t="shared" si="2"/>
        <v>-134.80000000000001</v>
      </c>
      <c r="Y32" s="2"/>
      <c r="Z32" s="19">
        <f t="shared" si="3"/>
        <v>0</v>
      </c>
    </row>
    <row r="33" spans="1:26" s="24" customFormat="1" hidden="1" outlineLevel="1" x14ac:dyDescent="0.25">
      <c r="A33" s="44"/>
      <c r="B33" s="11" t="str">
        <f>CONCATENATE("          ", "4240", " - ", "SALES RETURN TAXABLE-LOGO CLOT")</f>
        <v xml:space="preserve">          4240 - SALES RETURN TAXABLE-LOGO CLOT</v>
      </c>
      <c r="C33" s="11"/>
      <c r="D33" s="2">
        <f>-3229.58</f>
        <v>-3229.58</v>
      </c>
      <c r="E33" s="2"/>
      <c r="F33" s="19"/>
      <c r="G33" s="2"/>
      <c r="H33" s="2"/>
      <c r="I33" s="2"/>
      <c r="J33" s="19"/>
      <c r="K33" s="2"/>
      <c r="L33" s="2">
        <f t="shared" si="0"/>
        <v>-3229.58</v>
      </c>
      <c r="M33" s="2"/>
      <c r="N33" s="19">
        <f t="shared" si="1"/>
        <v>0</v>
      </c>
      <c r="O33" s="11"/>
      <c r="P33" s="2">
        <f>-77684.77</f>
        <v>-77684.77</v>
      </c>
      <c r="Q33" s="2"/>
      <c r="R33" s="19"/>
      <c r="S33" s="2"/>
      <c r="T33" s="2"/>
      <c r="U33" s="2"/>
      <c r="V33" s="19"/>
      <c r="W33" s="2"/>
      <c r="X33" s="2">
        <f t="shared" si="2"/>
        <v>-77684.77</v>
      </c>
      <c r="Y33" s="2"/>
      <c r="Z33" s="19">
        <f t="shared" si="3"/>
        <v>0</v>
      </c>
    </row>
    <row r="34" spans="1:26" s="24" customFormat="1" hidden="1" outlineLevel="1" x14ac:dyDescent="0.25">
      <c r="A34" s="44"/>
      <c r="B34" s="11" t="str">
        <f>CONCATENATE("          ", "4241", " - ", "SALES RETURN TAXABLE-LOGO GIFT")</f>
        <v xml:space="preserve">          4241 - SALES RETURN TAXABLE-LOGO GIFT</v>
      </c>
      <c r="C34" s="11"/>
      <c r="D34" s="2">
        <f>-1133.39</f>
        <v>-1133.3900000000001</v>
      </c>
      <c r="E34" s="2"/>
      <c r="F34" s="19"/>
      <c r="G34" s="2"/>
      <c r="H34" s="2"/>
      <c r="I34" s="2"/>
      <c r="J34" s="19"/>
      <c r="K34" s="2"/>
      <c r="L34" s="2">
        <f t="shared" si="0"/>
        <v>-1133.3900000000001</v>
      </c>
      <c r="M34" s="2"/>
      <c r="N34" s="19">
        <f t="shared" si="1"/>
        <v>0</v>
      </c>
      <c r="O34" s="11"/>
      <c r="P34" s="2">
        <f>-6405.87</f>
        <v>-6405.87</v>
      </c>
      <c r="Q34" s="2"/>
      <c r="R34" s="19"/>
      <c r="S34" s="2"/>
      <c r="T34" s="2"/>
      <c r="U34" s="2"/>
      <c r="V34" s="19"/>
      <c r="W34" s="2"/>
      <c r="X34" s="2">
        <f t="shared" si="2"/>
        <v>-6405.87</v>
      </c>
      <c r="Y34" s="2"/>
      <c r="Z34" s="19">
        <f t="shared" si="3"/>
        <v>0</v>
      </c>
    </row>
    <row r="35" spans="1:26" s="24" customFormat="1" hidden="1" outlineLevel="1" x14ac:dyDescent="0.25">
      <c r="A35" s="44"/>
      <c r="B35" s="11" t="str">
        <f>CONCATENATE("          ", "4242", " - ", "SALES RETURN TAXABLE-EVERYDAY")</f>
        <v xml:space="preserve">          4242 - SALES RETURN TAXABLE-EVERYDAY</v>
      </c>
      <c r="C35" s="11"/>
      <c r="D35" s="2">
        <f t="shared" ref="D35:D36" si="6">0</f>
        <v>0</v>
      </c>
      <c r="E35" s="2"/>
      <c r="F35" s="19"/>
      <c r="G35" s="2"/>
      <c r="H35" s="2"/>
      <c r="I35" s="2"/>
      <c r="J35" s="19"/>
      <c r="K35" s="2"/>
      <c r="L35" s="2">
        <f t="shared" si="0"/>
        <v>0</v>
      </c>
      <c r="M35" s="2"/>
      <c r="N35" s="19">
        <f t="shared" si="1"/>
        <v>0</v>
      </c>
      <c r="O35" s="11"/>
      <c r="P35" s="2">
        <f>-3953.71</f>
        <v>-3953.71</v>
      </c>
      <c r="Q35" s="2"/>
      <c r="R35" s="19"/>
      <c r="S35" s="2"/>
      <c r="T35" s="2"/>
      <c r="U35" s="2"/>
      <c r="V35" s="19"/>
      <c r="W35" s="2"/>
      <c r="X35" s="2">
        <f t="shared" si="2"/>
        <v>-3953.71</v>
      </c>
      <c r="Y35" s="2"/>
      <c r="Z35" s="19">
        <f t="shared" si="3"/>
        <v>0</v>
      </c>
    </row>
    <row r="36" spans="1:26" s="24" customFormat="1" hidden="1" outlineLevel="1" x14ac:dyDescent="0.25">
      <c r="A36" s="44"/>
      <c r="B36" s="11" t="str">
        <f>CONCATENATE("          ", "4243", " - ", "SALES RETURN TAXABLE-CARDS")</f>
        <v xml:space="preserve">          4243 - SALES RETURN TAXABLE-CARDS</v>
      </c>
      <c r="C36" s="11"/>
      <c r="D36" s="2">
        <f t="shared" si="6"/>
        <v>0</v>
      </c>
      <c r="E36" s="2"/>
      <c r="F36" s="19"/>
      <c r="G36" s="2"/>
      <c r="H36" s="2"/>
      <c r="I36" s="2"/>
      <c r="J36" s="19"/>
      <c r="K36" s="2"/>
      <c r="L36" s="2">
        <f t="shared" si="0"/>
        <v>0</v>
      </c>
      <c r="M36" s="2"/>
      <c r="N36" s="19">
        <f t="shared" si="1"/>
        <v>0</v>
      </c>
      <c r="O36" s="11"/>
      <c r="P36" s="2">
        <f>-3006.31</f>
        <v>-3006.31</v>
      </c>
      <c r="Q36" s="2"/>
      <c r="R36" s="19"/>
      <c r="S36" s="2"/>
      <c r="T36" s="2"/>
      <c r="U36" s="2"/>
      <c r="V36" s="19"/>
      <c r="W36" s="2"/>
      <c r="X36" s="2">
        <f t="shared" si="2"/>
        <v>-3006.31</v>
      </c>
      <c r="Y36" s="2"/>
      <c r="Z36" s="19">
        <f t="shared" si="3"/>
        <v>0</v>
      </c>
    </row>
    <row r="37" spans="1:26" s="24" customFormat="1" hidden="1" outlineLevel="1" x14ac:dyDescent="0.25">
      <c r="A37" s="44"/>
      <c r="B37" s="11" t="str">
        <f>CONCATENATE("          ", "4244", " - ", "SALES RETURN TAXABLE-ACCESSORI")</f>
        <v xml:space="preserve">          4244 - SALES RETURN TAXABLE-ACCESSORI</v>
      </c>
      <c r="C37" s="11"/>
      <c r="D37" s="2">
        <f>-255.71</f>
        <v>-255.71</v>
      </c>
      <c r="E37" s="2"/>
      <c r="F37" s="19"/>
      <c r="G37" s="2"/>
      <c r="H37" s="2"/>
      <c r="I37" s="2"/>
      <c r="J37" s="19"/>
      <c r="K37" s="2"/>
      <c r="L37" s="2">
        <f t="shared" si="0"/>
        <v>-255.71</v>
      </c>
      <c r="M37" s="2"/>
      <c r="N37" s="19">
        <f t="shared" si="1"/>
        <v>0</v>
      </c>
      <c r="O37" s="11"/>
      <c r="P37" s="2">
        <f>-2726.41</f>
        <v>-2726.41</v>
      </c>
      <c r="Q37" s="2"/>
      <c r="R37" s="19"/>
      <c r="S37" s="2"/>
      <c r="T37" s="2"/>
      <c r="U37" s="2"/>
      <c r="V37" s="19"/>
      <c r="W37" s="2"/>
      <c r="X37" s="2">
        <f t="shared" si="2"/>
        <v>-2726.41</v>
      </c>
      <c r="Y37" s="2"/>
      <c r="Z37" s="19">
        <f t="shared" si="3"/>
        <v>0</v>
      </c>
    </row>
    <row r="38" spans="1:26" s="24" customFormat="1" hidden="1" outlineLevel="1" x14ac:dyDescent="0.25">
      <c r="A38" s="44"/>
      <c r="B38" s="11" t="str">
        <f>CONCATENATE("          ", "4245", " - ", "SALES RETURN TAXABLE-SPECIAL O")</f>
        <v xml:space="preserve">          4245 - SALES RETURN TAXABLE-SPECIAL O</v>
      </c>
      <c r="C38" s="11"/>
      <c r="D38" s="2">
        <f>-175</f>
        <v>-175</v>
      </c>
      <c r="E38" s="2"/>
      <c r="F38" s="19"/>
      <c r="G38" s="2"/>
      <c r="H38" s="2"/>
      <c r="I38" s="2"/>
      <c r="J38" s="19"/>
      <c r="K38" s="2"/>
      <c r="L38" s="2">
        <f t="shared" si="0"/>
        <v>-175</v>
      </c>
      <c r="M38" s="2"/>
      <c r="N38" s="19">
        <f t="shared" si="1"/>
        <v>0</v>
      </c>
      <c r="O38" s="11"/>
      <c r="P38" s="2">
        <f>-1910.03</f>
        <v>-1910.03</v>
      </c>
      <c r="Q38" s="2"/>
      <c r="R38" s="19"/>
      <c r="S38" s="2"/>
      <c r="T38" s="2"/>
      <c r="U38" s="2"/>
      <c r="V38" s="19"/>
      <c r="W38" s="2"/>
      <c r="X38" s="2">
        <f t="shared" si="2"/>
        <v>-1910.03</v>
      </c>
      <c r="Y38" s="2"/>
      <c r="Z38" s="19">
        <f t="shared" si="3"/>
        <v>0</v>
      </c>
    </row>
    <row r="39" spans="1:26" s="24" customFormat="1" hidden="1" outlineLevel="1" x14ac:dyDescent="0.25">
      <c r="A39" s="44"/>
      <c r="B39" s="11" t="str">
        <f>CONCATENATE("          ", "4295", " - ", "SALES RETURN TAXABLE-CUSTOMER")</f>
        <v xml:space="preserve">          4295 - SALES RETURN TAXABLE-CUSTOMER</v>
      </c>
      <c r="C39" s="11"/>
      <c r="D39" s="2">
        <f>0</f>
        <v>0</v>
      </c>
      <c r="E39" s="2"/>
      <c r="F39" s="19"/>
      <c r="G39" s="2"/>
      <c r="H39" s="2"/>
      <c r="I39" s="2"/>
      <c r="J39" s="19"/>
      <c r="K39" s="2"/>
      <c r="L39" s="2">
        <f t="shared" si="0"/>
        <v>0</v>
      </c>
      <c r="M39" s="2"/>
      <c r="N39" s="19">
        <f t="shared" si="1"/>
        <v>0</v>
      </c>
      <c r="O39" s="11"/>
      <c r="P39" s="2">
        <f>--0.99</f>
        <v>0.99</v>
      </c>
      <c r="Q39" s="2"/>
      <c r="R39" s="19"/>
      <c r="S39" s="2"/>
      <c r="T39" s="2"/>
      <c r="U39" s="2"/>
      <c r="V39" s="19"/>
      <c r="W39" s="2"/>
      <c r="X39" s="2">
        <f t="shared" si="2"/>
        <v>0.99</v>
      </c>
      <c r="Y39" s="2"/>
      <c r="Z39" s="19">
        <f t="shared" si="3"/>
        <v>0</v>
      </c>
    </row>
    <row r="40" spans="1:26" s="24" customFormat="1" hidden="1" outlineLevel="1" x14ac:dyDescent="0.25">
      <c r="A40" s="44"/>
      <c r="B40" s="11" t="str">
        <f>CONCATENATE("          ", "4340", " - ", "SALES RETURN NON TAXABLE-LOGO")</f>
        <v xml:space="preserve">          4340 - SALES RETURN NON TAXABLE-LOGO</v>
      </c>
      <c r="C40" s="11"/>
      <c r="D40" s="2">
        <f>-598.43</f>
        <v>-598.42999999999995</v>
      </c>
      <c r="E40" s="2"/>
      <c r="F40" s="19"/>
      <c r="G40" s="2"/>
      <c r="H40" s="2"/>
      <c r="I40" s="2"/>
      <c r="J40" s="19"/>
      <c r="K40" s="2"/>
      <c r="L40" s="2">
        <f t="shared" si="0"/>
        <v>-598.42999999999995</v>
      </c>
      <c r="M40" s="2"/>
      <c r="N40" s="19">
        <f t="shared" si="1"/>
        <v>0</v>
      </c>
      <c r="O40" s="11"/>
      <c r="P40" s="2">
        <f>-1618.83</f>
        <v>-1618.83</v>
      </c>
      <c r="Q40" s="2"/>
      <c r="R40" s="19"/>
      <c r="S40" s="2"/>
      <c r="T40" s="2"/>
      <c r="U40" s="2"/>
      <c r="V40" s="19"/>
      <c r="W40" s="2"/>
      <c r="X40" s="2">
        <f t="shared" si="2"/>
        <v>-1618.83</v>
      </c>
      <c r="Y40" s="2"/>
      <c r="Z40" s="19">
        <f t="shared" si="3"/>
        <v>0</v>
      </c>
    </row>
    <row r="41" spans="1:26" s="24" customFormat="1" hidden="1" outlineLevel="1" x14ac:dyDescent="0.25">
      <c r="A41" s="44"/>
      <c r="B41" s="11" t="str">
        <f>CONCATENATE("          ", "4341", " - ", "SALES RETURN NON TAXABLE-LOGO")</f>
        <v xml:space="preserve">          4341 - SALES RETURN NON TAXABLE-LOGO</v>
      </c>
      <c r="C41" s="11"/>
      <c r="D41" s="2">
        <f>-39.95</f>
        <v>-39.950000000000003</v>
      </c>
      <c r="E41" s="2"/>
      <c r="F41" s="19"/>
      <c r="G41" s="2"/>
      <c r="H41" s="2"/>
      <c r="I41" s="2"/>
      <c r="J41" s="19"/>
      <c r="K41" s="2"/>
      <c r="L41" s="2">
        <f t="shared" si="0"/>
        <v>-39.950000000000003</v>
      </c>
      <c r="M41" s="2"/>
      <c r="N41" s="19">
        <f t="shared" si="1"/>
        <v>0</v>
      </c>
      <c r="O41" s="11"/>
      <c r="P41" s="2">
        <f>-285.45</f>
        <v>-285.45</v>
      </c>
      <c r="Q41" s="2"/>
      <c r="R41" s="19"/>
      <c r="S41" s="2"/>
      <c r="T41" s="2"/>
      <c r="U41" s="2"/>
      <c r="V41" s="19"/>
      <c r="W41" s="2"/>
      <c r="X41" s="2">
        <f t="shared" si="2"/>
        <v>-285.45</v>
      </c>
      <c r="Y41" s="2"/>
      <c r="Z41" s="19">
        <f t="shared" si="3"/>
        <v>0</v>
      </c>
    </row>
    <row r="42" spans="1:26" s="24" customFormat="1" hidden="1" outlineLevel="1" x14ac:dyDescent="0.25">
      <c r="A42" s="44"/>
      <c r="B42" s="11" t="str">
        <f>CONCATENATE("          ", "4342", " - ", "SALES RETURN NON TAXABLE-EVERY")</f>
        <v xml:space="preserve">          4342 - SALES RETURN NON TAXABLE-EVERY</v>
      </c>
      <c r="C42" s="11"/>
      <c r="D42" s="2">
        <f>0</f>
        <v>0</v>
      </c>
      <c r="E42" s="2"/>
      <c r="F42" s="19"/>
      <c r="G42" s="2"/>
      <c r="H42" s="2"/>
      <c r="I42" s="2"/>
      <c r="J42" s="19"/>
      <c r="K42" s="2"/>
      <c r="L42" s="2">
        <f t="shared" si="0"/>
        <v>0</v>
      </c>
      <c r="M42" s="2"/>
      <c r="N42" s="19">
        <f t="shared" si="1"/>
        <v>0</v>
      </c>
      <c r="O42" s="11"/>
      <c r="P42" s="2">
        <f>-109.8</f>
        <v>-109.8</v>
      </c>
      <c r="Q42" s="2"/>
      <c r="R42" s="19"/>
      <c r="S42" s="2"/>
      <c r="T42" s="2"/>
      <c r="U42" s="2"/>
      <c r="V42" s="19"/>
      <c r="W42" s="2"/>
      <c r="X42" s="2">
        <f t="shared" si="2"/>
        <v>-109.8</v>
      </c>
      <c r="Y42" s="2"/>
      <c r="Z42" s="19">
        <f t="shared" si="3"/>
        <v>0</v>
      </c>
    </row>
    <row r="43" spans="1:26" x14ac:dyDescent="0.25">
      <c r="A43" s="9"/>
      <c r="B43" s="10"/>
      <c r="C43" s="9"/>
      <c r="D43" s="3"/>
      <c r="E43" s="3"/>
      <c r="F43" s="8"/>
      <c r="G43" s="3"/>
      <c r="H43" s="3"/>
      <c r="I43" s="3"/>
      <c r="J43" s="8"/>
      <c r="K43" s="3"/>
      <c r="L43" s="3"/>
      <c r="M43" s="3"/>
      <c r="N43" s="8"/>
      <c r="P43" s="3"/>
      <c r="Q43" s="3"/>
      <c r="R43" s="8"/>
      <c r="S43" s="3"/>
      <c r="T43" s="3"/>
      <c r="U43" s="3"/>
      <c r="V43" s="8"/>
      <c r="W43" s="3"/>
      <c r="X43" s="3"/>
      <c r="Y43" s="3"/>
      <c r="Z43" s="8"/>
    </row>
    <row r="44" spans="1:26" s="23" customFormat="1" collapsed="1" x14ac:dyDescent="0.25">
      <c r="A44" s="10"/>
      <c r="B44" s="28" t="s">
        <v>8</v>
      </c>
      <c r="C44" s="10"/>
      <c r="D44" s="4">
        <f>SUM(OSRRefD16x_0)</f>
        <v>93761.44</v>
      </c>
      <c r="E44" s="4"/>
      <c r="F44" s="13">
        <f t="shared" ref="F44:F67" si="7">IF(D$12=0,0,D44/D$12)</f>
        <v>0.52241840346573809</v>
      </c>
      <c r="G44" s="4"/>
      <c r="H44" s="4">
        <f>SUM(OSRRefH16x_0)</f>
        <v>261910.24676000001</v>
      </c>
      <c r="I44" s="4"/>
      <c r="J44" s="13">
        <f t="shared" ref="J44:J67" si="8">IF(H$12=0,0,H44/H$12)</f>
        <v>0.4760570701756513</v>
      </c>
      <c r="K44" s="4"/>
      <c r="L44" s="4">
        <f t="shared" ref="L44:L67" si="9">+D44-H44</f>
        <v>-168148.80676000001</v>
      </c>
      <c r="M44" s="4"/>
      <c r="N44" s="13">
        <f t="shared" ref="N44:N67" si="10">IF(H44=0,0,L44/H44)</f>
        <v>-0.64200927164977328</v>
      </c>
      <c r="O44" s="10"/>
      <c r="P44" s="4">
        <f>SUM(OSRRefP16x_0)</f>
        <v>1284585.25</v>
      </c>
      <c r="Q44" s="4"/>
      <c r="R44" s="13">
        <f t="shared" ref="R44:R67" si="11">IF(P$12=0,0,P44/P$12)</f>
        <v>0.46417584408542445</v>
      </c>
      <c r="S44" s="4"/>
      <c r="T44" s="4">
        <f>SUM(OSRRefT16x_0)</f>
        <v>1670409.3093000001</v>
      </c>
      <c r="U44" s="4"/>
      <c r="V44" s="13">
        <f t="shared" ref="V44:V67" si="12">IF(T$12=0,0,T44/T$12)</f>
        <v>0.45192161045834989</v>
      </c>
      <c r="W44" s="4"/>
      <c r="X44" s="4">
        <f t="shared" ref="X44:X67" si="13">+P44-T44</f>
        <v>-385824.05930000008</v>
      </c>
      <c r="Y44" s="4"/>
      <c r="Z44" s="13">
        <f t="shared" ref="Z44:Z67" si="14">IF(T44=0,0,X44/T44)</f>
        <v>-0.23097575974458803</v>
      </c>
    </row>
    <row r="45" spans="1:26" s="24" customFormat="1" hidden="1" outlineLevel="1" x14ac:dyDescent="0.25">
      <c r="A45" s="44"/>
      <c r="B45" s="11" t="str">
        <f>CONCATENATE("          ", "5000", " - ", "PURCHASES @ COST")</f>
        <v xml:space="preserve">          5000 - PURCHASES @ COST</v>
      </c>
      <c r="C45" s="11"/>
      <c r="D45" s="2"/>
      <c r="E45" s="2"/>
      <c r="F45" s="19">
        <f t="shared" si="7"/>
        <v>0</v>
      </c>
      <c r="G45" s="2"/>
      <c r="H45" s="2">
        <v>261910.24676000001</v>
      </c>
      <c r="I45" s="2"/>
      <c r="J45" s="19">
        <f t="shared" si="8"/>
        <v>0.4760570701756513</v>
      </c>
      <c r="K45" s="2"/>
      <c r="L45" s="2">
        <f t="shared" si="9"/>
        <v>-261910.24676000001</v>
      </c>
      <c r="M45" s="2"/>
      <c r="N45" s="19">
        <f t="shared" si="10"/>
        <v>-1</v>
      </c>
      <c r="O45" s="11"/>
      <c r="P45" s="2"/>
      <c r="Q45" s="2"/>
      <c r="R45" s="19">
        <f t="shared" si="11"/>
        <v>0</v>
      </c>
      <c r="S45" s="2"/>
      <c r="T45" s="2">
        <v>1670409.3093000001</v>
      </c>
      <c r="U45" s="2"/>
      <c r="V45" s="19">
        <f t="shared" si="12"/>
        <v>0.45192161045834989</v>
      </c>
      <c r="W45" s="2"/>
      <c r="X45" s="2">
        <f t="shared" si="13"/>
        <v>-1670409.3093000001</v>
      </c>
      <c r="Y45" s="2"/>
      <c r="Z45" s="19">
        <f t="shared" si="14"/>
        <v>-1</v>
      </c>
    </row>
    <row r="46" spans="1:26" s="24" customFormat="1" hidden="1" outlineLevel="1" x14ac:dyDescent="0.25">
      <c r="A46" s="44"/>
      <c r="B46" s="11" t="str">
        <f>CONCATENATE("          ", "5025", " - ", "PURCHASES @ COST-TEST FORMS")</f>
        <v xml:space="preserve">          5025 - PURCHASES @ COST-TEST FORMS</v>
      </c>
      <c r="C46" s="11"/>
      <c r="D46" s="2"/>
      <c r="E46" s="2"/>
      <c r="F46" s="19">
        <f t="shared" si="7"/>
        <v>0</v>
      </c>
      <c r="G46" s="2"/>
      <c r="H46" s="2"/>
      <c r="I46" s="2"/>
      <c r="J46" s="19">
        <f t="shared" si="8"/>
        <v>0</v>
      </c>
      <c r="K46" s="2"/>
      <c r="L46" s="2">
        <f t="shared" si="9"/>
        <v>0</v>
      </c>
      <c r="M46" s="2"/>
      <c r="N46" s="19">
        <f t="shared" si="10"/>
        <v>0</v>
      </c>
      <c r="O46" s="11"/>
      <c r="P46" s="2">
        <v>6.06</v>
      </c>
      <c r="Q46" s="2"/>
      <c r="R46" s="19">
        <f t="shared" si="11"/>
        <v>2.1897383728776831E-6</v>
      </c>
      <c r="S46" s="2"/>
      <c r="T46" s="2"/>
      <c r="U46" s="2"/>
      <c r="V46" s="19">
        <f t="shared" si="12"/>
        <v>0</v>
      </c>
      <c r="W46" s="2"/>
      <c r="X46" s="2">
        <f t="shared" si="13"/>
        <v>6.06</v>
      </c>
      <c r="Y46" s="2"/>
      <c r="Z46" s="19">
        <f t="shared" si="14"/>
        <v>0</v>
      </c>
    </row>
    <row r="47" spans="1:26" s="24" customFormat="1" hidden="1" outlineLevel="1" x14ac:dyDescent="0.25">
      <c r="A47" s="44"/>
      <c r="B47" s="11" t="str">
        <f>CONCATENATE("          ", "5026", " - ", "PURCHASES @ COST-WRITING INSTR")</f>
        <v xml:space="preserve">          5026 - PURCHASES @ COST-WRITING INSTR</v>
      </c>
      <c r="C47" s="11"/>
      <c r="D47" s="2">
        <v>-4.26</v>
      </c>
      <c r="E47" s="2"/>
      <c r="F47" s="19">
        <f t="shared" si="7"/>
        <v>-2.3735795853434463E-5</v>
      </c>
      <c r="G47" s="2"/>
      <c r="H47" s="2"/>
      <c r="I47" s="2"/>
      <c r="J47" s="19">
        <f t="shared" si="8"/>
        <v>0</v>
      </c>
      <c r="K47" s="2"/>
      <c r="L47" s="2">
        <f t="shared" si="9"/>
        <v>-4.26</v>
      </c>
      <c r="M47" s="2"/>
      <c r="N47" s="19">
        <f t="shared" si="10"/>
        <v>0</v>
      </c>
      <c r="O47" s="11"/>
      <c r="P47" s="2">
        <v>1193.81</v>
      </c>
      <c r="Q47" s="2"/>
      <c r="R47" s="19">
        <f t="shared" si="11"/>
        <v>4.3137484602724538E-4</v>
      </c>
      <c r="S47" s="2"/>
      <c r="T47" s="2"/>
      <c r="U47" s="2"/>
      <c r="V47" s="19">
        <f t="shared" si="12"/>
        <v>0</v>
      </c>
      <c r="W47" s="2"/>
      <c r="X47" s="2">
        <f t="shared" si="13"/>
        <v>1193.81</v>
      </c>
      <c r="Y47" s="2"/>
      <c r="Z47" s="19">
        <f t="shared" si="14"/>
        <v>0</v>
      </c>
    </row>
    <row r="48" spans="1:26" s="24" customFormat="1" hidden="1" outlineLevel="1" x14ac:dyDescent="0.25">
      <c r="A48" s="44"/>
      <c r="B48" s="11" t="str">
        <f>CONCATENATE("          ", "5027", " - ", "PURCHASES @ COST-SCHOOL SUPPLI")</f>
        <v xml:space="preserve">          5027 - PURCHASES @ COST-SCHOOL SUPPLI</v>
      </c>
      <c r="C48" s="11"/>
      <c r="D48" s="2">
        <v>-19.8</v>
      </c>
      <c r="E48" s="2"/>
      <c r="F48" s="19">
        <f t="shared" si="7"/>
        <v>-1.1032130467089259E-4</v>
      </c>
      <c r="G48" s="2"/>
      <c r="H48" s="2"/>
      <c r="I48" s="2"/>
      <c r="J48" s="19">
        <f t="shared" si="8"/>
        <v>0</v>
      </c>
      <c r="K48" s="2"/>
      <c r="L48" s="2">
        <f t="shared" si="9"/>
        <v>-19.8</v>
      </c>
      <c r="M48" s="2"/>
      <c r="N48" s="19">
        <f t="shared" si="10"/>
        <v>0</v>
      </c>
      <c r="O48" s="11"/>
      <c r="P48" s="2">
        <v>305.64999999999998</v>
      </c>
      <c r="Q48" s="2"/>
      <c r="R48" s="19">
        <f t="shared" si="11"/>
        <v>1.1044447750331087E-4</v>
      </c>
      <c r="S48" s="2"/>
      <c r="T48" s="2"/>
      <c r="U48" s="2"/>
      <c r="V48" s="19">
        <f t="shared" si="12"/>
        <v>0</v>
      </c>
      <c r="W48" s="2"/>
      <c r="X48" s="2">
        <f t="shared" si="13"/>
        <v>305.64999999999998</v>
      </c>
      <c r="Y48" s="2"/>
      <c r="Z48" s="19">
        <f t="shared" si="14"/>
        <v>0</v>
      </c>
    </row>
    <row r="49" spans="1:26" s="24" customFormat="1" hidden="1" outlineLevel="1" x14ac:dyDescent="0.25">
      <c r="A49" s="44"/>
      <c r="B49" s="11" t="str">
        <f>CONCATENATE("          ", "5037", " - ", "PURCHASES @ COST-WATER")</f>
        <v xml:space="preserve">          5037 - PURCHASES @ COST-WATER</v>
      </c>
      <c r="C49" s="11"/>
      <c r="D49" s="2"/>
      <c r="E49" s="2"/>
      <c r="F49" s="19">
        <f t="shared" si="7"/>
        <v>0</v>
      </c>
      <c r="G49" s="2"/>
      <c r="H49" s="2"/>
      <c r="I49" s="2"/>
      <c r="J49" s="19">
        <f t="shared" si="8"/>
        <v>0</v>
      </c>
      <c r="K49" s="2"/>
      <c r="L49" s="2">
        <f t="shared" si="9"/>
        <v>0</v>
      </c>
      <c r="M49" s="2"/>
      <c r="N49" s="19">
        <f t="shared" si="10"/>
        <v>0</v>
      </c>
      <c r="O49" s="11"/>
      <c r="P49" s="2">
        <v>29.76</v>
      </c>
      <c r="Q49" s="2"/>
      <c r="R49" s="19">
        <f t="shared" si="11"/>
        <v>1.0753566662844862E-5</v>
      </c>
      <c r="S49" s="2"/>
      <c r="T49" s="2"/>
      <c r="U49" s="2"/>
      <c r="V49" s="19">
        <f t="shared" si="12"/>
        <v>0</v>
      </c>
      <c r="W49" s="2"/>
      <c r="X49" s="2">
        <f t="shared" si="13"/>
        <v>29.76</v>
      </c>
      <c r="Y49" s="2"/>
      <c r="Z49" s="19">
        <f t="shared" si="14"/>
        <v>0</v>
      </c>
    </row>
    <row r="50" spans="1:26" s="24" customFormat="1" hidden="1" outlineLevel="1" x14ac:dyDescent="0.25">
      <c r="A50" s="44"/>
      <c r="B50" s="11" t="str">
        <f>CONCATENATE("          ", "5040", " - ", "PURCHASES @ COST-LOGO CLOTHING")</f>
        <v xml:space="preserve">          5040 - PURCHASES @ COST-LOGO CLOTHING</v>
      </c>
      <c r="C50" s="11"/>
      <c r="D50" s="2">
        <v>1557.89</v>
      </c>
      <c r="E50" s="2"/>
      <c r="F50" s="19">
        <f t="shared" si="7"/>
        <v>8.6802251178654984E-3</v>
      </c>
      <c r="G50" s="2"/>
      <c r="H50" s="2"/>
      <c r="I50" s="2"/>
      <c r="J50" s="19">
        <f t="shared" si="8"/>
        <v>0</v>
      </c>
      <c r="K50" s="2"/>
      <c r="L50" s="2">
        <f t="shared" si="9"/>
        <v>1557.89</v>
      </c>
      <c r="M50" s="2"/>
      <c r="N50" s="19">
        <f t="shared" si="10"/>
        <v>0</v>
      </c>
      <c r="O50" s="11"/>
      <c r="P50" s="2">
        <v>976469.33000000007</v>
      </c>
      <c r="Q50" s="2"/>
      <c r="R50" s="19">
        <f t="shared" si="11"/>
        <v>0.35284032373583529</v>
      </c>
      <c r="S50" s="2"/>
      <c r="T50" s="2"/>
      <c r="U50" s="2"/>
      <c r="V50" s="19">
        <f t="shared" si="12"/>
        <v>0</v>
      </c>
      <c r="W50" s="2"/>
      <c r="X50" s="2">
        <f t="shared" si="13"/>
        <v>976469.33000000007</v>
      </c>
      <c r="Y50" s="2"/>
      <c r="Z50" s="19">
        <f t="shared" si="14"/>
        <v>0</v>
      </c>
    </row>
    <row r="51" spans="1:26" s="24" customFormat="1" hidden="1" outlineLevel="1" x14ac:dyDescent="0.25">
      <c r="A51" s="44"/>
      <c r="B51" s="11" t="str">
        <f>CONCATENATE("          ", "5041", " - ", "PURCHASES @ COST-LOGO GIFTS")</f>
        <v xml:space="preserve">          5041 - PURCHASES @ COST-LOGO GIFTS</v>
      </c>
      <c r="C51" s="11"/>
      <c r="D51" s="2">
        <v>4290.8100000000004</v>
      </c>
      <c r="E51" s="2"/>
      <c r="F51" s="19">
        <f t="shared" si="7"/>
        <v>2.3907462489642053E-2</v>
      </c>
      <c r="G51" s="2"/>
      <c r="H51" s="2"/>
      <c r="I51" s="2"/>
      <c r="J51" s="19">
        <f t="shared" si="8"/>
        <v>0</v>
      </c>
      <c r="K51" s="2"/>
      <c r="L51" s="2">
        <f t="shared" si="9"/>
        <v>4290.8100000000004</v>
      </c>
      <c r="M51" s="2"/>
      <c r="N51" s="19">
        <f t="shared" si="10"/>
        <v>0</v>
      </c>
      <c r="O51" s="11"/>
      <c r="P51" s="2">
        <v>149750.84</v>
      </c>
      <c r="Q51" s="2"/>
      <c r="R51" s="19">
        <f t="shared" si="11"/>
        <v>5.4111412659845926E-2</v>
      </c>
      <c r="S51" s="2"/>
      <c r="T51" s="2"/>
      <c r="U51" s="2"/>
      <c r="V51" s="19">
        <f t="shared" si="12"/>
        <v>0</v>
      </c>
      <c r="W51" s="2"/>
      <c r="X51" s="2">
        <f t="shared" si="13"/>
        <v>149750.84</v>
      </c>
      <c r="Y51" s="2"/>
      <c r="Z51" s="19">
        <f t="shared" si="14"/>
        <v>0</v>
      </c>
    </row>
    <row r="52" spans="1:26" s="24" customFormat="1" hidden="1" outlineLevel="1" x14ac:dyDescent="0.25">
      <c r="A52" s="44"/>
      <c r="B52" s="11" t="str">
        <f>CONCATENATE("          ", "5042", " - ", "PURCHASES @ COST-EVERYDAY GIFT")</f>
        <v xml:space="preserve">          5042 - PURCHASES @ COST-EVERYDAY GIFT</v>
      </c>
      <c r="C52" s="11"/>
      <c r="D52" s="2">
        <v>10730.16</v>
      </c>
      <c r="E52" s="2"/>
      <c r="F52" s="19">
        <f t="shared" si="7"/>
        <v>5.9786123764011351E-2</v>
      </c>
      <c r="G52" s="2"/>
      <c r="H52" s="2"/>
      <c r="I52" s="2"/>
      <c r="J52" s="19">
        <f t="shared" si="8"/>
        <v>0</v>
      </c>
      <c r="K52" s="2"/>
      <c r="L52" s="2">
        <f t="shared" si="9"/>
        <v>10730.16</v>
      </c>
      <c r="M52" s="2"/>
      <c r="N52" s="19">
        <f t="shared" si="10"/>
        <v>0</v>
      </c>
      <c r="O52" s="11"/>
      <c r="P52" s="2">
        <v>126615.2</v>
      </c>
      <c r="Q52" s="2"/>
      <c r="R52" s="19">
        <f t="shared" si="11"/>
        <v>4.5751511886069712E-2</v>
      </c>
      <c r="S52" s="2"/>
      <c r="T52" s="2"/>
      <c r="U52" s="2"/>
      <c r="V52" s="19">
        <f t="shared" si="12"/>
        <v>0</v>
      </c>
      <c r="W52" s="2"/>
      <c r="X52" s="2">
        <f t="shared" si="13"/>
        <v>126615.2</v>
      </c>
      <c r="Y52" s="2"/>
      <c r="Z52" s="19">
        <f t="shared" si="14"/>
        <v>0</v>
      </c>
    </row>
    <row r="53" spans="1:26" s="24" customFormat="1" hidden="1" outlineLevel="1" x14ac:dyDescent="0.25">
      <c r="A53" s="44"/>
      <c r="B53" s="11" t="str">
        <f>CONCATENATE("          ", "5043", " - ", "PURCHASES @ COST-CARDS")</f>
        <v xml:space="preserve">          5043 - PURCHASES @ COST-CARDS</v>
      </c>
      <c r="C53" s="11"/>
      <c r="D53" s="2"/>
      <c r="E53" s="2"/>
      <c r="F53" s="19">
        <f t="shared" si="7"/>
        <v>0</v>
      </c>
      <c r="G53" s="2"/>
      <c r="H53" s="2"/>
      <c r="I53" s="2"/>
      <c r="J53" s="19">
        <f t="shared" si="8"/>
        <v>0</v>
      </c>
      <c r="K53" s="2"/>
      <c r="L53" s="2">
        <f t="shared" si="9"/>
        <v>0</v>
      </c>
      <c r="M53" s="2"/>
      <c r="N53" s="19">
        <f t="shared" si="10"/>
        <v>0</v>
      </c>
      <c r="O53" s="11"/>
      <c r="P53" s="2">
        <v>30914.659999999996</v>
      </c>
      <c r="Q53" s="2"/>
      <c r="R53" s="19">
        <f t="shared" si="11"/>
        <v>1.1170794931760198E-2</v>
      </c>
      <c r="S53" s="2"/>
      <c r="T53" s="2"/>
      <c r="U53" s="2"/>
      <c r="V53" s="19">
        <f t="shared" si="12"/>
        <v>0</v>
      </c>
      <c r="W53" s="2"/>
      <c r="X53" s="2">
        <f t="shared" si="13"/>
        <v>30914.659999999996</v>
      </c>
      <c r="Y53" s="2"/>
      <c r="Z53" s="19">
        <f t="shared" si="14"/>
        <v>0</v>
      </c>
    </row>
    <row r="54" spans="1:26" s="24" customFormat="1" hidden="1" outlineLevel="1" x14ac:dyDescent="0.25">
      <c r="A54" s="44"/>
      <c r="B54" s="11" t="str">
        <f>CONCATENATE("          ", "5044", " - ", "PURCHASES @ COST-ACCESSORIES")</f>
        <v xml:space="preserve">          5044 - PURCHASES @ COST-ACCESSORIES</v>
      </c>
      <c r="C54" s="11"/>
      <c r="D54" s="2">
        <v>1395</v>
      </c>
      <c r="E54" s="2"/>
      <c r="F54" s="19">
        <f t="shared" si="7"/>
        <v>7.7726373745401591E-3</v>
      </c>
      <c r="G54" s="2"/>
      <c r="H54" s="2"/>
      <c r="I54" s="2"/>
      <c r="J54" s="19">
        <f t="shared" si="8"/>
        <v>0</v>
      </c>
      <c r="K54" s="2"/>
      <c r="L54" s="2">
        <f t="shared" si="9"/>
        <v>1395</v>
      </c>
      <c r="M54" s="2"/>
      <c r="N54" s="19">
        <f t="shared" si="10"/>
        <v>0</v>
      </c>
      <c r="O54" s="11"/>
      <c r="P54" s="2">
        <v>37869.03</v>
      </c>
      <c r="Q54" s="2"/>
      <c r="R54" s="19">
        <f t="shared" si="11"/>
        <v>1.3683707612979568E-2</v>
      </c>
      <c r="S54" s="2"/>
      <c r="T54" s="2"/>
      <c r="U54" s="2"/>
      <c r="V54" s="19">
        <f t="shared" si="12"/>
        <v>0</v>
      </c>
      <c r="W54" s="2"/>
      <c r="X54" s="2">
        <f t="shared" si="13"/>
        <v>37869.03</v>
      </c>
      <c r="Y54" s="2"/>
      <c r="Z54" s="19">
        <f t="shared" si="14"/>
        <v>0</v>
      </c>
    </row>
    <row r="55" spans="1:26" s="24" customFormat="1" hidden="1" outlineLevel="1" x14ac:dyDescent="0.25">
      <c r="A55" s="44"/>
      <c r="B55" s="11" t="str">
        <f>CONCATENATE("          ", "5045", " - ", "PURCHASES @ COST-SPECIAL ORDER")</f>
        <v xml:space="preserve">          5045 - PURCHASES @ COST-SPECIAL ORDER</v>
      </c>
      <c r="C55" s="11"/>
      <c r="D55" s="2">
        <v>16919.25</v>
      </c>
      <c r="E55" s="2"/>
      <c r="F55" s="19">
        <f t="shared" si="7"/>
        <v>9.4270390608737334E-2</v>
      </c>
      <c r="G55" s="2"/>
      <c r="H55" s="2"/>
      <c r="I55" s="2"/>
      <c r="J55" s="19">
        <f t="shared" si="8"/>
        <v>0</v>
      </c>
      <c r="K55" s="2"/>
      <c r="L55" s="2">
        <f t="shared" si="9"/>
        <v>16919.25</v>
      </c>
      <c r="M55" s="2"/>
      <c r="N55" s="19">
        <f t="shared" si="10"/>
        <v>0</v>
      </c>
      <c r="O55" s="11"/>
      <c r="P55" s="2">
        <v>78842.399999999994</v>
      </c>
      <c r="Q55" s="2"/>
      <c r="R55" s="19">
        <f t="shared" si="11"/>
        <v>2.8489146648477136E-2</v>
      </c>
      <c r="S55" s="2"/>
      <c r="T55" s="2"/>
      <c r="U55" s="2"/>
      <c r="V55" s="19">
        <f t="shared" si="12"/>
        <v>0</v>
      </c>
      <c r="W55" s="2"/>
      <c r="X55" s="2">
        <f t="shared" si="13"/>
        <v>78842.399999999994</v>
      </c>
      <c r="Y55" s="2"/>
      <c r="Z55" s="19">
        <f t="shared" si="14"/>
        <v>0</v>
      </c>
    </row>
    <row r="56" spans="1:26" s="24" customFormat="1" hidden="1" outlineLevel="1" x14ac:dyDescent="0.25">
      <c r="A56" s="44"/>
      <c r="B56" s="11" t="str">
        <f>CONCATENATE("          ", "5083", " - ", "PURCHASES @ COST-COMPUTER EQUI")</f>
        <v xml:space="preserve">          5083 - PURCHASES @ COST-COMPUTER EQUI</v>
      </c>
      <c r="C56" s="11"/>
      <c r="D56" s="2"/>
      <c r="E56" s="2"/>
      <c r="F56" s="19">
        <f t="shared" si="7"/>
        <v>0</v>
      </c>
      <c r="G56" s="2"/>
      <c r="H56" s="2"/>
      <c r="I56" s="2"/>
      <c r="J56" s="19">
        <f t="shared" si="8"/>
        <v>0</v>
      </c>
      <c r="K56" s="2"/>
      <c r="L56" s="2">
        <f t="shared" si="9"/>
        <v>0</v>
      </c>
      <c r="M56" s="2"/>
      <c r="N56" s="19">
        <f t="shared" si="10"/>
        <v>0</v>
      </c>
      <c r="O56" s="11"/>
      <c r="P56" s="2">
        <v>90.35</v>
      </c>
      <c r="Q56" s="2"/>
      <c r="R56" s="19">
        <f t="shared" si="11"/>
        <v>3.264733696196348E-5</v>
      </c>
      <c r="S56" s="2"/>
      <c r="T56" s="2"/>
      <c r="U56" s="2"/>
      <c r="V56" s="19">
        <f t="shared" si="12"/>
        <v>0</v>
      </c>
      <c r="W56" s="2"/>
      <c r="X56" s="2">
        <f t="shared" si="13"/>
        <v>90.35</v>
      </c>
      <c r="Y56" s="2"/>
      <c r="Z56" s="19">
        <f t="shared" si="14"/>
        <v>0</v>
      </c>
    </row>
    <row r="57" spans="1:26" s="24" customFormat="1" hidden="1" outlineLevel="1" x14ac:dyDescent="0.25">
      <c r="A57" s="44"/>
      <c r="B57" s="11" t="str">
        <f>CONCATENATE("          ", "5092", " - ", "PURCHASES @ COST-GRAD MERCH")</f>
        <v xml:space="preserve">          5092 - PURCHASES @ COST-GRAD MERCH</v>
      </c>
      <c r="C57" s="11"/>
      <c r="D57" s="2"/>
      <c r="E57" s="2"/>
      <c r="F57" s="19">
        <f t="shared" si="7"/>
        <v>0</v>
      </c>
      <c r="G57" s="2"/>
      <c r="H57" s="2"/>
      <c r="I57" s="2"/>
      <c r="J57" s="19">
        <f t="shared" si="8"/>
        <v>0</v>
      </c>
      <c r="K57" s="2"/>
      <c r="L57" s="2">
        <f t="shared" si="9"/>
        <v>0</v>
      </c>
      <c r="M57" s="2"/>
      <c r="N57" s="19">
        <f t="shared" si="10"/>
        <v>0</v>
      </c>
      <c r="O57" s="11"/>
      <c r="P57" s="2">
        <v>-60.35</v>
      </c>
      <c r="Q57" s="2"/>
      <c r="R57" s="19">
        <f t="shared" si="11"/>
        <v>-2.1807047987321483E-5</v>
      </c>
      <c r="S57" s="2"/>
      <c r="T57" s="2"/>
      <c r="U57" s="2"/>
      <c r="V57" s="19">
        <f t="shared" si="12"/>
        <v>0</v>
      </c>
      <c r="W57" s="2"/>
      <c r="X57" s="2">
        <f t="shared" si="13"/>
        <v>-60.35</v>
      </c>
      <c r="Y57" s="2"/>
      <c r="Z57" s="19">
        <f t="shared" si="14"/>
        <v>0</v>
      </c>
    </row>
    <row r="58" spans="1:26" s="24" customFormat="1" hidden="1" outlineLevel="1" x14ac:dyDescent="0.25">
      <c r="A58" s="44"/>
      <c r="B58" s="11" t="str">
        <f>CONCATENATE("          ", "5095", " - ", "PURCHASES @ COST-CUSTOMER SERV")</f>
        <v xml:space="preserve">          5095 - PURCHASES @ COST-CUSTOMER SERV</v>
      </c>
      <c r="C58" s="11"/>
      <c r="D58" s="2"/>
      <c r="E58" s="2"/>
      <c r="F58" s="19">
        <f t="shared" si="7"/>
        <v>0</v>
      </c>
      <c r="G58" s="2"/>
      <c r="H58" s="2"/>
      <c r="I58" s="2"/>
      <c r="J58" s="19">
        <f t="shared" si="8"/>
        <v>0</v>
      </c>
      <c r="K58" s="2"/>
      <c r="L58" s="2">
        <f t="shared" si="9"/>
        <v>0</v>
      </c>
      <c r="M58" s="2"/>
      <c r="N58" s="19">
        <f t="shared" si="10"/>
        <v>0</v>
      </c>
      <c r="O58" s="11"/>
      <c r="P58" s="2">
        <v>-11.85</v>
      </c>
      <c r="Q58" s="2"/>
      <c r="R58" s="19">
        <f t="shared" si="11"/>
        <v>-4.2819141449835883E-6</v>
      </c>
      <c r="S58" s="2"/>
      <c r="T58" s="2"/>
      <c r="U58" s="2"/>
      <c r="V58" s="19">
        <f t="shared" si="12"/>
        <v>0</v>
      </c>
      <c r="W58" s="2"/>
      <c r="X58" s="2">
        <f t="shared" si="13"/>
        <v>-11.85</v>
      </c>
      <c r="Y58" s="2"/>
      <c r="Z58" s="19">
        <f t="shared" si="14"/>
        <v>0</v>
      </c>
    </row>
    <row r="59" spans="1:26" s="24" customFormat="1" hidden="1" outlineLevel="1" x14ac:dyDescent="0.25">
      <c r="A59" s="44"/>
      <c r="B59" s="11" t="str">
        <f>CONCATENATE("          ", "5200", " - ", "PURCHASES OFFSET")</f>
        <v xml:space="preserve">          5200 - PURCHASES OFFSET</v>
      </c>
      <c r="C59" s="11"/>
      <c r="D59" s="2">
        <v>-36586</v>
      </c>
      <c r="E59" s="2"/>
      <c r="F59" s="19">
        <f t="shared" si="7"/>
        <v>-0.20384925518632707</v>
      </c>
      <c r="G59" s="2"/>
      <c r="H59" s="2"/>
      <c r="I59" s="2"/>
      <c r="J59" s="19">
        <f t="shared" si="8"/>
        <v>0</v>
      </c>
      <c r="K59" s="2"/>
      <c r="L59" s="2">
        <f t="shared" si="9"/>
        <v>-36586</v>
      </c>
      <c r="M59" s="2"/>
      <c r="N59" s="19">
        <f t="shared" si="10"/>
        <v>0</v>
      </c>
      <c r="O59" s="11"/>
      <c r="P59" s="2">
        <v>-1408334</v>
      </c>
      <c r="Q59" s="2"/>
      <c r="R59" s="19">
        <f t="shared" si="11"/>
        <v>-0.50889158442711546</v>
      </c>
      <c r="S59" s="2"/>
      <c r="T59" s="2"/>
      <c r="U59" s="2"/>
      <c r="V59" s="19">
        <f t="shared" si="12"/>
        <v>0</v>
      </c>
      <c r="W59" s="2"/>
      <c r="X59" s="2">
        <f t="shared" si="13"/>
        <v>-1408334</v>
      </c>
      <c r="Y59" s="2"/>
      <c r="Z59" s="19">
        <f t="shared" si="14"/>
        <v>0</v>
      </c>
    </row>
    <row r="60" spans="1:26" s="24" customFormat="1" hidden="1" outlineLevel="1" x14ac:dyDescent="0.25">
      <c r="A60" s="44"/>
      <c r="B60" s="11" t="str">
        <f>CONCATENATE("          ", "5300", " - ", "COG$ OFFSET")</f>
        <v xml:space="preserve">          5300 - COG$ OFFSET</v>
      </c>
      <c r="C60" s="11"/>
      <c r="D60" s="2">
        <v>93762</v>
      </c>
      <c r="E60" s="2"/>
      <c r="F60" s="19">
        <f t="shared" si="7"/>
        <v>0.52242152366425409</v>
      </c>
      <c r="G60" s="2"/>
      <c r="H60" s="2"/>
      <c r="I60" s="2"/>
      <c r="J60" s="19">
        <f t="shared" si="8"/>
        <v>0</v>
      </c>
      <c r="K60" s="2"/>
      <c r="L60" s="2">
        <f t="shared" si="9"/>
        <v>93762</v>
      </c>
      <c r="M60" s="2"/>
      <c r="N60" s="19">
        <f t="shared" si="10"/>
        <v>0</v>
      </c>
      <c r="O60" s="11"/>
      <c r="P60" s="2">
        <v>1246431</v>
      </c>
      <c r="Q60" s="2"/>
      <c r="R60" s="19">
        <f t="shared" si="11"/>
        <v>0.4503890742317333</v>
      </c>
      <c r="S60" s="2"/>
      <c r="T60" s="2"/>
      <c r="U60" s="2"/>
      <c r="V60" s="19">
        <f t="shared" si="12"/>
        <v>0</v>
      </c>
      <c r="W60" s="2"/>
      <c r="X60" s="2">
        <f t="shared" si="13"/>
        <v>1246431</v>
      </c>
      <c r="Y60" s="2"/>
      <c r="Z60" s="19">
        <f t="shared" si="14"/>
        <v>0</v>
      </c>
    </row>
    <row r="61" spans="1:26" s="24" customFormat="1" hidden="1" outlineLevel="1" x14ac:dyDescent="0.25">
      <c r="A61" s="44"/>
      <c r="B61" s="11" t="str">
        <f>CONCATENATE("          ", "5500", " - ", "FREIGHT-IN")</f>
        <v xml:space="preserve">          5500 - FREIGHT-IN</v>
      </c>
      <c r="C61" s="11"/>
      <c r="D61" s="2"/>
      <c r="E61" s="2"/>
      <c r="F61" s="19">
        <f t="shared" si="7"/>
        <v>0</v>
      </c>
      <c r="G61" s="2"/>
      <c r="H61" s="2"/>
      <c r="I61" s="2"/>
      <c r="J61" s="19">
        <f t="shared" si="8"/>
        <v>0</v>
      </c>
      <c r="K61" s="2"/>
      <c r="L61" s="2">
        <f t="shared" si="9"/>
        <v>0</v>
      </c>
      <c r="M61" s="2"/>
      <c r="N61" s="19">
        <f t="shared" si="10"/>
        <v>0</v>
      </c>
      <c r="O61" s="11"/>
      <c r="P61" s="2">
        <v>29.23</v>
      </c>
      <c r="Q61" s="2"/>
      <c r="R61" s="19">
        <f t="shared" si="11"/>
        <v>1.0562054890959519E-5</v>
      </c>
      <c r="S61" s="2"/>
      <c r="T61" s="2"/>
      <c r="U61" s="2"/>
      <c r="V61" s="19">
        <f t="shared" si="12"/>
        <v>0</v>
      </c>
      <c r="W61" s="2"/>
      <c r="X61" s="2">
        <f t="shared" si="13"/>
        <v>29.23</v>
      </c>
      <c r="Y61" s="2"/>
      <c r="Z61" s="19">
        <f t="shared" si="14"/>
        <v>0</v>
      </c>
    </row>
    <row r="62" spans="1:26" s="24" customFormat="1" hidden="1" outlineLevel="1" x14ac:dyDescent="0.25">
      <c r="A62" s="44"/>
      <c r="B62" s="11" t="str">
        <f>CONCATENATE("          ", "5540", " - ", "FREIGHT-IN-LOGO CLOTHING")</f>
        <v xml:space="preserve">          5540 - FREIGHT-IN-LOGO CLOTHING</v>
      </c>
      <c r="C62" s="11"/>
      <c r="D62" s="2">
        <v>815.7</v>
      </c>
      <c r="E62" s="2"/>
      <c r="F62" s="19">
        <f t="shared" si="7"/>
        <v>4.5449034454569234E-3</v>
      </c>
      <c r="G62" s="2"/>
      <c r="H62" s="2"/>
      <c r="I62" s="2"/>
      <c r="J62" s="19">
        <f t="shared" si="8"/>
        <v>0</v>
      </c>
      <c r="K62" s="2"/>
      <c r="L62" s="2">
        <f t="shared" si="9"/>
        <v>815.7</v>
      </c>
      <c r="M62" s="2"/>
      <c r="N62" s="19">
        <f t="shared" si="10"/>
        <v>0</v>
      </c>
      <c r="O62" s="11"/>
      <c r="P62" s="2">
        <v>32519</v>
      </c>
      <c r="Q62" s="2"/>
      <c r="R62" s="19">
        <f t="shared" si="11"/>
        <v>1.1750511905546103E-2</v>
      </c>
      <c r="S62" s="2"/>
      <c r="T62" s="2"/>
      <c r="U62" s="2"/>
      <c r="V62" s="19">
        <f t="shared" si="12"/>
        <v>0</v>
      </c>
      <c r="W62" s="2"/>
      <c r="X62" s="2">
        <f t="shared" si="13"/>
        <v>32519</v>
      </c>
      <c r="Y62" s="2"/>
      <c r="Z62" s="19">
        <f t="shared" si="14"/>
        <v>0</v>
      </c>
    </row>
    <row r="63" spans="1:26" s="24" customFormat="1" hidden="1" outlineLevel="1" x14ac:dyDescent="0.25">
      <c r="A63" s="44"/>
      <c r="B63" s="11" t="str">
        <f>CONCATENATE("          ", "5541", " - ", "FREIGHT-IN-LOGO GIFTS")</f>
        <v xml:space="preserve">          5541 - FREIGHT-IN-LOGO GIFTS</v>
      </c>
      <c r="C63" s="11"/>
      <c r="D63" s="2">
        <v>343.16</v>
      </c>
      <c r="E63" s="2"/>
      <c r="F63" s="19">
        <f t="shared" si="7"/>
        <v>1.9120130763062373E-3</v>
      </c>
      <c r="G63" s="2"/>
      <c r="H63" s="2"/>
      <c r="I63" s="2"/>
      <c r="J63" s="19">
        <f t="shared" si="8"/>
        <v>0</v>
      </c>
      <c r="K63" s="2"/>
      <c r="L63" s="2">
        <f t="shared" si="9"/>
        <v>343.16</v>
      </c>
      <c r="M63" s="2"/>
      <c r="N63" s="19">
        <f t="shared" si="10"/>
        <v>0</v>
      </c>
      <c r="O63" s="11"/>
      <c r="P63" s="2">
        <v>5226.1000000000004</v>
      </c>
      <c r="Q63" s="2"/>
      <c r="R63" s="19">
        <f t="shared" si="11"/>
        <v>1.8884144736792182E-3</v>
      </c>
      <c r="S63" s="2"/>
      <c r="T63" s="2"/>
      <c r="U63" s="2"/>
      <c r="V63" s="19">
        <f t="shared" si="12"/>
        <v>0</v>
      </c>
      <c r="W63" s="2"/>
      <c r="X63" s="2">
        <f t="shared" si="13"/>
        <v>5226.1000000000004</v>
      </c>
      <c r="Y63" s="2"/>
      <c r="Z63" s="19">
        <f t="shared" si="14"/>
        <v>0</v>
      </c>
    </row>
    <row r="64" spans="1:26" s="24" customFormat="1" hidden="1" outlineLevel="1" x14ac:dyDescent="0.25">
      <c r="A64" s="44"/>
      <c r="B64" s="11" t="str">
        <f>CONCATENATE("          ", "5542", " - ", "FREIGHT-IN-EVERYDAY GIFTS")</f>
        <v xml:space="preserve">          5542 - FREIGHT-IN-EVERYDAY GIFTS</v>
      </c>
      <c r="C64" s="11"/>
      <c r="D64" s="2">
        <v>384.47</v>
      </c>
      <c r="E64" s="2"/>
      <c r="F64" s="19">
        <f t="shared" si="7"/>
        <v>2.1421834346877816E-3</v>
      </c>
      <c r="G64" s="2"/>
      <c r="H64" s="2"/>
      <c r="I64" s="2"/>
      <c r="J64" s="19">
        <f t="shared" si="8"/>
        <v>0</v>
      </c>
      <c r="K64" s="2"/>
      <c r="L64" s="2">
        <f t="shared" si="9"/>
        <v>384.47</v>
      </c>
      <c r="M64" s="2"/>
      <c r="N64" s="19">
        <f t="shared" si="10"/>
        <v>0</v>
      </c>
      <c r="O64" s="11"/>
      <c r="P64" s="2">
        <v>2223.5100000000002</v>
      </c>
      <c r="Q64" s="2"/>
      <c r="R64" s="19">
        <f t="shared" si="11"/>
        <v>8.0344969793354096E-4</v>
      </c>
      <c r="S64" s="2"/>
      <c r="T64" s="2"/>
      <c r="U64" s="2"/>
      <c r="V64" s="19">
        <f t="shared" si="12"/>
        <v>0</v>
      </c>
      <c r="W64" s="2"/>
      <c r="X64" s="2">
        <f t="shared" si="13"/>
        <v>2223.5100000000002</v>
      </c>
      <c r="Y64" s="2"/>
      <c r="Z64" s="19">
        <f t="shared" si="14"/>
        <v>0</v>
      </c>
    </row>
    <row r="65" spans="1:26" s="24" customFormat="1" hidden="1" outlineLevel="1" x14ac:dyDescent="0.25">
      <c r="A65" s="44"/>
      <c r="B65" s="11" t="str">
        <f>CONCATENATE("          ", "5543", " - ", "FREIGHT-IN-CARDS")</f>
        <v xml:space="preserve">          5543 - FREIGHT-IN-CARDS</v>
      </c>
      <c r="C65" s="11"/>
      <c r="D65" s="2"/>
      <c r="E65" s="2"/>
      <c r="F65" s="19">
        <f t="shared" si="7"/>
        <v>0</v>
      </c>
      <c r="G65" s="2"/>
      <c r="H65" s="2"/>
      <c r="I65" s="2"/>
      <c r="J65" s="19">
        <f t="shared" si="8"/>
        <v>0</v>
      </c>
      <c r="K65" s="2"/>
      <c r="L65" s="2">
        <f t="shared" si="9"/>
        <v>0</v>
      </c>
      <c r="M65" s="2"/>
      <c r="N65" s="19">
        <f t="shared" si="10"/>
        <v>0</v>
      </c>
      <c r="O65" s="11"/>
      <c r="P65" s="2">
        <v>2926.76</v>
      </c>
      <c r="Q65" s="2"/>
      <c r="R65" s="19">
        <f t="shared" si="11"/>
        <v>1.0575641386474405E-3</v>
      </c>
      <c r="S65" s="2"/>
      <c r="T65" s="2"/>
      <c r="U65" s="2"/>
      <c r="V65" s="19">
        <f t="shared" si="12"/>
        <v>0</v>
      </c>
      <c r="W65" s="2"/>
      <c r="X65" s="2">
        <f t="shared" si="13"/>
        <v>2926.76</v>
      </c>
      <c r="Y65" s="2"/>
      <c r="Z65" s="19">
        <f t="shared" si="14"/>
        <v>0</v>
      </c>
    </row>
    <row r="66" spans="1:26" s="24" customFormat="1" hidden="1" outlineLevel="1" x14ac:dyDescent="0.25">
      <c r="A66" s="44"/>
      <c r="B66" s="11" t="str">
        <f>CONCATENATE("          ", "5544", " - ", "FREIGHT-IN-ACCESSORIES")</f>
        <v xml:space="preserve">          5544 - FREIGHT-IN-ACCESSORIES</v>
      </c>
      <c r="C66" s="11"/>
      <c r="D66" s="2"/>
      <c r="E66" s="2"/>
      <c r="F66" s="19">
        <f t="shared" si="7"/>
        <v>0</v>
      </c>
      <c r="G66" s="2"/>
      <c r="H66" s="2"/>
      <c r="I66" s="2"/>
      <c r="J66" s="19">
        <f t="shared" si="8"/>
        <v>0</v>
      </c>
      <c r="K66" s="2"/>
      <c r="L66" s="2">
        <f t="shared" si="9"/>
        <v>0</v>
      </c>
      <c r="M66" s="2"/>
      <c r="N66" s="19">
        <f t="shared" si="10"/>
        <v>0</v>
      </c>
      <c r="O66" s="11"/>
      <c r="P66" s="2">
        <v>483.44</v>
      </c>
      <c r="Q66" s="2"/>
      <c r="R66" s="19">
        <f t="shared" si="11"/>
        <v>1.7468764339669758E-4</v>
      </c>
      <c r="S66" s="2"/>
      <c r="T66" s="2"/>
      <c r="U66" s="2"/>
      <c r="V66" s="19">
        <f t="shared" si="12"/>
        <v>0</v>
      </c>
      <c r="W66" s="2"/>
      <c r="X66" s="2">
        <f t="shared" si="13"/>
        <v>483.44</v>
      </c>
      <c r="Y66" s="2"/>
      <c r="Z66" s="19">
        <f t="shared" si="14"/>
        <v>0</v>
      </c>
    </row>
    <row r="67" spans="1:26" s="24" customFormat="1" hidden="1" outlineLevel="1" x14ac:dyDescent="0.25">
      <c r="A67" s="44"/>
      <c r="B67" s="11" t="str">
        <f>CONCATENATE("          ", "5545", " - ", "FREIGHT-IN-SPECIAL ORDERS")</f>
        <v xml:space="preserve">          5545 - FREIGHT-IN-SPECIAL ORDERS</v>
      </c>
      <c r="C67" s="11"/>
      <c r="D67" s="2">
        <v>173.06</v>
      </c>
      <c r="E67" s="2"/>
      <c r="F67" s="19">
        <f t="shared" si="7"/>
        <v>9.6425277708811464E-4</v>
      </c>
      <c r="G67" s="2"/>
      <c r="H67" s="2"/>
      <c r="I67" s="2"/>
      <c r="J67" s="19">
        <f t="shared" si="8"/>
        <v>0</v>
      </c>
      <c r="K67" s="2"/>
      <c r="L67" s="2">
        <f t="shared" si="9"/>
        <v>173.06</v>
      </c>
      <c r="M67" s="2"/>
      <c r="N67" s="19">
        <f t="shared" si="10"/>
        <v>0</v>
      </c>
      <c r="O67" s="11"/>
      <c r="P67" s="2">
        <v>1065.32</v>
      </c>
      <c r="Q67" s="2"/>
      <c r="R67" s="19">
        <f t="shared" si="11"/>
        <v>3.8494588834885371E-4</v>
      </c>
      <c r="S67" s="2"/>
      <c r="T67" s="2"/>
      <c r="U67" s="2"/>
      <c r="V67" s="19">
        <f t="shared" si="12"/>
        <v>0</v>
      </c>
      <c r="W67" s="2"/>
      <c r="X67" s="2">
        <f t="shared" si="13"/>
        <v>1065.32</v>
      </c>
      <c r="Y67" s="2"/>
      <c r="Z67" s="19">
        <f t="shared" si="14"/>
        <v>0</v>
      </c>
    </row>
    <row r="68" spans="1:26" x14ac:dyDescent="0.25">
      <c r="A68" s="9"/>
      <c r="B68" s="10"/>
      <c r="C68" s="10"/>
      <c r="D68" s="3"/>
      <c r="E68" s="3"/>
      <c r="F68" s="8"/>
      <c r="G68" s="3"/>
      <c r="H68" s="3"/>
      <c r="I68" s="3"/>
      <c r="J68" s="8"/>
      <c r="K68" s="3"/>
      <c r="L68" s="3"/>
      <c r="M68" s="3"/>
      <c r="N68" s="8"/>
      <c r="O68" s="10"/>
      <c r="P68" s="3"/>
      <c r="Q68" s="3"/>
      <c r="R68" s="8"/>
      <c r="S68" s="3"/>
      <c r="T68" s="3"/>
      <c r="U68" s="3"/>
      <c r="V68" s="8"/>
      <c r="W68" s="3"/>
      <c r="X68" s="3"/>
      <c r="Y68" s="3"/>
      <c r="Z68" s="8"/>
    </row>
    <row r="69" spans="1:26" s="23" customFormat="1" x14ac:dyDescent="0.25">
      <c r="A69" s="10"/>
      <c r="B69" s="29" t="s">
        <v>6</v>
      </c>
      <c r="C69" s="29"/>
      <c r="D69" s="20">
        <f>D12-D44</f>
        <v>85714.320000000036</v>
      </c>
      <c r="E69" s="14"/>
      <c r="F69" s="22">
        <f>IF(D$12=0,0,D69/D$12)</f>
        <v>0.47758159653426191</v>
      </c>
      <c r="G69" s="14"/>
      <c r="H69" s="20">
        <f>H12-H44</f>
        <v>288255.40178999992</v>
      </c>
      <c r="I69" s="14"/>
      <c r="J69" s="22">
        <f>IF(H$12=0,0,H69/H$12)</f>
        <v>0.52394292982434876</v>
      </c>
      <c r="K69" s="16"/>
      <c r="L69" s="20">
        <f>+D69-H69</f>
        <v>-202541.08178999988</v>
      </c>
      <c r="M69" s="16"/>
      <c r="N69" s="22">
        <f>IF(H69=0,0,L69/H69)</f>
        <v>-0.70264453166277618</v>
      </c>
      <c r="O69" s="28"/>
      <c r="P69" s="20">
        <f>P12-P44</f>
        <v>1482868.6500000004</v>
      </c>
      <c r="Q69" s="14"/>
      <c r="R69" s="22">
        <f>IF(P$12=0,0,P69/P$12)</f>
        <v>0.53582415591457555</v>
      </c>
      <c r="S69" s="14"/>
      <c r="T69" s="20">
        <f>T12-T44</f>
        <v>2025827.5393999999</v>
      </c>
      <c r="U69" s="14"/>
      <c r="V69" s="22">
        <f>IF(T$12=0,0,T69/T$12)</f>
        <v>0.54807838954165011</v>
      </c>
      <c r="W69" s="16"/>
      <c r="X69" s="20">
        <f>+P69-T69</f>
        <v>-542958.88939999952</v>
      </c>
      <c r="Y69" s="16"/>
      <c r="Z69" s="22">
        <f>IF(T69=0,0,X69/T69)</f>
        <v>-0.26801831786767522</v>
      </c>
    </row>
    <row r="70" spans="1:26" x14ac:dyDescent="0.25">
      <c r="A70" s="9"/>
      <c r="B70" s="10"/>
      <c r="C70" s="9"/>
      <c r="D70" s="1"/>
      <c r="E70" s="1"/>
      <c r="F70" s="5"/>
      <c r="G70" s="1"/>
      <c r="H70" s="1"/>
      <c r="I70" s="1"/>
      <c r="J70" s="5"/>
      <c r="K70" s="1"/>
      <c r="L70" s="1"/>
      <c r="M70" s="1"/>
      <c r="N70" s="5"/>
      <c r="O70" s="36"/>
      <c r="P70" s="1"/>
      <c r="Q70" s="1"/>
      <c r="R70" s="5"/>
      <c r="S70" s="1"/>
      <c r="T70" s="1"/>
      <c r="U70" s="1"/>
      <c r="V70" s="5"/>
      <c r="W70" s="1"/>
      <c r="X70" s="1"/>
      <c r="Y70" s="1"/>
      <c r="Z70" s="5"/>
    </row>
    <row r="71" spans="1:26" s="23" customFormat="1" x14ac:dyDescent="0.25">
      <c r="A71" s="10"/>
      <c r="B71" s="28" t="s">
        <v>9</v>
      </c>
      <c r="C71" s="10"/>
      <c r="D71" s="21">
        <f>SUM(OSRRefD22x_0)</f>
        <v>78356.75</v>
      </c>
      <c r="E71" s="21"/>
      <c r="F71" s="30">
        <f t="shared" ref="F71:F81" si="15">IF(D$12=0,0,D71/D$12)</f>
        <v>0.43658681261469506</v>
      </c>
      <c r="G71" s="21"/>
      <c r="H71" s="21">
        <f>SUM(OSRRefH22x_0)</f>
        <v>76672.276489575001</v>
      </c>
      <c r="I71" s="21"/>
      <c r="J71" s="30">
        <f t="shared" ref="J71:J81" si="16">IF(H$12=0,0,H71/H$12)</f>
        <v>0.13936216608879554</v>
      </c>
      <c r="K71" s="4"/>
      <c r="L71" s="21">
        <f t="shared" ref="L71:L81" si="17">+D71-H71</f>
        <v>1684.4735104249994</v>
      </c>
      <c r="M71" s="4"/>
      <c r="N71" s="30">
        <f t="shared" ref="N71:N81" si="18">IF(H71=0,0,L71/H71)</f>
        <v>2.1969786049772951E-2</v>
      </c>
      <c r="O71" s="10"/>
      <c r="P71" s="21">
        <f>SUM(OSRRefP22x_0)</f>
        <v>999622.87</v>
      </c>
      <c r="Q71" s="21"/>
      <c r="R71" s="30">
        <f t="shared" ref="R71:R81" si="19">IF(P$12=0,0,P71/P$12)</f>
        <v>0.36120669254869969</v>
      </c>
      <c r="S71" s="21"/>
      <c r="T71" s="21">
        <f>SUM(OSRRefT22x_0)</f>
        <v>959714.31735040003</v>
      </c>
      <c r="U71" s="21"/>
      <c r="V71" s="30">
        <f t="shared" ref="V71:V81" si="20">IF(T$12=0,0,T71/T$12)</f>
        <v>0.25964632588085912</v>
      </c>
      <c r="W71" s="4"/>
      <c r="X71" s="21">
        <f t="shared" ref="X71:X81" si="21">+P71-T71</f>
        <v>39908.552649599966</v>
      </c>
      <c r="Y71" s="4"/>
      <c r="Z71" s="30">
        <f t="shared" ref="Z71:Z81" si="22">IF(T71=0,0,X71/T71)</f>
        <v>4.1583783765756832E-2</v>
      </c>
    </row>
    <row r="72" spans="1:26" s="27" customFormat="1" outlineLevel="1" collapsed="1" x14ac:dyDescent="0.25">
      <c r="A72" s="25"/>
      <c r="B72" s="12" t="str">
        <f>CONCATENATE("     ","*Benefits                                         ")</f>
        <v xml:space="preserve">     *Benefits                                         </v>
      </c>
      <c r="C72" s="12"/>
      <c r="D72" s="1">
        <f>SUM(OSRRefD22_0x_0)</f>
        <v>8264.17</v>
      </c>
      <c r="E72" s="1"/>
      <c r="F72" s="5">
        <f t="shared" si="15"/>
        <v>4.6046162445558099E-2</v>
      </c>
      <c r="G72" s="1"/>
      <c r="H72" s="1">
        <f>SUM(OSRRefH22_0x_0)</f>
        <v>6009.1978645750005</v>
      </c>
      <c r="I72" s="1"/>
      <c r="J72" s="5">
        <f t="shared" si="16"/>
        <v>1.0922524662186128E-2</v>
      </c>
      <c r="K72" s="1"/>
      <c r="L72" s="1">
        <f t="shared" si="17"/>
        <v>2254.9721354249996</v>
      </c>
      <c r="M72" s="1"/>
      <c r="N72" s="5">
        <f t="shared" si="18"/>
        <v>0.37525343419266527</v>
      </c>
      <c r="O72" s="12"/>
      <c r="P72" s="1">
        <f>SUM(OSRRefP22_0x_0)</f>
        <v>100552.17</v>
      </c>
      <c r="Q72" s="1"/>
      <c r="R72" s="5">
        <f t="shared" si="19"/>
        <v>3.6333819327577593E-2</v>
      </c>
      <c r="S72" s="1"/>
      <c r="T72" s="1">
        <f>SUM(OSRRefT22_0x_0)</f>
        <v>71248.218850400008</v>
      </c>
      <c r="U72" s="1"/>
      <c r="V72" s="5">
        <f t="shared" si="20"/>
        <v>1.9275880244378457E-2</v>
      </c>
      <c r="W72" s="1"/>
      <c r="X72" s="1">
        <f t="shared" si="21"/>
        <v>29303.95114959999</v>
      </c>
      <c r="Y72" s="1"/>
      <c r="Z72" s="5">
        <f t="shared" si="22"/>
        <v>0.41129380667226983</v>
      </c>
    </row>
    <row r="73" spans="1:26" s="24" customFormat="1" hidden="1" outlineLevel="2" x14ac:dyDescent="0.25">
      <c r="A73" s="26"/>
      <c r="B73" s="11" t="str">
        <f>CONCATENATE("          ", "6111", " - ", "F.I.C.A.")</f>
        <v xml:space="preserve">          6111 - F.I.C.A.</v>
      </c>
      <c r="C73" s="11"/>
      <c r="D73" s="7">
        <v>1330.79</v>
      </c>
      <c r="E73" s="2"/>
      <c r="F73" s="6">
        <f t="shared" si="15"/>
        <v>7.4148731839887442E-3</v>
      </c>
      <c r="G73" s="2"/>
      <c r="H73" s="7">
        <v>981.66772057499998</v>
      </c>
      <c r="I73" s="2"/>
      <c r="J73" s="6">
        <f t="shared" si="16"/>
        <v>1.784313003115069E-3</v>
      </c>
      <c r="K73" s="2"/>
      <c r="L73" s="7">
        <f t="shared" si="17"/>
        <v>349.12227942499999</v>
      </c>
      <c r="M73" s="2"/>
      <c r="N73" s="6">
        <f t="shared" si="18"/>
        <v>0.35564200809262203</v>
      </c>
      <c r="O73" s="11"/>
      <c r="P73" s="7">
        <v>18783.400000000001</v>
      </c>
      <c r="Q73" s="2"/>
      <c r="R73" s="6">
        <f t="shared" si="19"/>
        <v>6.7872494642096833E-3</v>
      </c>
      <c r="S73" s="2"/>
      <c r="T73" s="7">
        <v>14498.8748244</v>
      </c>
      <c r="U73" s="2"/>
      <c r="V73" s="6">
        <f t="shared" si="20"/>
        <v>3.9226043724712566E-3</v>
      </c>
      <c r="W73" s="2"/>
      <c r="X73" s="7">
        <f t="shared" si="21"/>
        <v>4284.5251756000016</v>
      </c>
      <c r="Y73" s="2"/>
      <c r="Z73" s="6">
        <f t="shared" si="22"/>
        <v>0.29550742574793598</v>
      </c>
    </row>
    <row r="74" spans="1:26" s="24" customFormat="1" hidden="1" outlineLevel="2" x14ac:dyDescent="0.25">
      <c r="A74" s="26"/>
      <c r="B74" s="11" t="str">
        <f>CONCATENATE("          ", "6112", " - ", "COMPENSATION INSURANCE")</f>
        <v xml:space="preserve">          6112 - COMPENSATION INSURANCE</v>
      </c>
      <c r="C74" s="11"/>
      <c r="D74" s="7">
        <v>500.6</v>
      </c>
      <c r="E74" s="2"/>
      <c r="F74" s="6">
        <f t="shared" si="15"/>
        <v>2.789234601931759E-3</v>
      </c>
      <c r="G74" s="2"/>
      <c r="H74" s="7">
        <v>612.08979750000003</v>
      </c>
      <c r="I74" s="2"/>
      <c r="J74" s="6">
        <f t="shared" si="16"/>
        <v>1.1125554623652087E-3</v>
      </c>
      <c r="K74" s="2"/>
      <c r="L74" s="7">
        <f t="shared" si="17"/>
        <v>-111.48979750000001</v>
      </c>
      <c r="M74" s="2"/>
      <c r="N74" s="6">
        <f t="shared" si="18"/>
        <v>-0.18214614580305924</v>
      </c>
      <c r="O74" s="11"/>
      <c r="P74" s="7">
        <v>6317.37</v>
      </c>
      <c r="Q74" s="2"/>
      <c r="R74" s="6">
        <f t="shared" si="19"/>
        <v>2.2827372119911373E-3</v>
      </c>
      <c r="S74" s="2"/>
      <c r="T74" s="7">
        <v>6913.8090149999998</v>
      </c>
      <c r="U74" s="2"/>
      <c r="V74" s="6">
        <f t="shared" si="20"/>
        <v>1.8704994560702053E-3</v>
      </c>
      <c r="W74" s="2"/>
      <c r="X74" s="7">
        <f t="shared" si="21"/>
        <v>-596.43901499999993</v>
      </c>
      <c r="Y74" s="2"/>
      <c r="Z74" s="6">
        <f t="shared" si="22"/>
        <v>-8.6267788668443562E-2</v>
      </c>
    </row>
    <row r="75" spans="1:26" s="24" customFormat="1" hidden="1" outlineLevel="2" x14ac:dyDescent="0.25">
      <c r="A75" s="26"/>
      <c r="B75" s="11" t="str">
        <f>CONCATENATE("          ", "6113", " - ", "GROUP INSURANCE")</f>
        <v xml:space="preserve">          6113 - GROUP INSURANCE</v>
      </c>
      <c r="C75" s="11"/>
      <c r="D75" s="7">
        <v>3471.02</v>
      </c>
      <c r="E75" s="2"/>
      <c r="F75" s="6">
        <f t="shared" si="15"/>
        <v>1.9339770451452604E-2</v>
      </c>
      <c r="G75" s="2"/>
      <c r="H75" s="7">
        <v>2863.75</v>
      </c>
      <c r="I75" s="2"/>
      <c r="J75" s="6">
        <f t="shared" si="16"/>
        <v>5.205250468740848E-3</v>
      </c>
      <c r="K75" s="2"/>
      <c r="L75" s="7">
        <f t="shared" si="17"/>
        <v>607.27</v>
      </c>
      <c r="M75" s="2"/>
      <c r="N75" s="6">
        <f t="shared" si="18"/>
        <v>0.212054124836316</v>
      </c>
      <c r="O75" s="11"/>
      <c r="P75" s="7">
        <v>33381.72</v>
      </c>
      <c r="Q75" s="2"/>
      <c r="R75" s="6">
        <f t="shared" si="19"/>
        <v>1.2062249709019542E-2</v>
      </c>
      <c r="S75" s="2"/>
      <c r="T75" s="7">
        <v>31501.25</v>
      </c>
      <c r="U75" s="2"/>
      <c r="V75" s="6">
        <f t="shared" si="20"/>
        <v>8.5225193323526533E-3</v>
      </c>
      <c r="W75" s="2"/>
      <c r="X75" s="7">
        <f t="shared" si="21"/>
        <v>1880.4700000000012</v>
      </c>
      <c r="Y75" s="2"/>
      <c r="Z75" s="6">
        <f t="shared" si="22"/>
        <v>5.9695091464624456E-2</v>
      </c>
    </row>
    <row r="76" spans="1:26" s="24" customFormat="1" hidden="1" outlineLevel="2" x14ac:dyDescent="0.25">
      <c r="A76" s="26"/>
      <c r="B76" s="11" t="str">
        <f>CONCATENATE("          ", "6114", " - ", "STATE UNEMPLOYMENT INSURANCE")</f>
        <v xml:space="preserve">          6114 - STATE UNEMPLOYMENT INSURANCE</v>
      </c>
      <c r="C76" s="11"/>
      <c r="D76" s="7">
        <v>68.5</v>
      </c>
      <c r="E76" s="2"/>
      <c r="F76" s="6">
        <f t="shared" si="15"/>
        <v>3.8166713989677486E-4</v>
      </c>
      <c r="G76" s="2"/>
      <c r="H76" s="7">
        <v>83.759656500000006</v>
      </c>
      <c r="I76" s="2"/>
      <c r="J76" s="6">
        <f t="shared" si="16"/>
        <v>1.5224443169208117E-4</v>
      </c>
      <c r="K76" s="2"/>
      <c r="L76" s="7">
        <f t="shared" si="17"/>
        <v>-15.259656500000006</v>
      </c>
      <c r="M76" s="2"/>
      <c r="N76" s="6">
        <f t="shared" si="18"/>
        <v>-0.18218384766179174</v>
      </c>
      <c r="O76" s="11"/>
      <c r="P76" s="7">
        <v>973.98</v>
      </c>
      <c r="Q76" s="2"/>
      <c r="R76" s="6">
        <f t="shared" si="19"/>
        <v>3.5194082185072709E-4</v>
      </c>
      <c r="S76" s="2"/>
      <c r="T76" s="7">
        <v>946.10018099999991</v>
      </c>
      <c r="U76" s="2"/>
      <c r="V76" s="6">
        <f t="shared" si="20"/>
        <v>2.5596308346223859E-4</v>
      </c>
      <c r="W76" s="2"/>
      <c r="X76" s="7">
        <f t="shared" si="21"/>
        <v>27.879819000000111</v>
      </c>
      <c r="Y76" s="2"/>
      <c r="Z76" s="6">
        <f t="shared" si="22"/>
        <v>2.9468146777576944E-2</v>
      </c>
    </row>
    <row r="77" spans="1:26" s="24" customFormat="1" hidden="1" outlineLevel="2" x14ac:dyDescent="0.25">
      <c r="A77" s="26"/>
      <c r="B77" s="11" t="str">
        <f>CONCATENATE("          ", "6115", " - ", "P.E.R.S.")</f>
        <v xml:space="preserve">          6115 - P.E.R.S.</v>
      </c>
      <c r="C77" s="11"/>
      <c r="D77" s="7">
        <v>1019.1</v>
      </c>
      <c r="E77" s="2"/>
      <c r="F77" s="6">
        <f t="shared" si="15"/>
        <v>5.6782041207124557E-3</v>
      </c>
      <c r="G77" s="2"/>
      <c r="H77" s="7">
        <v>782.03906500000005</v>
      </c>
      <c r="I77" s="2"/>
      <c r="J77" s="6">
        <f t="shared" si="16"/>
        <v>1.421461094601451E-3</v>
      </c>
      <c r="K77" s="2"/>
      <c r="L77" s="7">
        <f t="shared" si="17"/>
        <v>237.06093499999997</v>
      </c>
      <c r="M77" s="2"/>
      <c r="N77" s="6">
        <f t="shared" si="18"/>
        <v>0.30313183267897231</v>
      </c>
      <c r="O77" s="11"/>
      <c r="P77" s="7">
        <v>11177.75</v>
      </c>
      <c r="Q77" s="2"/>
      <c r="R77" s="6">
        <f t="shared" si="19"/>
        <v>4.039001336210153E-3</v>
      </c>
      <c r="S77" s="2"/>
      <c r="T77" s="7">
        <v>9384.4687800000011</v>
      </c>
      <c r="U77" s="2"/>
      <c r="V77" s="6">
        <f t="shared" si="20"/>
        <v>2.5389251728553607E-3</v>
      </c>
      <c r="W77" s="2"/>
      <c r="X77" s="7">
        <f t="shared" si="21"/>
        <v>1793.2812199999989</v>
      </c>
      <c r="Y77" s="2"/>
      <c r="Z77" s="6">
        <f t="shared" si="22"/>
        <v>0.19109032829027098</v>
      </c>
    </row>
    <row r="78" spans="1:26" s="24" customFormat="1" hidden="1" outlineLevel="2" x14ac:dyDescent="0.25">
      <c r="A78" s="26"/>
      <c r="B78" s="11" t="str">
        <f>CONCATENATE("          ", "6116", " - ", "EDUCATIONAL BENEFITS")</f>
        <v xml:space="preserve">          6116 - EDUCATIONAL BENEFITS</v>
      </c>
      <c r="C78" s="11"/>
      <c r="D78" s="7"/>
      <c r="E78" s="2"/>
      <c r="F78" s="6">
        <f t="shared" si="15"/>
        <v>0</v>
      </c>
      <c r="G78" s="2"/>
      <c r="H78" s="7">
        <v>0</v>
      </c>
      <c r="I78" s="2"/>
      <c r="J78" s="6">
        <f t="shared" si="16"/>
        <v>0</v>
      </c>
      <c r="K78" s="2"/>
      <c r="L78" s="7">
        <f t="shared" si="17"/>
        <v>0</v>
      </c>
      <c r="M78" s="2"/>
      <c r="N78" s="6">
        <f t="shared" si="18"/>
        <v>0</v>
      </c>
      <c r="O78" s="11"/>
      <c r="P78" s="7"/>
      <c r="Q78" s="2"/>
      <c r="R78" s="6">
        <f t="shared" si="19"/>
        <v>0</v>
      </c>
      <c r="S78" s="2"/>
      <c r="T78" s="7">
        <v>0</v>
      </c>
      <c r="U78" s="2"/>
      <c r="V78" s="6">
        <f t="shared" si="20"/>
        <v>0</v>
      </c>
      <c r="W78" s="2"/>
      <c r="X78" s="7">
        <f t="shared" si="21"/>
        <v>0</v>
      </c>
      <c r="Y78" s="2"/>
      <c r="Z78" s="6">
        <f t="shared" si="22"/>
        <v>0</v>
      </c>
    </row>
    <row r="79" spans="1:26" s="24" customFormat="1" hidden="1" outlineLevel="2" x14ac:dyDescent="0.25">
      <c r="A79" s="26"/>
      <c r="B79" s="11" t="str">
        <f>CONCATENATE("          ", "6118", " - ", "VACATION")</f>
        <v xml:space="preserve">          6118 - VACATION</v>
      </c>
      <c r="C79" s="11"/>
      <c r="D79" s="7">
        <v>1000.72</v>
      </c>
      <c r="E79" s="2"/>
      <c r="F79" s="6">
        <f t="shared" si="15"/>
        <v>5.5757947479927088E-3</v>
      </c>
      <c r="G79" s="2"/>
      <c r="H79" s="7">
        <v>272.80432499999989</v>
      </c>
      <c r="I79" s="2"/>
      <c r="J79" s="6">
        <f t="shared" si="16"/>
        <v>4.9585852137259891E-4</v>
      </c>
      <c r="K79" s="2"/>
      <c r="L79" s="7">
        <f t="shared" si="17"/>
        <v>727.91567500000019</v>
      </c>
      <c r="M79" s="2"/>
      <c r="N79" s="6">
        <f t="shared" si="18"/>
        <v>2.6682702886033809</v>
      </c>
      <c r="O79" s="11"/>
      <c r="P79" s="7">
        <v>12643.18</v>
      </c>
      <c r="Q79" s="2"/>
      <c r="R79" s="6">
        <f t="shared" si="19"/>
        <v>4.568524158613807E-3</v>
      </c>
      <c r="S79" s="2"/>
      <c r="T79" s="7">
        <v>3273.6518999999998</v>
      </c>
      <c r="U79" s="2"/>
      <c r="V79" s="6">
        <f t="shared" si="20"/>
        <v>8.8567157192628843E-4</v>
      </c>
      <c r="W79" s="2"/>
      <c r="X79" s="7">
        <f t="shared" si="21"/>
        <v>9369.5280999999995</v>
      </c>
      <c r="Y79" s="2"/>
      <c r="Z79" s="6">
        <f t="shared" si="22"/>
        <v>2.8621027483099226</v>
      </c>
    </row>
    <row r="80" spans="1:26" s="24" customFormat="1" hidden="1" outlineLevel="2" x14ac:dyDescent="0.25">
      <c r="A80" s="26"/>
      <c r="B80" s="11" t="str">
        <f>CONCATENATE("          ", "6119", " - ", "SICK LEAVE")</f>
        <v xml:space="preserve">          6119 - SICK LEAVE</v>
      </c>
      <c r="C80" s="11"/>
      <c r="D80" s="7">
        <v>705.44</v>
      </c>
      <c r="E80" s="2"/>
      <c r="F80" s="6">
        <f t="shared" si="15"/>
        <v>3.9305586447997204E-3</v>
      </c>
      <c r="G80" s="2"/>
      <c r="H80" s="7">
        <v>413.08730000000003</v>
      </c>
      <c r="I80" s="2"/>
      <c r="J80" s="6">
        <f t="shared" si="16"/>
        <v>7.5084168029887098E-4</v>
      </c>
      <c r="K80" s="2"/>
      <c r="L80" s="7">
        <f t="shared" si="17"/>
        <v>292.35270000000003</v>
      </c>
      <c r="M80" s="2"/>
      <c r="N80" s="6">
        <f t="shared" si="18"/>
        <v>0.70772618766057438</v>
      </c>
      <c r="O80" s="11"/>
      <c r="P80" s="7">
        <v>14657.99</v>
      </c>
      <c r="Q80" s="2"/>
      <c r="R80" s="6">
        <f t="shared" si="19"/>
        <v>5.2965615795804218E-3</v>
      </c>
      <c r="S80" s="2"/>
      <c r="T80" s="7">
        <v>4730.0641500000002</v>
      </c>
      <c r="U80" s="2"/>
      <c r="V80" s="6">
        <f t="shared" si="20"/>
        <v>1.2796972552404499E-3</v>
      </c>
      <c r="W80" s="2"/>
      <c r="X80" s="7">
        <f t="shared" si="21"/>
        <v>9927.9258499999996</v>
      </c>
      <c r="Y80" s="2"/>
      <c r="Z80" s="6">
        <f t="shared" si="22"/>
        <v>2.0988987749775019</v>
      </c>
    </row>
    <row r="81" spans="1:26" s="24" customFormat="1" hidden="1" outlineLevel="2" x14ac:dyDescent="0.25">
      <c r="A81" s="26"/>
      <c r="B81" s="11" t="str">
        <f>CONCATENATE("          ", "6156", " - ", "EMPLOYEE MEALS")</f>
        <v xml:space="preserve">          6156 - EMPLOYEE MEALS</v>
      </c>
      <c r="C81" s="11"/>
      <c r="D81" s="7">
        <v>168</v>
      </c>
      <c r="E81" s="2"/>
      <c r="F81" s="6">
        <f t="shared" si="15"/>
        <v>9.3605955478333097E-4</v>
      </c>
      <c r="G81" s="2"/>
      <c r="H81" s="7"/>
      <c r="I81" s="2"/>
      <c r="J81" s="6">
        <f t="shared" si="16"/>
        <v>0</v>
      </c>
      <c r="K81" s="2"/>
      <c r="L81" s="7">
        <f t="shared" si="17"/>
        <v>168</v>
      </c>
      <c r="M81" s="2"/>
      <c r="N81" s="6">
        <f t="shared" si="18"/>
        <v>0</v>
      </c>
      <c r="O81" s="11"/>
      <c r="P81" s="7">
        <v>2616.7800000000002</v>
      </c>
      <c r="Q81" s="2"/>
      <c r="R81" s="6">
        <f t="shared" si="19"/>
        <v>9.4555504610212293E-4</v>
      </c>
      <c r="S81" s="2"/>
      <c r="T81" s="7"/>
      <c r="U81" s="2"/>
      <c r="V81" s="6">
        <f t="shared" si="20"/>
        <v>0</v>
      </c>
      <c r="W81" s="2"/>
      <c r="X81" s="7">
        <f t="shared" si="21"/>
        <v>2616.7800000000002</v>
      </c>
      <c r="Y81" s="2"/>
      <c r="Z81" s="6">
        <f t="shared" si="22"/>
        <v>0</v>
      </c>
    </row>
    <row r="82" spans="1:26" s="27" customFormat="1" outlineLevel="1" collapsed="1" x14ac:dyDescent="0.25">
      <c r="A82" s="25"/>
      <c r="B82" s="12" t="str">
        <f>CONCATENATE("     ","*Payroll                                          ")</f>
        <v xml:space="preserve">     *Payroll                                          </v>
      </c>
      <c r="C82" s="12"/>
      <c r="D82" s="1">
        <f>SUM(OSRRefD22_1x_0)</f>
        <v>15801.68</v>
      </c>
      <c r="E82" s="1"/>
      <c r="F82" s="5">
        <f t="shared" ref="F82:F92" si="23">IF(D$12=0,0,D82/D$12)</f>
        <v>8.8043533009694433E-2</v>
      </c>
      <c r="G82" s="1"/>
      <c r="H82" s="1">
        <f>SUM(OSRRefH22_1x_0)</f>
        <v>31760.578624999998</v>
      </c>
      <c r="I82" s="1"/>
      <c r="J82" s="5">
        <f t="shared" ref="J82:J92" si="24">IF(H$12=0,0,H82/H$12)</f>
        <v>5.7729119781846118E-2</v>
      </c>
      <c r="K82" s="1"/>
      <c r="L82" s="1">
        <f t="shared" ref="L82:L92" si="25">+D82-H82</f>
        <v>-15958.898624999998</v>
      </c>
      <c r="M82" s="1"/>
      <c r="N82" s="5">
        <f t="shared" ref="N82:N92" si="26">IF(H82=0,0,L82/H82)</f>
        <v>-0.50247505920556879</v>
      </c>
      <c r="O82" s="12"/>
      <c r="P82" s="1">
        <f>SUM(OSRRefP22_1x_0)</f>
        <v>353650.22000000003</v>
      </c>
      <c r="Q82" s="1"/>
      <c r="R82" s="5">
        <f t="shared" ref="R82:R92" si="27">IF(P$12=0,0,P82/P$12)</f>
        <v>0.12778901935819056</v>
      </c>
      <c r="S82" s="1"/>
      <c r="T82" s="1">
        <f>SUM(OSRRefT22_1x_0)</f>
        <v>358428.59849999996</v>
      </c>
      <c r="U82" s="1"/>
      <c r="V82" s="5">
        <f t="shared" ref="V82:V92" si="28">IF(T$12=0,0,T82/T$12)</f>
        <v>9.6971220506624878E-2</v>
      </c>
      <c r="W82" s="1"/>
      <c r="X82" s="1">
        <f t="shared" ref="X82:X92" si="29">+P82-T82</f>
        <v>-4778.3784999999334</v>
      </c>
      <c r="Y82" s="1"/>
      <c r="Z82" s="5">
        <f t="shared" ref="Z82:Z92" si="30">IF(T82=0,0,X82/T82)</f>
        <v>-1.3331465513625677E-2</v>
      </c>
    </row>
    <row r="83" spans="1:26" s="24" customFormat="1" hidden="1" outlineLevel="2" x14ac:dyDescent="0.25">
      <c r="A83" s="26"/>
      <c r="B83" s="11" t="str">
        <f>CONCATENATE("          ", "6001", " - ", "ADMINISTRATIVE SALARIES")</f>
        <v xml:space="preserve">          6001 - ADMINISTRATIVE SALARIES</v>
      </c>
      <c r="C83" s="11"/>
      <c r="D83" s="7"/>
      <c r="E83" s="2"/>
      <c r="F83" s="6">
        <f t="shared" si="23"/>
        <v>0</v>
      </c>
      <c r="G83" s="2"/>
      <c r="H83" s="7">
        <v>0</v>
      </c>
      <c r="I83" s="2"/>
      <c r="J83" s="6">
        <f t="shared" si="24"/>
        <v>0</v>
      </c>
      <c r="K83" s="2"/>
      <c r="L83" s="7">
        <f t="shared" si="25"/>
        <v>0</v>
      </c>
      <c r="M83" s="2"/>
      <c r="N83" s="6">
        <f t="shared" si="26"/>
        <v>0</v>
      </c>
      <c r="O83" s="11"/>
      <c r="P83" s="7"/>
      <c r="Q83" s="2"/>
      <c r="R83" s="6">
        <f t="shared" si="27"/>
        <v>0</v>
      </c>
      <c r="S83" s="2"/>
      <c r="T83" s="7">
        <v>0</v>
      </c>
      <c r="U83" s="2"/>
      <c r="V83" s="6">
        <f t="shared" si="28"/>
        <v>0</v>
      </c>
      <c r="W83" s="2"/>
      <c r="X83" s="7">
        <f t="shared" si="29"/>
        <v>0</v>
      </c>
      <c r="Y83" s="2"/>
      <c r="Z83" s="6">
        <f t="shared" si="30"/>
        <v>0</v>
      </c>
    </row>
    <row r="84" spans="1:26" s="24" customFormat="1" hidden="1" outlineLevel="2" x14ac:dyDescent="0.25">
      <c r="A84" s="26"/>
      <c r="B84" s="11" t="str">
        <f>CONCATENATE("          ", "6002", " - ", "STAFF SALARIES")</f>
        <v xml:space="preserve">          6002 - STAFF SALARIES</v>
      </c>
      <c r="C84" s="11"/>
      <c r="D84" s="7">
        <v>9840.02</v>
      </c>
      <c r="E84" s="2"/>
      <c r="F84" s="6">
        <f t="shared" si="23"/>
        <v>5.4826456787256388E-2</v>
      </c>
      <c r="G84" s="2"/>
      <c r="H84" s="7">
        <v>8638.8036250000005</v>
      </c>
      <c r="I84" s="2"/>
      <c r="J84" s="6">
        <f t="shared" si="24"/>
        <v>1.5702186510132308E-2</v>
      </c>
      <c r="K84" s="2"/>
      <c r="L84" s="7">
        <f t="shared" si="25"/>
        <v>1201.216375</v>
      </c>
      <c r="M84" s="2"/>
      <c r="N84" s="6">
        <f t="shared" si="26"/>
        <v>0.13904892704399216</v>
      </c>
      <c r="O84" s="11"/>
      <c r="P84" s="7">
        <v>105937.02</v>
      </c>
      <c r="Q84" s="2"/>
      <c r="R84" s="6">
        <f t="shared" si="27"/>
        <v>3.8279596997080959E-2</v>
      </c>
      <c r="S84" s="2"/>
      <c r="T84" s="7">
        <v>103665.64350000001</v>
      </c>
      <c r="U84" s="2"/>
      <c r="V84" s="6">
        <f t="shared" si="28"/>
        <v>2.804626644433247E-2</v>
      </c>
      <c r="W84" s="2"/>
      <c r="X84" s="7">
        <f t="shared" si="29"/>
        <v>2271.3764999999985</v>
      </c>
      <c r="Y84" s="2"/>
      <c r="Z84" s="6">
        <f t="shared" si="30"/>
        <v>2.1910600497068233E-2</v>
      </c>
    </row>
    <row r="85" spans="1:26" s="24" customFormat="1" hidden="1" outlineLevel="2" x14ac:dyDescent="0.25">
      <c r="A85" s="26"/>
      <c r="B85" s="11" t="str">
        <f>CONCATENATE("          ", "6003", " - ", "STAFF HOURLY-9 MONTH")</f>
        <v xml:space="preserve">          6003 - STAFF HOURLY-9 MONTH</v>
      </c>
      <c r="C85" s="11"/>
      <c r="D85" s="7"/>
      <c r="E85" s="2"/>
      <c r="F85" s="6">
        <f t="shared" si="23"/>
        <v>0</v>
      </c>
      <c r="G85" s="2"/>
      <c r="H85" s="7">
        <v>0</v>
      </c>
      <c r="I85" s="2"/>
      <c r="J85" s="6">
        <f t="shared" si="24"/>
        <v>0</v>
      </c>
      <c r="K85" s="2"/>
      <c r="L85" s="7">
        <f t="shared" si="25"/>
        <v>0</v>
      </c>
      <c r="M85" s="2"/>
      <c r="N85" s="6">
        <f t="shared" si="26"/>
        <v>0</v>
      </c>
      <c r="O85" s="11"/>
      <c r="P85" s="7"/>
      <c r="Q85" s="2"/>
      <c r="R85" s="6">
        <f t="shared" si="27"/>
        <v>0</v>
      </c>
      <c r="S85" s="2"/>
      <c r="T85" s="7">
        <v>0</v>
      </c>
      <c r="U85" s="2"/>
      <c r="V85" s="6">
        <f t="shared" si="28"/>
        <v>0</v>
      </c>
      <c r="W85" s="2"/>
      <c r="X85" s="7">
        <f t="shared" si="29"/>
        <v>0</v>
      </c>
      <c r="Y85" s="2"/>
      <c r="Z85" s="6">
        <f t="shared" si="30"/>
        <v>0</v>
      </c>
    </row>
    <row r="86" spans="1:26" s="24" customFormat="1" hidden="1" outlineLevel="2" x14ac:dyDescent="0.25">
      <c r="A86" s="26"/>
      <c r="B86" s="11" t="str">
        <f>CONCATENATE("          ", "6004", " - ", "STAFF HOURLY")</f>
        <v xml:space="preserve">          6004 - STAFF HOURLY</v>
      </c>
      <c r="C86" s="11"/>
      <c r="D86" s="7">
        <v>3914</v>
      </c>
      <c r="E86" s="2"/>
      <c r="F86" s="6">
        <f t="shared" si="23"/>
        <v>2.1807958913225938E-2</v>
      </c>
      <c r="G86" s="2"/>
      <c r="H86" s="7">
        <v>3733.75</v>
      </c>
      <c r="I86" s="2"/>
      <c r="J86" s="6">
        <f t="shared" si="24"/>
        <v>6.7865923832950304E-3</v>
      </c>
      <c r="K86" s="2"/>
      <c r="L86" s="7">
        <f t="shared" si="25"/>
        <v>180.25</v>
      </c>
      <c r="M86" s="2"/>
      <c r="N86" s="6">
        <f t="shared" si="26"/>
        <v>4.8275862068965517E-2</v>
      </c>
      <c r="O86" s="11"/>
      <c r="P86" s="7">
        <v>16662.510000000002</v>
      </c>
      <c r="Q86" s="2"/>
      <c r="R86" s="6">
        <f t="shared" si="27"/>
        <v>6.0208807814287352E-3</v>
      </c>
      <c r="S86" s="2"/>
      <c r="T86" s="7">
        <v>44805</v>
      </c>
      <c r="U86" s="2"/>
      <c r="V86" s="6">
        <f t="shared" si="28"/>
        <v>1.2121788141297905E-2</v>
      </c>
      <c r="W86" s="2"/>
      <c r="X86" s="7">
        <f t="shared" si="29"/>
        <v>-28142.489999999998</v>
      </c>
      <c r="Y86" s="2"/>
      <c r="Z86" s="6">
        <f t="shared" si="30"/>
        <v>-0.62811047874121184</v>
      </c>
    </row>
    <row r="87" spans="1:26" s="24" customFormat="1" hidden="1" outlineLevel="2" x14ac:dyDescent="0.25">
      <c r="A87" s="26"/>
      <c r="B87" s="11" t="str">
        <f>CONCATENATE("          ", "6005", " - ", "TEMPORARY WAGES-HOURLY")</f>
        <v xml:space="preserve">          6005 - TEMPORARY WAGES-HOURLY</v>
      </c>
      <c r="C87" s="11"/>
      <c r="D87" s="7"/>
      <c r="E87" s="2"/>
      <c r="F87" s="6">
        <f t="shared" si="23"/>
        <v>0</v>
      </c>
      <c r="G87" s="2"/>
      <c r="H87" s="7">
        <v>0</v>
      </c>
      <c r="I87" s="2"/>
      <c r="J87" s="6">
        <f t="shared" si="24"/>
        <v>0</v>
      </c>
      <c r="K87" s="2"/>
      <c r="L87" s="7">
        <f t="shared" si="25"/>
        <v>0</v>
      </c>
      <c r="M87" s="2"/>
      <c r="N87" s="6">
        <f t="shared" si="26"/>
        <v>0</v>
      </c>
      <c r="O87" s="11"/>
      <c r="P87" s="7">
        <v>42291.11</v>
      </c>
      <c r="Q87" s="2"/>
      <c r="R87" s="6">
        <f t="shared" si="27"/>
        <v>1.5281595115279064E-2</v>
      </c>
      <c r="S87" s="2"/>
      <c r="T87" s="7">
        <v>0</v>
      </c>
      <c r="U87" s="2"/>
      <c r="V87" s="6">
        <f t="shared" si="28"/>
        <v>0</v>
      </c>
      <c r="W87" s="2"/>
      <c r="X87" s="7">
        <f t="shared" si="29"/>
        <v>42291.11</v>
      </c>
      <c r="Y87" s="2"/>
      <c r="Z87" s="6">
        <f t="shared" si="30"/>
        <v>0</v>
      </c>
    </row>
    <row r="88" spans="1:26" s="24" customFormat="1" hidden="1" outlineLevel="2" x14ac:dyDescent="0.25">
      <c r="A88" s="26"/>
      <c r="B88" s="11" t="str">
        <f>CONCATENATE("          ", "6006", " - ", "TEMPORARY PART TIME")</f>
        <v xml:space="preserve">          6006 - TEMPORARY PART TIME</v>
      </c>
      <c r="C88" s="11"/>
      <c r="D88" s="7"/>
      <c r="E88" s="2"/>
      <c r="F88" s="6">
        <f t="shared" si="23"/>
        <v>0</v>
      </c>
      <c r="G88" s="2"/>
      <c r="H88" s="7">
        <v>0</v>
      </c>
      <c r="I88" s="2"/>
      <c r="J88" s="6">
        <f t="shared" si="24"/>
        <v>0</v>
      </c>
      <c r="K88" s="2"/>
      <c r="L88" s="7">
        <f t="shared" si="25"/>
        <v>0</v>
      </c>
      <c r="M88" s="2"/>
      <c r="N88" s="6">
        <f t="shared" si="26"/>
        <v>0</v>
      </c>
      <c r="O88" s="11"/>
      <c r="P88" s="7">
        <v>1227.45</v>
      </c>
      <c r="Q88" s="2"/>
      <c r="R88" s="6">
        <f t="shared" si="27"/>
        <v>4.4353042339747732E-4</v>
      </c>
      <c r="S88" s="2"/>
      <c r="T88" s="7">
        <v>0</v>
      </c>
      <c r="U88" s="2"/>
      <c r="V88" s="6">
        <f t="shared" si="28"/>
        <v>0</v>
      </c>
      <c r="W88" s="2"/>
      <c r="X88" s="7">
        <f t="shared" si="29"/>
        <v>1227.45</v>
      </c>
      <c r="Y88" s="2"/>
      <c r="Z88" s="6">
        <f t="shared" si="30"/>
        <v>0</v>
      </c>
    </row>
    <row r="89" spans="1:26" s="24" customFormat="1" hidden="1" outlineLevel="2" x14ac:dyDescent="0.25">
      <c r="A89" s="26"/>
      <c r="B89" s="11" t="str">
        <f>CONCATENATE("          ", "6007", " - ", "STUDENT HOURLY")</f>
        <v xml:space="preserve">          6007 - STUDENT HOURLY</v>
      </c>
      <c r="C89" s="11"/>
      <c r="D89" s="7">
        <v>2047.66</v>
      </c>
      <c r="E89" s="2"/>
      <c r="F89" s="6">
        <f t="shared" si="23"/>
        <v>1.1409117309212116E-2</v>
      </c>
      <c r="G89" s="2"/>
      <c r="H89" s="7">
        <v>0</v>
      </c>
      <c r="I89" s="2"/>
      <c r="J89" s="6">
        <f t="shared" si="24"/>
        <v>0</v>
      </c>
      <c r="K89" s="2"/>
      <c r="L89" s="7">
        <f t="shared" si="25"/>
        <v>2047.66</v>
      </c>
      <c r="M89" s="2"/>
      <c r="N89" s="6">
        <f t="shared" si="26"/>
        <v>0</v>
      </c>
      <c r="O89" s="11"/>
      <c r="P89" s="7">
        <v>187337.13</v>
      </c>
      <c r="Q89" s="2"/>
      <c r="R89" s="6">
        <f t="shared" si="27"/>
        <v>6.7692954162669156E-2</v>
      </c>
      <c r="S89" s="2"/>
      <c r="T89" s="7">
        <v>35526.75</v>
      </c>
      <c r="U89" s="2"/>
      <c r="V89" s="6">
        <f t="shared" si="28"/>
        <v>9.6115999743076747E-3</v>
      </c>
      <c r="W89" s="2"/>
      <c r="X89" s="7">
        <f t="shared" si="29"/>
        <v>151810.38</v>
      </c>
      <c r="Y89" s="2"/>
      <c r="Z89" s="6">
        <f t="shared" si="30"/>
        <v>4.2731288395364055</v>
      </c>
    </row>
    <row r="90" spans="1:26" s="24" customFormat="1" hidden="1" outlineLevel="2" x14ac:dyDescent="0.25">
      <c r="A90" s="26"/>
      <c r="B90" s="11" t="str">
        <f>CONCATENATE("          ", "6008", " - ", "STUDENT HOURLY-FICA EXEMPT")</f>
        <v xml:space="preserve">          6008 - STUDENT HOURLY-FICA EXEMPT</v>
      </c>
      <c r="C90" s="11"/>
      <c r="D90" s="7"/>
      <c r="E90" s="2"/>
      <c r="F90" s="6">
        <f t="shared" si="23"/>
        <v>0</v>
      </c>
      <c r="G90" s="2"/>
      <c r="H90" s="7">
        <v>19388.024999999998</v>
      </c>
      <c r="I90" s="2"/>
      <c r="J90" s="6">
        <f t="shared" si="24"/>
        <v>3.5240340888418778E-2</v>
      </c>
      <c r="K90" s="2"/>
      <c r="L90" s="7">
        <f t="shared" si="25"/>
        <v>-19388.024999999998</v>
      </c>
      <c r="M90" s="2"/>
      <c r="N90" s="6">
        <f t="shared" si="26"/>
        <v>-1</v>
      </c>
      <c r="O90" s="11"/>
      <c r="P90" s="7">
        <v>195</v>
      </c>
      <c r="Q90" s="2"/>
      <c r="R90" s="6">
        <f t="shared" si="27"/>
        <v>7.0461878335172987E-5</v>
      </c>
      <c r="S90" s="2"/>
      <c r="T90" s="7">
        <v>174431.20499999999</v>
      </c>
      <c r="U90" s="2"/>
      <c r="V90" s="6">
        <f t="shared" si="28"/>
        <v>4.7191565946686838E-2</v>
      </c>
      <c r="W90" s="2"/>
      <c r="X90" s="7">
        <f t="shared" si="29"/>
        <v>-174236.20499999999</v>
      </c>
      <c r="Y90" s="2"/>
      <c r="Z90" s="6">
        <f t="shared" si="30"/>
        <v>-0.99888208076072171</v>
      </c>
    </row>
    <row r="91" spans="1:26" s="24" customFormat="1" hidden="1" outlineLevel="2" x14ac:dyDescent="0.25">
      <c r="A91" s="26"/>
      <c r="B91" s="11" t="str">
        <f>CONCATENATE("          ", "6009", " - ", "TEMPORARY-SEASONAL")</f>
        <v xml:space="preserve">          6009 - TEMPORARY-SEASONAL</v>
      </c>
      <c r="C91" s="11"/>
      <c r="D91" s="7"/>
      <c r="E91" s="2"/>
      <c r="F91" s="6">
        <f t="shared" si="23"/>
        <v>0</v>
      </c>
      <c r="G91" s="2"/>
      <c r="H91" s="7">
        <v>0</v>
      </c>
      <c r="I91" s="2"/>
      <c r="J91" s="6">
        <f t="shared" si="24"/>
        <v>0</v>
      </c>
      <c r="K91" s="2"/>
      <c r="L91" s="7">
        <f t="shared" si="25"/>
        <v>0</v>
      </c>
      <c r="M91" s="2"/>
      <c r="N91" s="6">
        <f t="shared" si="26"/>
        <v>0</v>
      </c>
      <c r="O91" s="11"/>
      <c r="P91" s="7"/>
      <c r="Q91" s="2"/>
      <c r="R91" s="6">
        <f t="shared" si="27"/>
        <v>0</v>
      </c>
      <c r="S91" s="2"/>
      <c r="T91" s="7">
        <v>0</v>
      </c>
      <c r="U91" s="2"/>
      <c r="V91" s="6">
        <f t="shared" si="28"/>
        <v>0</v>
      </c>
      <c r="W91" s="2"/>
      <c r="X91" s="7">
        <f t="shared" si="29"/>
        <v>0</v>
      </c>
      <c r="Y91" s="2"/>
      <c r="Z91" s="6">
        <f t="shared" si="30"/>
        <v>0</v>
      </c>
    </row>
    <row r="92" spans="1:26" s="24" customFormat="1" hidden="1" outlineLevel="2" x14ac:dyDescent="0.25">
      <c r="A92" s="26"/>
      <c r="B92" s="11" t="str">
        <f>CONCATENATE("          ", "6010", " - ", "GRATUITY")</f>
        <v xml:space="preserve">          6010 - GRATUITY</v>
      </c>
      <c r="C92" s="11"/>
      <c r="D92" s="7"/>
      <c r="E92" s="2"/>
      <c r="F92" s="6">
        <f t="shared" si="23"/>
        <v>0</v>
      </c>
      <c r="G92" s="2"/>
      <c r="H92" s="7">
        <v>0</v>
      </c>
      <c r="I92" s="2"/>
      <c r="J92" s="6">
        <f t="shared" si="24"/>
        <v>0</v>
      </c>
      <c r="K92" s="2"/>
      <c r="L92" s="7">
        <f t="shared" si="25"/>
        <v>0</v>
      </c>
      <c r="M92" s="2"/>
      <c r="N92" s="6">
        <f t="shared" si="26"/>
        <v>0</v>
      </c>
      <c r="O92" s="11"/>
      <c r="P92" s="7"/>
      <c r="Q92" s="2"/>
      <c r="R92" s="6">
        <f t="shared" si="27"/>
        <v>0</v>
      </c>
      <c r="S92" s="2"/>
      <c r="T92" s="7">
        <v>0</v>
      </c>
      <c r="U92" s="2"/>
      <c r="V92" s="6">
        <f t="shared" si="28"/>
        <v>0</v>
      </c>
      <c r="W92" s="2"/>
      <c r="X92" s="7">
        <f t="shared" si="29"/>
        <v>0</v>
      </c>
      <c r="Y92" s="2"/>
      <c r="Z92" s="6">
        <f t="shared" si="30"/>
        <v>0</v>
      </c>
    </row>
    <row r="93" spans="1:26" s="27" customFormat="1" outlineLevel="1" collapsed="1" x14ac:dyDescent="0.25">
      <c r="A93" s="25"/>
      <c r="B93" s="12" t="str">
        <f>CONCATENATE("     ","Advertising/Promo                                 ")</f>
        <v xml:space="preserve">     Advertising/Promo                                 </v>
      </c>
      <c r="C93" s="12"/>
      <c r="D93" s="1">
        <f>SUM(OSRRefD22_2x_0)</f>
        <v>1029</v>
      </c>
      <c r="E93" s="1"/>
      <c r="F93" s="5">
        <f t="shared" ref="F93:F97" si="31">IF(D$12=0,0,D93/D$12)</f>
        <v>5.7333647730479021E-3</v>
      </c>
      <c r="G93" s="1"/>
      <c r="H93" s="1">
        <f>SUM(OSRRefH22_2x_0)</f>
        <v>2350</v>
      </c>
      <c r="I93" s="1"/>
      <c r="J93" s="5">
        <f t="shared" ref="J93:J97" si="32">IF(H$12=0,0,H93/H$12)</f>
        <v>4.2714408036808359E-3</v>
      </c>
      <c r="K93" s="1"/>
      <c r="L93" s="1">
        <f t="shared" ref="L93:L97" si="33">+D93-H93</f>
        <v>-1321</v>
      </c>
      <c r="M93" s="1"/>
      <c r="N93" s="5">
        <f t="shared" ref="N93:N97" si="34">IF(H93=0,0,L93/H93)</f>
        <v>-0.56212765957446809</v>
      </c>
      <c r="O93" s="12"/>
      <c r="P93" s="1">
        <f>SUM(OSRRefP22_2x_0)</f>
        <v>22853.68</v>
      </c>
      <c r="Q93" s="1"/>
      <c r="R93" s="5">
        <f t="shared" ref="R93:R97" si="35">IF(P$12=0,0,P93/P$12)</f>
        <v>8.2580165111332104E-3</v>
      </c>
      <c r="S93" s="1"/>
      <c r="T93" s="1">
        <f>SUM(OSRRefT22_2x_0)</f>
        <v>13200</v>
      </c>
      <c r="U93" s="1"/>
      <c r="V93" s="5">
        <f t="shared" ref="V93:V97" si="36">IF(T$12=0,0,T93/T$12)</f>
        <v>3.571199720235071E-3</v>
      </c>
      <c r="W93" s="1"/>
      <c r="X93" s="1">
        <f t="shared" ref="X93:X97" si="37">+P93-T93</f>
        <v>9653.68</v>
      </c>
      <c r="Y93" s="1"/>
      <c r="Z93" s="5">
        <f t="shared" ref="Z93:Z97" si="38">IF(T93=0,0,X93/T93)</f>
        <v>0.73133939393939396</v>
      </c>
    </row>
    <row r="94" spans="1:26" s="24" customFormat="1" hidden="1" outlineLevel="2" x14ac:dyDescent="0.25">
      <c r="A94" s="26"/>
      <c r="B94" s="11" t="str">
        <f>CONCATENATE("          ", "6362", " - ", "ADVERTISING EXPENSE")</f>
        <v xml:space="preserve">          6362 - ADVERTISING EXPENSE</v>
      </c>
      <c r="C94" s="11"/>
      <c r="D94" s="7">
        <v>1029</v>
      </c>
      <c r="E94" s="2"/>
      <c r="F94" s="6">
        <f t="shared" si="31"/>
        <v>5.7333647730479021E-3</v>
      </c>
      <c r="G94" s="2"/>
      <c r="H94" s="7">
        <v>2350</v>
      </c>
      <c r="I94" s="2"/>
      <c r="J94" s="6">
        <f t="shared" si="32"/>
        <v>4.2714408036808359E-3</v>
      </c>
      <c r="K94" s="2"/>
      <c r="L94" s="7">
        <f t="shared" si="33"/>
        <v>-1321</v>
      </c>
      <c r="M94" s="2"/>
      <c r="N94" s="6">
        <f t="shared" si="34"/>
        <v>-0.56212765957446809</v>
      </c>
      <c r="O94" s="11"/>
      <c r="P94" s="7">
        <v>22853.68</v>
      </c>
      <c r="Q94" s="2"/>
      <c r="R94" s="6">
        <f t="shared" si="35"/>
        <v>8.2580165111332104E-3</v>
      </c>
      <c r="S94" s="2"/>
      <c r="T94" s="7">
        <v>13200</v>
      </c>
      <c r="U94" s="2"/>
      <c r="V94" s="6">
        <f t="shared" si="36"/>
        <v>3.571199720235071E-3</v>
      </c>
      <c r="W94" s="2"/>
      <c r="X94" s="7">
        <f t="shared" si="37"/>
        <v>9653.68</v>
      </c>
      <c r="Y94" s="2"/>
      <c r="Z94" s="6">
        <f t="shared" si="38"/>
        <v>0.73133939393939396</v>
      </c>
    </row>
    <row r="95" spans="1:26" s="27" customFormat="1" outlineLevel="1" collapsed="1" x14ac:dyDescent="0.25">
      <c r="A95" s="25"/>
      <c r="B95" s="12" t="str">
        <f>CONCATENATE("     ","Bad Debts/Over/Short                              ")</f>
        <v xml:space="preserve">     Bad Debts/Over/Short                              </v>
      </c>
      <c r="C95" s="12"/>
      <c r="D95" s="1">
        <f>SUM(OSRRefD22_3x_0)</f>
        <v>0</v>
      </c>
      <c r="E95" s="1"/>
      <c r="F95" s="5">
        <f t="shared" si="31"/>
        <v>0</v>
      </c>
      <c r="G95" s="1"/>
      <c r="H95" s="1">
        <f>SUM(OSRRefH22_3x_0)</f>
        <v>10</v>
      </c>
      <c r="I95" s="1"/>
      <c r="J95" s="5">
        <f t="shared" si="32"/>
        <v>1.8176343845450366E-5</v>
      </c>
      <c r="K95" s="1"/>
      <c r="L95" s="1">
        <f t="shared" si="33"/>
        <v>-10</v>
      </c>
      <c r="M95" s="1"/>
      <c r="N95" s="5">
        <f t="shared" si="34"/>
        <v>-1</v>
      </c>
      <c r="O95" s="12"/>
      <c r="P95" s="1">
        <f>SUM(OSRRefP22_3x_0)</f>
        <v>44.45</v>
      </c>
      <c r="Q95" s="1"/>
      <c r="R95" s="5">
        <f t="shared" si="35"/>
        <v>1.6061694830761227E-5</v>
      </c>
      <c r="S95" s="1"/>
      <c r="T95" s="1">
        <f>SUM(OSRRefT22_3x_0)</f>
        <v>110</v>
      </c>
      <c r="U95" s="1"/>
      <c r="V95" s="5">
        <f t="shared" si="36"/>
        <v>2.9759997668625591E-5</v>
      </c>
      <c r="W95" s="1"/>
      <c r="X95" s="1">
        <f t="shared" si="37"/>
        <v>-65.55</v>
      </c>
      <c r="Y95" s="1"/>
      <c r="Z95" s="5">
        <f t="shared" si="38"/>
        <v>-0.59590909090909083</v>
      </c>
    </row>
    <row r="96" spans="1:26" s="24" customFormat="1" hidden="1" outlineLevel="2" x14ac:dyDescent="0.25">
      <c r="A96" s="26"/>
      <c r="B96" s="11" t="str">
        <f>CONCATENATE("          ", "6272", " - ", "CASH (OVER/SHORT)")</f>
        <v xml:space="preserve">          6272 - CASH (OVER/SHORT)</v>
      </c>
      <c r="C96" s="11"/>
      <c r="D96" s="7"/>
      <c r="E96" s="2"/>
      <c r="F96" s="6">
        <f t="shared" si="31"/>
        <v>0</v>
      </c>
      <c r="G96" s="2"/>
      <c r="H96" s="7"/>
      <c r="I96" s="2"/>
      <c r="J96" s="6">
        <f t="shared" si="32"/>
        <v>0</v>
      </c>
      <c r="K96" s="2"/>
      <c r="L96" s="7">
        <f t="shared" si="33"/>
        <v>0</v>
      </c>
      <c r="M96" s="2"/>
      <c r="N96" s="6">
        <f t="shared" si="34"/>
        <v>0</v>
      </c>
      <c r="O96" s="11"/>
      <c r="P96" s="7">
        <v>44.45</v>
      </c>
      <c r="Q96" s="2"/>
      <c r="R96" s="6">
        <f t="shared" si="35"/>
        <v>1.6061694830761227E-5</v>
      </c>
      <c r="S96" s="2"/>
      <c r="T96" s="7"/>
      <c r="U96" s="2"/>
      <c r="V96" s="6">
        <f t="shared" si="36"/>
        <v>0</v>
      </c>
      <c r="W96" s="2"/>
      <c r="X96" s="7">
        <f t="shared" si="37"/>
        <v>44.45</v>
      </c>
      <c r="Y96" s="2"/>
      <c r="Z96" s="6">
        <f t="shared" si="38"/>
        <v>0</v>
      </c>
    </row>
    <row r="97" spans="1:26" s="24" customFormat="1" hidden="1" outlineLevel="2" x14ac:dyDescent="0.25">
      <c r="A97" s="26"/>
      <c r="B97" s="11" t="str">
        <f>CONCATENATE("          ", "6342", " - ", "BAD DEBT")</f>
        <v xml:space="preserve">          6342 - BAD DEBT</v>
      </c>
      <c r="C97" s="11"/>
      <c r="D97" s="7"/>
      <c r="E97" s="2"/>
      <c r="F97" s="6">
        <f t="shared" si="31"/>
        <v>0</v>
      </c>
      <c r="G97" s="2"/>
      <c r="H97" s="7">
        <v>10</v>
      </c>
      <c r="I97" s="2"/>
      <c r="J97" s="6">
        <f t="shared" si="32"/>
        <v>1.8176343845450366E-5</v>
      </c>
      <c r="K97" s="2"/>
      <c r="L97" s="7">
        <f t="shared" si="33"/>
        <v>-10</v>
      </c>
      <c r="M97" s="2"/>
      <c r="N97" s="6">
        <f t="shared" si="34"/>
        <v>-1</v>
      </c>
      <c r="O97" s="11"/>
      <c r="P97" s="7"/>
      <c r="Q97" s="2"/>
      <c r="R97" s="6">
        <f t="shared" si="35"/>
        <v>0</v>
      </c>
      <c r="S97" s="2"/>
      <c r="T97" s="7">
        <v>110</v>
      </c>
      <c r="U97" s="2"/>
      <c r="V97" s="6">
        <f t="shared" si="36"/>
        <v>2.9759997668625591E-5</v>
      </c>
      <c r="W97" s="2"/>
      <c r="X97" s="7">
        <f t="shared" si="37"/>
        <v>-110</v>
      </c>
      <c r="Y97" s="2"/>
      <c r="Z97" s="6">
        <f t="shared" si="38"/>
        <v>-1</v>
      </c>
    </row>
    <row r="98" spans="1:26" s="27" customFormat="1" outlineLevel="1" collapsed="1" x14ac:dyDescent="0.25">
      <c r="A98" s="25"/>
      <c r="B98" s="12" t="str">
        <f>CONCATENATE("     ","Bank/card Fees                                    ")</f>
        <v xml:space="preserve">     Bank/card Fees                                    </v>
      </c>
      <c r="C98" s="12"/>
      <c r="D98" s="1">
        <f>SUM(OSRRefD22_4x_0)</f>
        <v>19</v>
      </c>
      <c r="E98" s="1"/>
      <c r="F98" s="5">
        <f t="shared" ref="F98:F102" si="39">IF(D$12=0,0,D98/D$12)</f>
        <v>1.0586387821954338E-4</v>
      </c>
      <c r="G98" s="1"/>
      <c r="H98" s="1">
        <f>SUM(OSRRefH22_4x_0)</f>
        <v>1000</v>
      </c>
      <c r="I98" s="1"/>
      <c r="J98" s="5">
        <f t="shared" ref="J98:J102" si="40">IF(H$12=0,0,H98/H$12)</f>
        <v>1.8176343845450365E-3</v>
      </c>
      <c r="K98" s="1"/>
      <c r="L98" s="1">
        <f t="shared" ref="L98:L102" si="41">+D98-H98</f>
        <v>-981</v>
      </c>
      <c r="M98" s="1"/>
      <c r="N98" s="5">
        <f t="shared" ref="N98:N102" si="42">IF(H98=0,0,L98/H98)</f>
        <v>-0.98099999999999998</v>
      </c>
      <c r="O98" s="12"/>
      <c r="P98" s="1">
        <f>SUM(OSRRefP22_4x_0)</f>
        <v>6179.92</v>
      </c>
      <c r="Q98" s="1"/>
      <c r="R98" s="5">
        <f t="shared" ref="R98:R102" si="43">IF(P$12=0,0,P98/P$12)</f>
        <v>2.2330706213389857E-3</v>
      </c>
      <c r="S98" s="1"/>
      <c r="T98" s="1">
        <f>SUM(OSRRefT22_4x_0)</f>
        <v>7985</v>
      </c>
      <c r="U98" s="1"/>
      <c r="V98" s="5">
        <f t="shared" ref="V98:V102" si="44">IF(T$12=0,0,T98/T$12)</f>
        <v>2.1603052853088668E-3</v>
      </c>
      <c r="W98" s="1"/>
      <c r="X98" s="1">
        <f t="shared" ref="X98:X102" si="45">+P98-T98</f>
        <v>-1805.08</v>
      </c>
      <c r="Y98" s="1"/>
      <c r="Z98" s="5">
        <f t="shared" ref="Z98:Z102" si="46">IF(T98=0,0,X98/T98)</f>
        <v>-0.22605886036318096</v>
      </c>
    </row>
    <row r="99" spans="1:26" s="24" customFormat="1" hidden="1" outlineLevel="2" x14ac:dyDescent="0.25">
      <c r="A99" s="26"/>
      <c r="B99" s="11" t="str">
        <f>CONCATENATE("          ", "6381", " - ", "BANK/CREDIT CARD FEES")</f>
        <v xml:space="preserve">          6381 - BANK/CREDIT CARD FEES</v>
      </c>
      <c r="C99" s="11"/>
      <c r="D99" s="7">
        <v>19</v>
      </c>
      <c r="E99" s="2"/>
      <c r="F99" s="6">
        <f t="shared" si="39"/>
        <v>1.0586387821954338E-4</v>
      </c>
      <c r="G99" s="2"/>
      <c r="H99" s="7">
        <v>1000</v>
      </c>
      <c r="I99" s="2"/>
      <c r="J99" s="6">
        <f t="shared" si="40"/>
        <v>1.8176343845450365E-3</v>
      </c>
      <c r="K99" s="2"/>
      <c r="L99" s="7">
        <f t="shared" si="41"/>
        <v>-981</v>
      </c>
      <c r="M99" s="2"/>
      <c r="N99" s="6">
        <f t="shared" si="42"/>
        <v>-0.98099999999999998</v>
      </c>
      <c r="O99" s="11"/>
      <c r="P99" s="7">
        <v>6179.92</v>
      </c>
      <c r="Q99" s="2"/>
      <c r="R99" s="6">
        <f t="shared" si="43"/>
        <v>2.2330706213389857E-3</v>
      </c>
      <c r="S99" s="2"/>
      <c r="T99" s="7">
        <v>7985</v>
      </c>
      <c r="U99" s="2"/>
      <c r="V99" s="6">
        <f t="shared" si="44"/>
        <v>2.1603052853088668E-3</v>
      </c>
      <c r="W99" s="2"/>
      <c r="X99" s="7">
        <f t="shared" si="45"/>
        <v>-1805.08</v>
      </c>
      <c r="Y99" s="2"/>
      <c r="Z99" s="6">
        <f t="shared" si="46"/>
        <v>-0.22605886036318096</v>
      </c>
    </row>
    <row r="100" spans="1:26" s="27" customFormat="1" outlineLevel="1" collapsed="1" x14ac:dyDescent="0.25">
      <c r="A100" s="25"/>
      <c r="B100" s="12" t="str">
        <f>CONCATENATE("     ","Discounts and Markdowns                           ")</f>
        <v xml:space="preserve">     Discounts and Markdowns                           </v>
      </c>
      <c r="C100" s="12"/>
      <c r="D100" s="1">
        <f>SUM(OSRRefD22_5x_0)</f>
        <v>41510.68</v>
      </c>
      <c r="E100" s="1"/>
      <c r="F100" s="5">
        <f t="shared" si="39"/>
        <v>0.23128850380686503</v>
      </c>
      <c r="G100" s="1"/>
      <c r="H100" s="1">
        <f>SUM(OSRRefH22_5x_0)</f>
        <v>16000</v>
      </c>
      <c r="I100" s="1"/>
      <c r="J100" s="5">
        <f t="shared" si="40"/>
        <v>2.9082150152720584E-2</v>
      </c>
      <c r="K100" s="1"/>
      <c r="L100" s="1">
        <f t="shared" si="41"/>
        <v>25510.68</v>
      </c>
      <c r="M100" s="1"/>
      <c r="N100" s="5">
        <f t="shared" si="42"/>
        <v>1.5944175</v>
      </c>
      <c r="O100" s="12"/>
      <c r="P100" s="1">
        <f>SUM(OSRRefP22_5x_0)</f>
        <v>327362.86</v>
      </c>
      <c r="Q100" s="1"/>
      <c r="R100" s="5">
        <f t="shared" si="43"/>
        <v>0.11829026673217571</v>
      </c>
      <c r="S100" s="1"/>
      <c r="T100" s="1">
        <f>SUM(OSRRefT22_5x_0)</f>
        <v>271000</v>
      </c>
      <c r="U100" s="1"/>
      <c r="V100" s="5">
        <f t="shared" si="44"/>
        <v>7.3317812438159408E-2</v>
      </c>
      <c r="W100" s="1"/>
      <c r="X100" s="1">
        <f t="shared" si="45"/>
        <v>56362.859999999986</v>
      </c>
      <c r="Y100" s="1"/>
      <c r="Z100" s="5">
        <f t="shared" si="46"/>
        <v>0.20798103321033204</v>
      </c>
    </row>
    <row r="101" spans="1:26" s="24" customFormat="1" hidden="1" outlineLevel="2" x14ac:dyDescent="0.25">
      <c r="A101" s="26"/>
      <c r="B101" s="11" t="str">
        <f>CONCATENATE("          ", "6382", " - ", "DISCOUNTS/MARK DOWNS")</f>
        <v xml:space="preserve">          6382 - DISCOUNTS/MARK DOWNS</v>
      </c>
      <c r="C101" s="11"/>
      <c r="D101" s="7">
        <v>41510.68</v>
      </c>
      <c r="E101" s="2"/>
      <c r="F101" s="6">
        <f t="shared" si="39"/>
        <v>0.23128850380686503</v>
      </c>
      <c r="G101" s="2"/>
      <c r="H101" s="7">
        <v>16000</v>
      </c>
      <c r="I101" s="2"/>
      <c r="J101" s="6">
        <f t="shared" si="40"/>
        <v>2.9082150152720584E-2</v>
      </c>
      <c r="K101" s="2"/>
      <c r="L101" s="7">
        <f t="shared" si="41"/>
        <v>25510.68</v>
      </c>
      <c r="M101" s="2"/>
      <c r="N101" s="6">
        <f t="shared" si="42"/>
        <v>1.5944175</v>
      </c>
      <c r="O101" s="11"/>
      <c r="P101" s="7">
        <v>327382.25</v>
      </c>
      <c r="Q101" s="2"/>
      <c r="R101" s="6">
        <f t="shared" si="43"/>
        <v>0.118297273172283</v>
      </c>
      <c r="S101" s="2"/>
      <c r="T101" s="7">
        <v>271000</v>
      </c>
      <c r="U101" s="2"/>
      <c r="V101" s="6">
        <f t="shared" si="44"/>
        <v>7.3317812438159408E-2</v>
      </c>
      <c r="W101" s="2"/>
      <c r="X101" s="7">
        <f t="shared" si="45"/>
        <v>56382.25</v>
      </c>
      <c r="Y101" s="2"/>
      <c r="Z101" s="6">
        <f t="shared" si="46"/>
        <v>0.20805258302583027</v>
      </c>
    </row>
    <row r="102" spans="1:26" s="24" customFormat="1" hidden="1" outlineLevel="2" x14ac:dyDescent="0.25">
      <c r="A102" s="26"/>
      <c r="B102" s="11" t="str">
        <f>CONCATENATE("          ", "9175", " - ", "EARNED DISCOUNTS")</f>
        <v xml:space="preserve">          9175 - EARNED DISCOUNTS</v>
      </c>
      <c r="C102" s="11"/>
      <c r="D102" s="7"/>
      <c r="E102" s="2"/>
      <c r="F102" s="6">
        <f t="shared" si="39"/>
        <v>0</v>
      </c>
      <c r="G102" s="2"/>
      <c r="H102" s="7"/>
      <c r="I102" s="2"/>
      <c r="J102" s="6">
        <f t="shared" si="40"/>
        <v>0</v>
      </c>
      <c r="K102" s="2"/>
      <c r="L102" s="7">
        <f t="shared" si="41"/>
        <v>0</v>
      </c>
      <c r="M102" s="2"/>
      <c r="N102" s="6">
        <f t="shared" si="42"/>
        <v>0</v>
      </c>
      <c r="O102" s="11"/>
      <c r="P102" s="7">
        <v>-19.39</v>
      </c>
      <c r="Q102" s="2"/>
      <c r="R102" s="6">
        <f t="shared" si="43"/>
        <v>-7.0064401072769445E-6</v>
      </c>
      <c r="S102" s="2"/>
      <c r="T102" s="7"/>
      <c r="U102" s="2"/>
      <c r="V102" s="6">
        <f t="shared" si="44"/>
        <v>0</v>
      </c>
      <c r="W102" s="2"/>
      <c r="X102" s="7">
        <f t="shared" si="45"/>
        <v>-19.39</v>
      </c>
      <c r="Y102" s="2"/>
      <c r="Z102" s="6">
        <f t="shared" si="46"/>
        <v>0</v>
      </c>
    </row>
    <row r="103" spans="1:26" s="27" customFormat="1" outlineLevel="1" collapsed="1" x14ac:dyDescent="0.25">
      <c r="A103" s="25"/>
      <c r="B103" s="12" t="str">
        <f>CONCATENATE("     ","Donations                                         ")</f>
        <v xml:space="preserve">     Donations                                         </v>
      </c>
      <c r="C103" s="12"/>
      <c r="D103" s="1">
        <f>SUM(OSRRefD22_6x_0)</f>
        <v>0</v>
      </c>
      <c r="E103" s="1"/>
      <c r="F103" s="5">
        <f t="shared" ref="F103:F109" si="47">IF(D$12=0,0,D103/D$12)</f>
        <v>0</v>
      </c>
      <c r="G103" s="1"/>
      <c r="H103" s="1">
        <f>SUM(OSRRefH22_6x_0)</f>
        <v>50</v>
      </c>
      <c r="I103" s="1"/>
      <c r="J103" s="5">
        <f t="shared" ref="J103:J109" si="48">IF(H$12=0,0,H103/H$12)</f>
        <v>9.0881719227251824E-5</v>
      </c>
      <c r="K103" s="1"/>
      <c r="L103" s="1">
        <f t="shared" ref="L103:L109" si="49">+D103-H103</f>
        <v>-50</v>
      </c>
      <c r="M103" s="1"/>
      <c r="N103" s="5">
        <f t="shared" ref="N103:N109" si="50">IF(H103=0,0,L103/H103)</f>
        <v>-1</v>
      </c>
      <c r="O103" s="12"/>
      <c r="P103" s="1">
        <f>SUM(OSRRefP22_6x_0)</f>
        <v>0</v>
      </c>
      <c r="Q103" s="1"/>
      <c r="R103" s="5">
        <f t="shared" ref="R103:R109" si="51">IF(P$12=0,0,P103/P$12)</f>
        <v>0</v>
      </c>
      <c r="S103" s="1"/>
      <c r="T103" s="1">
        <f>SUM(OSRRefT22_6x_0)</f>
        <v>375</v>
      </c>
      <c r="U103" s="1"/>
      <c r="V103" s="5">
        <f t="shared" ref="V103:V109" si="52">IF(T$12=0,0,T103/T$12)</f>
        <v>1.0145453750667814E-4</v>
      </c>
      <c r="W103" s="1"/>
      <c r="X103" s="1">
        <f t="shared" ref="X103:X109" si="53">+P103-T103</f>
        <v>-375</v>
      </c>
      <c r="Y103" s="1"/>
      <c r="Z103" s="5">
        <f t="shared" ref="Z103:Z109" si="54">IF(T103=0,0,X103/T103)</f>
        <v>-1</v>
      </c>
    </row>
    <row r="104" spans="1:26" s="24" customFormat="1" hidden="1" outlineLevel="2" x14ac:dyDescent="0.25">
      <c r="A104" s="26"/>
      <c r="B104" s="11" t="str">
        <f>CONCATENATE("          ", "6395", " - ", "DONATION-OFF CAMPUS")</f>
        <v xml:space="preserve">          6395 - DONATION-OFF CAMPUS</v>
      </c>
      <c r="C104" s="11"/>
      <c r="D104" s="7"/>
      <c r="E104" s="2"/>
      <c r="F104" s="6">
        <f t="shared" si="47"/>
        <v>0</v>
      </c>
      <c r="G104" s="2"/>
      <c r="H104" s="7">
        <v>50</v>
      </c>
      <c r="I104" s="2"/>
      <c r="J104" s="6">
        <f t="shared" si="48"/>
        <v>9.0881719227251824E-5</v>
      </c>
      <c r="K104" s="2"/>
      <c r="L104" s="7">
        <f t="shared" si="49"/>
        <v>-50</v>
      </c>
      <c r="M104" s="2"/>
      <c r="N104" s="6">
        <f t="shared" si="50"/>
        <v>-1</v>
      </c>
      <c r="O104" s="11"/>
      <c r="P104" s="7"/>
      <c r="Q104" s="2"/>
      <c r="R104" s="6">
        <f t="shared" si="51"/>
        <v>0</v>
      </c>
      <c r="S104" s="2"/>
      <c r="T104" s="7">
        <v>375</v>
      </c>
      <c r="U104" s="2"/>
      <c r="V104" s="6">
        <f t="shared" si="52"/>
        <v>1.0145453750667814E-4</v>
      </c>
      <c r="W104" s="2"/>
      <c r="X104" s="7">
        <f t="shared" si="53"/>
        <v>-375</v>
      </c>
      <c r="Y104" s="2"/>
      <c r="Z104" s="6">
        <f t="shared" si="54"/>
        <v>-1</v>
      </c>
    </row>
    <row r="105" spans="1:26" s="27" customFormat="1" outlineLevel="1" collapsed="1" x14ac:dyDescent="0.25">
      <c r="A105" s="25"/>
      <c r="B105" s="12" t="str">
        <f>CONCATENATE("     ","Employees' Appreciation                           ")</f>
        <v xml:space="preserve">     Employees' Appreciation                           </v>
      </c>
      <c r="C105" s="12"/>
      <c r="D105" s="1">
        <f>SUM(OSRRefD22_7x_0)</f>
        <v>0</v>
      </c>
      <c r="E105" s="1"/>
      <c r="F105" s="5">
        <f t="shared" si="47"/>
        <v>0</v>
      </c>
      <c r="G105" s="1"/>
      <c r="H105" s="1">
        <f>SUM(OSRRefH22_7x_0)</f>
        <v>250</v>
      </c>
      <c r="I105" s="1"/>
      <c r="J105" s="5">
        <f t="shared" si="48"/>
        <v>4.5440859613625912E-4</v>
      </c>
      <c r="K105" s="1"/>
      <c r="L105" s="1">
        <f t="shared" si="49"/>
        <v>-250</v>
      </c>
      <c r="M105" s="1"/>
      <c r="N105" s="5">
        <f t="shared" si="50"/>
        <v>-1</v>
      </c>
      <c r="O105" s="12"/>
      <c r="P105" s="1">
        <f>SUM(OSRRefP22_7x_0)</f>
        <v>376.37</v>
      </c>
      <c r="Q105" s="1"/>
      <c r="R105" s="5">
        <f t="shared" si="51"/>
        <v>1.3599865204620029E-4</v>
      </c>
      <c r="S105" s="1"/>
      <c r="T105" s="1">
        <f>SUM(OSRRefT22_7x_0)</f>
        <v>2425</v>
      </c>
      <c r="U105" s="1"/>
      <c r="V105" s="5">
        <f t="shared" si="52"/>
        <v>6.5607267587651865E-4</v>
      </c>
      <c r="W105" s="1"/>
      <c r="X105" s="1">
        <f t="shared" si="53"/>
        <v>-2048.63</v>
      </c>
      <c r="Y105" s="1"/>
      <c r="Z105" s="5">
        <f t="shared" si="54"/>
        <v>-0.84479587628865982</v>
      </c>
    </row>
    <row r="106" spans="1:26" s="24" customFormat="1" hidden="1" outlineLevel="2" x14ac:dyDescent="0.25">
      <c r="A106" s="26"/>
      <c r="B106" s="11" t="str">
        <f>CONCATENATE("          ", "6277", " - ", "EMPLOYEE APPRECIATION")</f>
        <v xml:space="preserve">          6277 - EMPLOYEE APPRECIATION</v>
      </c>
      <c r="C106" s="11"/>
      <c r="D106" s="7"/>
      <c r="E106" s="2"/>
      <c r="F106" s="6">
        <f t="shared" si="47"/>
        <v>0</v>
      </c>
      <c r="G106" s="2"/>
      <c r="H106" s="7">
        <v>250</v>
      </c>
      <c r="I106" s="2"/>
      <c r="J106" s="6">
        <f t="shared" si="48"/>
        <v>4.5440859613625912E-4</v>
      </c>
      <c r="K106" s="2"/>
      <c r="L106" s="7">
        <f t="shared" si="49"/>
        <v>-250</v>
      </c>
      <c r="M106" s="2"/>
      <c r="N106" s="6">
        <f t="shared" si="50"/>
        <v>-1</v>
      </c>
      <c r="O106" s="11"/>
      <c r="P106" s="7">
        <v>376.37</v>
      </c>
      <c r="Q106" s="2"/>
      <c r="R106" s="6">
        <f t="shared" si="51"/>
        <v>1.3599865204620029E-4</v>
      </c>
      <c r="S106" s="2"/>
      <c r="T106" s="7">
        <v>2425</v>
      </c>
      <c r="U106" s="2"/>
      <c r="V106" s="6">
        <f t="shared" si="52"/>
        <v>6.5607267587651865E-4</v>
      </c>
      <c r="W106" s="2"/>
      <c r="X106" s="7">
        <f t="shared" si="53"/>
        <v>-2048.63</v>
      </c>
      <c r="Y106" s="2"/>
      <c r="Z106" s="6">
        <f t="shared" si="54"/>
        <v>-0.84479587628865982</v>
      </c>
    </row>
    <row r="107" spans="1:26" s="27" customFormat="1" outlineLevel="1" collapsed="1" x14ac:dyDescent="0.25">
      <c r="A107" s="25"/>
      <c r="B107" s="12" t="str">
        <f>CONCATENATE("     ","Freight out/Postage                               ")</f>
        <v xml:space="preserve">     Freight out/Postage                               </v>
      </c>
      <c r="C107" s="12"/>
      <c r="D107" s="1">
        <f>SUM(OSRRefD22_8x_0)</f>
        <v>10.73</v>
      </c>
      <c r="E107" s="1"/>
      <c r="F107" s="5">
        <f t="shared" si="47"/>
        <v>5.9785232278721083E-5</v>
      </c>
      <c r="G107" s="1"/>
      <c r="H107" s="1">
        <f>SUM(OSRRefH22_8x_0)</f>
        <v>50</v>
      </c>
      <c r="I107" s="1"/>
      <c r="J107" s="5">
        <f t="shared" si="48"/>
        <v>9.0881719227251824E-5</v>
      </c>
      <c r="K107" s="1"/>
      <c r="L107" s="1">
        <f t="shared" si="49"/>
        <v>-39.269999999999996</v>
      </c>
      <c r="M107" s="1"/>
      <c r="N107" s="5">
        <f t="shared" si="50"/>
        <v>-0.78539999999999988</v>
      </c>
      <c r="O107" s="12"/>
      <c r="P107" s="1">
        <f>SUM(OSRRefP22_8x_0)</f>
        <v>129.6</v>
      </c>
      <c r="Q107" s="1"/>
      <c r="R107" s="5">
        <f t="shared" si="51"/>
        <v>4.6830048370453426E-5</v>
      </c>
      <c r="S107" s="1"/>
      <c r="T107" s="1">
        <f>SUM(OSRRefT22_8x_0)</f>
        <v>550</v>
      </c>
      <c r="U107" s="1"/>
      <c r="V107" s="5">
        <f t="shared" si="52"/>
        <v>1.4879998834312796E-4</v>
      </c>
      <c r="W107" s="1"/>
      <c r="X107" s="1">
        <f t="shared" si="53"/>
        <v>-420.4</v>
      </c>
      <c r="Y107" s="1"/>
      <c r="Z107" s="5">
        <f t="shared" si="54"/>
        <v>-0.76436363636363636</v>
      </c>
    </row>
    <row r="108" spans="1:26" s="24" customFormat="1" hidden="1" outlineLevel="2" x14ac:dyDescent="0.25">
      <c r="A108" s="26"/>
      <c r="B108" s="11" t="str">
        <f>CONCATENATE("          ", "6305", " - ", "FREIGHT OUT")</f>
        <v xml:space="preserve">          6305 - FREIGHT OUT</v>
      </c>
      <c r="C108" s="11"/>
      <c r="D108" s="7">
        <v>10.73</v>
      </c>
      <c r="E108" s="2"/>
      <c r="F108" s="6">
        <f t="shared" si="47"/>
        <v>5.9785232278721083E-5</v>
      </c>
      <c r="G108" s="2"/>
      <c r="H108" s="7">
        <v>50</v>
      </c>
      <c r="I108" s="2"/>
      <c r="J108" s="6">
        <f t="shared" si="48"/>
        <v>9.0881719227251824E-5</v>
      </c>
      <c r="K108" s="2"/>
      <c r="L108" s="7">
        <f t="shared" si="49"/>
        <v>-39.269999999999996</v>
      </c>
      <c r="M108" s="2"/>
      <c r="N108" s="6">
        <f t="shared" si="50"/>
        <v>-0.78539999999999988</v>
      </c>
      <c r="O108" s="11"/>
      <c r="P108" s="7">
        <v>129.1</v>
      </c>
      <c r="Q108" s="2"/>
      <c r="R108" s="6">
        <f t="shared" si="51"/>
        <v>4.6649376887542727E-5</v>
      </c>
      <c r="S108" s="2"/>
      <c r="T108" s="7">
        <v>550</v>
      </c>
      <c r="U108" s="2"/>
      <c r="V108" s="6">
        <f t="shared" si="52"/>
        <v>1.4879998834312796E-4</v>
      </c>
      <c r="W108" s="2"/>
      <c r="X108" s="7">
        <f t="shared" si="53"/>
        <v>-420.9</v>
      </c>
      <c r="Y108" s="2"/>
      <c r="Z108" s="6">
        <f t="shared" si="54"/>
        <v>-0.76527272727272722</v>
      </c>
    </row>
    <row r="109" spans="1:26" s="24" customFormat="1" hidden="1" outlineLevel="2" x14ac:dyDescent="0.25">
      <c r="A109" s="26"/>
      <c r="B109" s="11" t="str">
        <f>CONCATENATE("          ", "6307", " - ", "POSTAGE")</f>
        <v xml:space="preserve">          6307 - POSTAGE</v>
      </c>
      <c r="C109" s="11"/>
      <c r="D109" s="7"/>
      <c r="E109" s="2"/>
      <c r="F109" s="6">
        <f t="shared" si="47"/>
        <v>0</v>
      </c>
      <c r="G109" s="2"/>
      <c r="H109" s="7"/>
      <c r="I109" s="2"/>
      <c r="J109" s="6">
        <f t="shared" si="48"/>
        <v>0</v>
      </c>
      <c r="K109" s="2"/>
      <c r="L109" s="7">
        <f t="shared" si="49"/>
        <v>0</v>
      </c>
      <c r="M109" s="2"/>
      <c r="N109" s="6">
        <f t="shared" si="50"/>
        <v>0</v>
      </c>
      <c r="O109" s="11"/>
      <c r="P109" s="7">
        <v>0.5</v>
      </c>
      <c r="Q109" s="2"/>
      <c r="R109" s="6">
        <f t="shared" si="51"/>
        <v>1.8067148291069996E-7</v>
      </c>
      <c r="S109" s="2"/>
      <c r="T109" s="7"/>
      <c r="U109" s="2"/>
      <c r="V109" s="6">
        <f t="shared" si="52"/>
        <v>0</v>
      </c>
      <c r="W109" s="2"/>
      <c r="X109" s="7">
        <f t="shared" si="53"/>
        <v>0.5</v>
      </c>
      <c r="Y109" s="2"/>
      <c r="Z109" s="6">
        <f t="shared" si="54"/>
        <v>0</v>
      </c>
    </row>
    <row r="110" spans="1:26" s="27" customFormat="1" outlineLevel="1" collapsed="1" x14ac:dyDescent="0.25">
      <c r="A110" s="25"/>
      <c r="B110" s="12" t="str">
        <f>CONCATENATE("     ","General                                           ")</f>
        <v xml:space="preserve">     General                                           </v>
      </c>
      <c r="C110" s="12"/>
      <c r="D110" s="1">
        <f>SUM(OSRRefD22_9x_0)</f>
        <v>120.99</v>
      </c>
      <c r="E110" s="1"/>
      <c r="F110" s="5">
        <f t="shared" ref="F110:F122" si="55">IF(D$12=0,0,D110/D$12)</f>
        <v>6.7413003293592384E-4</v>
      </c>
      <c r="G110" s="1"/>
      <c r="H110" s="1">
        <f>SUM(OSRRefH22_9x_0)</f>
        <v>0</v>
      </c>
      <c r="I110" s="1"/>
      <c r="J110" s="5">
        <f t="shared" ref="J110:J122" si="56">IF(H$12=0,0,H110/H$12)</f>
        <v>0</v>
      </c>
      <c r="K110" s="1"/>
      <c r="L110" s="1">
        <f t="shared" ref="L110:L122" si="57">+D110-H110</f>
        <v>120.99</v>
      </c>
      <c r="M110" s="1"/>
      <c r="N110" s="5">
        <f t="shared" ref="N110:N122" si="58">IF(H110=0,0,L110/H110)</f>
        <v>0</v>
      </c>
      <c r="O110" s="12"/>
      <c r="P110" s="1">
        <f>SUM(OSRRefP22_9x_0)</f>
        <v>1392.43</v>
      </c>
      <c r="Q110" s="1"/>
      <c r="R110" s="5">
        <f t="shared" ref="R110:R122" si="59">IF(P$12=0,0,P110/P$12)</f>
        <v>5.031447858986919E-4</v>
      </c>
      <c r="S110" s="1"/>
      <c r="T110" s="1">
        <f>SUM(OSRRefT22_9x_0)</f>
        <v>1985</v>
      </c>
      <c r="U110" s="1"/>
      <c r="V110" s="5">
        <f t="shared" ref="V110:V122" si="60">IF(T$12=0,0,T110/T$12)</f>
        <v>5.3703268520201633E-4</v>
      </c>
      <c r="W110" s="1"/>
      <c r="X110" s="1">
        <f t="shared" ref="X110:X122" si="61">+P110-T110</f>
        <v>-592.56999999999994</v>
      </c>
      <c r="Y110" s="1"/>
      <c r="Z110" s="5">
        <f t="shared" ref="Z110:Z122" si="62">IF(T110=0,0,X110/T110)</f>
        <v>-0.29852392947103273</v>
      </c>
    </row>
    <row r="111" spans="1:26" s="24" customFormat="1" hidden="1" outlineLevel="2" x14ac:dyDescent="0.25">
      <c r="A111" s="26"/>
      <c r="B111" s="11" t="str">
        <f>CONCATENATE("          ", "6279", " - ", "GENERAL EXPENSE")</f>
        <v xml:space="preserve">          6279 - GENERAL EXPENSE</v>
      </c>
      <c r="C111" s="11"/>
      <c r="D111" s="7">
        <v>120.99</v>
      </c>
      <c r="E111" s="2"/>
      <c r="F111" s="6">
        <f t="shared" si="55"/>
        <v>6.7413003293592384E-4</v>
      </c>
      <c r="G111" s="2"/>
      <c r="H111" s="7">
        <v>0</v>
      </c>
      <c r="I111" s="2"/>
      <c r="J111" s="6">
        <f t="shared" si="56"/>
        <v>0</v>
      </c>
      <c r="K111" s="2"/>
      <c r="L111" s="7">
        <f t="shared" si="57"/>
        <v>120.99</v>
      </c>
      <c r="M111" s="2"/>
      <c r="N111" s="6">
        <f t="shared" si="58"/>
        <v>0</v>
      </c>
      <c r="O111" s="11"/>
      <c r="P111" s="7">
        <v>1392.43</v>
      </c>
      <c r="Q111" s="2"/>
      <c r="R111" s="6">
        <f t="shared" si="59"/>
        <v>5.031447858986919E-4</v>
      </c>
      <c r="S111" s="2"/>
      <c r="T111" s="7">
        <v>1985</v>
      </c>
      <c r="U111" s="2"/>
      <c r="V111" s="6">
        <f t="shared" si="60"/>
        <v>5.3703268520201633E-4</v>
      </c>
      <c r="W111" s="2"/>
      <c r="X111" s="7">
        <f t="shared" si="61"/>
        <v>-592.56999999999994</v>
      </c>
      <c r="Y111" s="2"/>
      <c r="Z111" s="6">
        <f t="shared" si="62"/>
        <v>-0.29852392947103273</v>
      </c>
    </row>
    <row r="112" spans="1:26" s="27" customFormat="1" outlineLevel="1" collapsed="1" x14ac:dyDescent="0.25">
      <c r="A112" s="25"/>
      <c r="B112" s="12" t="str">
        <f>CONCATENATE("     ","Insurance                                         ")</f>
        <v xml:space="preserve">     Insurance                                         </v>
      </c>
      <c r="C112" s="12"/>
      <c r="D112" s="1">
        <f>SUM(OSRRefD22_10x_0)</f>
        <v>161.18</v>
      </c>
      <c r="E112" s="1"/>
      <c r="F112" s="5">
        <f t="shared" si="55"/>
        <v>8.980599942855791E-4</v>
      </c>
      <c r="G112" s="1"/>
      <c r="H112" s="1">
        <f>SUM(OSRRefH22_10x_0)</f>
        <v>155</v>
      </c>
      <c r="I112" s="1"/>
      <c r="J112" s="5">
        <f t="shared" si="56"/>
        <v>2.8173332960448069E-4</v>
      </c>
      <c r="K112" s="1"/>
      <c r="L112" s="1">
        <f t="shared" si="57"/>
        <v>6.1800000000000068</v>
      </c>
      <c r="M112" s="1"/>
      <c r="N112" s="5">
        <f t="shared" si="58"/>
        <v>3.9870967741935527E-2</v>
      </c>
      <c r="O112" s="12"/>
      <c r="P112" s="1">
        <f>SUM(OSRRefP22_10x_0)</f>
        <v>1772.98</v>
      </c>
      <c r="Q112" s="1"/>
      <c r="R112" s="5">
        <f t="shared" si="59"/>
        <v>6.4065385154202562E-4</v>
      </c>
      <c r="S112" s="1"/>
      <c r="T112" s="1">
        <f>SUM(OSRRefT22_10x_0)</f>
        <v>1705</v>
      </c>
      <c r="U112" s="1"/>
      <c r="V112" s="5">
        <f t="shared" si="60"/>
        <v>4.6127996386369663E-4</v>
      </c>
      <c r="W112" s="1"/>
      <c r="X112" s="1">
        <f t="shared" si="61"/>
        <v>67.980000000000018</v>
      </c>
      <c r="Y112" s="1"/>
      <c r="Z112" s="5">
        <f t="shared" si="62"/>
        <v>3.9870967741935492E-2</v>
      </c>
    </row>
    <row r="113" spans="1:26" s="24" customFormat="1" hidden="1" outlineLevel="2" x14ac:dyDescent="0.25">
      <c r="A113" s="26"/>
      <c r="B113" s="11" t="str">
        <f>CONCATENATE("          ", "6314", " - ", "LIABILITY INSURANCE")</f>
        <v xml:space="preserve">          6314 - LIABILITY INSURANCE</v>
      </c>
      <c r="C113" s="11"/>
      <c r="D113" s="7">
        <v>161.18</v>
      </c>
      <c r="E113" s="2"/>
      <c r="F113" s="6">
        <f t="shared" si="55"/>
        <v>8.980599942855791E-4</v>
      </c>
      <c r="G113" s="2"/>
      <c r="H113" s="7">
        <v>155</v>
      </c>
      <c r="I113" s="2"/>
      <c r="J113" s="6">
        <f t="shared" si="56"/>
        <v>2.8173332960448069E-4</v>
      </c>
      <c r="K113" s="2"/>
      <c r="L113" s="7">
        <f t="shared" si="57"/>
        <v>6.1800000000000068</v>
      </c>
      <c r="M113" s="2"/>
      <c r="N113" s="6">
        <f t="shared" si="58"/>
        <v>3.9870967741935527E-2</v>
      </c>
      <c r="O113" s="11"/>
      <c r="P113" s="7">
        <v>1772.98</v>
      </c>
      <c r="Q113" s="2"/>
      <c r="R113" s="6">
        <f t="shared" si="59"/>
        <v>6.4065385154202562E-4</v>
      </c>
      <c r="S113" s="2"/>
      <c r="T113" s="7">
        <v>1705</v>
      </c>
      <c r="U113" s="2"/>
      <c r="V113" s="6">
        <f t="shared" si="60"/>
        <v>4.6127996386369663E-4</v>
      </c>
      <c r="W113" s="2"/>
      <c r="X113" s="7">
        <f t="shared" si="61"/>
        <v>67.980000000000018</v>
      </c>
      <c r="Y113" s="2"/>
      <c r="Z113" s="6">
        <f t="shared" si="62"/>
        <v>3.9870967741935492E-2</v>
      </c>
    </row>
    <row r="114" spans="1:26" s="27" customFormat="1" outlineLevel="1" collapsed="1" x14ac:dyDescent="0.25">
      <c r="A114" s="25"/>
      <c r="B114" s="12" t="str">
        <f>CONCATENATE("     ","Inventory Adjustment                              ")</f>
        <v xml:space="preserve">     Inventory Adjustment                              </v>
      </c>
      <c r="C114" s="12"/>
      <c r="D114" s="1">
        <f>SUM(OSRRefD22_11x_0)</f>
        <v>3450</v>
      </c>
      <c r="E114" s="1"/>
      <c r="F114" s="5">
        <f t="shared" si="55"/>
        <v>1.9222651571443403E-2</v>
      </c>
      <c r="G114" s="1"/>
      <c r="H114" s="1">
        <f>SUM(OSRRefH22_11x_0)</f>
        <v>3450</v>
      </c>
      <c r="I114" s="1"/>
      <c r="J114" s="5">
        <f t="shared" si="56"/>
        <v>6.2708386266803759E-3</v>
      </c>
      <c r="K114" s="1"/>
      <c r="L114" s="1">
        <f t="shared" si="57"/>
        <v>0</v>
      </c>
      <c r="M114" s="1"/>
      <c r="N114" s="5">
        <f t="shared" si="58"/>
        <v>0</v>
      </c>
      <c r="O114" s="12"/>
      <c r="P114" s="1">
        <f>SUM(OSRRefP22_11x_0)</f>
        <v>35550</v>
      </c>
      <c r="Q114" s="1"/>
      <c r="R114" s="5">
        <f t="shared" si="59"/>
        <v>1.2845742434950767E-2</v>
      </c>
      <c r="S114" s="1"/>
      <c r="T114" s="1">
        <f>SUM(OSRRefT22_11x_0)</f>
        <v>35550</v>
      </c>
      <c r="U114" s="1"/>
      <c r="V114" s="5">
        <f t="shared" si="60"/>
        <v>9.6178901556330885E-3</v>
      </c>
      <c r="W114" s="1"/>
      <c r="X114" s="1">
        <f t="shared" si="61"/>
        <v>0</v>
      </c>
      <c r="Y114" s="1"/>
      <c r="Z114" s="5">
        <f t="shared" si="62"/>
        <v>0</v>
      </c>
    </row>
    <row r="115" spans="1:26" s="24" customFormat="1" hidden="1" outlineLevel="2" x14ac:dyDescent="0.25">
      <c r="A115" s="26"/>
      <c r="B115" s="11" t="str">
        <f>CONCATENATE("          ", "6408", " - ", "INVENTORY ADJUSTMENT")</f>
        <v xml:space="preserve">          6408 - INVENTORY ADJUSTMENT</v>
      </c>
      <c r="C115" s="11"/>
      <c r="D115" s="7">
        <v>3450</v>
      </c>
      <c r="E115" s="2"/>
      <c r="F115" s="6">
        <f t="shared" si="55"/>
        <v>1.9222651571443403E-2</v>
      </c>
      <c r="G115" s="2"/>
      <c r="H115" s="7">
        <v>3450</v>
      </c>
      <c r="I115" s="2"/>
      <c r="J115" s="6">
        <f t="shared" si="56"/>
        <v>6.2708386266803759E-3</v>
      </c>
      <c r="K115" s="2"/>
      <c r="L115" s="7">
        <f t="shared" si="57"/>
        <v>0</v>
      </c>
      <c r="M115" s="2"/>
      <c r="N115" s="6">
        <f t="shared" si="58"/>
        <v>0</v>
      </c>
      <c r="O115" s="11"/>
      <c r="P115" s="7">
        <v>35550</v>
      </c>
      <c r="Q115" s="2"/>
      <c r="R115" s="6">
        <f t="shared" si="59"/>
        <v>1.2845742434950767E-2</v>
      </c>
      <c r="S115" s="2"/>
      <c r="T115" s="7">
        <v>35550</v>
      </c>
      <c r="U115" s="2"/>
      <c r="V115" s="6">
        <f t="shared" si="60"/>
        <v>9.6178901556330885E-3</v>
      </c>
      <c r="W115" s="2"/>
      <c r="X115" s="7">
        <f t="shared" si="61"/>
        <v>0</v>
      </c>
      <c r="Y115" s="2"/>
      <c r="Z115" s="6">
        <f t="shared" si="62"/>
        <v>0</v>
      </c>
    </row>
    <row r="116" spans="1:26" s="27" customFormat="1" outlineLevel="1" collapsed="1" x14ac:dyDescent="0.25">
      <c r="A116" s="25"/>
      <c r="B116" s="12" t="str">
        <f>CONCATENATE("     ","Professional Services                             ")</f>
        <v xml:space="preserve">     Professional Services                             </v>
      </c>
      <c r="C116" s="12"/>
      <c r="D116" s="1">
        <f>SUM(OSRRefD22_12x_0)</f>
        <v>0</v>
      </c>
      <c r="E116" s="1"/>
      <c r="F116" s="5">
        <f t="shared" si="55"/>
        <v>0</v>
      </c>
      <c r="G116" s="1"/>
      <c r="H116" s="1">
        <f>SUM(OSRRefH22_12x_0)</f>
        <v>0</v>
      </c>
      <c r="I116" s="1"/>
      <c r="J116" s="5">
        <f t="shared" si="56"/>
        <v>0</v>
      </c>
      <c r="K116" s="1"/>
      <c r="L116" s="1">
        <f t="shared" si="57"/>
        <v>0</v>
      </c>
      <c r="M116" s="1"/>
      <c r="N116" s="5">
        <f t="shared" si="58"/>
        <v>0</v>
      </c>
      <c r="O116" s="12"/>
      <c r="P116" s="1">
        <f>SUM(OSRRefP22_12x_0)</f>
        <v>3680</v>
      </c>
      <c r="Q116" s="1"/>
      <c r="R116" s="5">
        <f t="shared" si="59"/>
        <v>1.3297421142227516E-3</v>
      </c>
      <c r="S116" s="1"/>
      <c r="T116" s="1">
        <f>SUM(OSRRefT22_12x_0)</f>
        <v>3150</v>
      </c>
      <c r="U116" s="1"/>
      <c r="V116" s="5">
        <f t="shared" si="60"/>
        <v>8.5221811505609645E-4</v>
      </c>
      <c r="W116" s="1"/>
      <c r="X116" s="1">
        <f t="shared" si="61"/>
        <v>530</v>
      </c>
      <c r="Y116" s="1"/>
      <c r="Z116" s="5">
        <f t="shared" si="62"/>
        <v>0.16825396825396827</v>
      </c>
    </row>
    <row r="117" spans="1:26" s="24" customFormat="1" hidden="1" outlineLevel="2" x14ac:dyDescent="0.25">
      <c r="A117" s="26"/>
      <c r="B117" s="11" t="str">
        <f>CONCATENATE("          ", "6336", " - ", "PROFESSIONAL SERVICES")</f>
        <v xml:space="preserve">          6336 - PROFESSIONAL SERVICES</v>
      </c>
      <c r="C117" s="11"/>
      <c r="D117" s="7"/>
      <c r="E117" s="2"/>
      <c r="F117" s="6">
        <f t="shared" si="55"/>
        <v>0</v>
      </c>
      <c r="G117" s="2"/>
      <c r="H117" s="7">
        <v>0</v>
      </c>
      <c r="I117" s="2"/>
      <c r="J117" s="6">
        <f t="shared" si="56"/>
        <v>0</v>
      </c>
      <c r="K117" s="2"/>
      <c r="L117" s="7">
        <f t="shared" si="57"/>
        <v>0</v>
      </c>
      <c r="M117" s="2"/>
      <c r="N117" s="6">
        <f t="shared" si="58"/>
        <v>0</v>
      </c>
      <c r="O117" s="11"/>
      <c r="P117" s="7">
        <v>3680</v>
      </c>
      <c r="Q117" s="2"/>
      <c r="R117" s="6">
        <f t="shared" si="59"/>
        <v>1.3297421142227516E-3</v>
      </c>
      <c r="S117" s="2"/>
      <c r="T117" s="7">
        <v>3150</v>
      </c>
      <c r="U117" s="2"/>
      <c r="V117" s="6">
        <f t="shared" si="60"/>
        <v>8.5221811505609645E-4</v>
      </c>
      <c r="W117" s="2"/>
      <c r="X117" s="7">
        <f t="shared" si="61"/>
        <v>530</v>
      </c>
      <c r="Y117" s="2"/>
      <c r="Z117" s="6">
        <f t="shared" si="62"/>
        <v>0.16825396825396827</v>
      </c>
    </row>
    <row r="118" spans="1:26" s="27" customFormat="1" outlineLevel="1" collapsed="1" x14ac:dyDescent="0.25">
      <c r="A118" s="25"/>
      <c r="B118" s="12" t="str">
        <f>CONCATENATE("     ","Rent                                              ")</f>
        <v xml:space="preserve">     Rent                                              </v>
      </c>
      <c r="C118" s="12"/>
      <c r="D118" s="1">
        <f>SUM(OSRRefD22_13x_0)</f>
        <v>6900</v>
      </c>
      <c r="E118" s="1"/>
      <c r="F118" s="5">
        <f t="shared" si="55"/>
        <v>3.8445303142886807E-2</v>
      </c>
      <c r="G118" s="1"/>
      <c r="H118" s="1">
        <f>SUM(OSRRefH22_13x_0)</f>
        <v>7200</v>
      </c>
      <c r="I118" s="1"/>
      <c r="J118" s="5">
        <f t="shared" si="56"/>
        <v>1.3086967568724264E-2</v>
      </c>
      <c r="K118" s="1"/>
      <c r="L118" s="1">
        <f t="shared" si="57"/>
        <v>-300</v>
      </c>
      <c r="M118" s="1"/>
      <c r="N118" s="5">
        <f t="shared" si="58"/>
        <v>-4.1666666666666664E-2</v>
      </c>
      <c r="O118" s="12"/>
      <c r="P118" s="1">
        <f>SUM(OSRRefP22_13x_0)</f>
        <v>75900</v>
      </c>
      <c r="Q118" s="1"/>
      <c r="R118" s="5">
        <f t="shared" si="59"/>
        <v>2.7425931105844254E-2</v>
      </c>
      <c r="S118" s="1"/>
      <c r="T118" s="1">
        <f>SUM(OSRRefT22_13x_0)</f>
        <v>79200</v>
      </c>
      <c r="U118" s="1"/>
      <c r="V118" s="5">
        <f t="shared" si="60"/>
        <v>2.1427198321410424E-2</v>
      </c>
      <c r="W118" s="1"/>
      <c r="X118" s="1">
        <f t="shared" si="61"/>
        <v>-3300</v>
      </c>
      <c r="Y118" s="1"/>
      <c r="Z118" s="5">
        <f t="shared" si="62"/>
        <v>-4.1666666666666664E-2</v>
      </c>
    </row>
    <row r="119" spans="1:26" s="24" customFormat="1" hidden="1" outlineLevel="2" x14ac:dyDescent="0.25">
      <c r="A119" s="26"/>
      <c r="B119" s="11" t="str">
        <f>CONCATENATE("          ", "6273", " - ", "RENT")</f>
        <v xml:space="preserve">          6273 - RENT</v>
      </c>
      <c r="C119" s="11"/>
      <c r="D119" s="7">
        <v>6900</v>
      </c>
      <c r="E119" s="2"/>
      <c r="F119" s="6">
        <f t="shared" si="55"/>
        <v>3.8445303142886807E-2</v>
      </c>
      <c r="G119" s="2"/>
      <c r="H119" s="7">
        <v>7200</v>
      </c>
      <c r="I119" s="2"/>
      <c r="J119" s="6">
        <f t="shared" si="56"/>
        <v>1.3086967568724264E-2</v>
      </c>
      <c r="K119" s="2"/>
      <c r="L119" s="7">
        <f t="shared" si="57"/>
        <v>-300</v>
      </c>
      <c r="M119" s="2"/>
      <c r="N119" s="6">
        <f t="shared" si="58"/>
        <v>-4.1666666666666664E-2</v>
      </c>
      <c r="O119" s="11"/>
      <c r="P119" s="7">
        <v>75900</v>
      </c>
      <c r="Q119" s="2"/>
      <c r="R119" s="6">
        <f t="shared" si="59"/>
        <v>2.7425931105844254E-2</v>
      </c>
      <c r="S119" s="2"/>
      <c r="T119" s="7">
        <v>79200</v>
      </c>
      <c r="U119" s="2"/>
      <c r="V119" s="6">
        <f t="shared" si="60"/>
        <v>2.1427198321410424E-2</v>
      </c>
      <c r="W119" s="2"/>
      <c r="X119" s="7">
        <f t="shared" si="61"/>
        <v>-3300</v>
      </c>
      <c r="Y119" s="2"/>
      <c r="Z119" s="6">
        <f t="shared" si="62"/>
        <v>-4.1666666666666664E-2</v>
      </c>
    </row>
    <row r="120" spans="1:26" s="27" customFormat="1" outlineLevel="1" collapsed="1" x14ac:dyDescent="0.25">
      <c r="A120" s="25"/>
      <c r="B120" s="12" t="str">
        <f>CONCATENATE("     ","Repair and Maintenance                            ")</f>
        <v xml:space="preserve">     Repair and Maintenance                            </v>
      </c>
      <c r="C120" s="12"/>
      <c r="D120" s="1">
        <f>SUM(OSRRefD22_14x_0)</f>
        <v>0</v>
      </c>
      <c r="E120" s="1"/>
      <c r="F120" s="5">
        <f t="shared" si="55"/>
        <v>0</v>
      </c>
      <c r="G120" s="1"/>
      <c r="H120" s="1">
        <f>SUM(OSRRefH22_14x_0)</f>
        <v>150</v>
      </c>
      <c r="I120" s="1"/>
      <c r="J120" s="5">
        <f t="shared" si="56"/>
        <v>2.7264515768175547E-4</v>
      </c>
      <c r="K120" s="1"/>
      <c r="L120" s="1">
        <f t="shared" si="57"/>
        <v>-150</v>
      </c>
      <c r="M120" s="1"/>
      <c r="N120" s="5">
        <f t="shared" si="58"/>
        <v>-1</v>
      </c>
      <c r="O120" s="12"/>
      <c r="P120" s="1">
        <f>SUM(OSRRefP22_14x_0)</f>
        <v>633.76</v>
      </c>
      <c r="Q120" s="1"/>
      <c r="R120" s="5">
        <f t="shared" si="59"/>
        <v>2.2900471801897039E-4</v>
      </c>
      <c r="S120" s="1"/>
      <c r="T120" s="1">
        <f>SUM(OSRRefT22_14x_0)</f>
        <v>2000</v>
      </c>
      <c r="U120" s="1"/>
      <c r="V120" s="5">
        <f t="shared" si="60"/>
        <v>5.4109086670228344E-4</v>
      </c>
      <c r="W120" s="1"/>
      <c r="X120" s="1">
        <f t="shared" si="61"/>
        <v>-1366.24</v>
      </c>
      <c r="Y120" s="1"/>
      <c r="Z120" s="5">
        <f t="shared" si="62"/>
        <v>-0.68311999999999995</v>
      </c>
    </row>
    <row r="121" spans="1:26" s="24" customFormat="1" hidden="1" outlineLevel="2" x14ac:dyDescent="0.25">
      <c r="A121" s="26"/>
      <c r="B121" s="11" t="str">
        <f>CONCATENATE("          ", "6373", " - ", "MAINTENANCE CONTRACTS")</f>
        <v xml:space="preserve">          6373 - MAINTENANCE CONTRACTS</v>
      </c>
      <c r="C121" s="11"/>
      <c r="D121" s="7"/>
      <c r="E121" s="2"/>
      <c r="F121" s="6">
        <f t="shared" si="55"/>
        <v>0</v>
      </c>
      <c r="G121" s="2"/>
      <c r="H121" s="7">
        <v>0</v>
      </c>
      <c r="I121" s="2"/>
      <c r="J121" s="6">
        <f t="shared" si="56"/>
        <v>0</v>
      </c>
      <c r="K121" s="2"/>
      <c r="L121" s="7">
        <f t="shared" si="57"/>
        <v>0</v>
      </c>
      <c r="M121" s="2"/>
      <c r="N121" s="6">
        <f t="shared" si="58"/>
        <v>0</v>
      </c>
      <c r="O121" s="11"/>
      <c r="P121" s="7">
        <v>451.23</v>
      </c>
      <c r="Q121" s="2"/>
      <c r="R121" s="6">
        <f t="shared" si="59"/>
        <v>1.6304878646759027E-4</v>
      </c>
      <c r="S121" s="2"/>
      <c r="T121" s="7">
        <v>75</v>
      </c>
      <c r="U121" s="2"/>
      <c r="V121" s="6">
        <f t="shared" si="60"/>
        <v>2.0290907501335632E-5</v>
      </c>
      <c r="W121" s="2"/>
      <c r="X121" s="7">
        <f t="shared" si="61"/>
        <v>376.23</v>
      </c>
      <c r="Y121" s="2"/>
      <c r="Z121" s="6">
        <f t="shared" si="62"/>
        <v>5.0164</v>
      </c>
    </row>
    <row r="122" spans="1:26" s="24" customFormat="1" hidden="1" outlineLevel="2" x14ac:dyDescent="0.25">
      <c r="A122" s="26"/>
      <c r="B122" s="11" t="str">
        <f>CONCATENATE("          ", "6375", " - ", "OUTSIDE REPAIRS &amp; MAINTENANCE")</f>
        <v xml:space="preserve">          6375 - OUTSIDE REPAIRS &amp; MAINTENANCE</v>
      </c>
      <c r="C122" s="11"/>
      <c r="D122" s="7"/>
      <c r="E122" s="2"/>
      <c r="F122" s="6">
        <f t="shared" si="55"/>
        <v>0</v>
      </c>
      <c r="G122" s="2"/>
      <c r="H122" s="7">
        <v>150</v>
      </c>
      <c r="I122" s="2"/>
      <c r="J122" s="6">
        <f t="shared" si="56"/>
        <v>2.7264515768175547E-4</v>
      </c>
      <c r="K122" s="2"/>
      <c r="L122" s="7">
        <f t="shared" si="57"/>
        <v>-150</v>
      </c>
      <c r="M122" s="2"/>
      <c r="N122" s="6">
        <f t="shared" si="58"/>
        <v>-1</v>
      </c>
      <c r="O122" s="11"/>
      <c r="P122" s="7">
        <v>182.53</v>
      </c>
      <c r="Q122" s="2"/>
      <c r="R122" s="6">
        <f t="shared" si="59"/>
        <v>6.595593155138013E-5</v>
      </c>
      <c r="S122" s="2"/>
      <c r="T122" s="7">
        <v>1925</v>
      </c>
      <c r="U122" s="2"/>
      <c r="V122" s="6">
        <f t="shared" si="60"/>
        <v>5.2079995920094779E-4</v>
      </c>
      <c r="W122" s="2"/>
      <c r="X122" s="7">
        <f t="shared" si="61"/>
        <v>-1742.47</v>
      </c>
      <c r="Y122" s="2"/>
      <c r="Z122" s="6">
        <f t="shared" si="62"/>
        <v>-0.90517922077922075</v>
      </c>
    </row>
    <row r="123" spans="1:26" s="27" customFormat="1" outlineLevel="1" collapsed="1" x14ac:dyDescent="0.25">
      <c r="A123" s="25"/>
      <c r="B123" s="12" t="str">
        <f>CONCATENATE("     ","Royalty &amp; Commissions                             ")</f>
        <v xml:space="preserve">     Royalty &amp; Commissions                             </v>
      </c>
      <c r="C123" s="12"/>
      <c r="D123" s="1">
        <f>SUM(OSRRefD22_15x_0)</f>
        <v>0</v>
      </c>
      <c r="E123" s="1"/>
      <c r="F123" s="5">
        <f t="shared" ref="F123:F126" si="63">IF(D$12=0,0,D123/D$12)</f>
        <v>0</v>
      </c>
      <c r="G123" s="1"/>
      <c r="H123" s="1">
        <f>SUM(OSRRefH22_15x_0)</f>
        <v>5485</v>
      </c>
      <c r="I123" s="1"/>
      <c r="J123" s="5">
        <f t="shared" ref="J123:J126" si="64">IF(H$12=0,0,H123/H$12)</f>
        <v>9.9697245992295264E-3</v>
      </c>
      <c r="K123" s="1"/>
      <c r="L123" s="1">
        <f t="shared" ref="L123:L126" si="65">+D123-H123</f>
        <v>-5485</v>
      </c>
      <c r="M123" s="1"/>
      <c r="N123" s="5">
        <f t="shared" ref="N123:N126" si="66">IF(H123=0,0,L123/H123)</f>
        <v>-1</v>
      </c>
      <c r="O123" s="12"/>
      <c r="P123" s="1">
        <f>SUM(OSRRefP22_15x_0)</f>
        <v>40841.660000000003</v>
      </c>
      <c r="Q123" s="1"/>
      <c r="R123" s="5">
        <f t="shared" ref="R123:R126" si="67">IF(P$12=0,0,P123/P$12)</f>
        <v>1.4757846553469237E-2</v>
      </c>
      <c r="S123" s="1"/>
      <c r="T123" s="1">
        <f>SUM(OSRRefT22_15x_0)</f>
        <v>60335</v>
      </c>
      <c r="U123" s="1"/>
      <c r="V123" s="5">
        <f t="shared" ref="V123:V126" si="68">IF(T$12=0,0,T123/T$12)</f>
        <v>1.6323358721241136E-2</v>
      </c>
      <c r="W123" s="1"/>
      <c r="X123" s="1">
        <f t="shared" ref="X123:X126" si="69">+P123-T123</f>
        <v>-19493.339999999997</v>
      </c>
      <c r="Y123" s="1"/>
      <c r="Z123" s="5">
        <f t="shared" ref="Z123:Z126" si="70">IF(T123=0,0,X123/T123)</f>
        <v>-0.32308510814618374</v>
      </c>
    </row>
    <row r="124" spans="1:26" s="24" customFormat="1" hidden="1" outlineLevel="2" x14ac:dyDescent="0.25">
      <c r="A124" s="26"/>
      <c r="B124" s="11" t="str">
        <f>CONCATENATE("          ", "6252", " - ", "ROYALTY DUE CSTV")</f>
        <v xml:space="preserve">          6252 - ROYALTY DUE CSTV</v>
      </c>
      <c r="C124" s="11"/>
      <c r="D124" s="7"/>
      <c r="E124" s="2"/>
      <c r="F124" s="6">
        <f t="shared" si="63"/>
        <v>0</v>
      </c>
      <c r="G124" s="2"/>
      <c r="H124" s="7">
        <v>1085</v>
      </c>
      <c r="I124" s="2"/>
      <c r="J124" s="6">
        <f t="shared" si="64"/>
        <v>1.9721333072313645E-3</v>
      </c>
      <c r="K124" s="2"/>
      <c r="L124" s="7">
        <f t="shared" si="65"/>
        <v>-1085</v>
      </c>
      <c r="M124" s="2"/>
      <c r="N124" s="6">
        <f t="shared" si="66"/>
        <v>-1</v>
      </c>
      <c r="O124" s="11"/>
      <c r="P124" s="7"/>
      <c r="Q124" s="2"/>
      <c r="R124" s="6">
        <f t="shared" si="67"/>
        <v>0</v>
      </c>
      <c r="S124" s="2"/>
      <c r="T124" s="7">
        <v>11935</v>
      </c>
      <c r="U124" s="2"/>
      <c r="V124" s="6">
        <f t="shared" si="68"/>
        <v>3.2289597470458765E-3</v>
      </c>
      <c r="W124" s="2"/>
      <c r="X124" s="7">
        <f t="shared" si="69"/>
        <v>-11935</v>
      </c>
      <c r="Y124" s="2"/>
      <c r="Z124" s="6">
        <f t="shared" si="70"/>
        <v>-1</v>
      </c>
    </row>
    <row r="125" spans="1:26" s="24" customFormat="1" hidden="1" outlineLevel="2" x14ac:dyDescent="0.25">
      <c r="A125" s="26"/>
      <c r="B125" s="11" t="str">
        <f>CONCATENATE("          ", "6253", " - ", "ROYALTY DUE ATHLETICS-LRG")</f>
        <v xml:space="preserve">          6253 - ROYALTY DUE ATHLETICS-LRG</v>
      </c>
      <c r="C125" s="11"/>
      <c r="D125" s="7"/>
      <c r="E125" s="2"/>
      <c r="F125" s="6">
        <f t="shared" si="63"/>
        <v>0</v>
      </c>
      <c r="G125" s="2"/>
      <c r="H125" s="7">
        <v>3700</v>
      </c>
      <c r="I125" s="2"/>
      <c r="J125" s="6">
        <f t="shared" si="64"/>
        <v>6.7252472228166351E-3</v>
      </c>
      <c r="K125" s="2"/>
      <c r="L125" s="7">
        <f t="shared" si="65"/>
        <v>-3700</v>
      </c>
      <c r="M125" s="2"/>
      <c r="N125" s="6">
        <f t="shared" si="66"/>
        <v>-1</v>
      </c>
      <c r="O125" s="11"/>
      <c r="P125" s="7">
        <v>32870.44</v>
      </c>
      <c r="Q125" s="2"/>
      <c r="R125" s="6">
        <f t="shared" si="67"/>
        <v>1.1877502277454377E-2</v>
      </c>
      <c r="S125" s="2"/>
      <c r="T125" s="7">
        <v>40700</v>
      </c>
      <c r="U125" s="2"/>
      <c r="V125" s="6">
        <f t="shared" si="68"/>
        <v>1.1011199137391469E-2</v>
      </c>
      <c r="W125" s="2"/>
      <c r="X125" s="7">
        <f t="shared" si="69"/>
        <v>-7829.5599999999977</v>
      </c>
      <c r="Y125" s="2"/>
      <c r="Z125" s="6">
        <f t="shared" si="70"/>
        <v>-0.19237248157248152</v>
      </c>
    </row>
    <row r="126" spans="1:26" s="24" customFormat="1" hidden="1" outlineLevel="2" x14ac:dyDescent="0.25">
      <c r="A126" s="26"/>
      <c r="B126" s="11" t="str">
        <f>CONCATENATE("          ", "6254", " - ", "ROYALTY &amp; COMMISSIONS")</f>
        <v xml:space="preserve">          6254 - ROYALTY &amp; COMMISSIONS</v>
      </c>
      <c r="C126" s="11"/>
      <c r="D126" s="7"/>
      <c r="E126" s="2"/>
      <c r="F126" s="6">
        <f t="shared" si="63"/>
        <v>0</v>
      </c>
      <c r="G126" s="2"/>
      <c r="H126" s="7">
        <v>700</v>
      </c>
      <c r="I126" s="2"/>
      <c r="J126" s="6">
        <f t="shared" si="64"/>
        <v>1.2723440691815256E-3</v>
      </c>
      <c r="K126" s="2"/>
      <c r="L126" s="7">
        <f t="shared" si="65"/>
        <v>-700</v>
      </c>
      <c r="M126" s="2"/>
      <c r="N126" s="6">
        <f t="shared" si="66"/>
        <v>-1</v>
      </c>
      <c r="O126" s="11"/>
      <c r="P126" s="7">
        <v>7971.22</v>
      </c>
      <c r="Q126" s="2"/>
      <c r="R126" s="6">
        <f t="shared" si="67"/>
        <v>2.8803442760148594E-3</v>
      </c>
      <c r="S126" s="2"/>
      <c r="T126" s="7">
        <v>7700</v>
      </c>
      <c r="U126" s="2"/>
      <c r="V126" s="6">
        <f t="shared" si="68"/>
        <v>2.0831998368037912E-3</v>
      </c>
      <c r="W126" s="2"/>
      <c r="X126" s="7">
        <f t="shared" si="69"/>
        <v>271.22000000000025</v>
      </c>
      <c r="Y126" s="2"/>
      <c r="Z126" s="6">
        <f t="shared" si="70"/>
        <v>3.5223376623376657E-2</v>
      </c>
    </row>
    <row r="127" spans="1:26" s="27" customFormat="1" outlineLevel="1" collapsed="1" x14ac:dyDescent="0.25">
      <c r="A127" s="25"/>
      <c r="B127" s="12" t="str">
        <f>CONCATENATE("     ","Services                                          ")</f>
        <v xml:space="preserve">     Services                                          </v>
      </c>
      <c r="C127" s="12"/>
      <c r="D127" s="1">
        <f>SUM(OSRRefD22_16x_0)</f>
        <v>189.45</v>
      </c>
      <c r="E127" s="1"/>
      <c r="F127" s="5">
        <f t="shared" ref="F127:F130" si="71">IF(D$12=0,0,D127/D$12)</f>
        <v>1.0555743015101312E-3</v>
      </c>
      <c r="G127" s="1"/>
      <c r="H127" s="1">
        <f>SUM(OSRRefH22_16x_0)</f>
        <v>242.5</v>
      </c>
      <c r="I127" s="1"/>
      <c r="J127" s="5">
        <f t="shared" ref="J127:J130" si="72">IF(H$12=0,0,H127/H$12)</f>
        <v>4.4077633825217137E-4</v>
      </c>
      <c r="K127" s="1"/>
      <c r="L127" s="1">
        <f t="shared" ref="L127:L130" si="73">+D127-H127</f>
        <v>-53.050000000000011</v>
      </c>
      <c r="M127" s="1"/>
      <c r="N127" s="5">
        <f t="shared" ref="N127:N130" si="74">IF(H127=0,0,L127/H127)</f>
        <v>-0.21876288659793819</v>
      </c>
      <c r="O127" s="12"/>
      <c r="P127" s="1">
        <f>SUM(OSRRefP22_16x_0)</f>
        <v>2949.5299999999997</v>
      </c>
      <c r="Q127" s="1"/>
      <c r="R127" s="5">
        <f t="shared" ref="R127:R130" si="75">IF(P$12=0,0,P127/P$12)</f>
        <v>1.0657919179791935E-3</v>
      </c>
      <c r="S127" s="1"/>
      <c r="T127" s="1">
        <f>SUM(OSRRefT22_16x_0)</f>
        <v>2932.5</v>
      </c>
      <c r="U127" s="1"/>
      <c r="V127" s="5">
        <f t="shared" ref="V127:V130" si="76">IF(T$12=0,0,T127/T$12)</f>
        <v>7.9337448330222312E-4</v>
      </c>
      <c r="W127" s="1"/>
      <c r="X127" s="1">
        <f t="shared" ref="X127:X130" si="77">+P127-T127</f>
        <v>17.029999999999745</v>
      </c>
      <c r="Y127" s="1"/>
      <c r="Z127" s="5">
        <f t="shared" ref="Z127:Z130" si="78">IF(T127=0,0,X127/T127)</f>
        <v>5.8073316283034082E-3</v>
      </c>
    </row>
    <row r="128" spans="1:26" s="24" customFormat="1" hidden="1" outlineLevel="2" x14ac:dyDescent="0.25">
      <c r="A128" s="26"/>
      <c r="B128" s="11" t="str">
        <f>CONCATENATE("          ", "6283", " - ", "PLANT SERVICE")</f>
        <v xml:space="preserve">          6283 - PLANT SERVICE</v>
      </c>
      <c r="C128" s="11"/>
      <c r="D128" s="7"/>
      <c r="E128" s="2"/>
      <c r="F128" s="6">
        <f t="shared" si="71"/>
        <v>0</v>
      </c>
      <c r="G128" s="2"/>
      <c r="H128" s="7">
        <v>60</v>
      </c>
      <c r="I128" s="2"/>
      <c r="J128" s="6">
        <f t="shared" si="72"/>
        <v>1.090580630727022E-4</v>
      </c>
      <c r="K128" s="2"/>
      <c r="L128" s="7">
        <f t="shared" si="73"/>
        <v>-60</v>
      </c>
      <c r="M128" s="2"/>
      <c r="N128" s="6">
        <f t="shared" si="74"/>
        <v>-1</v>
      </c>
      <c r="O128" s="11"/>
      <c r="P128" s="7">
        <v>178.65</v>
      </c>
      <c r="Q128" s="2"/>
      <c r="R128" s="6">
        <f t="shared" si="75"/>
        <v>6.4553920843993088E-5</v>
      </c>
      <c r="S128" s="2"/>
      <c r="T128" s="7">
        <v>660</v>
      </c>
      <c r="U128" s="2"/>
      <c r="V128" s="6">
        <f t="shared" si="76"/>
        <v>1.7855998601175354E-4</v>
      </c>
      <c r="W128" s="2"/>
      <c r="X128" s="7">
        <f t="shared" si="77"/>
        <v>-481.35</v>
      </c>
      <c r="Y128" s="2"/>
      <c r="Z128" s="6">
        <f t="shared" si="78"/>
        <v>-0.72931818181818187</v>
      </c>
    </row>
    <row r="129" spans="1:26" s="24" customFormat="1" hidden="1" outlineLevel="2" x14ac:dyDescent="0.25">
      <c r="A129" s="26"/>
      <c r="B129" s="11" t="str">
        <f>CONCATENATE("          ", "6284", " - ", "TRASH REMOVAL EXPENSE")</f>
        <v xml:space="preserve">          6284 - TRASH REMOVAL EXPENSE</v>
      </c>
      <c r="C129" s="11"/>
      <c r="D129" s="7">
        <v>134.82</v>
      </c>
      <c r="E129" s="2"/>
      <c r="F129" s="6">
        <f t="shared" si="71"/>
        <v>7.511877927136231E-4</v>
      </c>
      <c r="G129" s="2"/>
      <c r="H129" s="7">
        <v>62.5</v>
      </c>
      <c r="I129" s="2"/>
      <c r="J129" s="6">
        <f t="shared" si="72"/>
        <v>1.1360214903406478E-4</v>
      </c>
      <c r="K129" s="2"/>
      <c r="L129" s="7">
        <f t="shared" si="73"/>
        <v>72.319999999999993</v>
      </c>
      <c r="M129" s="2"/>
      <c r="N129" s="6">
        <f t="shared" si="74"/>
        <v>1.1571199999999999</v>
      </c>
      <c r="O129" s="11"/>
      <c r="P129" s="7">
        <v>1483.02</v>
      </c>
      <c r="Q129" s="2"/>
      <c r="R129" s="6">
        <f t="shared" si="75"/>
        <v>5.3587884517245247E-4</v>
      </c>
      <c r="S129" s="2"/>
      <c r="T129" s="7">
        <v>687.5</v>
      </c>
      <c r="U129" s="2"/>
      <c r="V129" s="6">
        <f t="shared" si="76"/>
        <v>1.8599998542890995E-4</v>
      </c>
      <c r="W129" s="2"/>
      <c r="X129" s="7">
        <f t="shared" si="77"/>
        <v>795.52</v>
      </c>
      <c r="Y129" s="2"/>
      <c r="Z129" s="6">
        <f t="shared" si="78"/>
        <v>1.1571199999999999</v>
      </c>
    </row>
    <row r="130" spans="1:26" s="24" customFormat="1" hidden="1" outlineLevel="2" x14ac:dyDescent="0.25">
      <c r="A130" s="26"/>
      <c r="B130" s="11" t="str">
        <f>CONCATENATE("          ", "6285", " - ", "JANITORIAL SERVICES")</f>
        <v xml:space="preserve">          6285 - JANITORIAL SERVICES</v>
      </c>
      <c r="C130" s="11"/>
      <c r="D130" s="7">
        <v>54.63</v>
      </c>
      <c r="E130" s="2"/>
      <c r="F130" s="6">
        <f t="shared" si="71"/>
        <v>3.043865087965082E-4</v>
      </c>
      <c r="G130" s="2"/>
      <c r="H130" s="7">
        <v>120</v>
      </c>
      <c r="I130" s="2"/>
      <c r="J130" s="6">
        <f t="shared" si="72"/>
        <v>2.1811612614540439E-4</v>
      </c>
      <c r="K130" s="2"/>
      <c r="L130" s="7">
        <f t="shared" si="73"/>
        <v>-65.37</v>
      </c>
      <c r="M130" s="2"/>
      <c r="N130" s="6">
        <f t="shared" si="74"/>
        <v>-0.54475000000000007</v>
      </c>
      <c r="O130" s="11"/>
      <c r="P130" s="7">
        <v>1287.8599999999999</v>
      </c>
      <c r="Q130" s="2"/>
      <c r="R130" s="6">
        <f t="shared" si="75"/>
        <v>4.6535915196274804E-4</v>
      </c>
      <c r="S130" s="2"/>
      <c r="T130" s="7">
        <v>1585</v>
      </c>
      <c r="U130" s="2"/>
      <c r="V130" s="6">
        <f t="shared" si="76"/>
        <v>4.2881451186155967E-4</v>
      </c>
      <c r="W130" s="2"/>
      <c r="X130" s="7">
        <f t="shared" si="77"/>
        <v>-297.1400000000001</v>
      </c>
      <c r="Y130" s="2"/>
      <c r="Z130" s="6">
        <f t="shared" si="78"/>
        <v>-0.18747003154574138</v>
      </c>
    </row>
    <row r="131" spans="1:26" s="27" customFormat="1" outlineLevel="1" collapsed="1" x14ac:dyDescent="0.25">
      <c r="A131" s="25"/>
      <c r="B131" s="12" t="str">
        <f>CONCATENATE("     ","Subscriptions &amp; Dues                              ")</f>
        <v xml:space="preserve">     Subscriptions &amp; Dues                              </v>
      </c>
      <c r="C131" s="12"/>
      <c r="D131" s="1">
        <f>SUM(OSRRefD22_17x_0)</f>
        <v>0</v>
      </c>
      <c r="E131" s="1"/>
      <c r="F131" s="5">
        <f t="shared" ref="F131:F133" si="79">IF(D$12=0,0,D131/D$12)</f>
        <v>0</v>
      </c>
      <c r="G131" s="1"/>
      <c r="H131" s="1">
        <f>SUM(OSRRefH22_17x_0)</f>
        <v>215</v>
      </c>
      <c r="I131" s="1"/>
      <c r="J131" s="5">
        <f t="shared" ref="J131:J133" si="80">IF(H$12=0,0,H131/H$12)</f>
        <v>3.9079139267718285E-4</v>
      </c>
      <c r="K131" s="1"/>
      <c r="L131" s="1">
        <f t="shared" ref="L131:L133" si="81">+D131-H131</f>
        <v>-215</v>
      </c>
      <c r="M131" s="1"/>
      <c r="N131" s="5">
        <f t="shared" ref="N131:N133" si="82">IF(H131=0,0,L131/H131)</f>
        <v>-1</v>
      </c>
      <c r="O131" s="12"/>
      <c r="P131" s="1">
        <f>SUM(OSRRefP22_17x_0)</f>
        <v>647.99</v>
      </c>
      <c r="Q131" s="1"/>
      <c r="R131" s="5">
        <f t="shared" ref="R131:R133" si="83">IF(P$12=0,0,P131/P$12)</f>
        <v>2.3414662842260892E-4</v>
      </c>
      <c r="S131" s="1"/>
      <c r="T131" s="1">
        <f>SUM(OSRRefT22_17x_0)</f>
        <v>7310</v>
      </c>
      <c r="U131" s="1"/>
      <c r="V131" s="5">
        <f t="shared" ref="V131:V133" si="84">IF(T$12=0,0,T131/T$12)</f>
        <v>1.9776871177968462E-3</v>
      </c>
      <c r="W131" s="1"/>
      <c r="X131" s="1">
        <f t="shared" ref="X131:X133" si="85">+P131-T131</f>
        <v>-6662.01</v>
      </c>
      <c r="Y131" s="1"/>
      <c r="Z131" s="5">
        <f t="shared" ref="Z131:Z133" si="86">IF(T131=0,0,X131/T131)</f>
        <v>-0.91135567715458277</v>
      </c>
    </row>
    <row r="132" spans="1:26" s="24" customFormat="1" hidden="1" outlineLevel="2" x14ac:dyDescent="0.25">
      <c r="A132" s="26"/>
      <c r="B132" s="11" t="str">
        <f>CONCATENATE("          ", "6258", " - ", "MEMBERSHIP DUES")</f>
        <v xml:space="preserve">          6258 - MEMBERSHIP DUES</v>
      </c>
      <c r="C132" s="11"/>
      <c r="D132" s="7"/>
      <c r="E132" s="2"/>
      <c r="F132" s="6">
        <f t="shared" si="79"/>
        <v>0</v>
      </c>
      <c r="G132" s="2"/>
      <c r="H132" s="7">
        <v>0</v>
      </c>
      <c r="I132" s="2"/>
      <c r="J132" s="6">
        <f t="shared" si="80"/>
        <v>0</v>
      </c>
      <c r="K132" s="2"/>
      <c r="L132" s="7">
        <f t="shared" si="81"/>
        <v>0</v>
      </c>
      <c r="M132" s="2"/>
      <c r="N132" s="6">
        <f t="shared" si="82"/>
        <v>0</v>
      </c>
      <c r="O132" s="11"/>
      <c r="P132" s="7">
        <v>112.93</v>
      </c>
      <c r="Q132" s="2"/>
      <c r="R132" s="6">
        <f t="shared" si="83"/>
        <v>4.0806461130210692E-5</v>
      </c>
      <c r="S132" s="2"/>
      <c r="T132" s="7">
        <v>1895</v>
      </c>
      <c r="U132" s="2"/>
      <c r="V132" s="6">
        <f t="shared" si="84"/>
        <v>5.1268359620041358E-4</v>
      </c>
      <c r="W132" s="2"/>
      <c r="X132" s="7">
        <f t="shared" si="85"/>
        <v>-1782.07</v>
      </c>
      <c r="Y132" s="2"/>
      <c r="Z132" s="6">
        <f t="shared" si="86"/>
        <v>-0.94040633245382588</v>
      </c>
    </row>
    <row r="133" spans="1:26" s="24" customFormat="1" hidden="1" outlineLevel="2" x14ac:dyDescent="0.25">
      <c r="A133" s="26"/>
      <c r="B133" s="11" t="str">
        <f>CONCATENATE("          ", "6275", " - ", "SUBSCRIPTIONS")</f>
        <v xml:space="preserve">          6275 - SUBSCRIPTIONS</v>
      </c>
      <c r="C133" s="11"/>
      <c r="D133" s="7"/>
      <c r="E133" s="2"/>
      <c r="F133" s="6">
        <f t="shared" si="79"/>
        <v>0</v>
      </c>
      <c r="G133" s="2"/>
      <c r="H133" s="7">
        <v>215</v>
      </c>
      <c r="I133" s="2"/>
      <c r="J133" s="6">
        <f t="shared" si="80"/>
        <v>3.9079139267718285E-4</v>
      </c>
      <c r="K133" s="2"/>
      <c r="L133" s="7">
        <f t="shared" si="81"/>
        <v>-215</v>
      </c>
      <c r="M133" s="2"/>
      <c r="N133" s="6">
        <f t="shared" si="82"/>
        <v>-1</v>
      </c>
      <c r="O133" s="11"/>
      <c r="P133" s="7">
        <v>535.05999999999995</v>
      </c>
      <c r="Q133" s="2"/>
      <c r="R133" s="6">
        <f t="shared" si="83"/>
        <v>1.9334016729239821E-4</v>
      </c>
      <c r="S133" s="2"/>
      <c r="T133" s="7">
        <v>5415</v>
      </c>
      <c r="U133" s="2"/>
      <c r="V133" s="6">
        <f t="shared" si="84"/>
        <v>1.4650035215964326E-3</v>
      </c>
      <c r="W133" s="2"/>
      <c r="X133" s="7">
        <f t="shared" si="85"/>
        <v>-4879.9400000000005</v>
      </c>
      <c r="Y133" s="2"/>
      <c r="Z133" s="6">
        <f t="shared" si="86"/>
        <v>-0.90118928901200379</v>
      </c>
    </row>
    <row r="134" spans="1:26" s="27" customFormat="1" outlineLevel="1" collapsed="1" x14ac:dyDescent="0.25">
      <c r="A134" s="25"/>
      <c r="B134" s="12" t="str">
        <f>CONCATENATE("     ","Supplies                                          ")</f>
        <v xml:space="preserve">     Supplies                                          </v>
      </c>
      <c r="C134" s="12"/>
      <c r="D134" s="1">
        <f>SUM(OSRRefD22_18x_0)</f>
        <v>68.91</v>
      </c>
      <c r="E134" s="1"/>
      <c r="F134" s="5">
        <f t="shared" ref="F134:F140" si="87">IF(D$12=0,0,D134/D$12)</f>
        <v>3.8395157095309128E-4</v>
      </c>
      <c r="G134" s="1"/>
      <c r="H134" s="1">
        <f>SUM(OSRRefH22_18x_0)</f>
        <v>1095</v>
      </c>
      <c r="I134" s="1"/>
      <c r="J134" s="5">
        <f t="shared" ref="J134:J140" si="88">IF(H$12=0,0,H134/H$12)</f>
        <v>1.9903096510768149E-3</v>
      </c>
      <c r="K134" s="1"/>
      <c r="L134" s="1">
        <f t="shared" ref="L134:L140" si="89">+D134-H134</f>
        <v>-1026.0899999999999</v>
      </c>
      <c r="M134" s="1"/>
      <c r="N134" s="5">
        <f t="shared" ref="N134:N140" si="90">IF(H134=0,0,L134/H134)</f>
        <v>-0.93706849315068486</v>
      </c>
      <c r="O134" s="12"/>
      <c r="P134" s="1">
        <f>SUM(OSRRefP22_18x_0)</f>
        <v>7435.9099999999989</v>
      </c>
      <c r="Q134" s="1"/>
      <c r="R134" s="5">
        <f t="shared" ref="R134:R140" si="91">IF(P$12=0,0,P134/P$12)</f>
        <v>2.6869137729810056E-3</v>
      </c>
      <c r="S134" s="1"/>
      <c r="T134" s="1">
        <f>SUM(OSRRefT22_18x_0)</f>
        <v>15365</v>
      </c>
      <c r="U134" s="1"/>
      <c r="V134" s="5">
        <f t="shared" ref="V134:V140" si="92">IF(T$12=0,0,T134/T$12)</f>
        <v>4.1569305834402931E-3</v>
      </c>
      <c r="W134" s="1"/>
      <c r="X134" s="1">
        <f t="shared" ref="X134:X140" si="93">+P134-T134</f>
        <v>-7929.0900000000011</v>
      </c>
      <c r="Y134" s="1"/>
      <c r="Z134" s="5">
        <f t="shared" ref="Z134:Z140" si="94">IF(T134=0,0,X134/T134)</f>
        <v>-0.51604881223560051</v>
      </c>
    </row>
    <row r="135" spans="1:26" s="24" customFormat="1" hidden="1" outlineLevel="2" x14ac:dyDescent="0.25">
      <c r="A135" s="26"/>
      <c r="B135" s="11" t="str">
        <f>CONCATENATE("          ", "6234", " - ", "EXPENDABLE SUPPLIES &amp; EQUIPMEN")</f>
        <v xml:space="preserve">          6234 - EXPENDABLE SUPPLIES &amp; EQUIPMEN</v>
      </c>
      <c r="C135" s="11"/>
      <c r="D135" s="7"/>
      <c r="E135" s="2"/>
      <c r="F135" s="6">
        <f t="shared" si="87"/>
        <v>0</v>
      </c>
      <c r="G135" s="2"/>
      <c r="H135" s="7">
        <v>400</v>
      </c>
      <c r="I135" s="2"/>
      <c r="J135" s="6">
        <f t="shared" si="88"/>
        <v>7.2705375381801459E-4</v>
      </c>
      <c r="K135" s="2"/>
      <c r="L135" s="7">
        <f t="shared" si="89"/>
        <v>-400</v>
      </c>
      <c r="M135" s="2"/>
      <c r="N135" s="6">
        <f t="shared" si="90"/>
        <v>-1</v>
      </c>
      <c r="O135" s="11"/>
      <c r="P135" s="7">
        <v>976.24</v>
      </c>
      <c r="Q135" s="2"/>
      <c r="R135" s="6">
        <f t="shared" si="91"/>
        <v>3.5275745695348345E-4</v>
      </c>
      <c r="S135" s="2"/>
      <c r="T135" s="7">
        <v>7250</v>
      </c>
      <c r="U135" s="2"/>
      <c r="V135" s="6">
        <f t="shared" si="92"/>
        <v>1.9614543917957777E-3</v>
      </c>
      <c r="W135" s="2"/>
      <c r="X135" s="7">
        <f t="shared" si="93"/>
        <v>-6273.76</v>
      </c>
      <c r="Y135" s="2"/>
      <c r="Z135" s="6">
        <f t="shared" si="94"/>
        <v>-0.86534620689655173</v>
      </c>
    </row>
    <row r="136" spans="1:26" s="24" customFormat="1" hidden="1" outlineLevel="2" x14ac:dyDescent="0.25">
      <c r="A136" s="26"/>
      <c r="B136" s="11" t="str">
        <f>CONCATENATE("          ", "6237", " - ", "JANITORIAL SUPPLIES")</f>
        <v xml:space="preserve">          6237 - JANITORIAL SUPPLIES</v>
      </c>
      <c r="C136" s="11"/>
      <c r="D136" s="7"/>
      <c r="E136" s="2"/>
      <c r="F136" s="6">
        <f t="shared" si="87"/>
        <v>0</v>
      </c>
      <c r="G136" s="2"/>
      <c r="H136" s="7">
        <v>45</v>
      </c>
      <c r="I136" s="2"/>
      <c r="J136" s="6">
        <f t="shared" si="88"/>
        <v>8.1793547304526645E-5</v>
      </c>
      <c r="K136" s="2"/>
      <c r="L136" s="7">
        <f t="shared" si="89"/>
        <v>-45</v>
      </c>
      <c r="M136" s="2"/>
      <c r="N136" s="6">
        <f t="shared" si="90"/>
        <v>-1</v>
      </c>
      <c r="O136" s="11"/>
      <c r="P136" s="7">
        <v>670.42</v>
      </c>
      <c r="Q136" s="2"/>
      <c r="R136" s="6">
        <f t="shared" si="91"/>
        <v>2.4225155114598291E-4</v>
      </c>
      <c r="S136" s="2"/>
      <c r="T136" s="7">
        <v>490</v>
      </c>
      <c r="U136" s="2"/>
      <c r="V136" s="6">
        <f t="shared" si="92"/>
        <v>1.3256726234205945E-4</v>
      </c>
      <c r="W136" s="2"/>
      <c r="X136" s="7">
        <f t="shared" si="93"/>
        <v>180.41999999999996</v>
      </c>
      <c r="Y136" s="2"/>
      <c r="Z136" s="6">
        <f t="shared" si="94"/>
        <v>0.368204081632653</v>
      </c>
    </row>
    <row r="137" spans="1:26" s="24" customFormat="1" hidden="1" outlineLevel="2" x14ac:dyDescent="0.25">
      <c r="A137" s="26"/>
      <c r="B137" s="11" t="str">
        <f>CONCATENATE("          ", "6241", " - ", "OFFICE EXPENSE")</f>
        <v xml:space="preserve">          6241 - OFFICE EXPENSE</v>
      </c>
      <c r="C137" s="11"/>
      <c r="D137" s="7">
        <v>68.91</v>
      </c>
      <c r="E137" s="2"/>
      <c r="F137" s="6">
        <f t="shared" si="87"/>
        <v>3.8395157095309128E-4</v>
      </c>
      <c r="G137" s="2"/>
      <c r="H137" s="7">
        <v>400</v>
      </c>
      <c r="I137" s="2"/>
      <c r="J137" s="6">
        <f t="shared" si="88"/>
        <v>7.2705375381801459E-4</v>
      </c>
      <c r="K137" s="2"/>
      <c r="L137" s="7">
        <f t="shared" si="89"/>
        <v>-331.09000000000003</v>
      </c>
      <c r="M137" s="2"/>
      <c r="N137" s="6">
        <f t="shared" si="90"/>
        <v>-0.82772500000000004</v>
      </c>
      <c r="O137" s="11"/>
      <c r="P137" s="7">
        <v>5056.82</v>
      </c>
      <c r="Q137" s="2"/>
      <c r="R137" s="6">
        <f t="shared" si="91"/>
        <v>1.8272463364249712E-3</v>
      </c>
      <c r="S137" s="2"/>
      <c r="T137" s="7">
        <v>4325</v>
      </c>
      <c r="U137" s="2"/>
      <c r="V137" s="6">
        <f t="shared" si="92"/>
        <v>1.170108999243688E-3</v>
      </c>
      <c r="W137" s="2"/>
      <c r="X137" s="7">
        <f t="shared" si="93"/>
        <v>731.81999999999971</v>
      </c>
      <c r="Y137" s="2"/>
      <c r="Z137" s="6">
        <f t="shared" si="94"/>
        <v>0.16920693641618489</v>
      </c>
    </row>
    <row r="138" spans="1:26" s="24" customFormat="1" hidden="1" outlineLevel="2" x14ac:dyDescent="0.25">
      <c r="A138" s="26"/>
      <c r="B138" s="11" t="str">
        <f>CONCATENATE("          ", "6245", " - ", "PRINTING")</f>
        <v xml:space="preserve">          6245 - PRINTING</v>
      </c>
      <c r="C138" s="11"/>
      <c r="D138" s="7"/>
      <c r="E138" s="2"/>
      <c r="F138" s="6">
        <f t="shared" si="87"/>
        <v>0</v>
      </c>
      <c r="G138" s="2"/>
      <c r="H138" s="7"/>
      <c r="I138" s="2"/>
      <c r="J138" s="6">
        <f t="shared" si="88"/>
        <v>0</v>
      </c>
      <c r="K138" s="2"/>
      <c r="L138" s="7">
        <f t="shared" si="89"/>
        <v>0</v>
      </c>
      <c r="M138" s="2"/>
      <c r="N138" s="6">
        <f t="shared" si="90"/>
        <v>0</v>
      </c>
      <c r="O138" s="11"/>
      <c r="P138" s="7">
        <v>-506.93</v>
      </c>
      <c r="Q138" s="2"/>
      <c r="R138" s="6">
        <f t="shared" si="91"/>
        <v>-1.8317558966384224E-4</v>
      </c>
      <c r="S138" s="2"/>
      <c r="T138" s="7"/>
      <c r="U138" s="2"/>
      <c r="V138" s="6">
        <f t="shared" si="92"/>
        <v>0</v>
      </c>
      <c r="W138" s="2"/>
      <c r="X138" s="7">
        <f t="shared" si="93"/>
        <v>-506.93</v>
      </c>
      <c r="Y138" s="2"/>
      <c r="Z138" s="6">
        <f t="shared" si="94"/>
        <v>0</v>
      </c>
    </row>
    <row r="139" spans="1:26" s="24" customFormat="1" hidden="1" outlineLevel="2" x14ac:dyDescent="0.25">
      <c r="A139" s="26"/>
      <c r="B139" s="11" t="str">
        <f>CONCATENATE("          ", "6247", " - ", "STORE SUPPLIES")</f>
        <v xml:space="preserve">          6247 - STORE SUPPLIES</v>
      </c>
      <c r="C139" s="11"/>
      <c r="D139" s="7"/>
      <c r="E139" s="2"/>
      <c r="F139" s="6">
        <f t="shared" si="87"/>
        <v>0</v>
      </c>
      <c r="G139" s="2"/>
      <c r="H139" s="7">
        <v>250</v>
      </c>
      <c r="I139" s="2"/>
      <c r="J139" s="6">
        <f t="shared" si="88"/>
        <v>4.5440859613625912E-4</v>
      </c>
      <c r="K139" s="2"/>
      <c r="L139" s="7">
        <f t="shared" si="89"/>
        <v>-250</v>
      </c>
      <c r="M139" s="2"/>
      <c r="N139" s="6">
        <f t="shared" si="90"/>
        <v>-1</v>
      </c>
      <c r="O139" s="11"/>
      <c r="P139" s="7">
        <v>1239.3599999999999</v>
      </c>
      <c r="Q139" s="2"/>
      <c r="R139" s="6">
        <f t="shared" si="91"/>
        <v>4.4783401812041016E-4</v>
      </c>
      <c r="S139" s="2"/>
      <c r="T139" s="7">
        <v>2800</v>
      </c>
      <c r="U139" s="2"/>
      <c r="V139" s="6">
        <f t="shared" si="92"/>
        <v>7.5752721338319688E-4</v>
      </c>
      <c r="W139" s="2"/>
      <c r="X139" s="7">
        <f t="shared" si="93"/>
        <v>-1560.64</v>
      </c>
      <c r="Y139" s="2"/>
      <c r="Z139" s="6">
        <f t="shared" si="94"/>
        <v>-0.55737142857142863</v>
      </c>
    </row>
    <row r="140" spans="1:26" s="24" customFormat="1" hidden="1" outlineLevel="2" x14ac:dyDescent="0.25">
      <c r="A140" s="26"/>
      <c r="B140" s="11" t="str">
        <f>CONCATENATE("          ", "6248", " - ", "UNIFORMS")</f>
        <v xml:space="preserve">          6248 - UNIFORMS</v>
      </c>
      <c r="C140" s="11"/>
      <c r="D140" s="7"/>
      <c r="E140" s="2"/>
      <c r="F140" s="6">
        <f t="shared" si="87"/>
        <v>0</v>
      </c>
      <c r="G140" s="2"/>
      <c r="H140" s="7">
        <v>0</v>
      </c>
      <c r="I140" s="2"/>
      <c r="J140" s="6">
        <f t="shared" si="88"/>
        <v>0</v>
      </c>
      <c r="K140" s="2"/>
      <c r="L140" s="7">
        <f t="shared" si="89"/>
        <v>0</v>
      </c>
      <c r="M140" s="2"/>
      <c r="N140" s="6">
        <f t="shared" si="90"/>
        <v>0</v>
      </c>
      <c r="O140" s="11"/>
      <c r="P140" s="7"/>
      <c r="Q140" s="2"/>
      <c r="R140" s="6">
        <f t="shared" si="91"/>
        <v>0</v>
      </c>
      <c r="S140" s="2"/>
      <c r="T140" s="7">
        <v>500</v>
      </c>
      <c r="U140" s="2"/>
      <c r="V140" s="6">
        <f t="shared" si="92"/>
        <v>1.3527271667557086E-4</v>
      </c>
      <c r="W140" s="2"/>
      <c r="X140" s="7">
        <f t="shared" si="93"/>
        <v>-500</v>
      </c>
      <c r="Y140" s="2"/>
      <c r="Z140" s="6">
        <f t="shared" si="94"/>
        <v>-1</v>
      </c>
    </row>
    <row r="141" spans="1:26" s="27" customFormat="1" outlineLevel="1" collapsed="1" x14ac:dyDescent="0.25">
      <c r="A141" s="25"/>
      <c r="B141" s="12" t="str">
        <f>CONCATENATE("     ","Telephone/Data Lines                              ")</f>
        <v xml:space="preserve">     Telephone/Data Lines                              </v>
      </c>
      <c r="C141" s="12"/>
      <c r="D141" s="1">
        <f>SUM(OSRRefD22_19x_0)</f>
        <v>804.53</v>
      </c>
      <c r="E141" s="1"/>
      <c r="F141" s="5">
        <f t="shared" ref="F141:F143" si="95">IF(D$12=0,0,D141/D$12)</f>
        <v>4.4826666286299595E-3</v>
      </c>
      <c r="G141" s="1"/>
      <c r="H141" s="1">
        <f>SUM(OSRRefH22_19x_0)</f>
        <v>1000</v>
      </c>
      <c r="I141" s="1"/>
      <c r="J141" s="5">
        <f t="shared" ref="J141:J143" si="96">IF(H$12=0,0,H141/H$12)</f>
        <v>1.8176343845450365E-3</v>
      </c>
      <c r="K141" s="1"/>
      <c r="L141" s="1">
        <f t="shared" ref="L141:L143" si="97">+D141-H141</f>
        <v>-195.47000000000003</v>
      </c>
      <c r="M141" s="1"/>
      <c r="N141" s="5">
        <f t="shared" ref="N141:N143" si="98">IF(H141=0,0,L141/H141)</f>
        <v>-0.19547000000000003</v>
      </c>
      <c r="O141" s="12"/>
      <c r="P141" s="1">
        <f>SUM(OSRRefP22_19x_0)</f>
        <v>8832.0400000000009</v>
      </c>
      <c r="Q141" s="1"/>
      <c r="R141" s="5">
        <f t="shared" ref="R141:R143" si="99">IF(P$12=0,0,P141/P$12)</f>
        <v>3.1913955278532373E-3</v>
      </c>
      <c r="S141" s="1"/>
      <c r="T141" s="1">
        <f>SUM(OSRRefT22_19x_0)</f>
        <v>12525</v>
      </c>
      <c r="U141" s="1"/>
      <c r="V141" s="5">
        <f t="shared" ref="V141:V143" si="100">IF(T$12=0,0,T141/T$12)</f>
        <v>3.3885815527230504E-3</v>
      </c>
      <c r="W141" s="1"/>
      <c r="X141" s="1">
        <f t="shared" ref="X141:X143" si="101">+P141-T141</f>
        <v>-3692.9599999999991</v>
      </c>
      <c r="Y141" s="1"/>
      <c r="Z141" s="5">
        <f t="shared" ref="Z141:Z143" si="102">IF(T141=0,0,X141/T141)</f>
        <v>-0.2948471057884231</v>
      </c>
    </row>
    <row r="142" spans="1:26" s="24" customFormat="1" hidden="1" outlineLevel="2" x14ac:dyDescent="0.25">
      <c r="A142" s="26"/>
      <c r="B142" s="11" t="str">
        <f>CONCATENATE("          ", "6303", " - ", "DATA PHONE LINES")</f>
        <v xml:space="preserve">          6303 - DATA PHONE LINES</v>
      </c>
      <c r="C142" s="11"/>
      <c r="D142" s="7"/>
      <c r="E142" s="2"/>
      <c r="F142" s="6">
        <f t="shared" si="95"/>
        <v>0</v>
      </c>
      <c r="G142" s="2"/>
      <c r="H142" s="7">
        <v>450</v>
      </c>
      <c r="I142" s="2"/>
      <c r="J142" s="6">
        <f t="shared" si="96"/>
        <v>8.1793547304526647E-4</v>
      </c>
      <c r="K142" s="2"/>
      <c r="L142" s="7">
        <f t="shared" si="97"/>
        <v>-450</v>
      </c>
      <c r="M142" s="2"/>
      <c r="N142" s="6">
        <f t="shared" si="98"/>
        <v>-1</v>
      </c>
      <c r="O142" s="11"/>
      <c r="P142" s="7"/>
      <c r="Q142" s="2"/>
      <c r="R142" s="6">
        <f t="shared" si="99"/>
        <v>0</v>
      </c>
      <c r="S142" s="2"/>
      <c r="T142" s="7">
        <v>6275</v>
      </c>
      <c r="U142" s="2"/>
      <c r="V142" s="6">
        <f t="shared" si="100"/>
        <v>1.6976725942784144E-3</v>
      </c>
      <c r="W142" s="2"/>
      <c r="X142" s="7">
        <f t="shared" si="101"/>
        <v>-6275</v>
      </c>
      <c r="Y142" s="2"/>
      <c r="Z142" s="6">
        <f t="shared" si="102"/>
        <v>-1</v>
      </c>
    </row>
    <row r="143" spans="1:26" s="24" customFormat="1" hidden="1" outlineLevel="2" x14ac:dyDescent="0.25">
      <c r="A143" s="26"/>
      <c r="B143" s="11" t="str">
        <f>CONCATENATE("          ", "6309", " - ", "TELEPHONE")</f>
        <v xml:space="preserve">          6309 - TELEPHONE</v>
      </c>
      <c r="C143" s="11"/>
      <c r="D143" s="7">
        <v>804.53</v>
      </c>
      <c r="E143" s="2"/>
      <c r="F143" s="6">
        <f t="shared" si="95"/>
        <v>4.4826666286299595E-3</v>
      </c>
      <c r="G143" s="2"/>
      <c r="H143" s="7">
        <v>550</v>
      </c>
      <c r="I143" s="2"/>
      <c r="J143" s="6">
        <f t="shared" si="96"/>
        <v>9.9969891149977001E-4</v>
      </c>
      <c r="K143" s="2"/>
      <c r="L143" s="7">
        <f t="shared" si="97"/>
        <v>254.52999999999997</v>
      </c>
      <c r="M143" s="2"/>
      <c r="N143" s="6">
        <f t="shared" si="98"/>
        <v>0.46278181818181813</v>
      </c>
      <c r="O143" s="11"/>
      <c r="P143" s="7">
        <v>8832.0400000000009</v>
      </c>
      <c r="Q143" s="2"/>
      <c r="R143" s="6">
        <f t="shared" si="99"/>
        <v>3.1913955278532373E-3</v>
      </c>
      <c r="S143" s="2"/>
      <c r="T143" s="7">
        <v>6250</v>
      </c>
      <c r="U143" s="2"/>
      <c r="V143" s="6">
        <f t="shared" si="100"/>
        <v>1.6909089584446358E-3</v>
      </c>
      <c r="W143" s="2"/>
      <c r="X143" s="7">
        <f t="shared" si="101"/>
        <v>2582.0400000000009</v>
      </c>
      <c r="Y143" s="2"/>
      <c r="Z143" s="6">
        <f t="shared" si="102"/>
        <v>0.41312640000000012</v>
      </c>
    </row>
    <row r="144" spans="1:26" s="27" customFormat="1" outlineLevel="1" collapsed="1" x14ac:dyDescent="0.25">
      <c r="A144" s="25"/>
      <c r="B144" s="12" t="str">
        <f>CONCATENATE("     ","Training                                          ")</f>
        <v xml:space="preserve">     Training                                          </v>
      </c>
      <c r="C144" s="12"/>
      <c r="D144" s="1">
        <f>SUM(OSRRefD22_20x_0)</f>
        <v>0</v>
      </c>
      <c r="E144" s="1"/>
      <c r="F144" s="5">
        <f t="shared" ref="F144:F148" si="103">IF(D$12=0,0,D144/D$12)</f>
        <v>0</v>
      </c>
      <c r="G144" s="1"/>
      <c r="H144" s="1">
        <f>SUM(OSRRefH22_20x_0)</f>
        <v>0</v>
      </c>
      <c r="I144" s="1"/>
      <c r="J144" s="5">
        <f t="shared" ref="J144:J148" si="104">IF(H$12=0,0,H144/H$12)</f>
        <v>0</v>
      </c>
      <c r="K144" s="1"/>
      <c r="L144" s="1">
        <f t="shared" ref="L144:L148" si="105">+D144-H144</f>
        <v>0</v>
      </c>
      <c r="M144" s="1"/>
      <c r="N144" s="5">
        <f t="shared" ref="N144:N148" si="106">IF(H144=0,0,L144/H144)</f>
        <v>0</v>
      </c>
      <c r="O144" s="12"/>
      <c r="P144" s="1">
        <f>SUM(OSRRefP22_20x_0)</f>
        <v>5264.54</v>
      </c>
      <c r="Q144" s="1"/>
      <c r="R144" s="5">
        <f t="shared" ref="R144:R148" si="107">IF(P$12=0,0,P144/P$12)</f>
        <v>1.9023044972853926E-3</v>
      </c>
      <c r="S144" s="1"/>
      <c r="T144" s="1">
        <f>SUM(OSRRefT22_20x_0)</f>
        <v>7200</v>
      </c>
      <c r="U144" s="1"/>
      <c r="V144" s="5">
        <f t="shared" ref="V144:V148" si="108">IF(T$12=0,0,T144/T$12)</f>
        <v>1.9479271201282204E-3</v>
      </c>
      <c r="W144" s="1"/>
      <c r="X144" s="1">
        <f t="shared" ref="X144:X148" si="109">+P144-T144</f>
        <v>-1935.46</v>
      </c>
      <c r="Y144" s="1"/>
      <c r="Z144" s="5">
        <f t="shared" ref="Z144:Z148" si="110">IF(T144=0,0,X144/T144)</f>
        <v>-0.26881388888888891</v>
      </c>
    </row>
    <row r="145" spans="1:26" s="24" customFormat="1" hidden="1" outlineLevel="2" x14ac:dyDescent="0.25">
      <c r="A145" s="26"/>
      <c r="B145" s="11" t="str">
        <f>CONCATENATE("          ", "6376", " - ", "TRAINING")</f>
        <v xml:space="preserve">          6376 - TRAINING</v>
      </c>
      <c r="C145" s="11"/>
      <c r="D145" s="7"/>
      <c r="E145" s="2"/>
      <c r="F145" s="6">
        <f t="shared" si="103"/>
        <v>0</v>
      </c>
      <c r="G145" s="2"/>
      <c r="H145" s="7">
        <v>0</v>
      </c>
      <c r="I145" s="2"/>
      <c r="J145" s="6">
        <f t="shared" si="104"/>
        <v>0</v>
      </c>
      <c r="K145" s="2"/>
      <c r="L145" s="7">
        <f t="shared" si="105"/>
        <v>0</v>
      </c>
      <c r="M145" s="2"/>
      <c r="N145" s="6">
        <f t="shared" si="106"/>
        <v>0</v>
      </c>
      <c r="O145" s="11"/>
      <c r="P145" s="7">
        <v>5264.54</v>
      </c>
      <c r="Q145" s="2"/>
      <c r="R145" s="6">
        <f t="shared" si="107"/>
        <v>1.9023044972853926E-3</v>
      </c>
      <c r="S145" s="2"/>
      <c r="T145" s="7">
        <v>7200</v>
      </c>
      <c r="U145" s="2"/>
      <c r="V145" s="6">
        <f t="shared" si="108"/>
        <v>1.9479271201282204E-3</v>
      </c>
      <c r="W145" s="2"/>
      <c r="X145" s="7">
        <f t="shared" si="109"/>
        <v>-1935.46</v>
      </c>
      <c r="Y145" s="2"/>
      <c r="Z145" s="6">
        <f t="shared" si="110"/>
        <v>-0.26881388888888891</v>
      </c>
    </row>
    <row r="146" spans="1:26" s="27" customFormat="1" outlineLevel="1" collapsed="1" x14ac:dyDescent="0.25">
      <c r="A146" s="25"/>
      <c r="B146" s="12" t="str">
        <f>CONCATENATE("     ","Travel                                            ")</f>
        <v xml:space="preserve">     Travel                                            </v>
      </c>
      <c r="C146" s="12"/>
      <c r="D146" s="1">
        <f>SUM(OSRRefD22_21x_0)</f>
        <v>0</v>
      </c>
      <c r="E146" s="1"/>
      <c r="F146" s="5">
        <f t="shared" si="103"/>
        <v>0</v>
      </c>
      <c r="G146" s="1"/>
      <c r="H146" s="1">
        <f>SUM(OSRRefH22_21x_0)</f>
        <v>100</v>
      </c>
      <c r="I146" s="1"/>
      <c r="J146" s="5">
        <f t="shared" si="104"/>
        <v>1.8176343845450365E-4</v>
      </c>
      <c r="K146" s="1"/>
      <c r="L146" s="1">
        <f t="shared" si="105"/>
        <v>-100</v>
      </c>
      <c r="M146" s="1"/>
      <c r="N146" s="5">
        <f t="shared" si="106"/>
        <v>-1</v>
      </c>
      <c r="O146" s="12"/>
      <c r="P146" s="1">
        <f>SUM(OSRRefP22_21x_0)</f>
        <v>612.98</v>
      </c>
      <c r="Q146" s="1"/>
      <c r="R146" s="5">
        <f t="shared" si="107"/>
        <v>2.2149601118920173E-4</v>
      </c>
      <c r="S146" s="1"/>
      <c r="T146" s="1">
        <f>SUM(OSRRefT22_21x_0)</f>
        <v>1085</v>
      </c>
      <c r="U146" s="1"/>
      <c r="V146" s="5">
        <f t="shared" si="108"/>
        <v>2.9354179518598881E-4</v>
      </c>
      <c r="W146" s="1"/>
      <c r="X146" s="1">
        <f t="shared" si="109"/>
        <v>-472.02</v>
      </c>
      <c r="Y146" s="1"/>
      <c r="Z146" s="5">
        <f t="shared" si="110"/>
        <v>-0.43504147465437787</v>
      </c>
    </row>
    <row r="147" spans="1:26" s="24" customFormat="1" hidden="1" outlineLevel="2" x14ac:dyDescent="0.25">
      <c r="A147" s="26"/>
      <c r="B147" s="11" t="str">
        <f>CONCATENATE("          ", "6292", " - ", "TRAVEL/CONFERENCE")</f>
        <v xml:space="preserve">          6292 - TRAVEL/CONFERENCE</v>
      </c>
      <c r="C147" s="11"/>
      <c r="D147" s="7"/>
      <c r="E147" s="2"/>
      <c r="F147" s="6">
        <f t="shared" si="103"/>
        <v>0</v>
      </c>
      <c r="G147" s="2"/>
      <c r="H147" s="7"/>
      <c r="I147" s="2"/>
      <c r="J147" s="6">
        <f t="shared" si="104"/>
        <v>0</v>
      </c>
      <c r="K147" s="2"/>
      <c r="L147" s="7">
        <f t="shared" si="105"/>
        <v>0</v>
      </c>
      <c r="M147" s="2"/>
      <c r="N147" s="6">
        <f t="shared" si="106"/>
        <v>0</v>
      </c>
      <c r="O147" s="11"/>
      <c r="P147" s="7">
        <v>107.04</v>
      </c>
      <c r="Q147" s="2"/>
      <c r="R147" s="6">
        <f t="shared" si="107"/>
        <v>3.867815106152265E-5</v>
      </c>
      <c r="S147" s="2"/>
      <c r="T147" s="7"/>
      <c r="U147" s="2"/>
      <c r="V147" s="6">
        <f t="shared" si="108"/>
        <v>0</v>
      </c>
      <c r="W147" s="2"/>
      <c r="X147" s="7">
        <f t="shared" si="109"/>
        <v>107.04</v>
      </c>
      <c r="Y147" s="2"/>
      <c r="Z147" s="6">
        <f t="shared" si="110"/>
        <v>0</v>
      </c>
    </row>
    <row r="148" spans="1:26" s="24" customFormat="1" hidden="1" outlineLevel="2" x14ac:dyDescent="0.25">
      <c r="A148" s="26"/>
      <c r="B148" s="11" t="str">
        <f>CONCATENATE("          ", "6294", " - ", "TRAVEL OPERATIONAL")</f>
        <v xml:space="preserve">          6294 - TRAVEL OPERATIONAL</v>
      </c>
      <c r="C148" s="11"/>
      <c r="D148" s="7"/>
      <c r="E148" s="2"/>
      <c r="F148" s="6">
        <f t="shared" si="103"/>
        <v>0</v>
      </c>
      <c r="G148" s="2"/>
      <c r="H148" s="7">
        <v>100</v>
      </c>
      <c r="I148" s="2"/>
      <c r="J148" s="6">
        <f t="shared" si="104"/>
        <v>1.8176343845450365E-4</v>
      </c>
      <c r="K148" s="2"/>
      <c r="L148" s="7">
        <f t="shared" si="105"/>
        <v>-100</v>
      </c>
      <c r="M148" s="2"/>
      <c r="N148" s="6">
        <f t="shared" si="106"/>
        <v>-1</v>
      </c>
      <c r="O148" s="11"/>
      <c r="P148" s="7">
        <v>505.94</v>
      </c>
      <c r="Q148" s="2"/>
      <c r="R148" s="6">
        <f t="shared" si="107"/>
        <v>1.8281786012767906E-4</v>
      </c>
      <c r="S148" s="2"/>
      <c r="T148" s="7">
        <v>1085</v>
      </c>
      <c r="U148" s="2"/>
      <c r="V148" s="6">
        <f t="shared" si="108"/>
        <v>2.9354179518598881E-4</v>
      </c>
      <c r="W148" s="2"/>
      <c r="X148" s="7">
        <f t="shared" si="109"/>
        <v>-579.05999999999995</v>
      </c>
      <c r="Y148" s="2"/>
      <c r="Z148" s="6">
        <f t="shared" si="110"/>
        <v>-0.5336958525345622</v>
      </c>
    </row>
    <row r="149" spans="1:26" s="27" customFormat="1" outlineLevel="1" collapsed="1" x14ac:dyDescent="0.25">
      <c r="A149" s="25"/>
      <c r="B149" s="12" t="str">
        <f>CONCATENATE("     ","Utilities                                         ")</f>
        <v xml:space="preserve">     Utilities                                         </v>
      </c>
      <c r="C149" s="12"/>
      <c r="D149" s="1">
        <f>SUM(OSRRefD22_22x_0)</f>
        <v>26.43</v>
      </c>
      <c r="E149" s="1"/>
      <c r="F149" s="5">
        <f t="shared" ref="F149:F150" si="111">IF(D$12=0,0,D149/D$12)</f>
        <v>1.4726222638644903E-4</v>
      </c>
      <c r="G149" s="1"/>
      <c r="H149" s="1">
        <f>SUM(OSRRefH22_22x_0)</f>
        <v>100</v>
      </c>
      <c r="I149" s="1"/>
      <c r="J149" s="5">
        <f t="shared" ref="J149:J150" si="112">IF(H$12=0,0,H149/H$12)</f>
        <v>1.8176343845450365E-4</v>
      </c>
      <c r="K149" s="1"/>
      <c r="L149" s="1">
        <f t="shared" ref="L149:L150" si="113">+D149-H149</f>
        <v>-73.569999999999993</v>
      </c>
      <c r="M149" s="1"/>
      <c r="N149" s="5">
        <f t="shared" ref="N149:N150" si="114">IF(H149=0,0,L149/H149)</f>
        <v>-0.73569999999999991</v>
      </c>
      <c r="O149" s="12"/>
      <c r="P149" s="1">
        <f>SUM(OSRRefP22_22x_0)</f>
        <v>2959.78</v>
      </c>
      <c r="Q149" s="1"/>
      <c r="R149" s="5">
        <f t="shared" ref="R149:R150" si="115">IF(P$12=0,0,P149/P$12)</f>
        <v>1.069495683378863E-3</v>
      </c>
      <c r="S149" s="1"/>
      <c r="T149" s="1">
        <f>SUM(OSRRefT22_22x_0)</f>
        <v>4050</v>
      </c>
      <c r="U149" s="1"/>
      <c r="V149" s="5">
        <f t="shared" ref="V149:V150" si="116">IF(T$12=0,0,T149/T$12)</f>
        <v>1.095709005072124E-3</v>
      </c>
      <c r="W149" s="1"/>
      <c r="X149" s="1">
        <f t="shared" ref="X149:X150" si="117">+P149-T149</f>
        <v>-1090.2199999999998</v>
      </c>
      <c r="Y149" s="1"/>
      <c r="Z149" s="5">
        <f t="shared" ref="Z149:Z150" si="118">IF(T149=0,0,X149/T149)</f>
        <v>-0.26919012345679005</v>
      </c>
    </row>
    <row r="150" spans="1:26" s="24" customFormat="1" hidden="1" outlineLevel="2" x14ac:dyDescent="0.25">
      <c r="A150" s="26"/>
      <c r="B150" s="11" t="str">
        <f>CONCATENATE("          ", "6274", " - ", "UTILITIES")</f>
        <v xml:space="preserve">          6274 - UTILITIES</v>
      </c>
      <c r="C150" s="11"/>
      <c r="D150" s="7">
        <v>26.43</v>
      </c>
      <c r="E150" s="2"/>
      <c r="F150" s="6">
        <f t="shared" si="111"/>
        <v>1.4726222638644903E-4</v>
      </c>
      <c r="G150" s="2"/>
      <c r="H150" s="7">
        <v>100</v>
      </c>
      <c r="I150" s="2"/>
      <c r="J150" s="6">
        <f t="shared" si="112"/>
        <v>1.8176343845450365E-4</v>
      </c>
      <c r="K150" s="2"/>
      <c r="L150" s="7">
        <f t="shared" si="113"/>
        <v>-73.569999999999993</v>
      </c>
      <c r="M150" s="2"/>
      <c r="N150" s="6">
        <f t="shared" si="114"/>
        <v>-0.73569999999999991</v>
      </c>
      <c r="O150" s="11"/>
      <c r="P150" s="7">
        <v>2959.78</v>
      </c>
      <c r="Q150" s="2"/>
      <c r="R150" s="6">
        <f t="shared" si="115"/>
        <v>1.069495683378863E-3</v>
      </c>
      <c r="S150" s="2"/>
      <c r="T150" s="7">
        <v>4050</v>
      </c>
      <c r="U150" s="2"/>
      <c r="V150" s="6">
        <f t="shared" si="116"/>
        <v>1.095709005072124E-3</v>
      </c>
      <c r="W150" s="2"/>
      <c r="X150" s="7">
        <f t="shared" si="117"/>
        <v>-1090.2199999999998</v>
      </c>
      <c r="Y150" s="2"/>
      <c r="Z150" s="6">
        <f t="shared" si="118"/>
        <v>-0.26919012345679005</v>
      </c>
    </row>
    <row r="151" spans="1:26" s="62" customFormat="1" x14ac:dyDescent="0.25">
      <c r="A151" s="36"/>
      <c r="B151" s="36"/>
      <c r="C151" s="36"/>
      <c r="D151" s="1"/>
      <c r="E151" s="1"/>
      <c r="F151" s="5"/>
      <c r="G151" s="1"/>
      <c r="H151" s="1"/>
      <c r="I151" s="1"/>
      <c r="J151" s="5"/>
      <c r="K151" s="1"/>
      <c r="L151" s="1"/>
      <c r="M151" s="1"/>
      <c r="N151" s="5"/>
      <c r="O151" s="36"/>
      <c r="P151" s="1"/>
      <c r="Q151" s="1"/>
      <c r="R151" s="5"/>
      <c r="S151" s="1"/>
      <c r="T151" s="1"/>
      <c r="U151" s="1"/>
      <c r="V151" s="5"/>
      <c r="W151" s="1"/>
      <c r="X151" s="1"/>
      <c r="Y151" s="1"/>
      <c r="Z151" s="5"/>
    </row>
    <row r="152" spans="1:26" s="23" customFormat="1" collapsed="1" x14ac:dyDescent="0.25">
      <c r="A152" s="10"/>
      <c r="B152" s="28" t="s">
        <v>0</v>
      </c>
      <c r="C152" s="10"/>
      <c r="D152" s="4">
        <f>SUM(OSRRefD25x_0)</f>
        <v>0</v>
      </c>
      <c r="E152" s="4"/>
      <c r="F152" s="13">
        <f t="shared" ref="F152:F155" si="119">IF(D$12=0,0,D152/D$12)</f>
        <v>0</v>
      </c>
      <c r="G152" s="4"/>
      <c r="H152" s="4">
        <f>SUM(OSRRefH25x_0)</f>
        <v>8625</v>
      </c>
      <c r="I152" s="4"/>
      <c r="J152" s="13">
        <f t="shared" ref="J152:J155" si="120">IF(H$12=0,0,H152/H$12)</f>
        <v>1.5677096566700941E-2</v>
      </c>
      <c r="K152" s="4"/>
      <c r="L152" s="4">
        <f t="shared" ref="L152:L155" si="121">+D152-H152</f>
        <v>-8625</v>
      </c>
      <c r="M152" s="4"/>
      <c r="N152" s="13">
        <f t="shared" ref="N152:N155" si="122">IF(H152=0,0,L152/H152)</f>
        <v>-1</v>
      </c>
      <c r="O152" s="10"/>
      <c r="P152" s="4">
        <f>SUM(OSRRefP25x_0)</f>
        <v>96904.89</v>
      </c>
      <c r="Q152" s="4"/>
      <c r="R152" s="13">
        <f t="shared" ref="R152:R155" si="123">IF(P$12=0,0,P152/P$12)</f>
        <v>3.5015900355196514E-2</v>
      </c>
      <c r="S152" s="4"/>
      <c r="T152" s="4">
        <f>SUM(OSRRefT25x_0)</f>
        <v>94875</v>
      </c>
      <c r="U152" s="4"/>
      <c r="V152" s="13">
        <f t="shared" ref="V152:V155" si="124">IF(T$12=0,0,T152/T$12)</f>
        <v>2.5667997989189572E-2</v>
      </c>
      <c r="W152" s="4"/>
      <c r="X152" s="4">
        <f t="shared" ref="X152:X155" si="125">+P152-T152</f>
        <v>2029.8899999999994</v>
      </c>
      <c r="Y152" s="4"/>
      <c r="Z152" s="13">
        <f t="shared" ref="Z152:Z155" si="126">IF(T152=0,0,X152/T152)</f>
        <v>2.1395415019762838E-2</v>
      </c>
    </row>
    <row r="153" spans="1:26" s="24" customFormat="1" hidden="1" outlineLevel="1" x14ac:dyDescent="0.25">
      <c r="A153" s="44"/>
      <c r="B153" s="11" t="str">
        <f>CONCATENATE("          ", "9150", " - ", "MISC. INCOME")</f>
        <v xml:space="preserve">          9150 - MISC. INCOME</v>
      </c>
      <c r="C153" s="11"/>
      <c r="D153" s="2">
        <f t="shared" ref="D153:D155" si="127">0</f>
        <v>0</v>
      </c>
      <c r="E153" s="2"/>
      <c r="F153" s="19">
        <f t="shared" si="119"/>
        <v>0</v>
      </c>
      <c r="G153" s="2"/>
      <c r="H153" s="2">
        <v>7725</v>
      </c>
      <c r="I153" s="2"/>
      <c r="J153" s="19">
        <f t="shared" si="120"/>
        <v>1.4041225620610408E-2</v>
      </c>
      <c r="K153" s="2"/>
      <c r="L153" s="2">
        <f t="shared" si="121"/>
        <v>-7725</v>
      </c>
      <c r="M153" s="2"/>
      <c r="N153" s="19">
        <f t="shared" si="122"/>
        <v>-1</v>
      </c>
      <c r="O153" s="11"/>
      <c r="P153" s="2">
        <f>--96904.89</f>
        <v>96904.89</v>
      </c>
      <c r="Q153" s="2"/>
      <c r="R153" s="19">
        <f t="shared" si="123"/>
        <v>3.5015900355196514E-2</v>
      </c>
      <c r="S153" s="2"/>
      <c r="T153" s="2">
        <v>84975</v>
      </c>
      <c r="U153" s="2"/>
      <c r="V153" s="19">
        <f t="shared" si="124"/>
        <v>2.2989598199013268E-2</v>
      </c>
      <c r="W153" s="2"/>
      <c r="X153" s="2">
        <f t="shared" si="125"/>
        <v>11929.89</v>
      </c>
      <c r="Y153" s="2"/>
      <c r="Z153" s="19">
        <f t="shared" si="126"/>
        <v>0.14039293909973521</v>
      </c>
    </row>
    <row r="154" spans="1:26" s="24" customFormat="1" hidden="1" outlineLevel="1" x14ac:dyDescent="0.25">
      <c r="A154" s="44"/>
      <c r="B154" s="11" t="str">
        <f>CONCATENATE("          ", "9151", " - ", "MISC. INCOME")</f>
        <v xml:space="preserve">          9151 - MISC. INCOME</v>
      </c>
      <c r="C154" s="11"/>
      <c r="D154" s="2">
        <f t="shared" si="127"/>
        <v>0</v>
      </c>
      <c r="E154" s="2"/>
      <c r="F154" s="19">
        <f t="shared" si="119"/>
        <v>0</v>
      </c>
      <c r="G154" s="2"/>
      <c r="H154" s="2">
        <v>100</v>
      </c>
      <c r="I154" s="2"/>
      <c r="J154" s="19">
        <f t="shared" si="120"/>
        <v>1.8176343845450365E-4</v>
      </c>
      <c r="K154" s="2"/>
      <c r="L154" s="2">
        <f t="shared" si="121"/>
        <v>-100</v>
      </c>
      <c r="M154" s="2"/>
      <c r="N154" s="19">
        <f t="shared" si="122"/>
        <v>-1</v>
      </c>
      <c r="O154" s="11"/>
      <c r="P154" s="2">
        <f t="shared" ref="P154:P155" si="128">0</f>
        <v>0</v>
      </c>
      <c r="Q154" s="2"/>
      <c r="R154" s="19">
        <f t="shared" si="123"/>
        <v>0</v>
      </c>
      <c r="S154" s="2"/>
      <c r="T154" s="2">
        <v>1100</v>
      </c>
      <c r="U154" s="2"/>
      <c r="V154" s="19">
        <f t="shared" si="124"/>
        <v>2.9759997668625591E-4</v>
      </c>
      <c r="W154" s="2"/>
      <c r="X154" s="2">
        <f t="shared" si="125"/>
        <v>-1100</v>
      </c>
      <c r="Y154" s="2"/>
      <c r="Z154" s="19">
        <f t="shared" si="126"/>
        <v>-1</v>
      </c>
    </row>
    <row r="155" spans="1:26" s="24" customFormat="1" hidden="1" outlineLevel="1" x14ac:dyDescent="0.25">
      <c r="A155" s="44"/>
      <c r="B155" s="11" t="str">
        <f>CONCATENATE("          ", "9160", " - ", "MISC. INCOME")</f>
        <v xml:space="preserve">          9160 - MISC. INCOME</v>
      </c>
      <c r="C155" s="11"/>
      <c r="D155" s="2">
        <f t="shared" si="127"/>
        <v>0</v>
      </c>
      <c r="E155" s="2"/>
      <c r="F155" s="19">
        <f t="shared" si="119"/>
        <v>0</v>
      </c>
      <c r="G155" s="2"/>
      <c r="H155" s="2">
        <v>800</v>
      </c>
      <c r="I155" s="2"/>
      <c r="J155" s="19">
        <f t="shared" si="120"/>
        <v>1.4541075076360292E-3</v>
      </c>
      <c r="K155" s="2"/>
      <c r="L155" s="2">
        <f t="shared" si="121"/>
        <v>-800</v>
      </c>
      <c r="M155" s="2"/>
      <c r="N155" s="19">
        <f t="shared" si="122"/>
        <v>-1</v>
      </c>
      <c r="O155" s="11"/>
      <c r="P155" s="2">
        <f t="shared" si="128"/>
        <v>0</v>
      </c>
      <c r="Q155" s="2"/>
      <c r="R155" s="19">
        <f t="shared" si="123"/>
        <v>0</v>
      </c>
      <c r="S155" s="2"/>
      <c r="T155" s="2">
        <v>8800</v>
      </c>
      <c r="U155" s="2"/>
      <c r="V155" s="19">
        <f t="shared" si="124"/>
        <v>2.3807998134900473E-3</v>
      </c>
      <c r="W155" s="2"/>
      <c r="X155" s="2">
        <f t="shared" si="125"/>
        <v>-8800</v>
      </c>
      <c r="Y155" s="2"/>
      <c r="Z155" s="19">
        <f t="shared" si="126"/>
        <v>-1</v>
      </c>
    </row>
    <row r="156" spans="1:26" x14ac:dyDescent="0.25">
      <c r="A156" s="9"/>
      <c r="B156" s="10"/>
      <c r="C156" s="10"/>
      <c r="D156" s="3"/>
      <c r="E156" s="3"/>
      <c r="F156" s="8"/>
      <c r="G156" s="3"/>
      <c r="H156" s="3"/>
      <c r="I156" s="3"/>
      <c r="J156" s="8"/>
      <c r="K156" s="3"/>
      <c r="L156" s="3"/>
      <c r="M156" s="3"/>
      <c r="N156" s="8"/>
      <c r="O156" s="10"/>
      <c r="P156" s="3"/>
      <c r="Q156" s="3"/>
      <c r="R156" s="8"/>
      <c r="S156" s="3"/>
      <c r="T156" s="3"/>
      <c r="U156" s="3"/>
      <c r="V156" s="8"/>
      <c r="W156" s="3"/>
      <c r="X156" s="3"/>
      <c r="Y156" s="3"/>
      <c r="Z156" s="8"/>
    </row>
    <row r="157" spans="1:26" s="23" customFormat="1" x14ac:dyDescent="0.25">
      <c r="A157" s="10"/>
      <c r="B157" s="29" t="s">
        <v>3</v>
      </c>
      <c r="C157" s="29"/>
      <c r="D157" s="20">
        <f>+D69-D71+D152</f>
        <v>7357.5700000000361</v>
      </c>
      <c r="E157" s="14"/>
      <c r="F157" s="22">
        <f>IF(D$12=0,0,D157/D$12)</f>
        <v>4.0994783919566825E-2</v>
      </c>
      <c r="G157" s="14"/>
      <c r="H157" s="20">
        <f>+H69-H71+H152</f>
        <v>220208.12530042493</v>
      </c>
      <c r="I157" s="14"/>
      <c r="J157" s="22">
        <f>IF(H$12=0,0,H157/H$12)</f>
        <v>0.40025786030225419</v>
      </c>
      <c r="K157" s="16"/>
      <c r="L157" s="20">
        <f>+D157-H157</f>
        <v>-212850.55530042489</v>
      </c>
      <c r="M157" s="16"/>
      <c r="N157" s="22">
        <f>IF(H157=0,0,L157/H157)</f>
        <v>-0.96658810845438936</v>
      </c>
      <c r="O157" s="28"/>
      <c r="P157" s="20">
        <f>+P69-P71+P152</f>
        <v>580150.67000000039</v>
      </c>
      <c r="Q157" s="14"/>
      <c r="R157" s="22">
        <f>IF(P$12=0,0,P157/P$12)</f>
        <v>0.20963336372107239</v>
      </c>
      <c r="S157" s="14"/>
      <c r="T157" s="20">
        <f>+T69-T71+T152</f>
        <v>1160988.2220496</v>
      </c>
      <c r="U157" s="14"/>
      <c r="V157" s="22">
        <f>IF(T$12=0,0,T157/T$12)</f>
        <v>0.31410006164998061</v>
      </c>
      <c r="W157" s="16"/>
      <c r="X157" s="20">
        <f>+P157-T157</f>
        <v>-580837.55204959959</v>
      </c>
      <c r="Y157" s="16"/>
      <c r="Z157" s="22">
        <f>IF(T157=0,0,X157/T157)</f>
        <v>-0.50029581783714683</v>
      </c>
    </row>
    <row r="158" spans="1:26" x14ac:dyDescent="0.25">
      <c r="A158" s="9"/>
      <c r="B158" s="10"/>
      <c r="C158" s="9"/>
      <c r="D158" s="3"/>
      <c r="E158" s="3"/>
      <c r="F158" s="8"/>
      <c r="G158" s="3"/>
      <c r="H158" s="3"/>
      <c r="I158" s="3"/>
      <c r="J158" s="8"/>
      <c r="K158" s="3"/>
      <c r="L158" s="3"/>
      <c r="M158" s="3"/>
      <c r="N158" s="8"/>
      <c r="P158" s="3"/>
      <c r="Q158" s="3"/>
      <c r="R158" s="8"/>
      <c r="S158" s="3"/>
      <c r="T158" s="3"/>
      <c r="U158" s="3"/>
      <c r="V158" s="8"/>
      <c r="W158" s="3"/>
      <c r="X158" s="3"/>
      <c r="Y158" s="3"/>
      <c r="Z158" s="8"/>
    </row>
    <row r="159" spans="1:26" s="23" customFormat="1" x14ac:dyDescent="0.25">
      <c r="A159" s="52"/>
      <c r="B159" s="10" t="s">
        <v>14</v>
      </c>
      <c r="C159" s="10"/>
      <c r="D159" s="4">
        <v>33863.369999999995</v>
      </c>
      <c r="E159" s="4"/>
      <c r="F159" s="13">
        <f>IF(D$12=0,0,D159/D$12)</f>
        <v>0.18867935146228096</v>
      </c>
      <c r="G159" s="4"/>
      <c r="H159" s="4">
        <v>60527.000000000007</v>
      </c>
      <c r="I159" s="4"/>
      <c r="J159" s="13">
        <f>IF(H$12=0,0,H159/H$12)</f>
        <v>0.11001595639335744</v>
      </c>
      <c r="K159" s="4"/>
      <c r="L159" s="4">
        <f>+D159-H159</f>
        <v>-26663.630000000012</v>
      </c>
      <c r="M159" s="4"/>
      <c r="N159" s="13">
        <f>IF(H159=0,0,L159/H159)</f>
        <v>-0.44052455928759082</v>
      </c>
      <c r="O159" s="10"/>
      <c r="P159" s="4">
        <v>327709.76</v>
      </c>
      <c r="Q159" s="4"/>
      <c r="R159" s="13">
        <f>IF(P$12=0,0,P159/P$12)</f>
        <v>0.11841561660701917</v>
      </c>
      <c r="S159" s="4"/>
      <c r="T159" s="4">
        <v>428122</v>
      </c>
      <c r="U159" s="4"/>
      <c r="V159" s="13">
        <f>IF(T$12=0,0,T159/T$12)</f>
        <v>0.11582645201715751</v>
      </c>
      <c r="W159" s="4"/>
      <c r="X159" s="4">
        <f>+P159-T159</f>
        <v>-100412.23999999999</v>
      </c>
      <c r="Y159" s="4"/>
      <c r="Z159" s="13">
        <f>IF(T159=0,0,X159/T159)</f>
        <v>-0.23454118218638612</v>
      </c>
    </row>
    <row r="160" spans="1:26" x14ac:dyDescent="0.25">
      <c r="A160" s="9"/>
      <c r="B160" s="10"/>
      <c r="C160" s="10"/>
      <c r="D160" s="3"/>
      <c r="E160" s="3"/>
      <c r="F160" s="8"/>
      <c r="G160" s="3"/>
      <c r="H160" s="3"/>
      <c r="I160" s="3"/>
      <c r="J160" s="8"/>
      <c r="K160" s="3"/>
      <c r="L160" s="3"/>
      <c r="M160" s="3"/>
      <c r="N160" s="8"/>
      <c r="O160" s="10"/>
      <c r="P160" s="3"/>
      <c r="Q160" s="3"/>
      <c r="R160" s="8"/>
      <c r="S160" s="3"/>
      <c r="T160" s="3"/>
      <c r="U160" s="3"/>
      <c r="V160" s="8"/>
      <c r="W160" s="3"/>
      <c r="X160" s="3"/>
      <c r="Y160" s="3"/>
      <c r="Z160" s="8"/>
    </row>
    <row r="161" spans="1:26" s="23" customFormat="1" ht="15.75" thickBot="1" x14ac:dyDescent="0.3">
      <c r="A161" s="10"/>
      <c r="B161" s="29" t="s">
        <v>4</v>
      </c>
      <c r="C161" s="29"/>
      <c r="D161" s="35">
        <f>+D157-D159</f>
        <v>-26505.799999999959</v>
      </c>
      <c r="E161" s="14"/>
      <c r="F161" s="32">
        <f>IF(D$12=0,0,D161/D$12)</f>
        <v>-0.14768456754271414</v>
      </c>
      <c r="G161" s="14"/>
      <c r="H161" s="35">
        <f>+H157-H159</f>
        <v>159681.12530042493</v>
      </c>
      <c r="I161" s="14"/>
      <c r="J161" s="32">
        <f>IF(H$12=0,0,H161/H$12)</f>
        <v>0.29024190390889676</v>
      </c>
      <c r="K161" s="16"/>
      <c r="L161" s="35">
        <f>D161-H161</f>
        <v>-186186.92530042489</v>
      </c>
      <c r="M161" s="16"/>
      <c r="N161" s="32">
        <f>IF(H161=0,0,L161/H161)</f>
        <v>-1.1659920666899848</v>
      </c>
      <c r="O161" s="28"/>
      <c r="P161" s="35">
        <f>+P157-P159</f>
        <v>252440.91000000038</v>
      </c>
      <c r="Q161" s="14"/>
      <c r="R161" s="32">
        <f>IF(P$12=0,0,P161/P$12)</f>
        <v>9.1217747114053227E-2</v>
      </c>
      <c r="S161" s="14"/>
      <c r="T161" s="35">
        <f>+T157-T159</f>
        <v>732866.22204959998</v>
      </c>
      <c r="U161" s="14"/>
      <c r="V161" s="32">
        <f>IF(T$12=0,0,T161/T$12)</f>
        <v>0.19827360963282309</v>
      </c>
      <c r="W161" s="16"/>
      <c r="X161" s="35">
        <f>P161-T161</f>
        <v>-480425.3120495996</v>
      </c>
      <c r="Y161" s="16"/>
      <c r="Z161" s="32">
        <f>IF(T161=0,0,X161/T161)</f>
        <v>-0.65554298669407729</v>
      </c>
    </row>
    <row r="162" spans="1:26" ht="15.75" thickTop="1" x14ac:dyDescent="0.25">
      <c r="A162" s="9"/>
      <c r="B162" s="9"/>
      <c r="C162" s="9"/>
      <c r="D162" s="3"/>
      <c r="E162" s="3"/>
      <c r="F162" s="8"/>
      <c r="G162" s="3"/>
      <c r="H162" s="3"/>
      <c r="I162" s="3"/>
      <c r="J162" s="8"/>
      <c r="K162" s="3"/>
      <c r="L162" s="3"/>
      <c r="M162" s="3"/>
      <c r="N162" s="8"/>
      <c r="P162" s="3"/>
      <c r="Q162" s="3"/>
      <c r="R162" s="8"/>
      <c r="S162" s="3"/>
      <c r="T162" s="3"/>
      <c r="U162" s="3"/>
      <c r="V162" s="8"/>
      <c r="W162" s="3"/>
      <c r="X162" s="3"/>
      <c r="Y162" s="3"/>
      <c r="Z162" s="8"/>
    </row>
    <row r="163" spans="1:26" x14ac:dyDescent="0.25">
      <c r="A163" s="9"/>
      <c r="B163" s="9"/>
      <c r="C163" s="9"/>
      <c r="D163" s="3"/>
      <c r="E163" s="3"/>
      <c r="F163" s="8"/>
      <c r="G163" s="3"/>
      <c r="H163" s="3"/>
      <c r="I163" s="3"/>
      <c r="J163" s="8"/>
      <c r="K163" s="3"/>
      <c r="L163" s="3"/>
      <c r="M163" s="3"/>
      <c r="N163" s="8"/>
      <c r="P163" s="3"/>
      <c r="Q163" s="3"/>
      <c r="R163" s="8"/>
      <c r="S163" s="3"/>
      <c r="T163" s="3"/>
      <c r="U163" s="3"/>
      <c r="V163" s="8"/>
      <c r="W163" s="3"/>
      <c r="X163" s="3"/>
      <c r="Y163" s="3"/>
      <c r="Z163" s="8"/>
    </row>
    <row r="164" spans="1:26" s="23" customFormat="1" ht="15.75" thickBot="1" x14ac:dyDescent="0.3">
      <c r="A164" s="10"/>
      <c r="B164" s="29" t="s">
        <v>5</v>
      </c>
      <c r="C164" s="29"/>
      <c r="D164" s="34">
        <f>SUM(D161:D163)</f>
        <v>-26505.799999999959</v>
      </c>
      <c r="E164" s="14"/>
      <c r="F164" s="31">
        <f>IF(D$12=0,0,D164/D$12)</f>
        <v>-0.14768456754271414</v>
      </c>
      <c r="G164" s="14"/>
      <c r="H164" s="34">
        <f>SUM(H161:H163)</f>
        <v>159681.12530042493</v>
      </c>
      <c r="I164" s="14"/>
      <c r="J164" s="31">
        <f>IF(H$12=0,0,H164/H$12)</f>
        <v>0.29024190390889676</v>
      </c>
      <c r="K164" s="16"/>
      <c r="L164" s="34">
        <f>+D164-H164</f>
        <v>-186186.92530042489</v>
      </c>
      <c r="M164" s="16"/>
      <c r="N164" s="31">
        <f>IF(H164=0,0,L164/H164)</f>
        <v>-1.1659920666899848</v>
      </c>
      <c r="O164" s="28"/>
      <c r="P164" s="34">
        <f>SUM(P161:P163)</f>
        <v>252440.91000000038</v>
      </c>
      <c r="Q164" s="14"/>
      <c r="R164" s="31">
        <f>IF(P$12=0,0,P164/P$12)</f>
        <v>9.1217747114053227E-2</v>
      </c>
      <c r="S164" s="14"/>
      <c r="T164" s="34">
        <f>SUM(T161:T163)</f>
        <v>732866.22204959998</v>
      </c>
      <c r="U164" s="14"/>
      <c r="V164" s="31">
        <f>IF(T$12=0,0,T164/T$12)</f>
        <v>0.19827360963282309</v>
      </c>
      <c r="W164" s="16"/>
      <c r="X164" s="34">
        <f>+P164-T164</f>
        <v>-480425.3120495996</v>
      </c>
      <c r="Y164" s="16"/>
      <c r="Z164" s="31">
        <f>IF(T164=0,0,X164/T164)</f>
        <v>-0.65554298669407729</v>
      </c>
    </row>
    <row r="165" spans="1:26" ht="15.75" thickTop="1" x14ac:dyDescent="0.25">
      <c r="A165" s="9"/>
      <c r="C165" s="9"/>
      <c r="D165" s="18"/>
      <c r="E165" s="18"/>
      <c r="G165" s="18"/>
      <c r="H165" s="18"/>
      <c r="I165" s="18"/>
      <c r="J165" s="42"/>
      <c r="K165" s="18"/>
      <c r="L165" s="18"/>
      <c r="M165" s="18"/>
      <c r="P165" s="18"/>
      <c r="Q165" s="18"/>
      <c r="R165" s="42"/>
      <c r="S165" s="18"/>
      <c r="T165" s="18"/>
      <c r="U165" s="18"/>
      <c r="V165" s="42"/>
      <c r="W165" s="18"/>
      <c r="X165" s="18"/>
    </row>
    <row r="166" spans="1:26" x14ac:dyDescent="0.25">
      <c r="A166" s="9"/>
      <c r="B166" s="59">
        <v>43992.371119675925</v>
      </c>
      <c r="D166" s="18"/>
      <c r="E166" s="18"/>
      <c r="G166" s="18"/>
      <c r="H166" s="18"/>
      <c r="I166" s="18"/>
      <c r="J166" s="42"/>
      <c r="K166" s="18"/>
      <c r="L166" s="18"/>
      <c r="M166" s="18"/>
      <c r="P166" s="18"/>
      <c r="Q166" s="18"/>
      <c r="R166" s="42"/>
      <c r="S166" s="18"/>
      <c r="T166" s="18"/>
      <c r="U166" s="18"/>
      <c r="V166" s="42"/>
      <c r="W166" s="18"/>
      <c r="X166" s="18"/>
    </row>
    <row r="167" spans="1:26" x14ac:dyDescent="0.25">
      <c r="A167" s="9"/>
      <c r="B167" s="56" t="s">
        <v>314</v>
      </c>
      <c r="D167" s="18"/>
      <c r="E167" s="18"/>
      <c r="G167" s="18"/>
      <c r="H167" s="18"/>
      <c r="I167" s="18"/>
      <c r="J167" s="42"/>
      <c r="K167" s="18"/>
      <c r="L167" s="18"/>
      <c r="M167" s="18"/>
      <c r="P167" s="18"/>
      <c r="Q167" s="18"/>
      <c r="R167" s="42"/>
      <c r="S167" s="18"/>
      <c r="T167" s="18"/>
      <c r="U167" s="18"/>
      <c r="V167" s="42"/>
      <c r="W167" s="18"/>
      <c r="X167" s="18"/>
    </row>
    <row r="168" spans="1:26" x14ac:dyDescent="0.25">
      <c r="A168" s="9"/>
      <c r="B168" s="54"/>
      <c r="D168" s="18"/>
      <c r="E168" s="18"/>
      <c r="G168" s="18"/>
      <c r="H168" s="18"/>
      <c r="I168" s="18"/>
      <c r="J168" s="42"/>
      <c r="K168" s="18"/>
      <c r="L168" s="18"/>
      <c r="M168" s="18"/>
      <c r="P168" s="18"/>
      <c r="Q168" s="18"/>
      <c r="R168" s="42"/>
      <c r="S168" s="18"/>
      <c r="T168" s="18"/>
      <c r="U168" s="18"/>
      <c r="V168" s="42"/>
      <c r="W168" s="18"/>
      <c r="X168" s="18"/>
    </row>
    <row r="169" spans="1:26" x14ac:dyDescent="0.25">
      <c r="D169" s="18"/>
      <c r="E169" s="18"/>
      <c r="G169" s="18"/>
      <c r="H169" s="18"/>
      <c r="I169" s="18"/>
      <c r="J169" s="42"/>
      <c r="K169" s="18"/>
      <c r="L169" s="18"/>
      <c r="M169" s="18"/>
      <c r="P169" s="18"/>
      <c r="Q169" s="18"/>
      <c r="R169" s="42"/>
      <c r="S169" s="18"/>
      <c r="T169" s="18"/>
      <c r="U169" s="18"/>
      <c r="V169" s="42"/>
      <c r="W169" s="18"/>
      <c r="X169" s="18"/>
    </row>
  </sheetData>
  <pageMargins left="0.25" right="0.25" top="0.75" bottom="0.75" header="0.3" footer="0.3"/>
  <pageSetup scale="55" fitToWidth="2" orientation="landscape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63" t="s">
        <v>13</v>
      </c>
    </row>
    <row r="3" spans="1:26" x14ac:dyDescent="0.25">
      <c r="D3" s="63" t="s">
        <v>296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61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63" t="e">
        <f ca="1">CONCATENATE("Period ",RIGHT(_xll.OneStop.ReportPlayer.OSRFunctions.OSRGet("Period","PeriodId"),2),", ",_xll.OneStop.ReportPlayer.OSRFunctions.OSRGet("Period","Year"))</f>
        <v>#NAME?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61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5" t="e">
        <f ca="1">_xll.OneStop.ReportPlayer.OSRFunctions.OSRGet("Period","PeriodEnd")</f>
        <v>#NAME?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61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51"/>
      <c r="C6" s="51"/>
      <c r="D6" s="23" t="s">
        <v>299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57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5" t="s">
        <v>294</v>
      </c>
      <c r="E9" s="15"/>
      <c r="F9" s="38"/>
      <c r="G9" s="15"/>
      <c r="H9" s="15"/>
      <c r="I9" s="15"/>
      <c r="J9" s="46"/>
      <c r="K9" s="15"/>
      <c r="L9" s="15"/>
      <c r="M9" s="15"/>
      <c r="N9" s="38"/>
      <c r="P9" s="15" t="s">
        <v>295</v>
      </c>
      <c r="Q9" s="15"/>
      <c r="R9" s="38"/>
      <c r="S9" s="15"/>
      <c r="T9" s="15"/>
      <c r="U9" s="15"/>
      <c r="V9" s="46"/>
      <c r="W9" s="15"/>
      <c r="X9" s="15"/>
      <c r="Y9" s="15"/>
      <c r="Z9" s="38"/>
    </row>
    <row r="10" spans="1:26" x14ac:dyDescent="0.25">
      <c r="A10" s="10"/>
      <c r="B10" s="55"/>
      <c r="C10" s="10"/>
      <c r="D10" s="43" t="s">
        <v>10</v>
      </c>
      <c r="E10" s="33"/>
      <c r="F10" s="40" t="s">
        <v>15</v>
      </c>
      <c r="G10" s="33"/>
      <c r="H10" s="47" t="s">
        <v>11</v>
      </c>
      <c r="I10" s="33"/>
      <c r="J10" s="45" t="s">
        <v>16</v>
      </c>
      <c r="K10" s="10"/>
      <c r="L10" s="43" t="s">
        <v>12</v>
      </c>
      <c r="M10" s="10"/>
      <c r="N10" s="40" t="s">
        <v>17</v>
      </c>
      <c r="O10" s="10"/>
      <c r="P10" s="53" t="s">
        <v>10</v>
      </c>
      <c r="Q10" s="33"/>
      <c r="R10" s="40" t="s">
        <v>15</v>
      </c>
      <c r="S10" s="33"/>
      <c r="T10" s="47" t="s">
        <v>11</v>
      </c>
      <c r="U10" s="33"/>
      <c r="V10" s="45" t="s">
        <v>16</v>
      </c>
      <c r="W10" s="10"/>
      <c r="X10" s="43" t="s">
        <v>12</v>
      </c>
      <c r="Y10" s="10"/>
      <c r="Z10" s="40" t="s">
        <v>17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 t="e">
        <f ca="1">SUM(_xll.OneStop.ReportPlayer.OSRFunctions.OSRRef(D13))</f>
        <v>#NAME?</v>
      </c>
      <c r="E12" s="4"/>
      <c r="F12" s="13"/>
      <c r="G12" s="4"/>
      <c r="H12" s="4" t="e">
        <f ca="1">SUM(_xll.OneStop.ReportPlayer.OSRFunctions.OSRRef(H13))</f>
        <v>#NAME?</v>
      </c>
      <c r="I12" s="4"/>
      <c r="J12" s="13"/>
      <c r="K12" s="4"/>
      <c r="L12" s="4" t="e">
        <f t="shared" ref="L12:L13" ca="1" si="0">+D12-H12</f>
        <v>#NAME?</v>
      </c>
      <c r="M12" s="4"/>
      <c r="N12" s="13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3"/>
      <c r="S12" s="4"/>
      <c r="T12" s="4" t="e">
        <f ca="1">SUM(_xll.OneStop.ReportPlayer.OSRFunctions.OSRRef(T13))</f>
        <v>#NAME?</v>
      </c>
      <c r="U12" s="4"/>
      <c r="V12" s="13"/>
      <c r="W12" s="4"/>
      <c r="X12" s="4" t="e">
        <f t="shared" ref="X12:X13" ca="1" si="2">+P12-T12</f>
        <v>#NAME?</v>
      </c>
      <c r="Y12" s="4"/>
      <c r="Z12" s="13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8</v>
      </c>
      <c r="C15" s="10"/>
      <c r="D15" s="4" t="e">
        <f ca="1">SUM(_xll.OneStop.ReportPlayer.OSRFunctions.OSRRef(D16))</f>
        <v>#NAME?</v>
      </c>
      <c r="E15" s="4"/>
      <c r="F15" s="13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3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3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3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3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3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6</v>
      </c>
      <c r="C18" s="29"/>
      <c r="D18" s="20" t="e">
        <f ca="1">D12-D15</f>
        <v>#NAME?</v>
      </c>
      <c r="E18" s="14"/>
      <c r="F18" s="22" t="e">
        <f ca="1">IF(D$12=0,0,D18/D$12)</f>
        <v>#NAME?</v>
      </c>
      <c r="G18" s="14"/>
      <c r="H18" s="20" t="e">
        <f ca="1">H12-H15</f>
        <v>#NAME?</v>
      </c>
      <c r="I18" s="14"/>
      <c r="J18" s="22" t="e">
        <f ca="1">IF(H$12=0,0,H18/H$12)</f>
        <v>#NAME?</v>
      </c>
      <c r="K18" s="16"/>
      <c r="L18" s="20" t="e">
        <f ca="1">+D18-H18</f>
        <v>#NAME?</v>
      </c>
      <c r="M18" s="16"/>
      <c r="N18" s="22" t="e">
        <f ca="1">IF(H18=0,0,L18/H18)</f>
        <v>#NAME?</v>
      </c>
      <c r="O18" s="28"/>
      <c r="P18" s="20" t="e">
        <f ca="1">P12-P15</f>
        <v>#NAME?</v>
      </c>
      <c r="Q18" s="14"/>
      <c r="R18" s="22" t="e">
        <f ca="1">IF(P$12=0,0,P18/P$12)</f>
        <v>#NAME?</v>
      </c>
      <c r="S18" s="14"/>
      <c r="T18" s="20" t="e">
        <f ca="1">T12-T15</f>
        <v>#NAME?</v>
      </c>
      <c r="U18" s="14"/>
      <c r="V18" s="22" t="e">
        <f ca="1">IF(T$12=0,0,T18/T$12)</f>
        <v>#NAME?</v>
      </c>
      <c r="W18" s="16"/>
      <c r="X18" s="20" t="e">
        <f ca="1">+P18-T18</f>
        <v>#NAME?</v>
      </c>
      <c r="Y18" s="16"/>
      <c r="Z18" s="22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9</v>
      </c>
      <c r="C20" s="10"/>
      <c r="D20" s="21" t="e">
        <f ca="1">SUM(_xll.OneStop.ReportPlayer.OSRFunctions.OSRRef(D22))</f>
        <v>#NAME?</v>
      </c>
      <c r="E20" s="21"/>
      <c r="F20" s="30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0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0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0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0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0" t="e">
        <f t="shared" ref="Z20:Z22" ca="1" si="19">IF(T20=0,0,X20/T20)</f>
        <v>#NAME?</v>
      </c>
    </row>
    <row r="21" spans="1:26" s="27" customFormat="1" outlineLevel="1" collapsed="1" x14ac:dyDescent="0.25">
      <c r="A21" s="25"/>
      <c r="B21" s="12" t="e">
        <f ca="1">CONCATENATE("     ",_xll.OneStop.ReportPlayer.OSRFunctions.OSRGet("d_Account","AccountCategory"))</f>
        <v>#NAME?</v>
      </c>
      <c r="C21" s="12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2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6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62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8" t="s">
        <v>0</v>
      </c>
      <c r="C24" s="10"/>
      <c r="D24" s="4" t="e">
        <f ca="1">SUM(_xll.OneStop.ReportPlayer.OSRFunctions.OSRRef(D25))</f>
        <v>#NAME?</v>
      </c>
      <c r="E24" s="4"/>
      <c r="F24" s="13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3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3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3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3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3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3</v>
      </c>
      <c r="C27" s="29"/>
      <c r="D27" s="20" t="e">
        <f ca="1">+D18-D20+D24</f>
        <v>#NAME?</v>
      </c>
      <c r="E27" s="14"/>
      <c r="F27" s="22" t="e">
        <f ca="1">IF(D$12=0,0,D27/D$12)</f>
        <v>#NAME?</v>
      </c>
      <c r="G27" s="14"/>
      <c r="H27" s="20" t="e">
        <f ca="1">+H18-H20+H24</f>
        <v>#NAME?</v>
      </c>
      <c r="I27" s="14"/>
      <c r="J27" s="22" t="e">
        <f ca="1">IF(H$12=0,0,H27/H$12)</f>
        <v>#NAME?</v>
      </c>
      <c r="K27" s="16"/>
      <c r="L27" s="20" t="e">
        <f ca="1">+D27-H27</f>
        <v>#NAME?</v>
      </c>
      <c r="M27" s="16"/>
      <c r="N27" s="22" t="e">
        <f ca="1">IF(H27=0,0,L27/H27)</f>
        <v>#NAME?</v>
      </c>
      <c r="O27" s="28"/>
      <c r="P27" s="20" t="e">
        <f ca="1">+P18-P20+P24</f>
        <v>#NAME?</v>
      </c>
      <c r="Q27" s="14"/>
      <c r="R27" s="22" t="e">
        <f ca="1">IF(P$12=0,0,P27/P$12)</f>
        <v>#NAME?</v>
      </c>
      <c r="S27" s="14"/>
      <c r="T27" s="20" t="e">
        <f ca="1">+T18-T20+T24</f>
        <v>#NAME?</v>
      </c>
      <c r="U27" s="14"/>
      <c r="V27" s="22" t="e">
        <f ca="1">IF(T$12=0,0,T27/T$12)</f>
        <v>#NAME?</v>
      </c>
      <c r="W27" s="16"/>
      <c r="X27" s="20" t="e">
        <f ca="1">+P27-T27</f>
        <v>#NAME?</v>
      </c>
      <c r="Y27" s="16"/>
      <c r="Z27" s="22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3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3" t="e">
        <f ca="1">IF(H$12=0,0,H29/H$12)</f>
        <v>#NAME?</v>
      </c>
      <c r="K29" s="4"/>
      <c r="L29" s="4" t="e">
        <f ca="1">+D29-H29</f>
        <v>#NAME?</v>
      </c>
      <c r="M29" s="4"/>
      <c r="N29" s="13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3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3" t="e">
        <f ca="1">IF(T$12=0,0,T29/T$12)</f>
        <v>#NAME?</v>
      </c>
      <c r="W29" s="4"/>
      <c r="X29" s="4" t="e">
        <f ca="1">+P29-T29</f>
        <v>#NAME?</v>
      </c>
      <c r="Y29" s="4"/>
      <c r="Z29" s="13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4</v>
      </c>
      <c r="C31" s="29"/>
      <c r="D31" s="35" t="e">
        <f ca="1">+D27-D29</f>
        <v>#NAME?</v>
      </c>
      <c r="E31" s="14"/>
      <c r="F31" s="32" t="e">
        <f ca="1">IF(D$12=0,0,D31/D$12)</f>
        <v>#NAME?</v>
      </c>
      <c r="G31" s="14"/>
      <c r="H31" s="35" t="e">
        <f ca="1">+H27-H29</f>
        <v>#NAME?</v>
      </c>
      <c r="I31" s="14"/>
      <c r="J31" s="32" t="e">
        <f ca="1">IF(H$12=0,0,H31/H$12)</f>
        <v>#NAME?</v>
      </c>
      <c r="K31" s="16"/>
      <c r="L31" s="35" t="e">
        <f ca="1">D31-H31</f>
        <v>#NAME?</v>
      </c>
      <c r="M31" s="16"/>
      <c r="N31" s="32" t="e">
        <f ca="1">IF(H31=0,0,L31/H31)</f>
        <v>#NAME?</v>
      </c>
      <c r="O31" s="28"/>
      <c r="P31" s="35" t="e">
        <f ca="1">+P27-P29</f>
        <v>#NAME?</v>
      </c>
      <c r="Q31" s="14"/>
      <c r="R31" s="32" t="e">
        <f ca="1">IF(P$12=0,0,P31/P$12)</f>
        <v>#NAME?</v>
      </c>
      <c r="S31" s="14"/>
      <c r="T31" s="35" t="e">
        <f ca="1">+T27-T29</f>
        <v>#NAME?</v>
      </c>
      <c r="U31" s="14"/>
      <c r="V31" s="32" t="e">
        <f ca="1">IF(T$12=0,0,T31/T$12)</f>
        <v>#NAME?</v>
      </c>
      <c r="W31" s="16"/>
      <c r="X31" s="35" t="e">
        <f ca="1">P31-T31</f>
        <v>#NAME?</v>
      </c>
      <c r="Y31" s="16"/>
      <c r="Z31" s="32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3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3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3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3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3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3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3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3" t="e">
        <f t="shared" ca="1" si="29"/>
        <v>#NAME?</v>
      </c>
      <c r="K34" s="4"/>
      <c r="L34" s="4" t="e">
        <f t="shared" ca="1" si="30"/>
        <v>#NAME?</v>
      </c>
      <c r="M34" s="4"/>
      <c r="N34" s="13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3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3" t="e">
        <f t="shared" ca="1" si="33"/>
        <v>#NAME?</v>
      </c>
      <c r="W34" s="4"/>
      <c r="X34" s="4" t="e">
        <f t="shared" ca="1" si="34"/>
        <v>#NAME?</v>
      </c>
      <c r="Y34" s="4"/>
      <c r="Z34" s="13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5</v>
      </c>
      <c r="C36" s="29"/>
      <c r="D36" s="34" t="e">
        <f ca="1">SUM(D31:D35)</f>
        <v>#NAME?</v>
      </c>
      <c r="E36" s="14"/>
      <c r="F36" s="31" t="e">
        <f ca="1">IF(D$12=0,0,D36/D$12)</f>
        <v>#NAME?</v>
      </c>
      <c r="G36" s="14"/>
      <c r="H36" s="34" t="e">
        <f ca="1">SUM(H31:H35)</f>
        <v>#NAME?</v>
      </c>
      <c r="I36" s="14"/>
      <c r="J36" s="31" t="e">
        <f ca="1">IF(H$12=0,0,H36/H$12)</f>
        <v>#NAME?</v>
      </c>
      <c r="K36" s="16"/>
      <c r="L36" s="34" t="e">
        <f ca="1">+D36-H36</f>
        <v>#NAME?</v>
      </c>
      <c r="M36" s="16"/>
      <c r="N36" s="31" t="e">
        <f ca="1">IF(H36=0,0,L36/H36)</f>
        <v>#NAME?</v>
      </c>
      <c r="O36" s="28"/>
      <c r="P36" s="34" t="e">
        <f ca="1">SUM(P31:P35)</f>
        <v>#NAME?</v>
      </c>
      <c r="Q36" s="14"/>
      <c r="R36" s="31" t="e">
        <f ca="1">IF(P$12=0,0,P36/P$12)</f>
        <v>#NAME?</v>
      </c>
      <c r="S36" s="14"/>
      <c r="T36" s="34" t="e">
        <f ca="1">SUM(T31:T35)</f>
        <v>#NAME?</v>
      </c>
      <c r="U36" s="14"/>
      <c r="V36" s="31" t="e">
        <f ca="1">IF(T$12=0,0,T36/T$12)</f>
        <v>#NAME?</v>
      </c>
      <c r="W36" s="16"/>
      <c r="X36" s="34" t="e">
        <f ca="1">+P36-T36</f>
        <v>#NAME?</v>
      </c>
      <c r="Y36" s="16"/>
      <c r="Z36" s="31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59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56" t="e">
        <f ca="1">_xll.OneStop.ReportPlayer.OSRFunctions.OSRGet("User","UserId")</f>
        <v>#NAME?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54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135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63" t="s">
        <v>13</v>
      </c>
    </row>
    <row r="3" spans="1:26" x14ac:dyDescent="0.25">
      <c r="D3" s="63" t="s">
        <v>296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61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63" t="str">
        <f>CONCATENATE("Period ",RIGHT(202011,2),", ",2020)</f>
        <v>Period 11, 2020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61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4">
        <v>43981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61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51"/>
      <c r="C6" s="51"/>
      <c r="D6" s="23" t="str">
        <f>CONCATENATE("Department ","315", " - ", "Beach Shop")</f>
        <v>Department 315 - Beach Shop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57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5" t="s">
        <v>294</v>
      </c>
      <c r="E9" s="15"/>
      <c r="F9" s="38"/>
      <c r="G9" s="15"/>
      <c r="H9" s="15"/>
      <c r="I9" s="15"/>
      <c r="J9" s="46"/>
      <c r="K9" s="15"/>
      <c r="L9" s="15"/>
      <c r="M9" s="15"/>
      <c r="N9" s="38"/>
      <c r="P9" s="15" t="s">
        <v>295</v>
      </c>
      <c r="Q9" s="15"/>
      <c r="R9" s="38"/>
      <c r="S9" s="15"/>
      <c r="T9" s="15"/>
      <c r="U9" s="15"/>
      <c r="V9" s="46"/>
      <c r="W9" s="15"/>
      <c r="X9" s="15"/>
      <c r="Y9" s="15"/>
      <c r="Z9" s="38"/>
    </row>
    <row r="10" spans="1:26" x14ac:dyDescent="0.25">
      <c r="A10" s="10"/>
      <c r="B10" s="55"/>
      <c r="C10" s="10"/>
      <c r="D10" s="43" t="s">
        <v>10</v>
      </c>
      <c r="E10" s="33"/>
      <c r="F10" s="40" t="s">
        <v>15</v>
      </c>
      <c r="G10" s="33"/>
      <c r="H10" s="47" t="s">
        <v>11</v>
      </c>
      <c r="I10" s="33"/>
      <c r="J10" s="45" t="s">
        <v>16</v>
      </c>
      <c r="K10" s="10"/>
      <c r="L10" s="43" t="s">
        <v>12</v>
      </c>
      <c r="M10" s="10"/>
      <c r="N10" s="40" t="s">
        <v>17</v>
      </c>
      <c r="O10" s="10"/>
      <c r="P10" s="53" t="s">
        <v>10</v>
      </c>
      <c r="Q10" s="33"/>
      <c r="R10" s="40" t="s">
        <v>15</v>
      </c>
      <c r="S10" s="33"/>
      <c r="T10" s="47" t="s">
        <v>11</v>
      </c>
      <c r="U10" s="33"/>
      <c r="V10" s="45" t="s">
        <v>16</v>
      </c>
      <c r="W10" s="10"/>
      <c r="X10" s="43" t="s">
        <v>12</v>
      </c>
      <c r="Y10" s="10"/>
      <c r="Z10" s="40" t="s">
        <v>17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179475.76000000004</v>
      </c>
      <c r="E12" s="4"/>
      <c r="F12" s="13"/>
      <c r="G12" s="4"/>
      <c r="H12" s="4">
        <f>SUM(OSRRefH13x_0)</f>
        <v>479438</v>
      </c>
      <c r="I12" s="4"/>
      <c r="J12" s="13"/>
      <c r="K12" s="4"/>
      <c r="L12" s="4">
        <f t="shared" ref="L12:L34" si="0">+D12-H12</f>
        <v>-299962.23999999999</v>
      </c>
      <c r="M12" s="4"/>
      <c r="N12" s="13">
        <f t="shared" ref="N12:N34" si="1">IF(H12=0,0,L12/H12)</f>
        <v>-0.62565386973915293</v>
      </c>
      <c r="O12" s="10"/>
      <c r="P12" s="4">
        <f>SUM(OSRRefP13x_0)</f>
        <v>2337613.0300000003</v>
      </c>
      <c r="Q12" s="4"/>
      <c r="R12" s="13"/>
      <c r="S12" s="4"/>
      <c r="T12" s="4">
        <f>SUM(OSRRefT13x_0)</f>
        <v>3138034</v>
      </c>
      <c r="U12" s="4"/>
      <c r="V12" s="13"/>
      <c r="W12" s="4"/>
      <c r="X12" s="4">
        <f t="shared" ref="X12:X34" si="2">+P12-T12</f>
        <v>-800420.96999999974</v>
      </c>
      <c r="Y12" s="4"/>
      <c r="Z12" s="13">
        <f t="shared" ref="Z12:Z34" si="3">IF(T12=0,0,X12/T12)</f>
        <v>-0.25507084053263912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>0</f>
        <v>0</v>
      </c>
      <c r="E13" s="2"/>
      <c r="F13" s="19"/>
      <c r="G13" s="2"/>
      <c r="H13" s="2">
        <v>479438</v>
      </c>
      <c r="I13" s="2"/>
      <c r="J13" s="19"/>
      <c r="K13" s="2"/>
      <c r="L13" s="2">
        <f t="shared" si="0"/>
        <v>-479438</v>
      </c>
      <c r="M13" s="2"/>
      <c r="N13" s="19">
        <f t="shared" si="1"/>
        <v>-1</v>
      </c>
      <c r="O13" s="11"/>
      <c r="P13" s="2">
        <f>0</f>
        <v>0</v>
      </c>
      <c r="Q13" s="2"/>
      <c r="R13" s="19"/>
      <c r="S13" s="2"/>
      <c r="T13" s="2">
        <v>3138034</v>
      </c>
      <c r="U13" s="2"/>
      <c r="V13" s="19"/>
      <c r="W13" s="2"/>
      <c r="X13" s="2">
        <f t="shared" si="2"/>
        <v>-3138034</v>
      </c>
      <c r="Y13" s="2"/>
      <c r="Z13" s="19">
        <f t="shared" si="3"/>
        <v>-1</v>
      </c>
    </row>
    <row r="14" spans="1:26" s="24" customFormat="1" hidden="1" outlineLevel="1" x14ac:dyDescent="0.25">
      <c r="A14" s="44"/>
      <c r="B14" s="11" t="str">
        <f>CONCATENATE("          ", "4040", " - ", "TAXABLE SALES-LOGO CLOTHING")</f>
        <v xml:space="preserve">          4040 - TAXABLE SALES-LOGO CLOTHING</v>
      </c>
      <c r="C14" s="11"/>
      <c r="D14" s="2">
        <f>--50806.72</f>
        <v>50806.720000000001</v>
      </c>
      <c r="E14" s="2"/>
      <c r="F14" s="19"/>
      <c r="G14" s="2"/>
      <c r="H14" s="2"/>
      <c r="I14" s="2"/>
      <c r="J14" s="19"/>
      <c r="K14" s="2"/>
      <c r="L14" s="2">
        <f t="shared" si="0"/>
        <v>50806.720000000001</v>
      </c>
      <c r="M14" s="2"/>
      <c r="N14" s="19">
        <f t="shared" si="1"/>
        <v>0</v>
      </c>
      <c r="O14" s="11"/>
      <c r="P14" s="2">
        <f>--1533036.45</f>
        <v>1533036.45</v>
      </c>
      <c r="Q14" s="2"/>
      <c r="R14" s="19"/>
      <c r="S14" s="2"/>
      <c r="T14" s="2"/>
      <c r="U14" s="2"/>
      <c r="V14" s="19"/>
      <c r="W14" s="2"/>
      <c r="X14" s="2">
        <f t="shared" si="2"/>
        <v>1533036.45</v>
      </c>
      <c r="Y14" s="2"/>
      <c r="Z14" s="19">
        <f t="shared" si="3"/>
        <v>0</v>
      </c>
    </row>
    <row r="15" spans="1:26" s="24" customFormat="1" hidden="1" outlineLevel="1" x14ac:dyDescent="0.25">
      <c r="A15" s="44"/>
      <c r="B15" s="11" t="str">
        <f>CONCATENATE("          ", "4041", " - ", "TAXABLE SALES-LOGO GIFTS")</f>
        <v xml:space="preserve">          4041 - TAXABLE SALES-LOGO GIFTS</v>
      </c>
      <c r="C15" s="11"/>
      <c r="D15" s="2">
        <f>--44686.17</f>
        <v>44686.17</v>
      </c>
      <c r="E15" s="2"/>
      <c r="F15" s="19"/>
      <c r="G15" s="2"/>
      <c r="H15" s="2"/>
      <c r="I15" s="2"/>
      <c r="J15" s="19"/>
      <c r="K15" s="2"/>
      <c r="L15" s="2">
        <f t="shared" si="0"/>
        <v>44686.17</v>
      </c>
      <c r="M15" s="2"/>
      <c r="N15" s="19">
        <f t="shared" si="1"/>
        <v>0</v>
      </c>
      <c r="O15" s="11"/>
      <c r="P15" s="2">
        <f>--302567.67</f>
        <v>302567.67</v>
      </c>
      <c r="Q15" s="2"/>
      <c r="R15" s="19"/>
      <c r="S15" s="2"/>
      <c r="T15" s="2"/>
      <c r="U15" s="2"/>
      <c r="V15" s="19"/>
      <c r="W15" s="2"/>
      <c r="X15" s="2">
        <f t="shared" si="2"/>
        <v>302567.67</v>
      </c>
      <c r="Y15" s="2"/>
      <c r="Z15" s="19">
        <f t="shared" si="3"/>
        <v>0</v>
      </c>
    </row>
    <row r="16" spans="1:26" s="24" customFormat="1" hidden="1" outlineLevel="1" x14ac:dyDescent="0.25">
      <c r="A16" s="44"/>
      <c r="B16" s="11" t="str">
        <f>CONCATENATE("          ", "4042", " - ", "TAXABLE SALES-EVERYDAY GIFTS")</f>
        <v xml:space="preserve">          4042 - TAXABLE SALES-EVERYDAY GIFTS</v>
      </c>
      <c r="C16" s="11"/>
      <c r="D16" s="2">
        <f>--1342.97</f>
        <v>1342.97</v>
      </c>
      <c r="E16" s="2"/>
      <c r="F16" s="19"/>
      <c r="G16" s="2"/>
      <c r="H16" s="2"/>
      <c r="I16" s="2"/>
      <c r="J16" s="19"/>
      <c r="K16" s="2"/>
      <c r="L16" s="2">
        <f t="shared" si="0"/>
        <v>1342.97</v>
      </c>
      <c r="M16" s="2"/>
      <c r="N16" s="19">
        <f t="shared" si="1"/>
        <v>0</v>
      </c>
      <c r="O16" s="11"/>
      <c r="P16" s="2">
        <f>--174913.27</f>
        <v>174913.27</v>
      </c>
      <c r="Q16" s="2"/>
      <c r="R16" s="19"/>
      <c r="S16" s="2"/>
      <c r="T16" s="2"/>
      <c r="U16" s="2"/>
      <c r="V16" s="19"/>
      <c r="W16" s="2"/>
      <c r="X16" s="2">
        <f t="shared" si="2"/>
        <v>174913.27</v>
      </c>
      <c r="Y16" s="2"/>
      <c r="Z16" s="19">
        <f t="shared" si="3"/>
        <v>0</v>
      </c>
    </row>
    <row r="17" spans="1:26" s="24" customFormat="1" hidden="1" outlineLevel="1" x14ac:dyDescent="0.25">
      <c r="A17" s="44"/>
      <c r="B17" s="11" t="str">
        <f>CONCATENATE("          ", "4043", " - ", "TAXABLE SALES-CARDS")</f>
        <v xml:space="preserve">          4043 - TAXABLE SALES-CARDS</v>
      </c>
      <c r="C17" s="11"/>
      <c r="D17" s="2">
        <f>--49.95</f>
        <v>49.95</v>
      </c>
      <c r="E17" s="2"/>
      <c r="F17" s="19"/>
      <c r="G17" s="2"/>
      <c r="H17" s="2"/>
      <c r="I17" s="2"/>
      <c r="J17" s="19"/>
      <c r="K17" s="2"/>
      <c r="L17" s="2">
        <f t="shared" si="0"/>
        <v>49.95</v>
      </c>
      <c r="M17" s="2"/>
      <c r="N17" s="19">
        <f t="shared" si="1"/>
        <v>0</v>
      </c>
      <c r="O17" s="11"/>
      <c r="P17" s="2">
        <f>--74803.44</f>
        <v>74803.44</v>
      </c>
      <c r="Q17" s="2"/>
      <c r="R17" s="19"/>
      <c r="S17" s="2"/>
      <c r="T17" s="2"/>
      <c r="U17" s="2"/>
      <c r="V17" s="19"/>
      <c r="W17" s="2"/>
      <c r="X17" s="2">
        <f t="shared" si="2"/>
        <v>74803.44</v>
      </c>
      <c r="Y17" s="2"/>
      <c r="Z17" s="19">
        <f t="shared" si="3"/>
        <v>0</v>
      </c>
    </row>
    <row r="18" spans="1:26" s="24" customFormat="1" hidden="1" outlineLevel="1" x14ac:dyDescent="0.25">
      <c r="A18" s="44"/>
      <c r="B18" s="11" t="str">
        <f>CONCATENATE("          ", "4044", " - ", "TAXABLE SALES-ACCESSORIES")</f>
        <v xml:space="preserve">          4044 - TAXABLE SALES-ACCESSORIES</v>
      </c>
      <c r="C18" s="11"/>
      <c r="D18" s="2">
        <f>--3915.24</f>
        <v>3915.24</v>
      </c>
      <c r="E18" s="2"/>
      <c r="F18" s="19"/>
      <c r="G18" s="2"/>
      <c r="H18" s="2"/>
      <c r="I18" s="2"/>
      <c r="J18" s="19"/>
      <c r="K18" s="2"/>
      <c r="L18" s="2">
        <f t="shared" si="0"/>
        <v>3915.24</v>
      </c>
      <c r="M18" s="2"/>
      <c r="N18" s="19">
        <f t="shared" si="1"/>
        <v>0</v>
      </c>
      <c r="O18" s="11"/>
      <c r="P18" s="2">
        <f>--66739.53</f>
        <v>66739.53</v>
      </c>
      <c r="Q18" s="2"/>
      <c r="R18" s="19"/>
      <c r="S18" s="2"/>
      <c r="T18" s="2"/>
      <c r="U18" s="2"/>
      <c r="V18" s="19"/>
      <c r="W18" s="2"/>
      <c r="X18" s="2">
        <f t="shared" si="2"/>
        <v>66739.53</v>
      </c>
      <c r="Y18" s="2"/>
      <c r="Z18" s="19">
        <f t="shared" si="3"/>
        <v>0</v>
      </c>
    </row>
    <row r="19" spans="1:26" s="24" customFormat="1" hidden="1" outlineLevel="1" x14ac:dyDescent="0.25">
      <c r="A19" s="44"/>
      <c r="B19" s="11" t="str">
        <f>CONCATENATE("          ", "4045", " - ", "TAXABLE SALES-SPECIAL ORDERS")</f>
        <v xml:space="preserve">          4045 - TAXABLE SALES-SPECIAL ORDERS</v>
      </c>
      <c r="C19" s="11"/>
      <c r="D19" s="2">
        <f>--13525.59</f>
        <v>13525.59</v>
      </c>
      <c r="E19" s="2"/>
      <c r="F19" s="19"/>
      <c r="G19" s="2"/>
      <c r="H19" s="2"/>
      <c r="I19" s="2"/>
      <c r="J19" s="19"/>
      <c r="K19" s="2"/>
      <c r="L19" s="2">
        <f t="shared" si="0"/>
        <v>13525.59</v>
      </c>
      <c r="M19" s="2"/>
      <c r="N19" s="19">
        <f t="shared" si="1"/>
        <v>0</v>
      </c>
      <c r="O19" s="11"/>
      <c r="P19" s="2">
        <f>--96371.96</f>
        <v>96371.96</v>
      </c>
      <c r="Q19" s="2"/>
      <c r="R19" s="19"/>
      <c r="S19" s="2"/>
      <c r="T19" s="2"/>
      <c r="U19" s="2"/>
      <c r="V19" s="19"/>
      <c r="W19" s="2"/>
      <c r="X19" s="2">
        <f t="shared" si="2"/>
        <v>96371.96</v>
      </c>
      <c r="Y19" s="2"/>
      <c r="Z19" s="19">
        <f t="shared" si="3"/>
        <v>0</v>
      </c>
    </row>
    <row r="20" spans="1:26" s="24" customFormat="1" hidden="1" outlineLevel="1" x14ac:dyDescent="0.25">
      <c r="A20" s="44"/>
      <c r="B20" s="11" t="str">
        <f>CONCATENATE("          ", "4140", " - ", "NON-TAXABLE SALES-LOGO CLOTHIN")</f>
        <v xml:space="preserve">          4140 - NON-TAXABLE SALES-LOGO CLOTHIN</v>
      </c>
      <c r="C20" s="11"/>
      <c r="D20" s="2">
        <f>--56556.05</f>
        <v>56556.05</v>
      </c>
      <c r="E20" s="2"/>
      <c r="F20" s="19"/>
      <c r="G20" s="2"/>
      <c r="H20" s="2"/>
      <c r="I20" s="2"/>
      <c r="J20" s="19"/>
      <c r="K20" s="2"/>
      <c r="L20" s="2">
        <f t="shared" si="0"/>
        <v>56556.05</v>
      </c>
      <c r="M20" s="2"/>
      <c r="N20" s="19">
        <f t="shared" si="1"/>
        <v>0</v>
      </c>
      <c r="O20" s="11"/>
      <c r="P20" s="2">
        <f>--135480.76</f>
        <v>135480.76</v>
      </c>
      <c r="Q20" s="2"/>
      <c r="R20" s="19"/>
      <c r="S20" s="2"/>
      <c r="T20" s="2"/>
      <c r="U20" s="2"/>
      <c r="V20" s="19"/>
      <c r="W20" s="2"/>
      <c r="X20" s="2">
        <f t="shared" si="2"/>
        <v>135480.76</v>
      </c>
      <c r="Y20" s="2"/>
      <c r="Z20" s="19">
        <f t="shared" si="3"/>
        <v>0</v>
      </c>
    </row>
    <row r="21" spans="1:26" s="24" customFormat="1" hidden="1" outlineLevel="1" x14ac:dyDescent="0.25">
      <c r="A21" s="44"/>
      <c r="B21" s="11" t="str">
        <f>CONCATENATE("          ", "4141", " - ", "NON-TAXABLE SALES-LOGO GIFTS")</f>
        <v xml:space="preserve">          4141 - NON-TAXABLE SALES-LOGO GIFTS</v>
      </c>
      <c r="C21" s="11"/>
      <c r="D21" s="2">
        <f>--4127.98</f>
        <v>4127.9799999999996</v>
      </c>
      <c r="E21" s="2"/>
      <c r="F21" s="19"/>
      <c r="G21" s="2"/>
      <c r="H21" s="2"/>
      <c r="I21" s="2"/>
      <c r="J21" s="19"/>
      <c r="K21" s="2"/>
      <c r="L21" s="2">
        <f t="shared" si="0"/>
        <v>4127.9799999999996</v>
      </c>
      <c r="M21" s="2"/>
      <c r="N21" s="19">
        <f t="shared" si="1"/>
        <v>0</v>
      </c>
      <c r="O21" s="11"/>
      <c r="P21" s="2">
        <f>--16038.71</f>
        <v>16038.71</v>
      </c>
      <c r="Q21" s="2"/>
      <c r="R21" s="19"/>
      <c r="S21" s="2"/>
      <c r="T21" s="2"/>
      <c r="U21" s="2"/>
      <c r="V21" s="19"/>
      <c r="W21" s="2"/>
      <c r="X21" s="2">
        <f t="shared" si="2"/>
        <v>16038.71</v>
      </c>
      <c r="Y21" s="2"/>
      <c r="Z21" s="19">
        <f t="shared" si="3"/>
        <v>0</v>
      </c>
    </row>
    <row r="22" spans="1:26" s="24" customFormat="1" hidden="1" outlineLevel="1" x14ac:dyDescent="0.25">
      <c r="A22" s="44"/>
      <c r="B22" s="11" t="str">
        <f>CONCATENATE("          ", "4142", " - ", "NON-TAXABLE SALES-EVERYDAY GIF")</f>
        <v xml:space="preserve">          4142 - NON-TAXABLE SALES-EVERYDAY GIF</v>
      </c>
      <c r="C22" s="11"/>
      <c r="D22" s="2">
        <f>--1204.14</f>
        <v>1204.1400000000001</v>
      </c>
      <c r="E22" s="2"/>
      <c r="F22" s="19"/>
      <c r="G22" s="2"/>
      <c r="H22" s="2"/>
      <c r="I22" s="2"/>
      <c r="J22" s="19"/>
      <c r="K22" s="2"/>
      <c r="L22" s="2">
        <f t="shared" si="0"/>
        <v>1204.1400000000001</v>
      </c>
      <c r="M22" s="2"/>
      <c r="N22" s="19">
        <f t="shared" si="1"/>
        <v>0</v>
      </c>
      <c r="O22" s="11"/>
      <c r="P22" s="2">
        <f>--5816.34</f>
        <v>5816.34</v>
      </c>
      <c r="Q22" s="2"/>
      <c r="R22" s="19"/>
      <c r="S22" s="2"/>
      <c r="T22" s="2"/>
      <c r="U22" s="2"/>
      <c r="V22" s="19"/>
      <c r="W22" s="2"/>
      <c r="X22" s="2">
        <f t="shared" si="2"/>
        <v>5816.34</v>
      </c>
      <c r="Y22" s="2"/>
      <c r="Z22" s="19">
        <f t="shared" si="3"/>
        <v>0</v>
      </c>
    </row>
    <row r="23" spans="1:26" s="24" customFormat="1" hidden="1" outlineLevel="1" x14ac:dyDescent="0.25">
      <c r="A23" s="44"/>
      <c r="B23" s="11" t="str">
        <f>CONCATENATE("          ", "4143", " - ", "NON-TAXABLE SALES-CARDS")</f>
        <v xml:space="preserve">          4143 - NON-TAXABLE SALES-CARDS</v>
      </c>
      <c r="C23" s="11"/>
      <c r="D23" s="2">
        <f>--19.98</f>
        <v>19.98</v>
      </c>
      <c r="E23" s="2"/>
      <c r="F23" s="19"/>
      <c r="G23" s="2"/>
      <c r="H23" s="2"/>
      <c r="I23" s="2"/>
      <c r="J23" s="19"/>
      <c r="K23" s="2"/>
      <c r="L23" s="2">
        <f t="shared" si="0"/>
        <v>19.98</v>
      </c>
      <c r="M23" s="2"/>
      <c r="N23" s="19">
        <f t="shared" si="1"/>
        <v>0</v>
      </c>
      <c r="O23" s="11"/>
      <c r="P23" s="2">
        <f>--19.98</f>
        <v>19.98</v>
      </c>
      <c r="Q23" s="2"/>
      <c r="R23" s="19"/>
      <c r="S23" s="2"/>
      <c r="T23" s="2"/>
      <c r="U23" s="2"/>
      <c r="V23" s="19"/>
      <c r="W23" s="2"/>
      <c r="X23" s="2">
        <f t="shared" si="2"/>
        <v>19.98</v>
      </c>
      <c r="Y23" s="2"/>
      <c r="Z23" s="19">
        <f t="shared" si="3"/>
        <v>0</v>
      </c>
    </row>
    <row r="24" spans="1:26" s="24" customFormat="1" hidden="1" outlineLevel="1" x14ac:dyDescent="0.25">
      <c r="A24" s="44"/>
      <c r="B24" s="11" t="str">
        <f>CONCATENATE("          ", "4144", " - ", "NON-TAXABLE SALES-ACCESSORIES")</f>
        <v xml:space="preserve">          4144 - NON-TAXABLE SALES-ACCESSORIES</v>
      </c>
      <c r="C24" s="11"/>
      <c r="D24" s="2">
        <f>--984.35</f>
        <v>984.35</v>
      </c>
      <c r="E24" s="2"/>
      <c r="F24" s="19"/>
      <c r="G24" s="2"/>
      <c r="H24" s="2"/>
      <c r="I24" s="2"/>
      <c r="J24" s="19"/>
      <c r="K24" s="2"/>
      <c r="L24" s="2">
        <f t="shared" si="0"/>
        <v>984.35</v>
      </c>
      <c r="M24" s="2"/>
      <c r="N24" s="19">
        <f t="shared" si="1"/>
        <v>0</v>
      </c>
      <c r="O24" s="11"/>
      <c r="P24" s="2">
        <f>--3324.02</f>
        <v>3324.02</v>
      </c>
      <c r="Q24" s="2"/>
      <c r="R24" s="19"/>
      <c r="S24" s="2"/>
      <c r="T24" s="2"/>
      <c r="U24" s="2"/>
      <c r="V24" s="19"/>
      <c r="W24" s="2"/>
      <c r="X24" s="2">
        <f t="shared" si="2"/>
        <v>3324.02</v>
      </c>
      <c r="Y24" s="2"/>
      <c r="Z24" s="19">
        <f t="shared" si="3"/>
        <v>0</v>
      </c>
    </row>
    <row r="25" spans="1:26" s="24" customFormat="1" hidden="1" outlineLevel="1" x14ac:dyDescent="0.25">
      <c r="A25" s="44"/>
      <c r="B25" s="11" t="str">
        <f>CONCATENATE("          ", "4145", " - ", "NON-TAXABLE SALES-SPECIAL ORDE")</f>
        <v xml:space="preserve">          4145 - NON-TAXABLE SALES-SPECIAL ORDE</v>
      </c>
      <c r="C25" s="11"/>
      <c r="D25" s="2">
        <f>--7688.68</f>
        <v>7688.68</v>
      </c>
      <c r="E25" s="2"/>
      <c r="F25" s="19"/>
      <c r="G25" s="2"/>
      <c r="H25" s="2"/>
      <c r="I25" s="2"/>
      <c r="J25" s="19"/>
      <c r="K25" s="2"/>
      <c r="L25" s="2">
        <f t="shared" si="0"/>
        <v>7688.68</v>
      </c>
      <c r="M25" s="2"/>
      <c r="N25" s="19">
        <f t="shared" si="1"/>
        <v>0</v>
      </c>
      <c r="O25" s="11"/>
      <c r="P25" s="2">
        <f>--7828.68</f>
        <v>7828.68</v>
      </c>
      <c r="Q25" s="2"/>
      <c r="R25" s="19"/>
      <c r="S25" s="2"/>
      <c r="T25" s="2"/>
      <c r="U25" s="2"/>
      <c r="V25" s="19"/>
      <c r="W25" s="2"/>
      <c r="X25" s="2">
        <f t="shared" si="2"/>
        <v>7828.68</v>
      </c>
      <c r="Y25" s="2"/>
      <c r="Z25" s="19">
        <f t="shared" si="3"/>
        <v>0</v>
      </c>
    </row>
    <row r="26" spans="1:26" s="24" customFormat="1" hidden="1" outlineLevel="1" x14ac:dyDescent="0.25">
      <c r="A26" s="44"/>
      <c r="B26" s="11" t="str">
        <f>CONCATENATE("          ", "4240", " - ", "SALES RETURN TAXABLE-LOGO CLOT")</f>
        <v xml:space="preserve">          4240 - SALES RETURN TAXABLE-LOGO CLOT</v>
      </c>
      <c r="C26" s="11"/>
      <c r="D26" s="2">
        <f>-3229.58</f>
        <v>-3229.58</v>
      </c>
      <c r="E26" s="2"/>
      <c r="F26" s="19"/>
      <c r="G26" s="2"/>
      <c r="H26" s="2"/>
      <c r="I26" s="2"/>
      <c r="J26" s="19"/>
      <c r="K26" s="2"/>
      <c r="L26" s="2">
        <f t="shared" si="0"/>
        <v>-3229.58</v>
      </c>
      <c r="M26" s="2"/>
      <c r="N26" s="19">
        <f t="shared" si="1"/>
        <v>0</v>
      </c>
      <c r="O26" s="11"/>
      <c r="P26" s="2">
        <f>-61562.58</f>
        <v>-61562.58</v>
      </c>
      <c r="Q26" s="2"/>
      <c r="R26" s="19"/>
      <c r="S26" s="2"/>
      <c r="T26" s="2"/>
      <c r="U26" s="2"/>
      <c r="V26" s="19"/>
      <c r="W26" s="2"/>
      <c r="X26" s="2">
        <f t="shared" si="2"/>
        <v>-61562.58</v>
      </c>
      <c r="Y26" s="2"/>
      <c r="Z26" s="19">
        <f t="shared" si="3"/>
        <v>0</v>
      </c>
    </row>
    <row r="27" spans="1:26" s="24" customFormat="1" hidden="1" outlineLevel="1" x14ac:dyDescent="0.25">
      <c r="A27" s="44"/>
      <c r="B27" s="11" t="str">
        <f>CONCATENATE("          ", "4241", " - ", "SALES RETURN TAXABLE-LOGO GIFT")</f>
        <v xml:space="preserve">          4241 - SALES RETURN TAXABLE-LOGO GIFT</v>
      </c>
      <c r="C27" s="11"/>
      <c r="D27" s="2">
        <f>-1133.39</f>
        <v>-1133.3900000000001</v>
      </c>
      <c r="E27" s="2"/>
      <c r="F27" s="19"/>
      <c r="G27" s="2"/>
      <c r="H27" s="2"/>
      <c r="I27" s="2"/>
      <c r="J27" s="19"/>
      <c r="K27" s="2"/>
      <c r="L27" s="2">
        <f t="shared" si="0"/>
        <v>-1133.3900000000001</v>
      </c>
      <c r="M27" s="2"/>
      <c r="N27" s="19">
        <f t="shared" si="1"/>
        <v>0</v>
      </c>
      <c r="O27" s="11"/>
      <c r="P27" s="2">
        <f>-5145.76</f>
        <v>-5145.76</v>
      </c>
      <c r="Q27" s="2"/>
      <c r="R27" s="19"/>
      <c r="S27" s="2"/>
      <c r="T27" s="2"/>
      <c r="U27" s="2"/>
      <c r="V27" s="19"/>
      <c r="W27" s="2"/>
      <c r="X27" s="2">
        <f t="shared" si="2"/>
        <v>-5145.76</v>
      </c>
      <c r="Y27" s="2"/>
      <c r="Z27" s="19">
        <f t="shared" si="3"/>
        <v>0</v>
      </c>
    </row>
    <row r="28" spans="1:26" s="24" customFormat="1" hidden="1" outlineLevel="1" x14ac:dyDescent="0.25">
      <c r="A28" s="44"/>
      <c r="B28" s="11" t="str">
        <f>CONCATENATE("          ", "4242", " - ", "SALES RETURN TAXABLE-EVERYDAY")</f>
        <v xml:space="preserve">          4242 - SALES RETURN TAXABLE-EVERYDAY</v>
      </c>
      <c r="C28" s="11"/>
      <c r="D28" s="2">
        <f t="shared" ref="D28:D29" si="4">0</f>
        <v>0</v>
      </c>
      <c r="E28" s="2"/>
      <c r="F28" s="19"/>
      <c r="G28" s="2"/>
      <c r="H28" s="2"/>
      <c r="I28" s="2"/>
      <c r="J28" s="19"/>
      <c r="K28" s="2"/>
      <c r="L28" s="2">
        <f t="shared" si="0"/>
        <v>0</v>
      </c>
      <c r="M28" s="2"/>
      <c r="N28" s="19">
        <f t="shared" si="1"/>
        <v>0</v>
      </c>
      <c r="O28" s="11"/>
      <c r="P28" s="2">
        <f>-3103.4</f>
        <v>-3103.4</v>
      </c>
      <c r="Q28" s="2"/>
      <c r="R28" s="19"/>
      <c r="S28" s="2"/>
      <c r="T28" s="2"/>
      <c r="U28" s="2"/>
      <c r="V28" s="19"/>
      <c r="W28" s="2"/>
      <c r="X28" s="2">
        <f t="shared" si="2"/>
        <v>-3103.4</v>
      </c>
      <c r="Y28" s="2"/>
      <c r="Z28" s="19">
        <f t="shared" si="3"/>
        <v>0</v>
      </c>
    </row>
    <row r="29" spans="1:26" s="24" customFormat="1" hidden="1" outlineLevel="1" x14ac:dyDescent="0.25">
      <c r="A29" s="44"/>
      <c r="B29" s="11" t="str">
        <f>CONCATENATE("          ", "4243", " - ", "SALES RETURN TAXABLE-CARDS")</f>
        <v xml:space="preserve">          4243 - SALES RETURN TAXABLE-CARDS</v>
      </c>
      <c r="C29" s="11"/>
      <c r="D29" s="2">
        <f t="shared" si="4"/>
        <v>0</v>
      </c>
      <c r="E29" s="2"/>
      <c r="F29" s="19"/>
      <c r="G29" s="2"/>
      <c r="H29" s="2"/>
      <c r="I29" s="2"/>
      <c r="J29" s="19"/>
      <c r="K29" s="2"/>
      <c r="L29" s="2">
        <f t="shared" si="0"/>
        <v>0</v>
      </c>
      <c r="M29" s="2"/>
      <c r="N29" s="19">
        <f t="shared" si="1"/>
        <v>0</v>
      </c>
      <c r="O29" s="11"/>
      <c r="P29" s="2">
        <f>-3006.31</f>
        <v>-3006.31</v>
      </c>
      <c r="Q29" s="2"/>
      <c r="R29" s="19"/>
      <c r="S29" s="2"/>
      <c r="T29" s="2"/>
      <c r="U29" s="2"/>
      <c r="V29" s="19"/>
      <c r="W29" s="2"/>
      <c r="X29" s="2">
        <f t="shared" si="2"/>
        <v>-3006.31</v>
      </c>
      <c r="Y29" s="2"/>
      <c r="Z29" s="19">
        <f t="shared" si="3"/>
        <v>0</v>
      </c>
    </row>
    <row r="30" spans="1:26" s="24" customFormat="1" hidden="1" outlineLevel="1" x14ac:dyDescent="0.25">
      <c r="A30" s="44"/>
      <c r="B30" s="11" t="str">
        <f>CONCATENATE("          ", "4244", " - ", "SALES RETURN TAXABLE-ACCESSORI")</f>
        <v xml:space="preserve">          4244 - SALES RETURN TAXABLE-ACCESSORI</v>
      </c>
      <c r="C30" s="11"/>
      <c r="D30" s="2">
        <f>-255.71</f>
        <v>-255.71</v>
      </c>
      <c r="E30" s="2"/>
      <c r="F30" s="19"/>
      <c r="G30" s="2"/>
      <c r="H30" s="2"/>
      <c r="I30" s="2"/>
      <c r="J30" s="19"/>
      <c r="K30" s="2"/>
      <c r="L30" s="2">
        <f t="shared" si="0"/>
        <v>-255.71</v>
      </c>
      <c r="M30" s="2"/>
      <c r="N30" s="19">
        <f t="shared" si="1"/>
        <v>0</v>
      </c>
      <c r="O30" s="11"/>
      <c r="P30" s="2">
        <f>-2595.61</f>
        <v>-2595.61</v>
      </c>
      <c r="Q30" s="2"/>
      <c r="R30" s="19"/>
      <c r="S30" s="2"/>
      <c r="T30" s="2"/>
      <c r="U30" s="2"/>
      <c r="V30" s="19"/>
      <c r="W30" s="2"/>
      <c r="X30" s="2">
        <f t="shared" si="2"/>
        <v>-2595.61</v>
      </c>
      <c r="Y30" s="2"/>
      <c r="Z30" s="19">
        <f t="shared" si="3"/>
        <v>0</v>
      </c>
    </row>
    <row r="31" spans="1:26" s="24" customFormat="1" hidden="1" outlineLevel="1" x14ac:dyDescent="0.25">
      <c r="A31" s="44"/>
      <c r="B31" s="11" t="str">
        <f>CONCATENATE("          ", "4245", " - ", "SALES RETURN TAXABLE-SPECIAL O")</f>
        <v xml:space="preserve">          4245 - SALES RETURN TAXABLE-SPECIAL O</v>
      </c>
      <c r="C31" s="11"/>
      <c r="D31" s="2">
        <f>-175</f>
        <v>-175</v>
      </c>
      <c r="E31" s="2"/>
      <c r="F31" s="19"/>
      <c r="G31" s="2"/>
      <c r="H31" s="2"/>
      <c r="I31" s="2"/>
      <c r="J31" s="19"/>
      <c r="K31" s="2"/>
      <c r="L31" s="2">
        <f t="shared" si="0"/>
        <v>-175</v>
      </c>
      <c r="M31" s="2"/>
      <c r="N31" s="19">
        <f t="shared" si="1"/>
        <v>0</v>
      </c>
      <c r="O31" s="11"/>
      <c r="P31" s="2">
        <f>-1900.04</f>
        <v>-1900.04</v>
      </c>
      <c r="Q31" s="2"/>
      <c r="R31" s="19"/>
      <c r="S31" s="2"/>
      <c r="T31" s="2"/>
      <c r="U31" s="2"/>
      <c r="V31" s="19"/>
      <c r="W31" s="2"/>
      <c r="X31" s="2">
        <f t="shared" si="2"/>
        <v>-1900.04</v>
      </c>
      <c r="Y31" s="2"/>
      <c r="Z31" s="19">
        <f t="shared" si="3"/>
        <v>0</v>
      </c>
    </row>
    <row r="32" spans="1:26" s="24" customFormat="1" hidden="1" outlineLevel="1" x14ac:dyDescent="0.25">
      <c r="A32" s="44"/>
      <c r="B32" s="11" t="str">
        <f>CONCATENATE("          ", "4340", " - ", "SALES RETURN NON TAXABLE-LOGO")</f>
        <v xml:space="preserve">          4340 - SALES RETURN NON TAXABLE-LOGO</v>
      </c>
      <c r="C32" s="11"/>
      <c r="D32" s="2">
        <f>-598.43</f>
        <v>-598.42999999999995</v>
      </c>
      <c r="E32" s="2"/>
      <c r="F32" s="19"/>
      <c r="G32" s="2"/>
      <c r="H32" s="2"/>
      <c r="I32" s="2"/>
      <c r="J32" s="19"/>
      <c r="K32" s="2"/>
      <c r="L32" s="2">
        <f t="shared" si="0"/>
        <v>-598.42999999999995</v>
      </c>
      <c r="M32" s="2"/>
      <c r="N32" s="19">
        <f t="shared" si="1"/>
        <v>0</v>
      </c>
      <c r="O32" s="11"/>
      <c r="P32" s="2">
        <f>-1618.83</f>
        <v>-1618.83</v>
      </c>
      <c r="Q32" s="2"/>
      <c r="R32" s="19"/>
      <c r="S32" s="2"/>
      <c r="T32" s="2"/>
      <c r="U32" s="2"/>
      <c r="V32" s="19"/>
      <c r="W32" s="2"/>
      <c r="X32" s="2">
        <f t="shared" si="2"/>
        <v>-1618.83</v>
      </c>
      <c r="Y32" s="2"/>
      <c r="Z32" s="19">
        <f t="shared" si="3"/>
        <v>0</v>
      </c>
    </row>
    <row r="33" spans="1:26" s="24" customFormat="1" hidden="1" outlineLevel="1" x14ac:dyDescent="0.25">
      <c r="A33" s="44"/>
      <c r="B33" s="11" t="str">
        <f>CONCATENATE("          ", "4341", " - ", "SALES RETURN NON TAXABLE-LOGO")</f>
        <v xml:space="preserve">          4341 - SALES RETURN NON TAXABLE-LOGO</v>
      </c>
      <c r="C33" s="11"/>
      <c r="D33" s="2">
        <f>-39.95</f>
        <v>-39.950000000000003</v>
      </c>
      <c r="E33" s="2"/>
      <c r="F33" s="19"/>
      <c r="G33" s="2"/>
      <c r="H33" s="2"/>
      <c r="I33" s="2"/>
      <c r="J33" s="19"/>
      <c r="K33" s="2"/>
      <c r="L33" s="2">
        <f t="shared" si="0"/>
        <v>-39.950000000000003</v>
      </c>
      <c r="M33" s="2"/>
      <c r="N33" s="19">
        <f t="shared" si="1"/>
        <v>0</v>
      </c>
      <c r="O33" s="11"/>
      <c r="P33" s="2">
        <f>-285.45</f>
        <v>-285.45</v>
      </c>
      <c r="Q33" s="2"/>
      <c r="R33" s="19"/>
      <c r="S33" s="2"/>
      <c r="T33" s="2"/>
      <c r="U33" s="2"/>
      <c r="V33" s="19"/>
      <c r="W33" s="2"/>
      <c r="X33" s="2">
        <f t="shared" si="2"/>
        <v>-285.45</v>
      </c>
      <c r="Y33" s="2"/>
      <c r="Z33" s="19">
        <f t="shared" si="3"/>
        <v>0</v>
      </c>
    </row>
    <row r="34" spans="1:26" s="24" customFormat="1" hidden="1" outlineLevel="1" x14ac:dyDescent="0.25">
      <c r="A34" s="44"/>
      <c r="B34" s="11" t="str">
        <f>CONCATENATE("          ", "4342", " - ", "SALES RETURN NON TAXABLE-EVERY")</f>
        <v xml:space="preserve">          4342 - SALES RETURN NON TAXABLE-EVERY</v>
      </c>
      <c r="C34" s="11"/>
      <c r="D34" s="2">
        <f>0</f>
        <v>0</v>
      </c>
      <c r="E34" s="2"/>
      <c r="F34" s="19"/>
      <c r="G34" s="2"/>
      <c r="H34" s="2"/>
      <c r="I34" s="2"/>
      <c r="J34" s="19"/>
      <c r="K34" s="2"/>
      <c r="L34" s="2">
        <f t="shared" si="0"/>
        <v>0</v>
      </c>
      <c r="M34" s="2"/>
      <c r="N34" s="19">
        <f t="shared" si="1"/>
        <v>0</v>
      </c>
      <c r="O34" s="11"/>
      <c r="P34" s="2">
        <f>-109.8</f>
        <v>-109.8</v>
      </c>
      <c r="Q34" s="2"/>
      <c r="R34" s="19"/>
      <c r="S34" s="2"/>
      <c r="T34" s="2"/>
      <c r="U34" s="2"/>
      <c r="V34" s="19"/>
      <c r="W34" s="2"/>
      <c r="X34" s="2">
        <f t="shared" si="2"/>
        <v>-109.8</v>
      </c>
      <c r="Y34" s="2"/>
      <c r="Z34" s="19">
        <f t="shared" si="3"/>
        <v>0</v>
      </c>
    </row>
    <row r="35" spans="1:26" x14ac:dyDescent="0.25">
      <c r="A35" s="9"/>
      <c r="B35" s="10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collapsed="1" x14ac:dyDescent="0.25">
      <c r="A36" s="10"/>
      <c r="B36" s="28" t="s">
        <v>8</v>
      </c>
      <c r="C36" s="10"/>
      <c r="D36" s="4">
        <f>SUM(OSRRefD16x_0)</f>
        <v>89971.280000000013</v>
      </c>
      <c r="E36" s="4"/>
      <c r="F36" s="13">
        <f t="shared" ref="F36:F52" si="5">IF(D$12=0,0,D36/D$12)</f>
        <v>0.50130045416718105</v>
      </c>
      <c r="G36" s="4"/>
      <c r="H36" s="4">
        <f>SUM(OSRRefH16x_0)</f>
        <v>231809</v>
      </c>
      <c r="I36" s="4"/>
      <c r="J36" s="13">
        <f t="shared" ref="J36:J52" si="6">IF(H$12=0,0,H36/H$12)</f>
        <v>0.48350151635873667</v>
      </c>
      <c r="K36" s="4"/>
      <c r="L36" s="4">
        <f t="shared" ref="L36:L52" si="7">+D36-H36</f>
        <v>-141837.71999999997</v>
      </c>
      <c r="M36" s="4"/>
      <c r="N36" s="13">
        <f t="shared" ref="N36:N52" si="8">IF(H36=0,0,L36/H36)</f>
        <v>-0.61187322321393889</v>
      </c>
      <c r="O36" s="10"/>
      <c r="P36" s="4">
        <f>SUM(OSRRefP16x_0)</f>
        <v>1097477.5000000002</v>
      </c>
      <c r="Q36" s="4"/>
      <c r="R36" s="13">
        <f t="shared" ref="R36:R52" si="9">IF(P$12=0,0,P36/P$12)</f>
        <v>0.46948638885709842</v>
      </c>
      <c r="S36" s="4"/>
      <c r="T36" s="4">
        <f>SUM(OSRRefT16x_0)</f>
        <v>1432379</v>
      </c>
      <c r="U36" s="4"/>
      <c r="V36" s="13">
        <f t="shared" ref="V36:V52" si="10">IF(T$12=0,0,T36/T$12)</f>
        <v>0.4564574507478249</v>
      </c>
      <c r="W36" s="4"/>
      <c r="X36" s="4">
        <f t="shared" ref="X36:X52" si="11">+P36-T36</f>
        <v>-334901.49999999977</v>
      </c>
      <c r="Y36" s="4"/>
      <c r="Z36" s="13">
        <f t="shared" ref="Z36:Z52" si="12">IF(T36=0,0,X36/T36)</f>
        <v>-0.23380788185249837</v>
      </c>
    </row>
    <row r="37" spans="1:26" s="24" customFormat="1" hidden="1" outlineLevel="1" x14ac:dyDescent="0.25">
      <c r="A37" s="44"/>
      <c r="B37" s="11" t="str">
        <f>CONCATENATE("          ", "5000", " - ", "PURCHASES @ COST")</f>
        <v xml:space="preserve">          5000 - PURCHASES @ COST</v>
      </c>
      <c r="C37" s="11"/>
      <c r="D37" s="2"/>
      <c r="E37" s="2"/>
      <c r="F37" s="19">
        <f t="shared" si="5"/>
        <v>0</v>
      </c>
      <c r="G37" s="2"/>
      <c r="H37" s="2">
        <v>231809</v>
      </c>
      <c r="I37" s="2"/>
      <c r="J37" s="19">
        <f t="shared" si="6"/>
        <v>0.48350151635873667</v>
      </c>
      <c r="K37" s="2"/>
      <c r="L37" s="2">
        <f t="shared" si="7"/>
        <v>-231809</v>
      </c>
      <c r="M37" s="2"/>
      <c r="N37" s="19">
        <f t="shared" si="8"/>
        <v>-1</v>
      </c>
      <c r="O37" s="11"/>
      <c r="P37" s="2"/>
      <c r="Q37" s="2"/>
      <c r="R37" s="19">
        <f t="shared" si="9"/>
        <v>0</v>
      </c>
      <c r="S37" s="2"/>
      <c r="T37" s="2">
        <v>1432379</v>
      </c>
      <c r="U37" s="2"/>
      <c r="V37" s="19">
        <f t="shared" si="10"/>
        <v>0.4564574507478249</v>
      </c>
      <c r="W37" s="2"/>
      <c r="X37" s="2">
        <f t="shared" si="11"/>
        <v>-1432379</v>
      </c>
      <c r="Y37" s="2"/>
      <c r="Z37" s="19">
        <f t="shared" si="12"/>
        <v>-1</v>
      </c>
    </row>
    <row r="38" spans="1:26" s="24" customFormat="1" hidden="1" outlineLevel="1" x14ac:dyDescent="0.25">
      <c r="A38" s="44"/>
      <c r="B38" s="11" t="str">
        <f>CONCATENATE("          ", "5040", " - ", "PURCHASES @ COST-LOGO CLOTHING")</f>
        <v xml:space="preserve">          5040 - PURCHASES @ COST-LOGO CLOTHING</v>
      </c>
      <c r="C38" s="11"/>
      <c r="D38" s="2">
        <v>33887.879999999997</v>
      </c>
      <c r="E38" s="2"/>
      <c r="F38" s="19">
        <f t="shared" si="5"/>
        <v>0.1888159158651842</v>
      </c>
      <c r="G38" s="2"/>
      <c r="H38" s="2"/>
      <c r="I38" s="2"/>
      <c r="J38" s="19">
        <f t="shared" si="6"/>
        <v>0</v>
      </c>
      <c r="K38" s="2"/>
      <c r="L38" s="2">
        <f t="shared" si="7"/>
        <v>33887.879999999997</v>
      </c>
      <c r="M38" s="2"/>
      <c r="N38" s="19">
        <f t="shared" si="8"/>
        <v>0</v>
      </c>
      <c r="O38" s="11"/>
      <c r="P38" s="2">
        <v>812810.5</v>
      </c>
      <c r="Q38" s="2"/>
      <c r="R38" s="19">
        <f t="shared" si="9"/>
        <v>0.34770960358652686</v>
      </c>
      <c r="S38" s="2"/>
      <c r="T38" s="2"/>
      <c r="U38" s="2"/>
      <c r="V38" s="19">
        <f t="shared" si="10"/>
        <v>0</v>
      </c>
      <c r="W38" s="2"/>
      <c r="X38" s="2">
        <f t="shared" si="11"/>
        <v>812810.5</v>
      </c>
      <c r="Y38" s="2"/>
      <c r="Z38" s="19">
        <f t="shared" si="12"/>
        <v>0</v>
      </c>
    </row>
    <row r="39" spans="1:26" s="24" customFormat="1" hidden="1" outlineLevel="1" x14ac:dyDescent="0.25">
      <c r="A39" s="44"/>
      <c r="B39" s="11" t="str">
        <f>CONCATENATE("          ", "5041", " - ", "PURCHASES @ COST-LOGO GIFTS")</f>
        <v xml:space="preserve">          5041 - PURCHASES @ COST-LOGO GIFTS</v>
      </c>
      <c r="C39" s="11"/>
      <c r="D39" s="2">
        <v>6504.55</v>
      </c>
      <c r="E39" s="2"/>
      <c r="F39" s="19">
        <f t="shared" si="5"/>
        <v>3.6241941530154261E-2</v>
      </c>
      <c r="G39" s="2"/>
      <c r="H39" s="2"/>
      <c r="I39" s="2"/>
      <c r="J39" s="19">
        <f t="shared" si="6"/>
        <v>0</v>
      </c>
      <c r="K39" s="2"/>
      <c r="L39" s="2">
        <f t="shared" si="7"/>
        <v>6504.55</v>
      </c>
      <c r="M39" s="2"/>
      <c r="N39" s="19">
        <f t="shared" si="8"/>
        <v>0</v>
      </c>
      <c r="O39" s="11"/>
      <c r="P39" s="2">
        <v>124983.66</v>
      </c>
      <c r="Q39" s="2"/>
      <c r="R39" s="19">
        <f t="shared" si="9"/>
        <v>5.346636008441482E-2</v>
      </c>
      <c r="S39" s="2"/>
      <c r="T39" s="2"/>
      <c r="U39" s="2"/>
      <c r="V39" s="19">
        <f t="shared" si="10"/>
        <v>0</v>
      </c>
      <c r="W39" s="2"/>
      <c r="X39" s="2">
        <f t="shared" si="11"/>
        <v>124983.66</v>
      </c>
      <c r="Y39" s="2"/>
      <c r="Z39" s="19">
        <f t="shared" si="12"/>
        <v>0</v>
      </c>
    </row>
    <row r="40" spans="1:26" s="24" customFormat="1" hidden="1" outlineLevel="1" x14ac:dyDescent="0.25">
      <c r="A40" s="44"/>
      <c r="B40" s="11" t="str">
        <f>CONCATENATE("          ", "5042", " - ", "PURCHASES @ COST-EVERYDAY GIFT")</f>
        <v xml:space="preserve">          5042 - PURCHASES @ COST-EVERYDAY GIFT</v>
      </c>
      <c r="C40" s="11"/>
      <c r="D40" s="2">
        <v>10895.09</v>
      </c>
      <c r="E40" s="2"/>
      <c r="F40" s="19">
        <f t="shared" si="5"/>
        <v>6.0705077944787626E-2</v>
      </c>
      <c r="G40" s="2"/>
      <c r="H40" s="2"/>
      <c r="I40" s="2"/>
      <c r="J40" s="19">
        <f t="shared" si="6"/>
        <v>0</v>
      </c>
      <c r="K40" s="2"/>
      <c r="L40" s="2">
        <f t="shared" si="7"/>
        <v>10895.09</v>
      </c>
      <c r="M40" s="2"/>
      <c r="N40" s="19">
        <f t="shared" si="8"/>
        <v>0</v>
      </c>
      <c r="O40" s="11"/>
      <c r="P40" s="2">
        <v>106262.5</v>
      </c>
      <c r="Q40" s="2"/>
      <c r="R40" s="19">
        <f t="shared" si="9"/>
        <v>4.5457694937643289E-2</v>
      </c>
      <c r="S40" s="2"/>
      <c r="T40" s="2"/>
      <c r="U40" s="2"/>
      <c r="V40" s="19">
        <f t="shared" si="10"/>
        <v>0</v>
      </c>
      <c r="W40" s="2"/>
      <c r="X40" s="2">
        <f t="shared" si="11"/>
        <v>106262.5</v>
      </c>
      <c r="Y40" s="2"/>
      <c r="Z40" s="19">
        <f t="shared" si="12"/>
        <v>0</v>
      </c>
    </row>
    <row r="41" spans="1:26" s="24" customFormat="1" hidden="1" outlineLevel="1" x14ac:dyDescent="0.25">
      <c r="A41" s="44"/>
      <c r="B41" s="11" t="str">
        <f>CONCATENATE("          ", "5043", " - ", "PURCHASES @ COST-CARDS")</f>
        <v xml:space="preserve">          5043 - PURCHASES @ COST-CARDS</v>
      </c>
      <c r="C41" s="11"/>
      <c r="D41" s="2"/>
      <c r="E41" s="2"/>
      <c r="F41" s="19">
        <f t="shared" si="5"/>
        <v>0</v>
      </c>
      <c r="G41" s="2"/>
      <c r="H41" s="2"/>
      <c r="I41" s="2"/>
      <c r="J41" s="19">
        <f t="shared" si="6"/>
        <v>0</v>
      </c>
      <c r="K41" s="2"/>
      <c r="L41" s="2">
        <f t="shared" si="7"/>
        <v>0</v>
      </c>
      <c r="M41" s="2"/>
      <c r="N41" s="19">
        <f t="shared" si="8"/>
        <v>0</v>
      </c>
      <c r="O41" s="11"/>
      <c r="P41" s="2">
        <v>30760.190000000002</v>
      </c>
      <c r="Q41" s="2"/>
      <c r="R41" s="19">
        <f t="shared" si="9"/>
        <v>1.3158803277204525E-2</v>
      </c>
      <c r="S41" s="2"/>
      <c r="T41" s="2"/>
      <c r="U41" s="2"/>
      <c r="V41" s="19">
        <f t="shared" si="10"/>
        <v>0</v>
      </c>
      <c r="W41" s="2"/>
      <c r="X41" s="2">
        <f t="shared" si="11"/>
        <v>30760.190000000002</v>
      </c>
      <c r="Y41" s="2"/>
      <c r="Z41" s="19">
        <f t="shared" si="12"/>
        <v>0</v>
      </c>
    </row>
    <row r="42" spans="1:26" s="24" customFormat="1" hidden="1" outlineLevel="1" x14ac:dyDescent="0.25">
      <c r="A42" s="44"/>
      <c r="B42" s="11" t="str">
        <f>CONCATENATE("          ", "5044", " - ", "PURCHASES @ COST-ACCESSORIES")</f>
        <v xml:space="preserve">          5044 - PURCHASES @ COST-ACCESSORIES</v>
      </c>
      <c r="C42" s="11"/>
      <c r="D42" s="2">
        <v>1486.8</v>
      </c>
      <c r="E42" s="2"/>
      <c r="F42" s="19">
        <f t="shared" si="5"/>
        <v>8.2841270598324798E-3</v>
      </c>
      <c r="G42" s="2"/>
      <c r="H42" s="2"/>
      <c r="I42" s="2"/>
      <c r="J42" s="19">
        <f t="shared" si="6"/>
        <v>0</v>
      </c>
      <c r="K42" s="2"/>
      <c r="L42" s="2">
        <f t="shared" si="7"/>
        <v>1486.8</v>
      </c>
      <c r="M42" s="2"/>
      <c r="N42" s="19">
        <f t="shared" si="8"/>
        <v>0</v>
      </c>
      <c r="O42" s="11"/>
      <c r="P42" s="2">
        <v>42341.88</v>
      </c>
      <c r="Q42" s="2"/>
      <c r="R42" s="19">
        <f t="shared" si="9"/>
        <v>1.8113297392083751E-2</v>
      </c>
      <c r="S42" s="2"/>
      <c r="T42" s="2"/>
      <c r="U42" s="2"/>
      <c r="V42" s="19">
        <f t="shared" si="10"/>
        <v>0</v>
      </c>
      <c r="W42" s="2"/>
      <c r="X42" s="2">
        <f t="shared" si="11"/>
        <v>42341.88</v>
      </c>
      <c r="Y42" s="2"/>
      <c r="Z42" s="19">
        <f t="shared" si="12"/>
        <v>0</v>
      </c>
    </row>
    <row r="43" spans="1:26" s="24" customFormat="1" hidden="1" outlineLevel="1" x14ac:dyDescent="0.25">
      <c r="A43" s="44"/>
      <c r="B43" s="11" t="str">
        <f>CONCATENATE("          ", "5045", " - ", "PURCHASES @ COST-SPECIAL ORDER")</f>
        <v xml:space="preserve">          5045 - PURCHASES @ COST-SPECIAL ORDER</v>
      </c>
      <c r="C43" s="11"/>
      <c r="D43" s="2">
        <v>16919.25</v>
      </c>
      <c r="E43" s="2"/>
      <c r="F43" s="19">
        <f t="shared" si="5"/>
        <v>9.4270390608737334E-2</v>
      </c>
      <c r="G43" s="2"/>
      <c r="H43" s="2"/>
      <c r="I43" s="2"/>
      <c r="J43" s="19">
        <f t="shared" si="6"/>
        <v>0</v>
      </c>
      <c r="K43" s="2"/>
      <c r="L43" s="2">
        <f t="shared" si="7"/>
        <v>16919.25</v>
      </c>
      <c r="M43" s="2"/>
      <c r="N43" s="19">
        <f t="shared" si="8"/>
        <v>0</v>
      </c>
      <c r="O43" s="11"/>
      <c r="P43" s="2">
        <v>79840.600000000006</v>
      </c>
      <c r="Q43" s="2"/>
      <c r="R43" s="19">
        <f t="shared" si="9"/>
        <v>3.41547548612013E-2</v>
      </c>
      <c r="S43" s="2"/>
      <c r="T43" s="2"/>
      <c r="U43" s="2"/>
      <c r="V43" s="19">
        <f t="shared" si="10"/>
        <v>0</v>
      </c>
      <c r="W43" s="2"/>
      <c r="X43" s="2">
        <f t="shared" si="11"/>
        <v>79840.600000000006</v>
      </c>
      <c r="Y43" s="2"/>
      <c r="Z43" s="19">
        <f t="shared" si="12"/>
        <v>0</v>
      </c>
    </row>
    <row r="44" spans="1:26" s="24" customFormat="1" hidden="1" outlineLevel="1" x14ac:dyDescent="0.25">
      <c r="A44" s="44"/>
      <c r="B44" s="11" t="str">
        <f>CONCATENATE("          ", "5200", " - ", "PURCHASES OFFSET")</f>
        <v xml:space="preserve">          5200 - PURCHASES OFFSET</v>
      </c>
      <c r="C44" s="11"/>
      <c r="D44" s="2">
        <v>-71377</v>
      </c>
      <c r="E44" s="2"/>
      <c r="F44" s="19">
        <f t="shared" si="5"/>
        <v>-0.39769715977243936</v>
      </c>
      <c r="G44" s="2"/>
      <c r="H44" s="2"/>
      <c r="I44" s="2"/>
      <c r="J44" s="19">
        <f t="shared" si="6"/>
        <v>0</v>
      </c>
      <c r="K44" s="2"/>
      <c r="L44" s="2">
        <f t="shared" si="7"/>
        <v>-71377</v>
      </c>
      <c r="M44" s="2"/>
      <c r="N44" s="19">
        <f t="shared" si="8"/>
        <v>0</v>
      </c>
      <c r="O44" s="11"/>
      <c r="P44" s="2">
        <v>-1241389</v>
      </c>
      <c r="Q44" s="2"/>
      <c r="R44" s="19">
        <f t="shared" si="9"/>
        <v>-0.53104982906430831</v>
      </c>
      <c r="S44" s="2"/>
      <c r="T44" s="2"/>
      <c r="U44" s="2"/>
      <c r="V44" s="19">
        <f t="shared" si="10"/>
        <v>0</v>
      </c>
      <c r="W44" s="2"/>
      <c r="X44" s="2">
        <f t="shared" si="11"/>
        <v>-1241389</v>
      </c>
      <c r="Y44" s="2"/>
      <c r="Z44" s="19">
        <f t="shared" si="12"/>
        <v>0</v>
      </c>
    </row>
    <row r="45" spans="1:26" s="24" customFormat="1" hidden="1" outlineLevel="1" x14ac:dyDescent="0.25">
      <c r="A45" s="44"/>
      <c r="B45" s="11" t="str">
        <f>CONCATENATE("          ", "5300", " - ", "COG$ OFFSET")</f>
        <v xml:space="preserve">          5300 - COG$ OFFSET</v>
      </c>
      <c r="C45" s="11"/>
      <c r="D45" s="2">
        <v>89972</v>
      </c>
      <c r="E45" s="2"/>
      <c r="F45" s="19">
        <f t="shared" si="5"/>
        <v>0.5013044658509872</v>
      </c>
      <c r="G45" s="2"/>
      <c r="H45" s="2"/>
      <c r="I45" s="2"/>
      <c r="J45" s="19">
        <f t="shared" si="6"/>
        <v>0</v>
      </c>
      <c r="K45" s="2"/>
      <c r="L45" s="2">
        <f t="shared" si="7"/>
        <v>89972</v>
      </c>
      <c r="M45" s="2"/>
      <c r="N45" s="19">
        <f t="shared" si="8"/>
        <v>0</v>
      </c>
      <c r="O45" s="11"/>
      <c r="P45" s="2">
        <v>1097450</v>
      </c>
      <c r="Q45" s="2"/>
      <c r="R45" s="19">
        <f t="shared" si="9"/>
        <v>0.46947462472007179</v>
      </c>
      <c r="S45" s="2"/>
      <c r="T45" s="2"/>
      <c r="U45" s="2"/>
      <c r="V45" s="19">
        <f t="shared" si="10"/>
        <v>0</v>
      </c>
      <c r="W45" s="2"/>
      <c r="X45" s="2">
        <f t="shared" si="11"/>
        <v>1097450</v>
      </c>
      <c r="Y45" s="2"/>
      <c r="Z45" s="19">
        <f t="shared" si="12"/>
        <v>0</v>
      </c>
    </row>
    <row r="46" spans="1:26" s="24" customFormat="1" hidden="1" outlineLevel="1" x14ac:dyDescent="0.25">
      <c r="A46" s="44"/>
      <c r="B46" s="11" t="str">
        <f>CONCATENATE("          ", "5500", " - ", "FREIGHT-IN")</f>
        <v xml:space="preserve">          5500 - FREIGHT-IN</v>
      </c>
      <c r="C46" s="11"/>
      <c r="D46" s="2"/>
      <c r="E46" s="2"/>
      <c r="F46" s="19">
        <f t="shared" si="5"/>
        <v>0</v>
      </c>
      <c r="G46" s="2"/>
      <c r="H46" s="2"/>
      <c r="I46" s="2"/>
      <c r="J46" s="19">
        <f t="shared" si="6"/>
        <v>0</v>
      </c>
      <c r="K46" s="2"/>
      <c r="L46" s="2">
        <f t="shared" si="7"/>
        <v>0</v>
      </c>
      <c r="M46" s="2"/>
      <c r="N46" s="19">
        <f t="shared" si="8"/>
        <v>0</v>
      </c>
      <c r="O46" s="11"/>
      <c r="P46" s="2">
        <v>29.23</v>
      </c>
      <c r="Q46" s="2"/>
      <c r="R46" s="19">
        <f t="shared" si="9"/>
        <v>1.2504208192234451E-5</v>
      </c>
      <c r="S46" s="2"/>
      <c r="T46" s="2"/>
      <c r="U46" s="2"/>
      <c r="V46" s="19">
        <f t="shared" si="10"/>
        <v>0</v>
      </c>
      <c r="W46" s="2"/>
      <c r="X46" s="2">
        <f t="shared" si="11"/>
        <v>29.23</v>
      </c>
      <c r="Y46" s="2"/>
      <c r="Z46" s="19">
        <f t="shared" si="12"/>
        <v>0</v>
      </c>
    </row>
    <row r="47" spans="1:26" s="24" customFormat="1" hidden="1" outlineLevel="1" x14ac:dyDescent="0.25">
      <c r="A47" s="44"/>
      <c r="B47" s="11" t="str">
        <f>CONCATENATE("          ", "5540", " - ", "FREIGHT-IN-LOGO CLOTHING")</f>
        <v xml:space="preserve">          5540 - FREIGHT-IN-LOGO CLOTHING</v>
      </c>
      <c r="C47" s="11"/>
      <c r="D47" s="2">
        <v>782.02</v>
      </c>
      <c r="E47" s="2"/>
      <c r="F47" s="19">
        <f t="shared" si="5"/>
        <v>4.3572457918551223E-3</v>
      </c>
      <c r="G47" s="2"/>
      <c r="H47" s="2"/>
      <c r="I47" s="2"/>
      <c r="J47" s="19">
        <f t="shared" si="6"/>
        <v>0</v>
      </c>
      <c r="K47" s="2"/>
      <c r="L47" s="2">
        <f t="shared" si="7"/>
        <v>782.02</v>
      </c>
      <c r="M47" s="2"/>
      <c r="N47" s="19">
        <f t="shared" si="8"/>
        <v>0</v>
      </c>
      <c r="O47" s="11"/>
      <c r="P47" s="2">
        <v>32462.809999999998</v>
      </c>
      <c r="Q47" s="2"/>
      <c r="R47" s="19">
        <f t="shared" si="9"/>
        <v>1.3887161640265154E-2</v>
      </c>
      <c r="S47" s="2"/>
      <c r="T47" s="2"/>
      <c r="U47" s="2"/>
      <c r="V47" s="19">
        <f t="shared" si="10"/>
        <v>0</v>
      </c>
      <c r="W47" s="2"/>
      <c r="X47" s="2">
        <f t="shared" si="11"/>
        <v>32462.809999999998</v>
      </c>
      <c r="Y47" s="2"/>
      <c r="Z47" s="19">
        <f t="shared" si="12"/>
        <v>0</v>
      </c>
    </row>
    <row r="48" spans="1:26" s="24" customFormat="1" hidden="1" outlineLevel="1" x14ac:dyDescent="0.25">
      <c r="A48" s="44"/>
      <c r="B48" s="11" t="str">
        <f>CONCATENATE("          ", "5541", " - ", "FREIGHT-IN-LOGO GIFTS")</f>
        <v xml:space="preserve">          5541 - FREIGHT-IN-LOGO GIFTS</v>
      </c>
      <c r="C48" s="11"/>
      <c r="D48" s="2">
        <v>343.16</v>
      </c>
      <c r="E48" s="2"/>
      <c r="F48" s="19">
        <f t="shared" si="5"/>
        <v>1.9120130763062373E-3</v>
      </c>
      <c r="G48" s="2"/>
      <c r="H48" s="2"/>
      <c r="I48" s="2"/>
      <c r="J48" s="19">
        <f t="shared" si="6"/>
        <v>0</v>
      </c>
      <c r="K48" s="2"/>
      <c r="L48" s="2">
        <f t="shared" si="7"/>
        <v>343.16</v>
      </c>
      <c r="M48" s="2"/>
      <c r="N48" s="19">
        <f t="shared" si="8"/>
        <v>0</v>
      </c>
      <c r="O48" s="11"/>
      <c r="P48" s="2">
        <v>5226.1000000000004</v>
      </c>
      <c r="Q48" s="2"/>
      <c r="R48" s="19">
        <f t="shared" si="9"/>
        <v>2.2356566005281037E-3</v>
      </c>
      <c r="S48" s="2"/>
      <c r="T48" s="2"/>
      <c r="U48" s="2"/>
      <c r="V48" s="19">
        <f t="shared" si="10"/>
        <v>0</v>
      </c>
      <c r="W48" s="2"/>
      <c r="X48" s="2">
        <f t="shared" si="11"/>
        <v>5226.1000000000004</v>
      </c>
      <c r="Y48" s="2"/>
      <c r="Z48" s="19">
        <f t="shared" si="12"/>
        <v>0</v>
      </c>
    </row>
    <row r="49" spans="1:26" s="24" customFormat="1" hidden="1" outlineLevel="1" x14ac:dyDescent="0.25">
      <c r="A49" s="44"/>
      <c r="B49" s="11" t="str">
        <f>CONCATENATE("          ", "5542", " - ", "FREIGHT-IN-EVERYDAY GIFTS")</f>
        <v xml:space="preserve">          5542 - FREIGHT-IN-EVERYDAY GIFTS</v>
      </c>
      <c r="C49" s="11"/>
      <c r="D49" s="2">
        <v>384.47</v>
      </c>
      <c r="E49" s="2"/>
      <c r="F49" s="19">
        <f t="shared" si="5"/>
        <v>2.1421834346877816E-3</v>
      </c>
      <c r="G49" s="2"/>
      <c r="H49" s="2"/>
      <c r="I49" s="2"/>
      <c r="J49" s="19">
        <f t="shared" si="6"/>
        <v>0</v>
      </c>
      <c r="K49" s="2"/>
      <c r="L49" s="2">
        <f t="shared" si="7"/>
        <v>384.47</v>
      </c>
      <c r="M49" s="2"/>
      <c r="N49" s="19">
        <f t="shared" si="8"/>
        <v>0</v>
      </c>
      <c r="O49" s="11"/>
      <c r="P49" s="2">
        <v>2223.5100000000002</v>
      </c>
      <c r="Q49" s="2"/>
      <c r="R49" s="19">
        <f t="shared" si="9"/>
        <v>9.511882298157792E-4</v>
      </c>
      <c r="S49" s="2"/>
      <c r="T49" s="2"/>
      <c r="U49" s="2"/>
      <c r="V49" s="19">
        <f t="shared" si="10"/>
        <v>0</v>
      </c>
      <c r="W49" s="2"/>
      <c r="X49" s="2">
        <f t="shared" si="11"/>
        <v>2223.5100000000002</v>
      </c>
      <c r="Y49" s="2"/>
      <c r="Z49" s="19">
        <f t="shared" si="12"/>
        <v>0</v>
      </c>
    </row>
    <row r="50" spans="1:26" s="24" customFormat="1" hidden="1" outlineLevel="1" x14ac:dyDescent="0.25">
      <c r="A50" s="44"/>
      <c r="B50" s="11" t="str">
        <f>CONCATENATE("          ", "5543", " - ", "FREIGHT-IN-CARDS")</f>
        <v xml:space="preserve">          5543 - FREIGHT-IN-CARDS</v>
      </c>
      <c r="C50" s="11"/>
      <c r="D50" s="2"/>
      <c r="E50" s="2"/>
      <c r="F50" s="19">
        <f t="shared" si="5"/>
        <v>0</v>
      </c>
      <c r="G50" s="2"/>
      <c r="H50" s="2"/>
      <c r="I50" s="2"/>
      <c r="J50" s="19">
        <f t="shared" si="6"/>
        <v>0</v>
      </c>
      <c r="K50" s="2"/>
      <c r="L50" s="2">
        <f t="shared" si="7"/>
        <v>0</v>
      </c>
      <c r="M50" s="2"/>
      <c r="N50" s="19">
        <f t="shared" si="8"/>
        <v>0</v>
      </c>
      <c r="O50" s="11"/>
      <c r="P50" s="2">
        <v>2926.76</v>
      </c>
      <c r="Q50" s="2"/>
      <c r="R50" s="19">
        <f t="shared" si="9"/>
        <v>1.252029297595077E-3</v>
      </c>
      <c r="S50" s="2"/>
      <c r="T50" s="2"/>
      <c r="U50" s="2"/>
      <c r="V50" s="19">
        <f t="shared" si="10"/>
        <v>0</v>
      </c>
      <c r="W50" s="2"/>
      <c r="X50" s="2">
        <f t="shared" si="11"/>
        <v>2926.76</v>
      </c>
      <c r="Y50" s="2"/>
      <c r="Z50" s="19">
        <f t="shared" si="12"/>
        <v>0</v>
      </c>
    </row>
    <row r="51" spans="1:26" s="24" customFormat="1" hidden="1" outlineLevel="1" x14ac:dyDescent="0.25">
      <c r="A51" s="44"/>
      <c r="B51" s="11" t="str">
        <f>CONCATENATE("          ", "5544", " - ", "FREIGHT-IN-ACCESSORIES")</f>
        <v xml:space="preserve">          5544 - FREIGHT-IN-ACCESSORIES</v>
      </c>
      <c r="C51" s="11"/>
      <c r="D51" s="2"/>
      <c r="E51" s="2"/>
      <c r="F51" s="19">
        <f t="shared" si="5"/>
        <v>0</v>
      </c>
      <c r="G51" s="2"/>
      <c r="H51" s="2"/>
      <c r="I51" s="2"/>
      <c r="J51" s="19">
        <f t="shared" si="6"/>
        <v>0</v>
      </c>
      <c r="K51" s="2"/>
      <c r="L51" s="2">
        <f t="shared" si="7"/>
        <v>0</v>
      </c>
      <c r="M51" s="2"/>
      <c r="N51" s="19">
        <f t="shared" si="8"/>
        <v>0</v>
      </c>
      <c r="O51" s="11"/>
      <c r="P51" s="2">
        <v>483.44</v>
      </c>
      <c r="Q51" s="2"/>
      <c r="R51" s="19">
        <f t="shared" si="9"/>
        <v>2.0680925105897444E-4</v>
      </c>
      <c r="S51" s="2"/>
      <c r="T51" s="2"/>
      <c r="U51" s="2"/>
      <c r="V51" s="19">
        <f t="shared" si="10"/>
        <v>0</v>
      </c>
      <c r="W51" s="2"/>
      <c r="X51" s="2">
        <f t="shared" si="11"/>
        <v>483.44</v>
      </c>
      <c r="Y51" s="2"/>
      <c r="Z51" s="19">
        <f t="shared" si="12"/>
        <v>0</v>
      </c>
    </row>
    <row r="52" spans="1:26" s="24" customFormat="1" hidden="1" outlineLevel="1" x14ac:dyDescent="0.25">
      <c r="A52" s="44"/>
      <c r="B52" s="11" t="str">
        <f>CONCATENATE("          ", "5545", " - ", "FREIGHT-IN-SPECIAL ORDERS")</f>
        <v xml:space="preserve">          5545 - FREIGHT-IN-SPECIAL ORDERS</v>
      </c>
      <c r="C52" s="11"/>
      <c r="D52" s="2">
        <v>173.06</v>
      </c>
      <c r="E52" s="2"/>
      <c r="F52" s="19">
        <f t="shared" si="5"/>
        <v>9.6425277708811464E-4</v>
      </c>
      <c r="G52" s="2"/>
      <c r="H52" s="2"/>
      <c r="I52" s="2"/>
      <c r="J52" s="19">
        <f t="shared" si="6"/>
        <v>0</v>
      </c>
      <c r="K52" s="2"/>
      <c r="L52" s="2">
        <f t="shared" si="7"/>
        <v>173.06</v>
      </c>
      <c r="M52" s="2"/>
      <c r="N52" s="19">
        <f t="shared" si="8"/>
        <v>0</v>
      </c>
      <c r="O52" s="11"/>
      <c r="P52" s="2">
        <v>1065.32</v>
      </c>
      <c r="Q52" s="2"/>
      <c r="R52" s="19">
        <f t="shared" si="9"/>
        <v>4.5572983480503607E-4</v>
      </c>
      <c r="S52" s="2"/>
      <c r="T52" s="2"/>
      <c r="U52" s="2"/>
      <c r="V52" s="19">
        <f t="shared" si="10"/>
        <v>0</v>
      </c>
      <c r="W52" s="2"/>
      <c r="X52" s="2">
        <f t="shared" si="11"/>
        <v>1065.32</v>
      </c>
      <c r="Y52" s="2"/>
      <c r="Z52" s="19">
        <f t="shared" si="12"/>
        <v>0</v>
      </c>
    </row>
    <row r="53" spans="1:26" x14ac:dyDescent="0.25">
      <c r="A53" s="9"/>
      <c r="B53" s="10"/>
      <c r="C53" s="10"/>
      <c r="D53" s="3"/>
      <c r="E53" s="3"/>
      <c r="F53" s="8"/>
      <c r="G53" s="3"/>
      <c r="H53" s="3"/>
      <c r="I53" s="3"/>
      <c r="J53" s="8"/>
      <c r="K53" s="3"/>
      <c r="L53" s="3"/>
      <c r="M53" s="3"/>
      <c r="N53" s="8"/>
      <c r="O53" s="10"/>
      <c r="P53" s="3"/>
      <c r="Q53" s="3"/>
      <c r="R53" s="8"/>
      <c r="S53" s="3"/>
      <c r="T53" s="3"/>
      <c r="U53" s="3"/>
      <c r="V53" s="8"/>
      <c r="W53" s="3"/>
      <c r="X53" s="3"/>
      <c r="Y53" s="3"/>
      <c r="Z53" s="8"/>
    </row>
    <row r="54" spans="1:26" s="23" customFormat="1" x14ac:dyDescent="0.25">
      <c r="A54" s="10"/>
      <c r="B54" s="29" t="s">
        <v>6</v>
      </c>
      <c r="C54" s="29"/>
      <c r="D54" s="20">
        <f>D12-D36</f>
        <v>89504.480000000025</v>
      </c>
      <c r="E54" s="14"/>
      <c r="F54" s="22">
        <f>IF(D$12=0,0,D54/D$12)</f>
        <v>0.49869954583281889</v>
      </c>
      <c r="G54" s="14"/>
      <c r="H54" s="20">
        <f>H12-H36</f>
        <v>247629</v>
      </c>
      <c r="I54" s="14"/>
      <c r="J54" s="22">
        <f>IF(H$12=0,0,H54/H$12)</f>
        <v>0.51649848364126327</v>
      </c>
      <c r="K54" s="16"/>
      <c r="L54" s="20">
        <f>+D54-H54</f>
        <v>-158124.51999999996</v>
      </c>
      <c r="M54" s="16"/>
      <c r="N54" s="22">
        <f>IF(H54=0,0,L54/H54)</f>
        <v>-0.63855412734372774</v>
      </c>
      <c r="O54" s="28"/>
      <c r="P54" s="20">
        <f>P12-P36</f>
        <v>1240135.53</v>
      </c>
      <c r="Q54" s="14"/>
      <c r="R54" s="22">
        <f>IF(P$12=0,0,P54/P$12)</f>
        <v>0.53051361114290152</v>
      </c>
      <c r="S54" s="14"/>
      <c r="T54" s="20">
        <f>T12-T36</f>
        <v>1705655</v>
      </c>
      <c r="U54" s="14"/>
      <c r="V54" s="22">
        <f>IF(T$12=0,0,T54/T$12)</f>
        <v>0.54354254925217504</v>
      </c>
      <c r="W54" s="16"/>
      <c r="X54" s="20">
        <f>+P54-T54</f>
        <v>-465519.47</v>
      </c>
      <c r="Y54" s="16"/>
      <c r="Z54" s="22">
        <f>IF(T54=0,0,X54/T54)</f>
        <v>-0.27292709838742302</v>
      </c>
    </row>
    <row r="55" spans="1:26" x14ac:dyDescent="0.25">
      <c r="A55" s="9"/>
      <c r="B55" s="10"/>
      <c r="C55" s="9"/>
      <c r="D55" s="1"/>
      <c r="E55" s="1"/>
      <c r="F55" s="5"/>
      <c r="G55" s="1"/>
      <c r="H55" s="1"/>
      <c r="I55" s="1"/>
      <c r="J55" s="5"/>
      <c r="K55" s="1"/>
      <c r="L55" s="1"/>
      <c r="M55" s="1"/>
      <c r="N55" s="5"/>
      <c r="O55" s="36"/>
      <c r="P55" s="1"/>
      <c r="Q55" s="1"/>
      <c r="R55" s="5"/>
      <c r="S55" s="1"/>
      <c r="T55" s="1"/>
      <c r="U55" s="1"/>
      <c r="V55" s="5"/>
      <c r="W55" s="1"/>
      <c r="X55" s="1"/>
      <c r="Y55" s="1"/>
      <c r="Z55" s="5"/>
    </row>
    <row r="56" spans="1:26" s="23" customFormat="1" x14ac:dyDescent="0.25">
      <c r="A56" s="10"/>
      <c r="B56" s="28" t="s">
        <v>9</v>
      </c>
      <c r="C56" s="10"/>
      <c r="D56" s="21">
        <f>SUM(OSRRefD22x_0)</f>
        <v>62854.810000000005</v>
      </c>
      <c r="E56" s="21"/>
      <c r="F56" s="30">
        <f t="shared" ref="F56:F66" si="13">IF(D$12=0,0,D56/D$12)</f>
        <v>0.35021336586065993</v>
      </c>
      <c r="G56" s="21"/>
      <c r="H56" s="21">
        <f>SUM(OSRRefH22x_0)</f>
        <v>51514.15796424423</v>
      </c>
      <c r="I56" s="21"/>
      <c r="J56" s="30">
        <f t="shared" ref="J56:J66" si="14">IF(H$12=0,0,H56/H$12)</f>
        <v>0.10744696491359515</v>
      </c>
      <c r="K56" s="4"/>
      <c r="L56" s="21">
        <f t="shared" ref="L56:L66" si="15">+D56-H56</f>
        <v>11340.652035755775</v>
      </c>
      <c r="M56" s="4"/>
      <c r="N56" s="30">
        <f t="shared" ref="N56:N66" si="16">IF(H56=0,0,L56/H56)</f>
        <v>0.22014631479810415</v>
      </c>
      <c r="O56" s="10"/>
      <c r="P56" s="21">
        <f>SUM(OSRRefP22x_0)</f>
        <v>683398.83</v>
      </c>
      <c r="Q56" s="21"/>
      <c r="R56" s="30">
        <f t="shared" ref="R56:R66" si="17">IF(P$12=0,0,P56/P$12)</f>
        <v>0.29234899926956681</v>
      </c>
      <c r="S56" s="21"/>
      <c r="T56" s="21">
        <f>SUM(OSRRefT22x_0)</f>
        <v>666249.69981543079</v>
      </c>
      <c r="U56" s="21"/>
      <c r="V56" s="30">
        <f t="shared" ref="V56:V66" si="18">IF(T$12=0,0,T56/T$12)</f>
        <v>0.21231436619725305</v>
      </c>
      <c r="W56" s="4"/>
      <c r="X56" s="21">
        <f t="shared" ref="X56:X66" si="19">+P56-T56</f>
        <v>17149.130184569163</v>
      </c>
      <c r="Y56" s="4"/>
      <c r="Z56" s="30">
        <f t="shared" ref="Z56:Z66" si="20">IF(T56=0,0,X56/T56)</f>
        <v>2.5739794238286241E-2</v>
      </c>
    </row>
    <row r="57" spans="1:26" s="27" customFormat="1" outlineLevel="1" collapsed="1" x14ac:dyDescent="0.25">
      <c r="A57" s="25"/>
      <c r="B57" s="12" t="str">
        <f>CONCATENATE("     ","*Benefits                                         ")</f>
        <v xml:space="preserve">     *Benefits                                         </v>
      </c>
      <c r="C57" s="12"/>
      <c r="D57" s="1">
        <f>SUM(OSRRefD22_0x_0)</f>
        <v>4822.2</v>
      </c>
      <c r="E57" s="1"/>
      <c r="F57" s="5">
        <f t="shared" si="13"/>
        <v>2.6868252292120112E-2</v>
      </c>
      <c r="G57" s="1"/>
      <c r="H57" s="1">
        <f>SUM(OSRRefH22_0x_0)</f>
        <v>4205.9251084749994</v>
      </c>
      <c r="I57" s="1"/>
      <c r="J57" s="5">
        <f t="shared" si="14"/>
        <v>8.7726152463405063E-3</v>
      </c>
      <c r="K57" s="1"/>
      <c r="L57" s="1">
        <f t="shared" si="15"/>
        <v>616.27489152500038</v>
      </c>
      <c r="M57" s="1"/>
      <c r="N57" s="5">
        <f t="shared" si="16"/>
        <v>0.14652540775944814</v>
      </c>
      <c r="O57" s="12"/>
      <c r="P57" s="1">
        <f>SUM(OSRRefP22_0x_0)</f>
        <v>73846.240000000005</v>
      </c>
      <c r="Q57" s="1"/>
      <c r="R57" s="5">
        <f t="shared" si="17"/>
        <v>3.1590446772963104E-2</v>
      </c>
      <c r="S57" s="1"/>
      <c r="T57" s="1">
        <f>SUM(OSRRefT22_0x_0)</f>
        <v>49572.510546199999</v>
      </c>
      <c r="U57" s="1"/>
      <c r="V57" s="5">
        <f t="shared" si="18"/>
        <v>1.5797314670969148E-2</v>
      </c>
      <c r="W57" s="1"/>
      <c r="X57" s="1">
        <f t="shared" si="19"/>
        <v>24273.729453800006</v>
      </c>
      <c r="Y57" s="1"/>
      <c r="Z57" s="5">
        <f t="shared" si="20"/>
        <v>0.48966108809796238</v>
      </c>
    </row>
    <row r="58" spans="1:26" s="24" customFormat="1" hidden="1" outlineLevel="2" x14ac:dyDescent="0.25">
      <c r="A58" s="26"/>
      <c r="B58" s="11" t="str">
        <f>CONCATENATE("          ", "6111", " - ", "F.I.C.A.")</f>
        <v xml:space="preserve">          6111 - F.I.C.A.</v>
      </c>
      <c r="C58" s="11"/>
      <c r="D58" s="7">
        <v>973.91</v>
      </c>
      <c r="E58" s="2"/>
      <c r="F58" s="6">
        <f t="shared" si="13"/>
        <v>5.4264152440418678E-3</v>
      </c>
      <c r="G58" s="2"/>
      <c r="H58" s="7">
        <v>688.68491924423097</v>
      </c>
      <c r="I58" s="2"/>
      <c r="J58" s="6">
        <f t="shared" si="14"/>
        <v>1.436442082697306E-3</v>
      </c>
      <c r="K58" s="2"/>
      <c r="L58" s="7">
        <f t="shared" si="15"/>
        <v>285.225080755769</v>
      </c>
      <c r="M58" s="2"/>
      <c r="N58" s="6">
        <f t="shared" si="16"/>
        <v>0.41415903381299185</v>
      </c>
      <c r="O58" s="11"/>
      <c r="P58" s="7">
        <v>13786.37</v>
      </c>
      <c r="Q58" s="2"/>
      <c r="R58" s="6">
        <f t="shared" si="17"/>
        <v>5.897627119232818E-3</v>
      </c>
      <c r="S58" s="2"/>
      <c r="T58" s="7">
        <v>9987.0049934307699</v>
      </c>
      <c r="U58" s="2"/>
      <c r="V58" s="6">
        <f t="shared" si="18"/>
        <v>3.1825674908018109E-3</v>
      </c>
      <c r="W58" s="2"/>
      <c r="X58" s="7">
        <f t="shared" si="19"/>
        <v>3799.3650065692309</v>
      </c>
      <c r="Y58" s="2"/>
      <c r="Z58" s="6">
        <f t="shared" si="20"/>
        <v>0.38043087082347199</v>
      </c>
    </row>
    <row r="59" spans="1:26" s="24" customFormat="1" hidden="1" outlineLevel="2" x14ac:dyDescent="0.25">
      <c r="A59" s="26"/>
      <c r="B59" s="11" t="str">
        <f>CONCATENATE("          ", "6112", " - ", "COMPENSATION INSURANCE")</f>
        <v xml:space="preserve">          6112 - COMPENSATION INSURANCE</v>
      </c>
      <c r="C59" s="11"/>
      <c r="D59" s="7">
        <v>304.39</v>
      </c>
      <c r="E59" s="2"/>
      <c r="F59" s="6">
        <f t="shared" si="13"/>
        <v>1.6959950469077269E-3</v>
      </c>
      <c r="G59" s="2"/>
      <c r="H59" s="7">
        <v>450.34927211538496</v>
      </c>
      <c r="I59" s="2"/>
      <c r="J59" s="6">
        <f t="shared" si="14"/>
        <v>9.3932744612522357E-4</v>
      </c>
      <c r="K59" s="2"/>
      <c r="L59" s="7">
        <f t="shared" si="15"/>
        <v>-145.95927211538498</v>
      </c>
      <c r="M59" s="2"/>
      <c r="N59" s="6">
        <f t="shared" si="16"/>
        <v>-0.32410238264577107</v>
      </c>
      <c r="O59" s="11"/>
      <c r="P59" s="7">
        <v>4337.67</v>
      </c>
      <c r="Q59" s="2"/>
      <c r="R59" s="6">
        <f t="shared" si="17"/>
        <v>1.8555979729459326E-3</v>
      </c>
      <c r="S59" s="2"/>
      <c r="T59" s="7">
        <v>4955.5707703846192</v>
      </c>
      <c r="U59" s="2"/>
      <c r="V59" s="6">
        <f t="shared" si="18"/>
        <v>1.5791960094710953E-3</v>
      </c>
      <c r="W59" s="2"/>
      <c r="X59" s="7">
        <f t="shared" si="19"/>
        <v>-617.90077038461914</v>
      </c>
      <c r="Y59" s="2"/>
      <c r="Z59" s="6">
        <f t="shared" si="20"/>
        <v>-0.12468811344140318</v>
      </c>
    </row>
    <row r="60" spans="1:26" s="24" customFormat="1" hidden="1" outlineLevel="2" x14ac:dyDescent="0.25">
      <c r="A60" s="26"/>
      <c r="B60" s="11" t="str">
        <f>CONCATENATE("          ", "6113", " - ", "GROUP INSURANCE")</f>
        <v xml:space="preserve">          6113 - GROUP INSURANCE</v>
      </c>
      <c r="C60" s="11"/>
      <c r="D60" s="7">
        <v>1458.55</v>
      </c>
      <c r="E60" s="2"/>
      <c r="F60" s="6">
        <f t="shared" si="13"/>
        <v>8.1267241882692111E-3</v>
      </c>
      <c r="G60" s="2"/>
      <c r="H60" s="7">
        <v>1875.25</v>
      </c>
      <c r="I60" s="2"/>
      <c r="J60" s="6">
        <f t="shared" si="14"/>
        <v>3.911350372728069E-3</v>
      </c>
      <c r="K60" s="2"/>
      <c r="L60" s="7">
        <f t="shared" si="15"/>
        <v>-416.70000000000005</v>
      </c>
      <c r="M60" s="2"/>
      <c r="N60" s="6">
        <f t="shared" si="16"/>
        <v>-0.22221037195040663</v>
      </c>
      <c r="O60" s="11"/>
      <c r="P60" s="7">
        <v>21047.670000000002</v>
      </c>
      <c r="Q60" s="2"/>
      <c r="R60" s="6">
        <f t="shared" si="17"/>
        <v>9.0039154170868056E-3</v>
      </c>
      <c r="S60" s="2"/>
      <c r="T60" s="7">
        <v>20627.75</v>
      </c>
      <c r="U60" s="2"/>
      <c r="V60" s="6">
        <f t="shared" si="18"/>
        <v>6.5734628751632392E-3</v>
      </c>
      <c r="W60" s="2"/>
      <c r="X60" s="7">
        <f t="shared" si="19"/>
        <v>419.92000000000189</v>
      </c>
      <c r="Y60" s="2"/>
      <c r="Z60" s="6">
        <f t="shared" si="20"/>
        <v>2.0357043303317224E-2</v>
      </c>
    </row>
    <row r="61" spans="1:26" s="24" customFormat="1" hidden="1" outlineLevel="2" x14ac:dyDescent="0.25">
      <c r="A61" s="26"/>
      <c r="B61" s="11" t="str">
        <f>CONCATENATE("          ", "6114", " - ", "STATE UNEMPLOYMENT INSURANCE")</f>
        <v xml:space="preserve">          6114 - STATE UNEMPLOYMENT INSURANCE</v>
      </c>
      <c r="C61" s="11"/>
      <c r="D61" s="7">
        <v>41.65</v>
      </c>
      <c r="E61" s="2"/>
      <c r="F61" s="6">
        <f t="shared" si="13"/>
        <v>2.3206476462336748E-4</v>
      </c>
      <c r="G61" s="2"/>
      <c r="H61" s="7">
        <v>61.626742499999999</v>
      </c>
      <c r="I61" s="2"/>
      <c r="J61" s="6">
        <f t="shared" si="14"/>
        <v>1.2853954525924102E-4</v>
      </c>
      <c r="K61" s="2"/>
      <c r="L61" s="7">
        <f t="shared" si="15"/>
        <v>-19.9767425</v>
      </c>
      <c r="M61" s="2"/>
      <c r="N61" s="6">
        <f t="shared" si="16"/>
        <v>-0.32415704107676957</v>
      </c>
      <c r="O61" s="11"/>
      <c r="P61" s="7">
        <v>670.36</v>
      </c>
      <c r="Q61" s="2"/>
      <c r="R61" s="6">
        <f t="shared" si="17"/>
        <v>2.8677115989552809E-4</v>
      </c>
      <c r="S61" s="2"/>
      <c r="T61" s="7">
        <v>678.13073699999995</v>
      </c>
      <c r="U61" s="2"/>
      <c r="V61" s="6">
        <f t="shared" si="18"/>
        <v>2.1610050655920235E-4</v>
      </c>
      <c r="W61" s="2"/>
      <c r="X61" s="7">
        <f t="shared" si="19"/>
        <v>-7.7707369999999401</v>
      </c>
      <c r="Y61" s="2"/>
      <c r="Z61" s="6">
        <f t="shared" si="20"/>
        <v>-1.1459054391749154E-2</v>
      </c>
    </row>
    <row r="62" spans="1:26" s="24" customFormat="1" hidden="1" outlineLevel="2" x14ac:dyDescent="0.25">
      <c r="A62" s="26"/>
      <c r="B62" s="11" t="str">
        <f>CONCATENATE("          ", "6115", " - ", "P.E.R.S.")</f>
        <v xml:space="preserve">          6115 - P.E.R.S.</v>
      </c>
      <c r="C62" s="11"/>
      <c r="D62" s="7">
        <v>691.88</v>
      </c>
      <c r="E62" s="2"/>
      <c r="F62" s="6">
        <f t="shared" si="13"/>
        <v>3.8550052664493516E-3</v>
      </c>
      <c r="G62" s="2"/>
      <c r="H62" s="7">
        <v>609.49991115384591</v>
      </c>
      <c r="I62" s="2"/>
      <c r="J62" s="6">
        <f t="shared" si="14"/>
        <v>1.2712799384985043E-3</v>
      </c>
      <c r="K62" s="2"/>
      <c r="L62" s="7">
        <f t="shared" si="15"/>
        <v>82.380088846154081</v>
      </c>
      <c r="M62" s="2"/>
      <c r="N62" s="6">
        <f t="shared" si="16"/>
        <v>0.13516013265727983</v>
      </c>
      <c r="O62" s="11"/>
      <c r="P62" s="7">
        <v>8816.4</v>
      </c>
      <c r="Q62" s="2"/>
      <c r="R62" s="6">
        <f t="shared" si="17"/>
        <v>3.7715395520361208E-3</v>
      </c>
      <c r="S62" s="2"/>
      <c r="T62" s="7">
        <v>7313.9989338461537</v>
      </c>
      <c r="U62" s="2"/>
      <c r="V62" s="6">
        <f t="shared" si="18"/>
        <v>2.330758345462845E-3</v>
      </c>
      <c r="W62" s="2"/>
      <c r="X62" s="7">
        <f t="shared" si="19"/>
        <v>1502.4010661538459</v>
      </c>
      <c r="Y62" s="2"/>
      <c r="Z62" s="6">
        <f t="shared" si="20"/>
        <v>0.20541444970703468</v>
      </c>
    </row>
    <row r="63" spans="1:26" s="24" customFormat="1" hidden="1" outlineLevel="2" x14ac:dyDescent="0.25">
      <c r="A63" s="26"/>
      <c r="B63" s="11" t="str">
        <f>CONCATENATE("          ", "6116", " - ", "EDUCATIONAL BENEFITS")</f>
        <v xml:space="preserve">          6116 - EDUCATIONAL BENEFITS</v>
      </c>
      <c r="C63" s="11"/>
      <c r="D63" s="7"/>
      <c r="E63" s="2"/>
      <c r="F63" s="6">
        <f t="shared" si="13"/>
        <v>0</v>
      </c>
      <c r="G63" s="2"/>
      <c r="H63" s="7">
        <v>0</v>
      </c>
      <c r="I63" s="2"/>
      <c r="J63" s="6">
        <f t="shared" si="14"/>
        <v>0</v>
      </c>
      <c r="K63" s="2"/>
      <c r="L63" s="7">
        <f t="shared" si="15"/>
        <v>0</v>
      </c>
      <c r="M63" s="2"/>
      <c r="N63" s="6">
        <f t="shared" si="16"/>
        <v>0</v>
      </c>
      <c r="O63" s="11"/>
      <c r="P63" s="7"/>
      <c r="Q63" s="2"/>
      <c r="R63" s="6">
        <f t="shared" si="17"/>
        <v>0</v>
      </c>
      <c r="S63" s="2"/>
      <c r="T63" s="7">
        <v>0</v>
      </c>
      <c r="U63" s="2"/>
      <c r="V63" s="6">
        <f t="shared" si="18"/>
        <v>0</v>
      </c>
      <c r="W63" s="2"/>
      <c r="X63" s="7">
        <f t="shared" si="19"/>
        <v>0</v>
      </c>
      <c r="Y63" s="2"/>
      <c r="Z63" s="6">
        <f t="shared" si="20"/>
        <v>0</v>
      </c>
    </row>
    <row r="64" spans="1:26" s="24" customFormat="1" hidden="1" outlineLevel="2" x14ac:dyDescent="0.25">
      <c r="A64" s="26"/>
      <c r="B64" s="11" t="str">
        <f>CONCATENATE("          ", "6118", " - ", "VACATION")</f>
        <v xml:space="preserve">          6118 - VACATION</v>
      </c>
      <c r="C64" s="11"/>
      <c r="D64" s="7">
        <v>694.46</v>
      </c>
      <c r="E64" s="2"/>
      <c r="F64" s="6">
        <f t="shared" si="13"/>
        <v>3.8693804667549528E-3</v>
      </c>
      <c r="G64" s="2"/>
      <c r="H64" s="7">
        <v>212.616248076923</v>
      </c>
      <c r="I64" s="2"/>
      <c r="J64" s="6">
        <f t="shared" si="14"/>
        <v>4.4346974598785037E-4</v>
      </c>
      <c r="K64" s="2"/>
      <c r="L64" s="7">
        <f t="shared" si="15"/>
        <v>481.84375192307704</v>
      </c>
      <c r="M64" s="2"/>
      <c r="N64" s="6">
        <f t="shared" si="16"/>
        <v>2.2662602518917061</v>
      </c>
      <c r="O64" s="11"/>
      <c r="P64" s="7">
        <v>9774.48</v>
      </c>
      <c r="Q64" s="2"/>
      <c r="R64" s="6">
        <f t="shared" si="17"/>
        <v>4.1813935303055688E-3</v>
      </c>
      <c r="S64" s="2"/>
      <c r="T64" s="7">
        <v>2551.3949769230771</v>
      </c>
      <c r="U64" s="2"/>
      <c r="V64" s="6">
        <f t="shared" si="18"/>
        <v>8.1305523678936462E-4</v>
      </c>
      <c r="W64" s="2"/>
      <c r="X64" s="7">
        <f t="shared" si="19"/>
        <v>7223.0850230769229</v>
      </c>
      <c r="Y64" s="2"/>
      <c r="Z64" s="6">
        <f t="shared" si="20"/>
        <v>2.8310336456755882</v>
      </c>
    </row>
    <row r="65" spans="1:26" s="24" customFormat="1" hidden="1" outlineLevel="2" x14ac:dyDescent="0.25">
      <c r="A65" s="26"/>
      <c r="B65" s="11" t="str">
        <f>CONCATENATE("          ", "6119", " - ", "SICK LEAVE")</f>
        <v xml:space="preserve">          6119 - SICK LEAVE</v>
      </c>
      <c r="C65" s="11"/>
      <c r="D65" s="7">
        <v>489.36</v>
      </c>
      <c r="E65" s="2"/>
      <c r="F65" s="6">
        <f t="shared" si="13"/>
        <v>2.7266077602903028E-3</v>
      </c>
      <c r="G65" s="2"/>
      <c r="H65" s="7">
        <v>307.89801538461501</v>
      </c>
      <c r="I65" s="2"/>
      <c r="J65" s="6">
        <f t="shared" si="14"/>
        <v>6.4220611504431228E-4</v>
      </c>
      <c r="K65" s="2"/>
      <c r="L65" s="7">
        <f t="shared" si="15"/>
        <v>181.46198461538501</v>
      </c>
      <c r="M65" s="2"/>
      <c r="N65" s="6">
        <f t="shared" si="16"/>
        <v>0.58935743508677474</v>
      </c>
      <c r="O65" s="11"/>
      <c r="P65" s="7">
        <v>13286.01</v>
      </c>
      <c r="Q65" s="2"/>
      <c r="R65" s="6">
        <f t="shared" si="17"/>
        <v>5.6835797155014994E-3</v>
      </c>
      <c r="S65" s="2"/>
      <c r="T65" s="7">
        <v>3458.6601346153807</v>
      </c>
      <c r="U65" s="2"/>
      <c r="V65" s="6">
        <f t="shared" si="18"/>
        <v>1.1021742067215908E-3</v>
      </c>
      <c r="W65" s="2"/>
      <c r="X65" s="7">
        <f t="shared" si="19"/>
        <v>9827.34986538462</v>
      </c>
      <c r="Y65" s="2"/>
      <c r="Z65" s="6">
        <f t="shared" si="20"/>
        <v>2.8413748338639429</v>
      </c>
    </row>
    <row r="66" spans="1:26" s="24" customFormat="1" hidden="1" outlineLevel="2" x14ac:dyDescent="0.25">
      <c r="A66" s="26"/>
      <c r="B66" s="11" t="str">
        <f>CONCATENATE("          ", "6156", " - ", "EMPLOYEE MEALS")</f>
        <v xml:space="preserve">          6156 - EMPLOYEE MEALS</v>
      </c>
      <c r="C66" s="11"/>
      <c r="D66" s="7">
        <v>168</v>
      </c>
      <c r="E66" s="2"/>
      <c r="F66" s="6">
        <f t="shared" si="13"/>
        <v>9.3605955478333097E-4</v>
      </c>
      <c r="G66" s="2"/>
      <c r="H66" s="7"/>
      <c r="I66" s="2"/>
      <c r="J66" s="6">
        <f t="shared" si="14"/>
        <v>0</v>
      </c>
      <c r="K66" s="2"/>
      <c r="L66" s="7">
        <f t="shared" si="15"/>
        <v>168</v>
      </c>
      <c r="M66" s="2"/>
      <c r="N66" s="6">
        <f t="shared" si="16"/>
        <v>0</v>
      </c>
      <c r="O66" s="11"/>
      <c r="P66" s="7">
        <v>2127.2800000000002</v>
      </c>
      <c r="Q66" s="2"/>
      <c r="R66" s="6">
        <f t="shared" si="17"/>
        <v>9.1002230595882676E-4</v>
      </c>
      <c r="S66" s="2"/>
      <c r="T66" s="7"/>
      <c r="U66" s="2"/>
      <c r="V66" s="6">
        <f t="shared" si="18"/>
        <v>0</v>
      </c>
      <c r="W66" s="2"/>
      <c r="X66" s="7">
        <f t="shared" si="19"/>
        <v>2127.2800000000002</v>
      </c>
      <c r="Y66" s="2"/>
      <c r="Z66" s="6">
        <f t="shared" si="20"/>
        <v>0</v>
      </c>
    </row>
    <row r="67" spans="1:26" s="27" customFormat="1" outlineLevel="1" collapsed="1" x14ac:dyDescent="0.25">
      <c r="A67" s="25"/>
      <c r="B67" s="12" t="str">
        <f>CONCATENATE("     ","*Payroll                                          ")</f>
        <v xml:space="preserve">     *Payroll                                          </v>
      </c>
      <c r="C67" s="12"/>
      <c r="D67" s="1">
        <f>SUM(OSRRefD22_1x_0)</f>
        <v>12053.98</v>
      </c>
      <c r="E67" s="1"/>
      <c r="F67" s="5">
        <f t="shared" ref="F67:F77" si="21">IF(D$12=0,0,D67/D$12)</f>
        <v>6.716216162004271E-2</v>
      </c>
      <c r="G67" s="1"/>
      <c r="H67" s="1">
        <f>SUM(OSRRefH22_1x_0)</f>
        <v>23348.232855769231</v>
      </c>
      <c r="I67" s="1"/>
      <c r="J67" s="5">
        <f t="shared" ref="J67:J77" si="22">IF(H$12=0,0,H67/H$12)</f>
        <v>4.8699170394856543E-2</v>
      </c>
      <c r="K67" s="1"/>
      <c r="L67" s="1">
        <f t="shared" ref="L67:L77" si="23">+D67-H67</f>
        <v>-11294.252855769231</v>
      </c>
      <c r="M67" s="1"/>
      <c r="N67" s="5">
        <f t="shared" ref="N67:N77" si="24">IF(H67=0,0,L67/H67)</f>
        <v>-0.48373052151475687</v>
      </c>
      <c r="O67" s="12"/>
      <c r="P67" s="1">
        <f>SUM(OSRRefP22_1x_0)</f>
        <v>242259.63</v>
      </c>
      <c r="Q67" s="1"/>
      <c r="R67" s="5">
        <f t="shared" ref="R67:R77" si="25">IF(P$12=0,0,P67/P$12)</f>
        <v>0.10363547212089247</v>
      </c>
      <c r="S67" s="1"/>
      <c r="T67" s="1">
        <f>SUM(OSRRefT22_1x_0)</f>
        <v>256567.18926923076</v>
      </c>
      <c r="U67" s="1"/>
      <c r="V67" s="5">
        <f t="shared" ref="V67:V77" si="26">IF(T$12=0,0,T67/T$12)</f>
        <v>8.1760487384531455E-2</v>
      </c>
      <c r="W67" s="1"/>
      <c r="X67" s="1">
        <f t="shared" ref="X67:X77" si="27">+P67-T67</f>
        <v>-14307.559269230755</v>
      </c>
      <c r="Y67" s="1"/>
      <c r="Z67" s="5">
        <f t="shared" ref="Z67:Z77" si="28">IF(T67=0,0,X67/T67)</f>
        <v>-5.5765350627967503E-2</v>
      </c>
    </row>
    <row r="68" spans="1:26" s="24" customFormat="1" hidden="1" outlineLevel="2" x14ac:dyDescent="0.25">
      <c r="A68" s="26"/>
      <c r="B68" s="11" t="str">
        <f>CONCATENATE("          ", "6001", " - ", "ADMINISTRATIVE SALARIES")</f>
        <v xml:space="preserve">          6001 - ADMINISTRATIVE SALARIES</v>
      </c>
      <c r="C68" s="11"/>
      <c r="D68" s="7"/>
      <c r="E68" s="2"/>
      <c r="F68" s="6">
        <f t="shared" si="21"/>
        <v>0</v>
      </c>
      <c r="G68" s="2"/>
      <c r="H68" s="7">
        <v>0</v>
      </c>
      <c r="I68" s="2"/>
      <c r="J68" s="6">
        <f t="shared" si="22"/>
        <v>0</v>
      </c>
      <c r="K68" s="2"/>
      <c r="L68" s="7">
        <f t="shared" si="23"/>
        <v>0</v>
      </c>
      <c r="M68" s="2"/>
      <c r="N68" s="6">
        <f t="shared" si="24"/>
        <v>0</v>
      </c>
      <c r="O68" s="11"/>
      <c r="P68" s="7"/>
      <c r="Q68" s="2"/>
      <c r="R68" s="6">
        <f t="shared" si="25"/>
        <v>0</v>
      </c>
      <c r="S68" s="2"/>
      <c r="T68" s="7">
        <v>0</v>
      </c>
      <c r="U68" s="2"/>
      <c r="V68" s="6">
        <f t="shared" si="26"/>
        <v>0</v>
      </c>
      <c r="W68" s="2"/>
      <c r="X68" s="7">
        <f t="shared" si="27"/>
        <v>0</v>
      </c>
      <c r="Y68" s="2"/>
      <c r="Z68" s="6">
        <f t="shared" si="28"/>
        <v>0</v>
      </c>
    </row>
    <row r="69" spans="1:26" s="24" customFormat="1" hidden="1" outlineLevel="2" x14ac:dyDescent="0.25">
      <c r="A69" s="26"/>
      <c r="B69" s="11" t="str">
        <f>CONCATENATE("          ", "6002", " - ", "STAFF SALARIES")</f>
        <v xml:space="preserve">          6002 - STAFF SALARIES</v>
      </c>
      <c r="C69" s="11"/>
      <c r="D69" s="7">
        <v>6092.32</v>
      </c>
      <c r="E69" s="2"/>
      <c r="F69" s="6">
        <f t="shared" si="21"/>
        <v>3.3945085397604657E-2</v>
      </c>
      <c r="G69" s="2"/>
      <c r="H69" s="7">
        <v>6732.8478557692297</v>
      </c>
      <c r="I69" s="2"/>
      <c r="J69" s="6">
        <f t="shared" si="22"/>
        <v>1.4043208622948597E-2</v>
      </c>
      <c r="K69" s="2"/>
      <c r="L69" s="7">
        <f t="shared" si="23"/>
        <v>-640.52785576922997</v>
      </c>
      <c r="M69" s="2"/>
      <c r="N69" s="6">
        <f t="shared" si="24"/>
        <v>-9.5134758647542533E-2</v>
      </c>
      <c r="O69" s="11"/>
      <c r="P69" s="7">
        <v>79440.34</v>
      </c>
      <c r="Q69" s="2"/>
      <c r="R69" s="6">
        <f t="shared" si="25"/>
        <v>3.3983528916246668E-2</v>
      </c>
      <c r="S69" s="2"/>
      <c r="T69" s="7">
        <v>80794.174269230774</v>
      </c>
      <c r="U69" s="2"/>
      <c r="V69" s="6">
        <f t="shared" si="26"/>
        <v>2.5746749164996547E-2</v>
      </c>
      <c r="W69" s="2"/>
      <c r="X69" s="7">
        <f t="shared" si="27"/>
        <v>-1353.8342692307779</v>
      </c>
      <c r="Y69" s="2"/>
      <c r="Z69" s="6">
        <f t="shared" si="28"/>
        <v>-1.6756582779339883E-2</v>
      </c>
    </row>
    <row r="70" spans="1:26" s="24" customFormat="1" hidden="1" outlineLevel="2" x14ac:dyDescent="0.25">
      <c r="A70" s="26"/>
      <c r="B70" s="11" t="str">
        <f>CONCATENATE("          ", "6003", " - ", "STAFF HOURLY-9 MONTH")</f>
        <v xml:space="preserve">          6003 - STAFF HOURLY-9 MONTH</v>
      </c>
      <c r="C70" s="11"/>
      <c r="D70" s="7"/>
      <c r="E70" s="2"/>
      <c r="F70" s="6">
        <f t="shared" si="21"/>
        <v>0</v>
      </c>
      <c r="G70" s="2"/>
      <c r="H70" s="7">
        <v>0</v>
      </c>
      <c r="I70" s="2"/>
      <c r="J70" s="6">
        <f t="shared" si="22"/>
        <v>0</v>
      </c>
      <c r="K70" s="2"/>
      <c r="L70" s="7">
        <f t="shared" si="23"/>
        <v>0</v>
      </c>
      <c r="M70" s="2"/>
      <c r="N70" s="6">
        <f t="shared" si="24"/>
        <v>0</v>
      </c>
      <c r="O70" s="11"/>
      <c r="P70" s="7"/>
      <c r="Q70" s="2"/>
      <c r="R70" s="6">
        <f t="shared" si="25"/>
        <v>0</v>
      </c>
      <c r="S70" s="2"/>
      <c r="T70" s="7">
        <v>0</v>
      </c>
      <c r="U70" s="2"/>
      <c r="V70" s="6">
        <f t="shared" si="26"/>
        <v>0</v>
      </c>
      <c r="W70" s="2"/>
      <c r="X70" s="7">
        <f t="shared" si="27"/>
        <v>0</v>
      </c>
      <c r="Y70" s="2"/>
      <c r="Z70" s="6">
        <f t="shared" si="28"/>
        <v>0</v>
      </c>
    </row>
    <row r="71" spans="1:26" s="24" customFormat="1" hidden="1" outlineLevel="2" x14ac:dyDescent="0.25">
      <c r="A71" s="26"/>
      <c r="B71" s="11" t="str">
        <f>CONCATENATE("          ", "6004", " - ", "STAFF HOURLY")</f>
        <v xml:space="preserve">          6004 - STAFF HOURLY</v>
      </c>
      <c r="C71" s="11"/>
      <c r="D71" s="7">
        <v>3914</v>
      </c>
      <c r="E71" s="2"/>
      <c r="F71" s="6">
        <f t="shared" si="21"/>
        <v>2.1807958913225938E-2</v>
      </c>
      <c r="G71" s="2"/>
      <c r="H71" s="7">
        <v>1911.68</v>
      </c>
      <c r="I71" s="2"/>
      <c r="J71" s="6">
        <f t="shared" si="22"/>
        <v>3.9873351715967445E-3</v>
      </c>
      <c r="K71" s="2"/>
      <c r="L71" s="7">
        <f t="shared" si="23"/>
        <v>2002.32</v>
      </c>
      <c r="M71" s="2"/>
      <c r="N71" s="6">
        <f t="shared" si="24"/>
        <v>1.0474137931034482</v>
      </c>
      <c r="O71" s="11"/>
      <c r="P71" s="7">
        <v>16662.510000000002</v>
      </c>
      <c r="Q71" s="2"/>
      <c r="R71" s="6">
        <f t="shared" si="25"/>
        <v>7.1280018489629999E-3</v>
      </c>
      <c r="S71" s="2"/>
      <c r="T71" s="7">
        <v>22940.16</v>
      </c>
      <c r="U71" s="2"/>
      <c r="V71" s="6">
        <f t="shared" si="26"/>
        <v>7.310360563333603E-3</v>
      </c>
      <c r="W71" s="2"/>
      <c r="X71" s="7">
        <f t="shared" si="27"/>
        <v>-6277.6499999999978</v>
      </c>
      <c r="Y71" s="2"/>
      <c r="Z71" s="6">
        <f t="shared" si="28"/>
        <v>-0.27365327879142942</v>
      </c>
    </row>
    <row r="72" spans="1:26" s="24" customFormat="1" hidden="1" outlineLevel="2" x14ac:dyDescent="0.25">
      <c r="A72" s="26"/>
      <c r="B72" s="11" t="str">
        <f>CONCATENATE("          ", "6005", " - ", "TEMPORARY WAGES-HOURLY")</f>
        <v xml:space="preserve">          6005 - TEMPORARY WAGES-HOURLY</v>
      </c>
      <c r="C72" s="11"/>
      <c r="D72" s="7"/>
      <c r="E72" s="2"/>
      <c r="F72" s="6">
        <f t="shared" si="21"/>
        <v>0</v>
      </c>
      <c r="G72" s="2"/>
      <c r="H72" s="7">
        <v>0</v>
      </c>
      <c r="I72" s="2"/>
      <c r="J72" s="6">
        <f t="shared" si="22"/>
        <v>0</v>
      </c>
      <c r="K72" s="2"/>
      <c r="L72" s="7">
        <f t="shared" si="23"/>
        <v>0</v>
      </c>
      <c r="M72" s="2"/>
      <c r="N72" s="6">
        <f t="shared" si="24"/>
        <v>0</v>
      </c>
      <c r="O72" s="11"/>
      <c r="P72" s="7">
        <v>29609.279999999999</v>
      </c>
      <c r="Q72" s="2"/>
      <c r="R72" s="6">
        <f t="shared" si="25"/>
        <v>1.2666459170104812E-2</v>
      </c>
      <c r="S72" s="2"/>
      <c r="T72" s="7">
        <v>0</v>
      </c>
      <c r="U72" s="2"/>
      <c r="V72" s="6">
        <f t="shared" si="26"/>
        <v>0</v>
      </c>
      <c r="W72" s="2"/>
      <c r="X72" s="7">
        <f t="shared" si="27"/>
        <v>29609.279999999999</v>
      </c>
      <c r="Y72" s="2"/>
      <c r="Z72" s="6">
        <f t="shared" si="28"/>
        <v>0</v>
      </c>
    </row>
    <row r="73" spans="1:26" s="24" customFormat="1" hidden="1" outlineLevel="2" x14ac:dyDescent="0.25">
      <c r="A73" s="26"/>
      <c r="B73" s="11" t="str">
        <f>CONCATENATE("          ", "6006", " - ", "TEMPORARY PART TIME")</f>
        <v xml:space="preserve">          6006 - TEMPORARY PART TIME</v>
      </c>
      <c r="C73" s="11"/>
      <c r="D73" s="7"/>
      <c r="E73" s="2"/>
      <c r="F73" s="6">
        <f t="shared" si="21"/>
        <v>0</v>
      </c>
      <c r="G73" s="2"/>
      <c r="H73" s="7">
        <v>0</v>
      </c>
      <c r="I73" s="2"/>
      <c r="J73" s="6">
        <f t="shared" si="22"/>
        <v>0</v>
      </c>
      <c r="K73" s="2"/>
      <c r="L73" s="7">
        <f t="shared" si="23"/>
        <v>0</v>
      </c>
      <c r="M73" s="2"/>
      <c r="N73" s="6">
        <f t="shared" si="24"/>
        <v>0</v>
      </c>
      <c r="O73" s="11"/>
      <c r="P73" s="7">
        <v>911.29</v>
      </c>
      <c r="Q73" s="2"/>
      <c r="R73" s="6">
        <f t="shared" si="25"/>
        <v>3.8983783385225219E-4</v>
      </c>
      <c r="S73" s="2"/>
      <c r="T73" s="7">
        <v>0</v>
      </c>
      <c r="U73" s="2"/>
      <c r="V73" s="6">
        <f t="shared" si="26"/>
        <v>0</v>
      </c>
      <c r="W73" s="2"/>
      <c r="X73" s="7">
        <f t="shared" si="27"/>
        <v>911.29</v>
      </c>
      <c r="Y73" s="2"/>
      <c r="Z73" s="6">
        <f t="shared" si="28"/>
        <v>0</v>
      </c>
    </row>
    <row r="74" spans="1:26" s="24" customFormat="1" hidden="1" outlineLevel="2" x14ac:dyDescent="0.25">
      <c r="A74" s="26"/>
      <c r="B74" s="11" t="str">
        <f>CONCATENATE("          ", "6007", " - ", "STUDENT HOURLY")</f>
        <v xml:space="preserve">          6007 - STUDENT HOURLY</v>
      </c>
      <c r="C74" s="11"/>
      <c r="D74" s="7">
        <v>2047.66</v>
      </c>
      <c r="E74" s="2"/>
      <c r="F74" s="6">
        <f t="shared" si="21"/>
        <v>1.1409117309212116E-2</v>
      </c>
      <c r="G74" s="2"/>
      <c r="H74" s="7">
        <v>0</v>
      </c>
      <c r="I74" s="2"/>
      <c r="J74" s="6">
        <f t="shared" si="22"/>
        <v>0</v>
      </c>
      <c r="K74" s="2"/>
      <c r="L74" s="7">
        <f t="shared" si="23"/>
        <v>2047.66</v>
      </c>
      <c r="M74" s="2"/>
      <c r="N74" s="6">
        <f t="shared" si="24"/>
        <v>0</v>
      </c>
      <c r="O74" s="11"/>
      <c r="P74" s="7">
        <v>115441.20999999999</v>
      </c>
      <c r="Q74" s="2"/>
      <c r="R74" s="6">
        <f t="shared" si="25"/>
        <v>4.9384225925537373E-2</v>
      </c>
      <c r="S74" s="2"/>
      <c r="T74" s="7">
        <v>22511.25</v>
      </c>
      <c r="U74" s="2"/>
      <c r="V74" s="6">
        <f t="shared" si="26"/>
        <v>7.1736794438811051E-3</v>
      </c>
      <c r="W74" s="2"/>
      <c r="X74" s="7">
        <f t="shared" si="27"/>
        <v>92929.959999999992</v>
      </c>
      <c r="Y74" s="2"/>
      <c r="Z74" s="6">
        <f t="shared" si="28"/>
        <v>4.1281563662613134</v>
      </c>
    </row>
    <row r="75" spans="1:26" s="24" customFormat="1" hidden="1" outlineLevel="2" x14ac:dyDescent="0.25">
      <c r="A75" s="26"/>
      <c r="B75" s="11" t="str">
        <f>CONCATENATE("          ", "6008", " - ", "STUDENT HOURLY-FICA EXEMPT")</f>
        <v xml:space="preserve">          6008 - STUDENT HOURLY-FICA EXEMPT</v>
      </c>
      <c r="C75" s="11"/>
      <c r="D75" s="7"/>
      <c r="E75" s="2"/>
      <c r="F75" s="6">
        <f t="shared" si="21"/>
        <v>0</v>
      </c>
      <c r="G75" s="2"/>
      <c r="H75" s="7">
        <v>14703.705</v>
      </c>
      <c r="I75" s="2"/>
      <c r="J75" s="6">
        <f t="shared" si="22"/>
        <v>3.0668626600311197E-2</v>
      </c>
      <c r="K75" s="2"/>
      <c r="L75" s="7">
        <f t="shared" si="23"/>
        <v>-14703.705</v>
      </c>
      <c r="M75" s="2"/>
      <c r="N75" s="6">
        <f t="shared" si="24"/>
        <v>-1</v>
      </c>
      <c r="O75" s="11"/>
      <c r="P75" s="7">
        <v>195</v>
      </c>
      <c r="Q75" s="2"/>
      <c r="R75" s="6">
        <f t="shared" si="25"/>
        <v>8.3418426188358469E-5</v>
      </c>
      <c r="S75" s="2"/>
      <c r="T75" s="7">
        <v>130321.605</v>
      </c>
      <c r="U75" s="2"/>
      <c r="V75" s="6">
        <f t="shared" si="26"/>
        <v>4.15296982123202E-2</v>
      </c>
      <c r="W75" s="2"/>
      <c r="X75" s="7">
        <f t="shared" si="27"/>
        <v>-130126.605</v>
      </c>
      <c r="Y75" s="2"/>
      <c r="Z75" s="6">
        <f t="shared" si="28"/>
        <v>-0.99850370166942004</v>
      </c>
    </row>
    <row r="76" spans="1:26" s="24" customFormat="1" hidden="1" outlineLevel="2" x14ac:dyDescent="0.25">
      <c r="A76" s="26"/>
      <c r="B76" s="11" t="str">
        <f>CONCATENATE("          ", "6009", " - ", "TEMPORARY-SEASONAL")</f>
        <v xml:space="preserve">          6009 - TEMPORARY-SEASONAL</v>
      </c>
      <c r="C76" s="11"/>
      <c r="D76" s="7"/>
      <c r="E76" s="2"/>
      <c r="F76" s="6">
        <f t="shared" si="21"/>
        <v>0</v>
      </c>
      <c r="G76" s="2"/>
      <c r="H76" s="7">
        <v>0</v>
      </c>
      <c r="I76" s="2"/>
      <c r="J76" s="6">
        <f t="shared" si="22"/>
        <v>0</v>
      </c>
      <c r="K76" s="2"/>
      <c r="L76" s="7">
        <f t="shared" si="23"/>
        <v>0</v>
      </c>
      <c r="M76" s="2"/>
      <c r="N76" s="6">
        <f t="shared" si="24"/>
        <v>0</v>
      </c>
      <c r="O76" s="11"/>
      <c r="P76" s="7"/>
      <c r="Q76" s="2"/>
      <c r="R76" s="6">
        <f t="shared" si="25"/>
        <v>0</v>
      </c>
      <c r="S76" s="2"/>
      <c r="T76" s="7">
        <v>0</v>
      </c>
      <c r="U76" s="2"/>
      <c r="V76" s="6">
        <f t="shared" si="26"/>
        <v>0</v>
      </c>
      <c r="W76" s="2"/>
      <c r="X76" s="7">
        <f t="shared" si="27"/>
        <v>0</v>
      </c>
      <c r="Y76" s="2"/>
      <c r="Z76" s="6">
        <f t="shared" si="28"/>
        <v>0</v>
      </c>
    </row>
    <row r="77" spans="1:26" s="24" customFormat="1" hidden="1" outlineLevel="2" x14ac:dyDescent="0.25">
      <c r="A77" s="26"/>
      <c r="B77" s="11" t="str">
        <f>CONCATENATE("          ", "6010", " - ", "GRATUITY")</f>
        <v xml:space="preserve">          6010 - GRATUITY</v>
      </c>
      <c r="C77" s="11"/>
      <c r="D77" s="7"/>
      <c r="E77" s="2"/>
      <c r="F77" s="6">
        <f t="shared" si="21"/>
        <v>0</v>
      </c>
      <c r="G77" s="2"/>
      <c r="H77" s="7">
        <v>0</v>
      </c>
      <c r="I77" s="2"/>
      <c r="J77" s="6">
        <f t="shared" si="22"/>
        <v>0</v>
      </c>
      <c r="K77" s="2"/>
      <c r="L77" s="7">
        <f t="shared" si="23"/>
        <v>0</v>
      </c>
      <c r="M77" s="2"/>
      <c r="N77" s="6">
        <f t="shared" si="24"/>
        <v>0</v>
      </c>
      <c r="O77" s="11"/>
      <c r="P77" s="7"/>
      <c r="Q77" s="2"/>
      <c r="R77" s="6">
        <f t="shared" si="25"/>
        <v>0</v>
      </c>
      <c r="S77" s="2"/>
      <c r="T77" s="7">
        <v>0</v>
      </c>
      <c r="U77" s="2"/>
      <c r="V77" s="6">
        <f t="shared" si="26"/>
        <v>0</v>
      </c>
      <c r="W77" s="2"/>
      <c r="X77" s="7">
        <f t="shared" si="27"/>
        <v>0</v>
      </c>
      <c r="Y77" s="2"/>
      <c r="Z77" s="6">
        <f t="shared" si="28"/>
        <v>0</v>
      </c>
    </row>
    <row r="78" spans="1:26" s="27" customFormat="1" outlineLevel="1" collapsed="1" x14ac:dyDescent="0.25">
      <c r="A78" s="25"/>
      <c r="B78" s="12" t="str">
        <f>CONCATENATE("     ","Advertising/Promo                                 ")</f>
        <v xml:space="preserve">     Advertising/Promo                                 </v>
      </c>
      <c r="C78" s="12"/>
      <c r="D78" s="1">
        <f>SUM(OSRRefD22_2x_0)</f>
        <v>1029</v>
      </c>
      <c r="E78" s="1"/>
      <c r="F78" s="5">
        <f t="shared" ref="F78:F82" si="29">IF(D$12=0,0,D78/D$12)</f>
        <v>5.7333647730479021E-3</v>
      </c>
      <c r="G78" s="1"/>
      <c r="H78" s="1">
        <f>SUM(OSRRefH22_2x_0)</f>
        <v>1100</v>
      </c>
      <c r="I78" s="1"/>
      <c r="J78" s="5">
        <f t="shared" ref="J78:J82" si="30">IF(H$12=0,0,H78/H$12)</f>
        <v>2.2943529716042532E-3</v>
      </c>
      <c r="K78" s="1"/>
      <c r="L78" s="1">
        <f t="shared" ref="L78:L82" si="31">+D78-H78</f>
        <v>-71</v>
      </c>
      <c r="M78" s="1"/>
      <c r="N78" s="5">
        <f t="shared" ref="N78:N82" si="32">IF(H78=0,0,L78/H78)</f>
        <v>-6.4545454545454545E-2</v>
      </c>
      <c r="O78" s="12"/>
      <c r="P78" s="1">
        <f>SUM(OSRRefP22_2x_0)</f>
        <v>19215.2</v>
      </c>
      <c r="Q78" s="1"/>
      <c r="R78" s="5">
        <f t="shared" ref="R78:R82" si="33">IF(P$12=0,0,P78/P$12)</f>
        <v>8.2200089379207471E-3</v>
      </c>
      <c r="S78" s="1"/>
      <c r="T78" s="1">
        <f>SUM(OSRRefT22_2x_0)</f>
        <v>6400</v>
      </c>
      <c r="U78" s="1"/>
      <c r="V78" s="5">
        <f t="shared" ref="V78:V82" si="34">IF(T$12=0,0,T78/T$12)</f>
        <v>2.0394935172786529E-3</v>
      </c>
      <c r="W78" s="1"/>
      <c r="X78" s="1">
        <f t="shared" ref="X78:X82" si="35">+P78-T78</f>
        <v>12815.2</v>
      </c>
      <c r="Y78" s="1"/>
      <c r="Z78" s="5">
        <f t="shared" ref="Z78:Z82" si="36">IF(T78=0,0,X78/T78)</f>
        <v>2.0023750000000002</v>
      </c>
    </row>
    <row r="79" spans="1:26" s="24" customFormat="1" hidden="1" outlineLevel="2" x14ac:dyDescent="0.25">
      <c r="A79" s="26"/>
      <c r="B79" s="11" t="str">
        <f>CONCATENATE("          ", "6362", " - ", "ADVERTISING EXPENSE")</f>
        <v xml:space="preserve">          6362 - ADVERTISING EXPENSE</v>
      </c>
      <c r="C79" s="11"/>
      <c r="D79" s="7">
        <v>1029</v>
      </c>
      <c r="E79" s="2"/>
      <c r="F79" s="6">
        <f t="shared" si="29"/>
        <v>5.7333647730479021E-3</v>
      </c>
      <c r="G79" s="2"/>
      <c r="H79" s="7">
        <v>1100</v>
      </c>
      <c r="I79" s="2"/>
      <c r="J79" s="6">
        <f t="shared" si="30"/>
        <v>2.2943529716042532E-3</v>
      </c>
      <c r="K79" s="2"/>
      <c r="L79" s="7">
        <f t="shared" si="31"/>
        <v>-71</v>
      </c>
      <c r="M79" s="2"/>
      <c r="N79" s="6">
        <f t="shared" si="32"/>
        <v>-6.4545454545454545E-2</v>
      </c>
      <c r="O79" s="11"/>
      <c r="P79" s="7">
        <v>19215.2</v>
      </c>
      <c r="Q79" s="2"/>
      <c r="R79" s="6">
        <f t="shared" si="33"/>
        <v>8.2200089379207471E-3</v>
      </c>
      <c r="S79" s="2"/>
      <c r="T79" s="7">
        <v>6400</v>
      </c>
      <c r="U79" s="2"/>
      <c r="V79" s="6">
        <f t="shared" si="34"/>
        <v>2.0394935172786529E-3</v>
      </c>
      <c r="W79" s="2"/>
      <c r="X79" s="7">
        <f t="shared" si="35"/>
        <v>12815.2</v>
      </c>
      <c r="Y79" s="2"/>
      <c r="Z79" s="6">
        <f t="shared" si="36"/>
        <v>2.0023750000000002</v>
      </c>
    </row>
    <row r="80" spans="1:26" s="27" customFormat="1" outlineLevel="1" collapsed="1" x14ac:dyDescent="0.25">
      <c r="A80" s="25"/>
      <c r="B80" s="12" t="str">
        <f>CONCATENATE("     ","Discounts and Markdowns                           ")</f>
        <v xml:space="preserve">     Discounts and Markdowns                           </v>
      </c>
      <c r="C80" s="12"/>
      <c r="D80" s="1">
        <f>SUM(OSRRefD22_3x_0)</f>
        <v>41510.68</v>
      </c>
      <c r="E80" s="1"/>
      <c r="F80" s="5">
        <f t="shared" si="29"/>
        <v>0.23128850380686503</v>
      </c>
      <c r="G80" s="1"/>
      <c r="H80" s="1">
        <f>SUM(OSRRefH22_3x_0)</f>
        <v>13000</v>
      </c>
      <c r="I80" s="1"/>
      <c r="J80" s="5">
        <f t="shared" si="30"/>
        <v>2.7115080573504813E-2</v>
      </c>
      <c r="K80" s="1"/>
      <c r="L80" s="1">
        <f t="shared" si="31"/>
        <v>28510.68</v>
      </c>
      <c r="M80" s="1"/>
      <c r="N80" s="5">
        <f t="shared" si="32"/>
        <v>2.1931292307692307</v>
      </c>
      <c r="O80" s="12"/>
      <c r="P80" s="1">
        <f>SUM(OSRRefP22_3x_0)</f>
        <v>258791.21999999997</v>
      </c>
      <c r="Q80" s="1"/>
      <c r="R80" s="5">
        <f t="shared" si="33"/>
        <v>0.110707468121873</v>
      </c>
      <c r="S80" s="1"/>
      <c r="T80" s="1">
        <f>SUM(OSRRefT22_3x_0)</f>
        <v>228000</v>
      </c>
      <c r="U80" s="1"/>
      <c r="V80" s="5">
        <f t="shared" si="34"/>
        <v>7.2656956553052002E-2</v>
      </c>
      <c r="W80" s="1"/>
      <c r="X80" s="1">
        <f t="shared" si="35"/>
        <v>30791.219999999972</v>
      </c>
      <c r="Y80" s="1"/>
      <c r="Z80" s="5">
        <f t="shared" si="36"/>
        <v>0.13504921052631566</v>
      </c>
    </row>
    <row r="81" spans="1:26" s="24" customFormat="1" hidden="1" outlineLevel="2" x14ac:dyDescent="0.25">
      <c r="A81" s="26"/>
      <c r="B81" s="11" t="str">
        <f>CONCATENATE("          ", "6382", " - ", "DISCOUNTS/MARK DOWNS")</f>
        <v xml:space="preserve">          6382 - DISCOUNTS/MARK DOWNS</v>
      </c>
      <c r="C81" s="11"/>
      <c r="D81" s="7">
        <v>41510.68</v>
      </c>
      <c r="E81" s="2"/>
      <c r="F81" s="6">
        <f t="shared" si="29"/>
        <v>0.23128850380686503</v>
      </c>
      <c r="G81" s="2"/>
      <c r="H81" s="7">
        <v>13000</v>
      </c>
      <c r="I81" s="2"/>
      <c r="J81" s="6">
        <f t="shared" si="30"/>
        <v>2.7115080573504813E-2</v>
      </c>
      <c r="K81" s="2"/>
      <c r="L81" s="7">
        <f t="shared" si="31"/>
        <v>28510.68</v>
      </c>
      <c r="M81" s="2"/>
      <c r="N81" s="6">
        <f t="shared" si="32"/>
        <v>2.1931292307692307</v>
      </c>
      <c r="O81" s="11"/>
      <c r="P81" s="7">
        <v>258810.61</v>
      </c>
      <c r="Q81" s="2"/>
      <c r="R81" s="6">
        <f t="shared" si="33"/>
        <v>0.11071576290794373</v>
      </c>
      <c r="S81" s="2"/>
      <c r="T81" s="7">
        <v>228000</v>
      </c>
      <c r="U81" s="2"/>
      <c r="V81" s="6">
        <f t="shared" si="34"/>
        <v>7.2656956553052002E-2</v>
      </c>
      <c r="W81" s="2"/>
      <c r="X81" s="7">
        <f t="shared" si="35"/>
        <v>30810.609999999986</v>
      </c>
      <c r="Y81" s="2"/>
      <c r="Z81" s="6">
        <f t="shared" si="36"/>
        <v>0.13513425438596485</v>
      </c>
    </row>
    <row r="82" spans="1:26" s="24" customFormat="1" hidden="1" outlineLevel="2" x14ac:dyDescent="0.25">
      <c r="A82" s="26"/>
      <c r="B82" s="11" t="str">
        <f>CONCATENATE("          ", "9175", " - ", "EARNED DISCOUNTS")</f>
        <v xml:space="preserve">          9175 - EARNED DISCOUNTS</v>
      </c>
      <c r="C82" s="11"/>
      <c r="D82" s="7"/>
      <c r="E82" s="2"/>
      <c r="F82" s="6">
        <f t="shared" si="29"/>
        <v>0</v>
      </c>
      <c r="G82" s="2"/>
      <c r="H82" s="7"/>
      <c r="I82" s="2"/>
      <c r="J82" s="6">
        <f t="shared" si="30"/>
        <v>0</v>
      </c>
      <c r="K82" s="2"/>
      <c r="L82" s="7">
        <f t="shared" si="31"/>
        <v>0</v>
      </c>
      <c r="M82" s="2"/>
      <c r="N82" s="6">
        <f t="shared" si="32"/>
        <v>0</v>
      </c>
      <c r="O82" s="11"/>
      <c r="P82" s="7">
        <v>-19.39</v>
      </c>
      <c r="Q82" s="2"/>
      <c r="R82" s="6">
        <f t="shared" si="33"/>
        <v>-8.2947860707295929E-6</v>
      </c>
      <c r="S82" s="2"/>
      <c r="T82" s="7"/>
      <c r="U82" s="2"/>
      <c r="V82" s="6">
        <f t="shared" si="34"/>
        <v>0</v>
      </c>
      <c r="W82" s="2"/>
      <c r="X82" s="7">
        <f t="shared" si="35"/>
        <v>-19.39</v>
      </c>
      <c r="Y82" s="2"/>
      <c r="Z82" s="6">
        <f t="shared" si="36"/>
        <v>0</v>
      </c>
    </row>
    <row r="83" spans="1:26" s="27" customFormat="1" outlineLevel="1" collapsed="1" x14ac:dyDescent="0.25">
      <c r="A83" s="25"/>
      <c r="B83" s="12" t="str">
        <f>CONCATENATE("     ","Employees' Appreciation                           ")</f>
        <v xml:space="preserve">     Employees' Appreciation                           </v>
      </c>
      <c r="C83" s="12"/>
      <c r="D83" s="1">
        <f>SUM(OSRRefD22_4x_0)</f>
        <v>0</v>
      </c>
      <c r="E83" s="1"/>
      <c r="F83" s="5">
        <f t="shared" ref="F83:F87" si="37">IF(D$12=0,0,D83/D$12)</f>
        <v>0</v>
      </c>
      <c r="G83" s="1"/>
      <c r="H83" s="1">
        <f>SUM(OSRRefH22_4x_0)</f>
        <v>200</v>
      </c>
      <c r="I83" s="1"/>
      <c r="J83" s="5">
        <f t="shared" ref="J83:J87" si="38">IF(H$12=0,0,H83/H$12)</f>
        <v>4.1715508574622788E-4</v>
      </c>
      <c r="K83" s="1"/>
      <c r="L83" s="1">
        <f t="shared" ref="L83:L87" si="39">+D83-H83</f>
        <v>-200</v>
      </c>
      <c r="M83" s="1"/>
      <c r="N83" s="5">
        <f t="shared" ref="N83:N87" si="40">IF(H83=0,0,L83/H83)</f>
        <v>-1</v>
      </c>
      <c r="O83" s="12"/>
      <c r="P83" s="1">
        <f>SUM(OSRRefP22_4x_0)</f>
        <v>255.44</v>
      </c>
      <c r="Q83" s="1"/>
      <c r="R83" s="5">
        <f t="shared" ref="R83:R87" si="41">IF(P$12=0,0,P83/P$12)</f>
        <v>1.0927386043873992E-4</v>
      </c>
      <c r="S83" s="1"/>
      <c r="T83" s="1">
        <f>SUM(OSRRefT22_4x_0)</f>
        <v>1875</v>
      </c>
      <c r="U83" s="1"/>
      <c r="V83" s="5">
        <f t="shared" ref="V83:V87" si="42">IF(T$12=0,0,T83/T$12)</f>
        <v>5.9750786639023033E-4</v>
      </c>
      <c r="W83" s="1"/>
      <c r="X83" s="1">
        <f t="shared" ref="X83:X87" si="43">+P83-T83</f>
        <v>-1619.56</v>
      </c>
      <c r="Y83" s="1"/>
      <c r="Z83" s="5">
        <f t="shared" ref="Z83:Z87" si="44">IF(T83=0,0,X83/T83)</f>
        <v>-0.86376533333333327</v>
      </c>
    </row>
    <row r="84" spans="1:26" s="24" customFormat="1" hidden="1" outlineLevel="2" x14ac:dyDescent="0.25">
      <c r="A84" s="26"/>
      <c r="B84" s="11" t="str">
        <f>CONCATENATE("          ", "6277", " - ", "EMPLOYEE APPRECIATION")</f>
        <v xml:space="preserve">          6277 - EMPLOYEE APPRECIATION</v>
      </c>
      <c r="C84" s="11"/>
      <c r="D84" s="7"/>
      <c r="E84" s="2"/>
      <c r="F84" s="6">
        <f t="shared" si="37"/>
        <v>0</v>
      </c>
      <c r="G84" s="2"/>
      <c r="H84" s="7">
        <v>200</v>
      </c>
      <c r="I84" s="2"/>
      <c r="J84" s="6">
        <f t="shared" si="38"/>
        <v>4.1715508574622788E-4</v>
      </c>
      <c r="K84" s="2"/>
      <c r="L84" s="7">
        <f t="shared" si="39"/>
        <v>-200</v>
      </c>
      <c r="M84" s="2"/>
      <c r="N84" s="6">
        <f t="shared" si="40"/>
        <v>-1</v>
      </c>
      <c r="O84" s="11"/>
      <c r="P84" s="7">
        <v>255.44</v>
      </c>
      <c r="Q84" s="2"/>
      <c r="R84" s="6">
        <f t="shared" si="41"/>
        <v>1.0927386043873992E-4</v>
      </c>
      <c r="S84" s="2"/>
      <c r="T84" s="7">
        <v>1875</v>
      </c>
      <c r="U84" s="2"/>
      <c r="V84" s="6">
        <f t="shared" si="42"/>
        <v>5.9750786639023033E-4</v>
      </c>
      <c r="W84" s="2"/>
      <c r="X84" s="7">
        <f t="shared" si="43"/>
        <v>-1619.56</v>
      </c>
      <c r="Y84" s="2"/>
      <c r="Z84" s="6">
        <f t="shared" si="44"/>
        <v>-0.86376533333333327</v>
      </c>
    </row>
    <row r="85" spans="1:26" s="27" customFormat="1" outlineLevel="1" collapsed="1" x14ac:dyDescent="0.25">
      <c r="A85" s="25"/>
      <c r="B85" s="12" t="str">
        <f>CONCATENATE("     ","Freight out/Postage                               ")</f>
        <v xml:space="preserve">     Freight out/Postage                               </v>
      </c>
      <c r="C85" s="12"/>
      <c r="D85" s="1">
        <f>SUM(OSRRefD22_5x_0)</f>
        <v>10.73</v>
      </c>
      <c r="E85" s="1"/>
      <c r="F85" s="5">
        <f t="shared" si="37"/>
        <v>5.9785232278721083E-5</v>
      </c>
      <c r="G85" s="1"/>
      <c r="H85" s="1">
        <f>SUM(OSRRefH22_5x_0)</f>
        <v>50</v>
      </c>
      <c r="I85" s="1"/>
      <c r="J85" s="5">
        <f t="shared" si="38"/>
        <v>1.0428877143655697E-4</v>
      </c>
      <c r="K85" s="1"/>
      <c r="L85" s="1">
        <f t="shared" si="39"/>
        <v>-39.269999999999996</v>
      </c>
      <c r="M85" s="1"/>
      <c r="N85" s="5">
        <f t="shared" si="40"/>
        <v>-0.78539999999999988</v>
      </c>
      <c r="O85" s="12"/>
      <c r="P85" s="1">
        <f>SUM(OSRRefP22_5x_0)</f>
        <v>129.6</v>
      </c>
      <c r="Q85" s="1"/>
      <c r="R85" s="5">
        <f t="shared" si="41"/>
        <v>5.5441169405185931E-5</v>
      </c>
      <c r="S85" s="1"/>
      <c r="T85" s="1">
        <f>SUM(OSRRefT22_5x_0)</f>
        <v>550</v>
      </c>
      <c r="U85" s="1"/>
      <c r="V85" s="5">
        <f t="shared" si="42"/>
        <v>1.7526897414113423E-4</v>
      </c>
      <c r="W85" s="1"/>
      <c r="X85" s="1">
        <f t="shared" si="43"/>
        <v>-420.4</v>
      </c>
      <c r="Y85" s="1"/>
      <c r="Z85" s="5">
        <f t="shared" si="44"/>
        <v>-0.76436363636363636</v>
      </c>
    </row>
    <row r="86" spans="1:26" s="24" customFormat="1" hidden="1" outlineLevel="2" x14ac:dyDescent="0.25">
      <c r="A86" s="26"/>
      <c r="B86" s="11" t="str">
        <f>CONCATENATE("          ", "6305", " - ", "FREIGHT OUT")</f>
        <v xml:space="preserve">          6305 - FREIGHT OUT</v>
      </c>
      <c r="C86" s="11"/>
      <c r="D86" s="7">
        <v>10.73</v>
      </c>
      <c r="E86" s="2"/>
      <c r="F86" s="6">
        <f t="shared" si="37"/>
        <v>5.9785232278721083E-5</v>
      </c>
      <c r="G86" s="2"/>
      <c r="H86" s="7">
        <v>50</v>
      </c>
      <c r="I86" s="2"/>
      <c r="J86" s="6">
        <f t="shared" si="38"/>
        <v>1.0428877143655697E-4</v>
      </c>
      <c r="K86" s="2"/>
      <c r="L86" s="7">
        <f t="shared" si="39"/>
        <v>-39.269999999999996</v>
      </c>
      <c r="M86" s="2"/>
      <c r="N86" s="6">
        <f t="shared" si="40"/>
        <v>-0.78539999999999988</v>
      </c>
      <c r="O86" s="11"/>
      <c r="P86" s="7">
        <v>129.1</v>
      </c>
      <c r="Q86" s="2"/>
      <c r="R86" s="6">
        <f t="shared" si="41"/>
        <v>5.5227276004702957E-5</v>
      </c>
      <c r="S86" s="2"/>
      <c r="T86" s="7">
        <v>550</v>
      </c>
      <c r="U86" s="2"/>
      <c r="V86" s="6">
        <f t="shared" si="42"/>
        <v>1.7526897414113423E-4</v>
      </c>
      <c r="W86" s="2"/>
      <c r="X86" s="7">
        <f t="shared" si="43"/>
        <v>-420.9</v>
      </c>
      <c r="Y86" s="2"/>
      <c r="Z86" s="6">
        <f t="shared" si="44"/>
        <v>-0.76527272727272722</v>
      </c>
    </row>
    <row r="87" spans="1:26" s="24" customFormat="1" hidden="1" outlineLevel="2" x14ac:dyDescent="0.25">
      <c r="A87" s="26"/>
      <c r="B87" s="11" t="str">
        <f>CONCATENATE("          ", "6307", " - ", "POSTAGE")</f>
        <v xml:space="preserve">          6307 - POSTAGE</v>
      </c>
      <c r="C87" s="11"/>
      <c r="D87" s="7"/>
      <c r="E87" s="2"/>
      <c r="F87" s="6">
        <f t="shared" si="37"/>
        <v>0</v>
      </c>
      <c r="G87" s="2"/>
      <c r="H87" s="7"/>
      <c r="I87" s="2"/>
      <c r="J87" s="6">
        <f t="shared" si="38"/>
        <v>0</v>
      </c>
      <c r="K87" s="2"/>
      <c r="L87" s="7">
        <f t="shared" si="39"/>
        <v>0</v>
      </c>
      <c r="M87" s="2"/>
      <c r="N87" s="6">
        <f t="shared" si="40"/>
        <v>0</v>
      </c>
      <c r="O87" s="11"/>
      <c r="P87" s="7">
        <v>0.5</v>
      </c>
      <c r="Q87" s="2"/>
      <c r="R87" s="6">
        <f t="shared" si="41"/>
        <v>2.1389340048297042E-7</v>
      </c>
      <c r="S87" s="2"/>
      <c r="T87" s="7"/>
      <c r="U87" s="2"/>
      <c r="V87" s="6">
        <f t="shared" si="42"/>
        <v>0</v>
      </c>
      <c r="W87" s="2"/>
      <c r="X87" s="7">
        <f t="shared" si="43"/>
        <v>0.5</v>
      </c>
      <c r="Y87" s="2"/>
      <c r="Z87" s="6">
        <f t="shared" si="44"/>
        <v>0</v>
      </c>
    </row>
    <row r="88" spans="1:26" s="27" customFormat="1" outlineLevel="1" collapsed="1" x14ac:dyDescent="0.25">
      <c r="A88" s="25"/>
      <c r="B88" s="12" t="str">
        <f>CONCATENATE("     ","General                                           ")</f>
        <v xml:space="preserve">     General                                           </v>
      </c>
      <c r="C88" s="12"/>
      <c r="D88" s="1">
        <f>SUM(OSRRefD22_6x_0)</f>
        <v>0</v>
      </c>
      <c r="E88" s="1"/>
      <c r="F88" s="5">
        <f t="shared" ref="F88:F96" si="45">IF(D$12=0,0,D88/D$12)</f>
        <v>0</v>
      </c>
      <c r="G88" s="1"/>
      <c r="H88" s="1">
        <f>SUM(OSRRefH22_6x_0)</f>
        <v>0</v>
      </c>
      <c r="I88" s="1"/>
      <c r="J88" s="5">
        <f t="shared" ref="J88:J96" si="46">IF(H$12=0,0,H88/H$12)</f>
        <v>0</v>
      </c>
      <c r="K88" s="1"/>
      <c r="L88" s="1">
        <f t="shared" ref="L88:L96" si="47">+D88-H88</f>
        <v>0</v>
      </c>
      <c r="M88" s="1"/>
      <c r="N88" s="5">
        <f t="shared" ref="N88:N96" si="48">IF(H88=0,0,L88/H88)</f>
        <v>0</v>
      </c>
      <c r="O88" s="12"/>
      <c r="P88" s="1">
        <f>SUM(OSRRefP22_6x_0)</f>
        <v>0</v>
      </c>
      <c r="Q88" s="1"/>
      <c r="R88" s="5">
        <f t="shared" ref="R88:R96" si="49">IF(P$12=0,0,P88/P$12)</f>
        <v>0</v>
      </c>
      <c r="S88" s="1"/>
      <c r="T88" s="1">
        <f>SUM(OSRRefT22_6x_0)</f>
        <v>250</v>
      </c>
      <c r="U88" s="1"/>
      <c r="V88" s="5">
        <f t="shared" ref="V88:V96" si="50">IF(T$12=0,0,T88/T$12)</f>
        <v>7.9667715518697373E-5</v>
      </c>
      <c r="W88" s="1"/>
      <c r="X88" s="1">
        <f t="shared" ref="X88:X96" si="51">+P88-T88</f>
        <v>-250</v>
      </c>
      <c r="Y88" s="1"/>
      <c r="Z88" s="5">
        <f t="shared" ref="Z88:Z96" si="52">IF(T88=0,0,X88/T88)</f>
        <v>-1</v>
      </c>
    </row>
    <row r="89" spans="1:26" s="24" customFormat="1" hidden="1" outlineLevel="2" x14ac:dyDescent="0.25">
      <c r="A89" s="26"/>
      <c r="B89" s="11" t="str">
        <f>CONCATENATE("          ", "6279", " - ", "GENERAL EXPENSE")</f>
        <v xml:space="preserve">          6279 - GENERAL EXPENSE</v>
      </c>
      <c r="C89" s="11"/>
      <c r="D89" s="7"/>
      <c r="E89" s="2"/>
      <c r="F89" s="6">
        <f t="shared" si="45"/>
        <v>0</v>
      </c>
      <c r="G89" s="2"/>
      <c r="H89" s="7">
        <v>0</v>
      </c>
      <c r="I89" s="2"/>
      <c r="J89" s="6">
        <f t="shared" si="46"/>
        <v>0</v>
      </c>
      <c r="K89" s="2"/>
      <c r="L89" s="7">
        <f t="shared" si="47"/>
        <v>0</v>
      </c>
      <c r="M89" s="2"/>
      <c r="N89" s="6">
        <f t="shared" si="48"/>
        <v>0</v>
      </c>
      <c r="O89" s="11"/>
      <c r="P89" s="7"/>
      <c r="Q89" s="2"/>
      <c r="R89" s="6">
        <f t="shared" si="49"/>
        <v>0</v>
      </c>
      <c r="S89" s="2"/>
      <c r="T89" s="7">
        <v>250</v>
      </c>
      <c r="U89" s="2"/>
      <c r="V89" s="6">
        <f t="shared" si="50"/>
        <v>7.9667715518697373E-5</v>
      </c>
      <c r="W89" s="2"/>
      <c r="X89" s="7">
        <f t="shared" si="51"/>
        <v>-250</v>
      </c>
      <c r="Y89" s="2"/>
      <c r="Z89" s="6">
        <f t="shared" si="52"/>
        <v>-1</v>
      </c>
    </row>
    <row r="90" spans="1:26" s="27" customFormat="1" outlineLevel="1" collapsed="1" x14ac:dyDescent="0.25">
      <c r="A90" s="25"/>
      <c r="B90" s="12" t="str">
        <f>CONCATENATE("     ","Inventory Adjustment                              ")</f>
        <v xml:space="preserve">     Inventory Adjustment                              </v>
      </c>
      <c r="C90" s="12"/>
      <c r="D90" s="1">
        <f>SUM(OSRRefD22_7x_0)</f>
        <v>2850</v>
      </c>
      <c r="E90" s="1"/>
      <c r="F90" s="5">
        <f t="shared" si="45"/>
        <v>1.5879581732931507E-2</v>
      </c>
      <c r="G90" s="1"/>
      <c r="H90" s="1">
        <f>SUM(OSRRefH22_7x_0)</f>
        <v>2850</v>
      </c>
      <c r="I90" s="1"/>
      <c r="J90" s="5">
        <f t="shared" si="46"/>
        <v>5.9444599718837471E-3</v>
      </c>
      <c r="K90" s="1"/>
      <c r="L90" s="1">
        <f t="shared" si="47"/>
        <v>0</v>
      </c>
      <c r="M90" s="1"/>
      <c r="N90" s="5">
        <f t="shared" si="48"/>
        <v>0</v>
      </c>
      <c r="O90" s="12"/>
      <c r="P90" s="1">
        <f>SUM(OSRRefP22_7x_0)</f>
        <v>31350</v>
      </c>
      <c r="Q90" s="1"/>
      <c r="R90" s="5">
        <f t="shared" si="49"/>
        <v>1.3411116210282245E-2</v>
      </c>
      <c r="S90" s="1"/>
      <c r="T90" s="1">
        <f>SUM(OSRRefT22_7x_0)</f>
        <v>31350</v>
      </c>
      <c r="U90" s="1"/>
      <c r="V90" s="5">
        <f t="shared" si="50"/>
        <v>9.9903315260446504E-3</v>
      </c>
      <c r="W90" s="1"/>
      <c r="X90" s="1">
        <f t="shared" si="51"/>
        <v>0</v>
      </c>
      <c r="Y90" s="1"/>
      <c r="Z90" s="5">
        <f t="shared" si="52"/>
        <v>0</v>
      </c>
    </row>
    <row r="91" spans="1:26" s="24" customFormat="1" hidden="1" outlineLevel="2" x14ac:dyDescent="0.25">
      <c r="A91" s="26"/>
      <c r="B91" s="11" t="str">
        <f>CONCATENATE("          ", "6408", " - ", "INVENTORY ADJUSTMENT")</f>
        <v xml:space="preserve">          6408 - INVENTORY ADJUSTMENT</v>
      </c>
      <c r="C91" s="11"/>
      <c r="D91" s="7">
        <v>2850</v>
      </c>
      <c r="E91" s="2"/>
      <c r="F91" s="6">
        <f t="shared" si="45"/>
        <v>1.5879581732931507E-2</v>
      </c>
      <c r="G91" s="2"/>
      <c r="H91" s="7">
        <v>2850</v>
      </c>
      <c r="I91" s="2"/>
      <c r="J91" s="6">
        <f t="shared" si="46"/>
        <v>5.9444599718837471E-3</v>
      </c>
      <c r="K91" s="2"/>
      <c r="L91" s="7">
        <f t="shared" si="47"/>
        <v>0</v>
      </c>
      <c r="M91" s="2"/>
      <c r="N91" s="6">
        <f t="shared" si="48"/>
        <v>0</v>
      </c>
      <c r="O91" s="11"/>
      <c r="P91" s="7">
        <v>31350</v>
      </c>
      <c r="Q91" s="2"/>
      <c r="R91" s="6">
        <f t="shared" si="49"/>
        <v>1.3411116210282245E-2</v>
      </c>
      <c r="S91" s="2"/>
      <c r="T91" s="7">
        <v>31350</v>
      </c>
      <c r="U91" s="2"/>
      <c r="V91" s="6">
        <f t="shared" si="50"/>
        <v>9.9903315260446504E-3</v>
      </c>
      <c r="W91" s="2"/>
      <c r="X91" s="7">
        <f t="shared" si="51"/>
        <v>0</v>
      </c>
      <c r="Y91" s="2"/>
      <c r="Z91" s="6">
        <f t="shared" si="52"/>
        <v>0</v>
      </c>
    </row>
    <row r="92" spans="1:26" s="27" customFormat="1" outlineLevel="1" collapsed="1" x14ac:dyDescent="0.25">
      <c r="A92" s="25"/>
      <c r="B92" s="12" t="str">
        <f>CONCATENATE("     ","Professional Services                             ")</f>
        <v xml:space="preserve">     Professional Services                             </v>
      </c>
      <c r="C92" s="12"/>
      <c r="D92" s="1">
        <f>SUM(OSRRefD22_8x_0)</f>
        <v>0</v>
      </c>
      <c r="E92" s="1"/>
      <c r="F92" s="5">
        <f t="shared" si="45"/>
        <v>0</v>
      </c>
      <c r="G92" s="1"/>
      <c r="H92" s="1">
        <f>SUM(OSRRefH22_8x_0)</f>
        <v>0</v>
      </c>
      <c r="I92" s="1"/>
      <c r="J92" s="5">
        <f t="shared" si="46"/>
        <v>0</v>
      </c>
      <c r="K92" s="1"/>
      <c r="L92" s="1">
        <f t="shared" si="47"/>
        <v>0</v>
      </c>
      <c r="M92" s="1"/>
      <c r="N92" s="5">
        <f t="shared" si="48"/>
        <v>0</v>
      </c>
      <c r="O92" s="12"/>
      <c r="P92" s="1">
        <f>SUM(OSRRefP22_8x_0)</f>
        <v>2930</v>
      </c>
      <c r="Q92" s="1"/>
      <c r="R92" s="5">
        <f t="shared" si="49"/>
        <v>1.2534153268302067E-3</v>
      </c>
      <c r="S92" s="1"/>
      <c r="T92" s="1">
        <f>SUM(OSRRefT22_8x_0)</f>
        <v>2250</v>
      </c>
      <c r="U92" s="1"/>
      <c r="V92" s="5">
        <f t="shared" si="50"/>
        <v>7.170094396682764E-4</v>
      </c>
      <c r="W92" s="1"/>
      <c r="X92" s="1">
        <f t="shared" si="51"/>
        <v>680</v>
      </c>
      <c r="Y92" s="1"/>
      <c r="Z92" s="5">
        <f t="shared" si="52"/>
        <v>0.30222222222222223</v>
      </c>
    </row>
    <row r="93" spans="1:26" s="24" customFormat="1" hidden="1" outlineLevel="2" x14ac:dyDescent="0.25">
      <c r="A93" s="26"/>
      <c r="B93" s="11" t="str">
        <f>CONCATENATE("          ", "6336", " - ", "PROFESSIONAL SERVICES")</f>
        <v xml:space="preserve">          6336 - PROFESSIONAL SERVICES</v>
      </c>
      <c r="C93" s="11"/>
      <c r="D93" s="7"/>
      <c r="E93" s="2"/>
      <c r="F93" s="6">
        <f t="shared" si="45"/>
        <v>0</v>
      </c>
      <c r="G93" s="2"/>
      <c r="H93" s="7">
        <v>0</v>
      </c>
      <c r="I93" s="2"/>
      <c r="J93" s="6">
        <f t="shared" si="46"/>
        <v>0</v>
      </c>
      <c r="K93" s="2"/>
      <c r="L93" s="7">
        <f t="shared" si="47"/>
        <v>0</v>
      </c>
      <c r="M93" s="2"/>
      <c r="N93" s="6">
        <f t="shared" si="48"/>
        <v>0</v>
      </c>
      <c r="O93" s="11"/>
      <c r="P93" s="7">
        <v>2930</v>
      </c>
      <c r="Q93" s="2"/>
      <c r="R93" s="6">
        <f t="shared" si="49"/>
        <v>1.2534153268302067E-3</v>
      </c>
      <c r="S93" s="2"/>
      <c r="T93" s="7">
        <v>2250</v>
      </c>
      <c r="U93" s="2"/>
      <c r="V93" s="6">
        <f t="shared" si="50"/>
        <v>7.170094396682764E-4</v>
      </c>
      <c r="W93" s="2"/>
      <c r="X93" s="7">
        <f t="shared" si="51"/>
        <v>680</v>
      </c>
      <c r="Y93" s="2"/>
      <c r="Z93" s="6">
        <f t="shared" si="52"/>
        <v>0.30222222222222223</v>
      </c>
    </row>
    <row r="94" spans="1:26" s="27" customFormat="1" outlineLevel="1" collapsed="1" x14ac:dyDescent="0.25">
      <c r="A94" s="25"/>
      <c r="B94" s="12" t="str">
        <f>CONCATENATE("     ","Repair and Maintenance                            ")</f>
        <v xml:space="preserve">     Repair and Maintenance                            </v>
      </c>
      <c r="C94" s="12"/>
      <c r="D94" s="1">
        <f>SUM(OSRRefD22_9x_0)</f>
        <v>0</v>
      </c>
      <c r="E94" s="1"/>
      <c r="F94" s="5">
        <f t="shared" si="45"/>
        <v>0</v>
      </c>
      <c r="G94" s="1"/>
      <c r="H94" s="1">
        <f>SUM(OSRRefH22_9x_0)</f>
        <v>50</v>
      </c>
      <c r="I94" s="1"/>
      <c r="J94" s="5">
        <f t="shared" si="46"/>
        <v>1.0428877143655697E-4</v>
      </c>
      <c r="K94" s="1"/>
      <c r="L94" s="1">
        <f t="shared" si="47"/>
        <v>-50</v>
      </c>
      <c r="M94" s="1"/>
      <c r="N94" s="5">
        <f t="shared" si="48"/>
        <v>-1</v>
      </c>
      <c r="O94" s="12"/>
      <c r="P94" s="1">
        <f>SUM(OSRRefP22_9x_0)</f>
        <v>309.77999999999997</v>
      </c>
      <c r="Q94" s="1"/>
      <c r="R94" s="5">
        <f t="shared" si="49"/>
        <v>1.3251979520322913E-4</v>
      </c>
      <c r="S94" s="1"/>
      <c r="T94" s="1">
        <f>SUM(OSRRefT22_9x_0)</f>
        <v>550</v>
      </c>
      <c r="U94" s="1"/>
      <c r="V94" s="5">
        <f t="shared" si="50"/>
        <v>1.7526897414113423E-4</v>
      </c>
      <c r="W94" s="1"/>
      <c r="X94" s="1">
        <f t="shared" si="51"/>
        <v>-240.22000000000003</v>
      </c>
      <c r="Y94" s="1"/>
      <c r="Z94" s="5">
        <f t="shared" si="52"/>
        <v>-0.43676363636363641</v>
      </c>
    </row>
    <row r="95" spans="1:26" s="24" customFormat="1" hidden="1" outlineLevel="2" x14ac:dyDescent="0.25">
      <c r="A95" s="26"/>
      <c r="B95" s="11" t="str">
        <f>CONCATENATE("          ", "6373", " - ", "MAINTENANCE CONTRACTS")</f>
        <v xml:space="preserve">          6373 - MAINTENANCE CONTRACTS</v>
      </c>
      <c r="C95" s="11"/>
      <c r="D95" s="7"/>
      <c r="E95" s="2"/>
      <c r="F95" s="6">
        <f t="shared" si="45"/>
        <v>0</v>
      </c>
      <c r="G95" s="2"/>
      <c r="H95" s="7"/>
      <c r="I95" s="2"/>
      <c r="J95" s="6">
        <f t="shared" si="46"/>
        <v>0</v>
      </c>
      <c r="K95" s="2"/>
      <c r="L95" s="7">
        <f t="shared" si="47"/>
        <v>0</v>
      </c>
      <c r="M95" s="2"/>
      <c r="N95" s="6">
        <f t="shared" si="48"/>
        <v>0</v>
      </c>
      <c r="O95" s="11"/>
      <c r="P95" s="7">
        <v>309.77999999999997</v>
      </c>
      <c r="Q95" s="2"/>
      <c r="R95" s="6">
        <f t="shared" si="49"/>
        <v>1.3251979520322913E-4</v>
      </c>
      <c r="S95" s="2"/>
      <c r="T95" s="7"/>
      <c r="U95" s="2"/>
      <c r="V95" s="6">
        <f t="shared" si="50"/>
        <v>0</v>
      </c>
      <c r="W95" s="2"/>
      <c r="X95" s="7">
        <f t="shared" si="51"/>
        <v>309.77999999999997</v>
      </c>
      <c r="Y95" s="2"/>
      <c r="Z95" s="6">
        <f t="shared" si="52"/>
        <v>0</v>
      </c>
    </row>
    <row r="96" spans="1:26" s="24" customFormat="1" hidden="1" outlineLevel="2" x14ac:dyDescent="0.25">
      <c r="A96" s="26"/>
      <c r="B96" s="11" t="str">
        <f>CONCATENATE("          ", "6375", " - ", "OUTSIDE REPAIRS &amp; MAINTENANCE")</f>
        <v xml:space="preserve">          6375 - OUTSIDE REPAIRS &amp; MAINTENANCE</v>
      </c>
      <c r="C96" s="11"/>
      <c r="D96" s="7"/>
      <c r="E96" s="2"/>
      <c r="F96" s="6">
        <f t="shared" si="45"/>
        <v>0</v>
      </c>
      <c r="G96" s="2"/>
      <c r="H96" s="7">
        <v>50</v>
      </c>
      <c r="I96" s="2"/>
      <c r="J96" s="6">
        <f t="shared" si="46"/>
        <v>1.0428877143655697E-4</v>
      </c>
      <c r="K96" s="2"/>
      <c r="L96" s="7">
        <f t="shared" si="47"/>
        <v>-50</v>
      </c>
      <c r="M96" s="2"/>
      <c r="N96" s="6">
        <f t="shared" si="48"/>
        <v>-1</v>
      </c>
      <c r="O96" s="11"/>
      <c r="P96" s="7"/>
      <c r="Q96" s="2"/>
      <c r="R96" s="6">
        <f t="shared" si="49"/>
        <v>0</v>
      </c>
      <c r="S96" s="2"/>
      <c r="T96" s="7">
        <v>550</v>
      </c>
      <c r="U96" s="2"/>
      <c r="V96" s="6">
        <f t="shared" si="50"/>
        <v>1.7526897414113423E-4</v>
      </c>
      <c r="W96" s="2"/>
      <c r="X96" s="7">
        <f t="shared" si="51"/>
        <v>-550</v>
      </c>
      <c r="Y96" s="2"/>
      <c r="Z96" s="6">
        <f t="shared" si="52"/>
        <v>-1</v>
      </c>
    </row>
    <row r="97" spans="1:26" s="27" customFormat="1" outlineLevel="1" collapsed="1" x14ac:dyDescent="0.25">
      <c r="A97" s="25"/>
      <c r="B97" s="12" t="str">
        <f>CONCATENATE("     ","Royalty &amp; Commissions                             ")</f>
        <v xml:space="preserve">     Royalty &amp; Commissions                             </v>
      </c>
      <c r="C97" s="12"/>
      <c r="D97" s="1">
        <f>SUM(OSRRefD22_10x_0)</f>
        <v>0</v>
      </c>
      <c r="E97" s="1"/>
      <c r="F97" s="5">
        <f t="shared" ref="F97:F100" si="53">IF(D$12=0,0,D97/D$12)</f>
        <v>0</v>
      </c>
      <c r="G97" s="1"/>
      <c r="H97" s="1">
        <f>SUM(OSRRefH22_10x_0)</f>
        <v>5485</v>
      </c>
      <c r="I97" s="1"/>
      <c r="J97" s="5">
        <f t="shared" ref="J97:J100" si="54">IF(H$12=0,0,H97/H$12)</f>
        <v>1.1440478226590299E-2</v>
      </c>
      <c r="K97" s="1"/>
      <c r="L97" s="1">
        <f t="shared" ref="L97:L100" si="55">+D97-H97</f>
        <v>-5485</v>
      </c>
      <c r="M97" s="1"/>
      <c r="N97" s="5">
        <f t="shared" ref="N97:N100" si="56">IF(H97=0,0,L97/H97)</f>
        <v>-1</v>
      </c>
      <c r="O97" s="12"/>
      <c r="P97" s="1">
        <f>SUM(OSRRefP22_10x_0)</f>
        <v>40841.660000000003</v>
      </c>
      <c r="Q97" s="1"/>
      <c r="R97" s="5">
        <f t="shared" ref="R97:R100" si="57">IF(P$12=0,0,P97/P$12)</f>
        <v>1.7471523077538628E-2</v>
      </c>
      <c r="S97" s="1"/>
      <c r="T97" s="1">
        <f>SUM(OSRRefT22_10x_0)</f>
        <v>60335</v>
      </c>
      <c r="U97" s="1"/>
      <c r="V97" s="5">
        <f t="shared" ref="V97:V100" si="58">IF(T$12=0,0,T97/T$12)</f>
        <v>1.9227006463282424E-2</v>
      </c>
      <c r="W97" s="1"/>
      <c r="X97" s="1">
        <f t="shared" ref="X97:X100" si="59">+P97-T97</f>
        <v>-19493.339999999997</v>
      </c>
      <c r="Y97" s="1"/>
      <c r="Z97" s="5">
        <f t="shared" ref="Z97:Z100" si="60">IF(T97=0,0,X97/T97)</f>
        <v>-0.32308510814618374</v>
      </c>
    </row>
    <row r="98" spans="1:26" s="24" customFormat="1" hidden="1" outlineLevel="2" x14ac:dyDescent="0.25">
      <c r="A98" s="26"/>
      <c r="B98" s="11" t="str">
        <f>CONCATENATE("          ", "6252", " - ", "ROYALTY DUE CSTV")</f>
        <v xml:space="preserve">          6252 - ROYALTY DUE CSTV</v>
      </c>
      <c r="C98" s="11"/>
      <c r="D98" s="7"/>
      <c r="E98" s="2"/>
      <c r="F98" s="6">
        <f t="shared" si="53"/>
        <v>0</v>
      </c>
      <c r="G98" s="2"/>
      <c r="H98" s="7">
        <v>1085</v>
      </c>
      <c r="I98" s="2"/>
      <c r="J98" s="6">
        <f t="shared" si="54"/>
        <v>2.263066340173286E-3</v>
      </c>
      <c r="K98" s="2"/>
      <c r="L98" s="7">
        <f t="shared" si="55"/>
        <v>-1085</v>
      </c>
      <c r="M98" s="2"/>
      <c r="N98" s="6">
        <f t="shared" si="56"/>
        <v>-1</v>
      </c>
      <c r="O98" s="11"/>
      <c r="P98" s="7"/>
      <c r="Q98" s="2"/>
      <c r="R98" s="6">
        <f t="shared" si="57"/>
        <v>0</v>
      </c>
      <c r="S98" s="2"/>
      <c r="T98" s="7">
        <v>11935</v>
      </c>
      <c r="U98" s="2"/>
      <c r="V98" s="6">
        <f t="shared" si="58"/>
        <v>3.8033367388626126E-3</v>
      </c>
      <c r="W98" s="2"/>
      <c r="X98" s="7">
        <f t="shared" si="59"/>
        <v>-11935</v>
      </c>
      <c r="Y98" s="2"/>
      <c r="Z98" s="6">
        <f t="shared" si="60"/>
        <v>-1</v>
      </c>
    </row>
    <row r="99" spans="1:26" s="24" customFormat="1" hidden="1" outlineLevel="2" x14ac:dyDescent="0.25">
      <c r="A99" s="26"/>
      <c r="B99" s="11" t="str">
        <f>CONCATENATE("          ", "6253", " - ", "ROYALTY DUE ATHLETICS-LRG")</f>
        <v xml:space="preserve">          6253 - ROYALTY DUE ATHLETICS-LRG</v>
      </c>
      <c r="C99" s="11"/>
      <c r="D99" s="7"/>
      <c r="E99" s="2"/>
      <c r="F99" s="6">
        <f t="shared" si="53"/>
        <v>0</v>
      </c>
      <c r="G99" s="2"/>
      <c r="H99" s="7">
        <v>3700</v>
      </c>
      <c r="I99" s="2"/>
      <c r="J99" s="6">
        <f t="shared" si="54"/>
        <v>7.7173690863052155E-3</v>
      </c>
      <c r="K99" s="2"/>
      <c r="L99" s="7">
        <f t="shared" si="55"/>
        <v>-3700</v>
      </c>
      <c r="M99" s="2"/>
      <c r="N99" s="6">
        <f t="shared" si="56"/>
        <v>-1</v>
      </c>
      <c r="O99" s="11"/>
      <c r="P99" s="7">
        <v>32870.44</v>
      </c>
      <c r="Q99" s="2"/>
      <c r="R99" s="6">
        <f t="shared" si="57"/>
        <v>1.4061540373942902E-2</v>
      </c>
      <c r="S99" s="2"/>
      <c r="T99" s="7">
        <v>40700</v>
      </c>
      <c r="U99" s="2"/>
      <c r="V99" s="6">
        <f t="shared" si="58"/>
        <v>1.2969904086443933E-2</v>
      </c>
      <c r="W99" s="2"/>
      <c r="X99" s="7">
        <f t="shared" si="59"/>
        <v>-7829.5599999999977</v>
      </c>
      <c r="Y99" s="2"/>
      <c r="Z99" s="6">
        <f t="shared" si="60"/>
        <v>-0.19237248157248152</v>
      </c>
    </row>
    <row r="100" spans="1:26" s="24" customFormat="1" hidden="1" outlineLevel="2" x14ac:dyDescent="0.25">
      <c r="A100" s="26"/>
      <c r="B100" s="11" t="str">
        <f>CONCATENATE("          ", "6254", " - ", "ROYALTY &amp; COMMISSIONS")</f>
        <v xml:space="preserve">          6254 - ROYALTY &amp; COMMISSIONS</v>
      </c>
      <c r="C100" s="11"/>
      <c r="D100" s="7"/>
      <c r="E100" s="2"/>
      <c r="F100" s="6">
        <f t="shared" si="53"/>
        <v>0</v>
      </c>
      <c r="G100" s="2"/>
      <c r="H100" s="7">
        <v>700</v>
      </c>
      <c r="I100" s="2"/>
      <c r="J100" s="6">
        <f t="shared" si="54"/>
        <v>1.4600428001117975E-3</v>
      </c>
      <c r="K100" s="2"/>
      <c r="L100" s="7">
        <f t="shared" si="55"/>
        <v>-700</v>
      </c>
      <c r="M100" s="2"/>
      <c r="N100" s="6">
        <f t="shared" si="56"/>
        <v>-1</v>
      </c>
      <c r="O100" s="11"/>
      <c r="P100" s="7">
        <v>7971.22</v>
      </c>
      <c r="Q100" s="2"/>
      <c r="R100" s="6">
        <f t="shared" si="57"/>
        <v>3.409982703595727E-3</v>
      </c>
      <c r="S100" s="2"/>
      <c r="T100" s="7">
        <v>7700</v>
      </c>
      <c r="U100" s="2"/>
      <c r="V100" s="6">
        <f t="shared" si="58"/>
        <v>2.4537656379758793E-3</v>
      </c>
      <c r="W100" s="2"/>
      <c r="X100" s="7">
        <f t="shared" si="59"/>
        <v>271.22000000000025</v>
      </c>
      <c r="Y100" s="2"/>
      <c r="Z100" s="6">
        <f t="shared" si="60"/>
        <v>3.5223376623376657E-2</v>
      </c>
    </row>
    <row r="101" spans="1:26" s="27" customFormat="1" outlineLevel="1" collapsed="1" x14ac:dyDescent="0.25">
      <c r="A101" s="25"/>
      <c r="B101" s="12" t="str">
        <f>CONCATENATE("     ","Subscriptions &amp; Dues                              ")</f>
        <v xml:space="preserve">     Subscriptions &amp; Dues                              </v>
      </c>
      <c r="C101" s="12"/>
      <c r="D101" s="1">
        <f>SUM(OSRRefD22_11x_0)</f>
        <v>0</v>
      </c>
      <c r="E101" s="1"/>
      <c r="F101" s="5">
        <f t="shared" ref="F101:F103" si="61">IF(D$12=0,0,D101/D$12)</f>
        <v>0</v>
      </c>
      <c r="G101" s="1"/>
      <c r="H101" s="1">
        <f>SUM(OSRRefH22_11x_0)</f>
        <v>0</v>
      </c>
      <c r="I101" s="1"/>
      <c r="J101" s="5">
        <f t="shared" ref="J101:J103" si="62">IF(H$12=0,0,H101/H$12)</f>
        <v>0</v>
      </c>
      <c r="K101" s="1"/>
      <c r="L101" s="1">
        <f t="shared" ref="L101:L103" si="63">+D101-H101</f>
        <v>0</v>
      </c>
      <c r="M101" s="1"/>
      <c r="N101" s="5">
        <f t="shared" ref="N101:N103" si="64">IF(H101=0,0,L101/H101)</f>
        <v>0</v>
      </c>
      <c r="O101" s="12"/>
      <c r="P101" s="1">
        <f>SUM(OSRRefP22_11x_0)</f>
        <v>379.58</v>
      </c>
      <c r="Q101" s="1"/>
      <c r="R101" s="5">
        <f t="shared" ref="R101:R103" si="65">IF(P$12=0,0,P101/P$12)</f>
        <v>1.6237931391065182E-4</v>
      </c>
      <c r="S101" s="1"/>
      <c r="T101" s="1">
        <f>SUM(OSRRefT22_11x_0)</f>
        <v>4250</v>
      </c>
      <c r="U101" s="1"/>
      <c r="V101" s="5">
        <f t="shared" ref="V101:V103" si="66">IF(T$12=0,0,T101/T$12)</f>
        <v>1.3543511638178553E-3</v>
      </c>
      <c r="W101" s="1"/>
      <c r="X101" s="1">
        <f t="shared" ref="X101:X103" si="67">+P101-T101</f>
        <v>-3870.42</v>
      </c>
      <c r="Y101" s="1"/>
      <c r="Z101" s="5">
        <f t="shared" ref="Z101:Z103" si="68">IF(T101=0,0,X101/T101)</f>
        <v>-0.91068705882352941</v>
      </c>
    </row>
    <row r="102" spans="1:26" s="24" customFormat="1" hidden="1" outlineLevel="2" x14ac:dyDescent="0.25">
      <c r="A102" s="26"/>
      <c r="B102" s="11" t="str">
        <f>CONCATENATE("          ", "6258", " - ", "MEMBERSHIP DUES")</f>
        <v xml:space="preserve">          6258 - MEMBERSHIP DUES</v>
      </c>
      <c r="C102" s="11"/>
      <c r="D102" s="7"/>
      <c r="E102" s="2"/>
      <c r="F102" s="6">
        <f t="shared" si="61"/>
        <v>0</v>
      </c>
      <c r="G102" s="2"/>
      <c r="H102" s="7">
        <v>0</v>
      </c>
      <c r="I102" s="2"/>
      <c r="J102" s="6">
        <f t="shared" si="62"/>
        <v>0</v>
      </c>
      <c r="K102" s="2"/>
      <c r="L102" s="7">
        <f t="shared" si="63"/>
        <v>0</v>
      </c>
      <c r="M102" s="2"/>
      <c r="N102" s="6">
        <f t="shared" si="64"/>
        <v>0</v>
      </c>
      <c r="O102" s="11"/>
      <c r="P102" s="7">
        <v>82.94</v>
      </c>
      <c r="Q102" s="2"/>
      <c r="R102" s="6">
        <f t="shared" si="65"/>
        <v>3.548063727211513E-5</v>
      </c>
      <c r="S102" s="2"/>
      <c r="T102" s="7">
        <v>1500</v>
      </c>
      <c r="U102" s="2"/>
      <c r="V102" s="6">
        <f t="shared" si="66"/>
        <v>4.7800629311218427E-4</v>
      </c>
      <c r="W102" s="2"/>
      <c r="X102" s="7">
        <f t="shared" si="67"/>
        <v>-1417.06</v>
      </c>
      <c r="Y102" s="2"/>
      <c r="Z102" s="6">
        <f t="shared" si="68"/>
        <v>-0.94470666666666658</v>
      </c>
    </row>
    <row r="103" spans="1:26" s="24" customFormat="1" hidden="1" outlineLevel="2" x14ac:dyDescent="0.25">
      <c r="A103" s="26"/>
      <c r="B103" s="11" t="str">
        <f>CONCATENATE("          ", "6275", " - ", "SUBSCRIPTIONS")</f>
        <v xml:space="preserve">          6275 - SUBSCRIPTIONS</v>
      </c>
      <c r="C103" s="11"/>
      <c r="D103" s="7"/>
      <c r="E103" s="2"/>
      <c r="F103" s="6">
        <f t="shared" si="61"/>
        <v>0</v>
      </c>
      <c r="G103" s="2"/>
      <c r="H103" s="7">
        <v>0</v>
      </c>
      <c r="I103" s="2"/>
      <c r="J103" s="6">
        <f t="shared" si="62"/>
        <v>0</v>
      </c>
      <c r="K103" s="2"/>
      <c r="L103" s="7">
        <f t="shared" si="63"/>
        <v>0</v>
      </c>
      <c r="M103" s="2"/>
      <c r="N103" s="6">
        <f t="shared" si="64"/>
        <v>0</v>
      </c>
      <c r="O103" s="11"/>
      <c r="P103" s="7">
        <v>296.64</v>
      </c>
      <c r="Q103" s="2"/>
      <c r="R103" s="6">
        <f t="shared" si="65"/>
        <v>1.2689867663853669E-4</v>
      </c>
      <c r="S103" s="2"/>
      <c r="T103" s="7">
        <v>2750</v>
      </c>
      <c r="U103" s="2"/>
      <c r="V103" s="6">
        <f t="shared" si="66"/>
        <v>8.7634487070567112E-4</v>
      </c>
      <c r="W103" s="2"/>
      <c r="X103" s="7">
        <f t="shared" si="67"/>
        <v>-2453.36</v>
      </c>
      <c r="Y103" s="2"/>
      <c r="Z103" s="6">
        <f t="shared" si="68"/>
        <v>-0.89213090909090909</v>
      </c>
    </row>
    <row r="104" spans="1:26" s="27" customFormat="1" outlineLevel="1" collapsed="1" x14ac:dyDescent="0.25">
      <c r="A104" s="25"/>
      <c r="B104" s="12" t="str">
        <f>CONCATENATE("     ","Supplies                                          ")</f>
        <v xml:space="preserve">     Supplies                                          </v>
      </c>
      <c r="C104" s="12"/>
      <c r="D104" s="1">
        <f>SUM(OSRRefD22_12x_0)</f>
        <v>68.91</v>
      </c>
      <c r="E104" s="1"/>
      <c r="F104" s="5">
        <f t="shared" ref="F104:F109" si="69">IF(D$12=0,0,D104/D$12)</f>
        <v>3.8395157095309128E-4</v>
      </c>
      <c r="G104" s="1"/>
      <c r="H104" s="1">
        <f>SUM(OSRRefH22_12x_0)</f>
        <v>625</v>
      </c>
      <c r="I104" s="1"/>
      <c r="J104" s="5">
        <f t="shared" ref="J104:J109" si="70">IF(H$12=0,0,H104/H$12)</f>
        <v>1.303609642956962E-3</v>
      </c>
      <c r="K104" s="1"/>
      <c r="L104" s="1">
        <f t="shared" ref="L104:L109" si="71">+D104-H104</f>
        <v>-556.09</v>
      </c>
      <c r="M104" s="1"/>
      <c r="N104" s="5">
        <f t="shared" ref="N104:N109" si="72">IF(H104=0,0,L104/H104)</f>
        <v>-0.88974400000000009</v>
      </c>
      <c r="O104" s="12"/>
      <c r="P104" s="1">
        <f>SUM(OSRRefP22_12x_0)</f>
        <v>3624.85</v>
      </c>
      <c r="Q104" s="1"/>
      <c r="R104" s="5">
        <f t="shared" ref="R104:R109" si="73">IF(P$12=0,0,P104/P$12)</f>
        <v>1.5506629854813907E-3</v>
      </c>
      <c r="S104" s="1"/>
      <c r="T104" s="1">
        <f>SUM(OSRRefT22_12x_0)</f>
        <v>10475</v>
      </c>
      <c r="U104" s="1"/>
      <c r="V104" s="5">
        <f t="shared" ref="V104:V109" si="74">IF(T$12=0,0,T104/T$12)</f>
        <v>3.3380772802334199E-3</v>
      </c>
      <c r="W104" s="1"/>
      <c r="X104" s="1">
        <f t="shared" ref="X104:X109" si="75">+P104-T104</f>
        <v>-6850.15</v>
      </c>
      <c r="Y104" s="1"/>
      <c r="Z104" s="5">
        <f t="shared" ref="Z104:Z109" si="76">IF(T104=0,0,X104/T104)</f>
        <v>-0.65395226730310263</v>
      </c>
    </row>
    <row r="105" spans="1:26" s="24" customFormat="1" hidden="1" outlineLevel="2" x14ac:dyDescent="0.25">
      <c r="A105" s="26"/>
      <c r="B105" s="11" t="str">
        <f>CONCATENATE("          ", "6234", " - ", "EXPENDABLE SUPPLIES &amp; EQUIPMEN")</f>
        <v xml:space="preserve">          6234 - EXPENDABLE SUPPLIES &amp; EQUIPMEN</v>
      </c>
      <c r="C105" s="11"/>
      <c r="D105" s="7"/>
      <c r="E105" s="2"/>
      <c r="F105" s="6">
        <f t="shared" si="69"/>
        <v>0</v>
      </c>
      <c r="G105" s="2"/>
      <c r="H105" s="7">
        <v>200</v>
      </c>
      <c r="I105" s="2"/>
      <c r="J105" s="6">
        <f t="shared" si="70"/>
        <v>4.1715508574622788E-4</v>
      </c>
      <c r="K105" s="2"/>
      <c r="L105" s="7">
        <f t="shared" si="71"/>
        <v>-200</v>
      </c>
      <c r="M105" s="2"/>
      <c r="N105" s="6">
        <f t="shared" si="72"/>
        <v>-1</v>
      </c>
      <c r="O105" s="11"/>
      <c r="P105" s="7">
        <v>672.38</v>
      </c>
      <c r="Q105" s="2"/>
      <c r="R105" s="6">
        <f t="shared" si="73"/>
        <v>2.876352892334793E-4</v>
      </c>
      <c r="S105" s="2"/>
      <c r="T105" s="7">
        <v>5500</v>
      </c>
      <c r="U105" s="2"/>
      <c r="V105" s="6">
        <f t="shared" si="74"/>
        <v>1.7526897414113422E-3</v>
      </c>
      <c r="W105" s="2"/>
      <c r="X105" s="7">
        <f t="shared" si="75"/>
        <v>-4827.62</v>
      </c>
      <c r="Y105" s="2"/>
      <c r="Z105" s="6">
        <f t="shared" si="76"/>
        <v>-0.87774909090909092</v>
      </c>
    </row>
    <row r="106" spans="1:26" s="24" customFormat="1" hidden="1" outlineLevel="2" x14ac:dyDescent="0.25">
      <c r="A106" s="26"/>
      <c r="B106" s="11" t="str">
        <f>CONCATENATE("          ", "6237", " - ", "JANITORIAL SUPPLIES")</f>
        <v xml:space="preserve">          6237 - JANITORIAL SUPPLIES</v>
      </c>
      <c r="C106" s="11"/>
      <c r="D106" s="7"/>
      <c r="E106" s="2"/>
      <c r="F106" s="6">
        <f t="shared" si="69"/>
        <v>0</v>
      </c>
      <c r="G106" s="2"/>
      <c r="H106" s="7">
        <v>25</v>
      </c>
      <c r="I106" s="2"/>
      <c r="J106" s="6">
        <f t="shared" si="70"/>
        <v>5.2144385718278485E-5</v>
      </c>
      <c r="K106" s="2"/>
      <c r="L106" s="7">
        <f t="shared" si="71"/>
        <v>-25</v>
      </c>
      <c r="M106" s="2"/>
      <c r="N106" s="6">
        <f t="shared" si="72"/>
        <v>-1</v>
      </c>
      <c r="O106" s="11"/>
      <c r="P106" s="7"/>
      <c r="Q106" s="2"/>
      <c r="R106" s="6">
        <f t="shared" si="73"/>
        <v>0</v>
      </c>
      <c r="S106" s="2"/>
      <c r="T106" s="7">
        <v>275</v>
      </c>
      <c r="U106" s="2"/>
      <c r="V106" s="6">
        <f t="shared" si="74"/>
        <v>8.7634487070567115E-5</v>
      </c>
      <c r="W106" s="2"/>
      <c r="X106" s="7">
        <f t="shared" si="75"/>
        <v>-275</v>
      </c>
      <c r="Y106" s="2"/>
      <c r="Z106" s="6">
        <f t="shared" si="76"/>
        <v>-1</v>
      </c>
    </row>
    <row r="107" spans="1:26" s="24" customFormat="1" hidden="1" outlineLevel="2" x14ac:dyDescent="0.25">
      <c r="A107" s="26"/>
      <c r="B107" s="11" t="str">
        <f>CONCATENATE("          ", "6241", " - ", "OFFICE EXPENSE")</f>
        <v xml:space="preserve">          6241 - OFFICE EXPENSE</v>
      </c>
      <c r="C107" s="11"/>
      <c r="D107" s="7">
        <v>68.91</v>
      </c>
      <c r="E107" s="2"/>
      <c r="F107" s="6">
        <f t="shared" si="69"/>
        <v>3.8395157095309128E-4</v>
      </c>
      <c r="G107" s="2"/>
      <c r="H107" s="7">
        <v>200</v>
      </c>
      <c r="I107" s="2"/>
      <c r="J107" s="6">
        <f t="shared" si="70"/>
        <v>4.1715508574622788E-4</v>
      </c>
      <c r="K107" s="2"/>
      <c r="L107" s="7">
        <f t="shared" si="71"/>
        <v>-131.09</v>
      </c>
      <c r="M107" s="2"/>
      <c r="N107" s="6">
        <f t="shared" si="72"/>
        <v>-0.65544999999999998</v>
      </c>
      <c r="O107" s="11"/>
      <c r="P107" s="7">
        <v>2718.41</v>
      </c>
      <c r="Q107" s="2"/>
      <c r="R107" s="6">
        <f t="shared" si="73"/>
        <v>1.1628999176138233E-3</v>
      </c>
      <c r="S107" s="2"/>
      <c r="T107" s="7">
        <v>2200</v>
      </c>
      <c r="U107" s="2"/>
      <c r="V107" s="6">
        <f t="shared" si="74"/>
        <v>7.0107589656453692E-4</v>
      </c>
      <c r="W107" s="2"/>
      <c r="X107" s="7">
        <f t="shared" si="75"/>
        <v>518.40999999999985</v>
      </c>
      <c r="Y107" s="2"/>
      <c r="Z107" s="6">
        <f t="shared" si="76"/>
        <v>0.23564090909090901</v>
      </c>
    </row>
    <row r="108" spans="1:26" s="24" customFormat="1" hidden="1" outlineLevel="2" x14ac:dyDescent="0.25">
      <c r="A108" s="26"/>
      <c r="B108" s="11" t="str">
        <f>CONCATENATE("          ", "6245", " - ", "PRINTING")</f>
        <v xml:space="preserve">          6245 - PRINTING</v>
      </c>
      <c r="C108" s="11"/>
      <c r="D108" s="7"/>
      <c r="E108" s="2"/>
      <c r="F108" s="6">
        <f t="shared" si="69"/>
        <v>0</v>
      </c>
      <c r="G108" s="2"/>
      <c r="H108" s="7"/>
      <c r="I108" s="2"/>
      <c r="J108" s="6">
        <f t="shared" si="70"/>
        <v>0</v>
      </c>
      <c r="K108" s="2"/>
      <c r="L108" s="7">
        <f t="shared" si="71"/>
        <v>0</v>
      </c>
      <c r="M108" s="2"/>
      <c r="N108" s="6">
        <f t="shared" si="72"/>
        <v>0</v>
      </c>
      <c r="O108" s="11"/>
      <c r="P108" s="7">
        <v>-528.98</v>
      </c>
      <c r="Q108" s="2"/>
      <c r="R108" s="6">
        <f t="shared" si="73"/>
        <v>-2.262906619749634E-4</v>
      </c>
      <c r="S108" s="2"/>
      <c r="T108" s="7"/>
      <c r="U108" s="2"/>
      <c r="V108" s="6">
        <f t="shared" si="74"/>
        <v>0</v>
      </c>
      <c r="W108" s="2"/>
      <c r="X108" s="7">
        <f t="shared" si="75"/>
        <v>-528.98</v>
      </c>
      <c r="Y108" s="2"/>
      <c r="Z108" s="6">
        <f t="shared" si="76"/>
        <v>0</v>
      </c>
    </row>
    <row r="109" spans="1:26" s="24" customFormat="1" hidden="1" outlineLevel="2" x14ac:dyDescent="0.25">
      <c r="A109" s="26"/>
      <c r="B109" s="11" t="str">
        <f>CONCATENATE("          ", "6247", " - ", "STORE SUPPLIES")</f>
        <v xml:space="preserve">          6247 - STORE SUPPLIES</v>
      </c>
      <c r="C109" s="11"/>
      <c r="D109" s="7"/>
      <c r="E109" s="2"/>
      <c r="F109" s="6">
        <f t="shared" si="69"/>
        <v>0</v>
      </c>
      <c r="G109" s="2"/>
      <c r="H109" s="7">
        <v>200</v>
      </c>
      <c r="I109" s="2"/>
      <c r="J109" s="6">
        <f t="shared" si="70"/>
        <v>4.1715508574622788E-4</v>
      </c>
      <c r="K109" s="2"/>
      <c r="L109" s="7">
        <f t="shared" si="71"/>
        <v>-200</v>
      </c>
      <c r="M109" s="2"/>
      <c r="N109" s="6">
        <f t="shared" si="72"/>
        <v>-1</v>
      </c>
      <c r="O109" s="11"/>
      <c r="P109" s="7">
        <v>763.04</v>
      </c>
      <c r="Q109" s="2"/>
      <c r="R109" s="6">
        <f t="shared" si="73"/>
        <v>3.264184406090515E-4</v>
      </c>
      <c r="S109" s="2"/>
      <c r="T109" s="7">
        <v>2500</v>
      </c>
      <c r="U109" s="2"/>
      <c r="V109" s="6">
        <f t="shared" si="74"/>
        <v>7.9667715518697371E-4</v>
      </c>
      <c r="W109" s="2"/>
      <c r="X109" s="7">
        <f t="shared" si="75"/>
        <v>-1736.96</v>
      </c>
      <c r="Y109" s="2"/>
      <c r="Z109" s="6">
        <f t="shared" si="76"/>
        <v>-0.69478400000000007</v>
      </c>
    </row>
    <row r="110" spans="1:26" s="27" customFormat="1" outlineLevel="1" collapsed="1" x14ac:dyDescent="0.25">
      <c r="A110" s="25"/>
      <c r="B110" s="12" t="str">
        <f>CONCATENATE("     ","Telephone/Data Lines                              ")</f>
        <v xml:space="preserve">     Telephone/Data Lines                              </v>
      </c>
      <c r="C110" s="12"/>
      <c r="D110" s="1">
        <f>SUM(OSRRefD22_13x_0)</f>
        <v>509.31</v>
      </c>
      <c r="E110" s="1"/>
      <c r="F110" s="5">
        <f t="shared" ref="F110:F116" si="77">IF(D$12=0,0,D110/D$12)</f>
        <v>2.8377648324208232E-3</v>
      </c>
      <c r="G110" s="1"/>
      <c r="H110" s="1">
        <f>SUM(OSRRefH22_13x_0)</f>
        <v>550</v>
      </c>
      <c r="I110" s="1"/>
      <c r="J110" s="5">
        <f t="shared" ref="J110:J116" si="78">IF(H$12=0,0,H110/H$12)</f>
        <v>1.1471764858021266E-3</v>
      </c>
      <c r="K110" s="1"/>
      <c r="L110" s="1">
        <f t="shared" ref="L110:L116" si="79">+D110-H110</f>
        <v>-40.69</v>
      </c>
      <c r="M110" s="1"/>
      <c r="N110" s="5">
        <f t="shared" ref="N110:N116" si="80">IF(H110=0,0,L110/H110)</f>
        <v>-7.3981818181818176E-2</v>
      </c>
      <c r="O110" s="12"/>
      <c r="P110" s="1">
        <f>SUM(OSRRefP22_13x_0)</f>
        <v>5913.65</v>
      </c>
      <c r="Q110" s="1"/>
      <c r="R110" s="5">
        <f t="shared" ref="R110:R116" si="81">IF(P$12=0,0,P110/P$12)</f>
        <v>2.5297814155322358E-3</v>
      </c>
      <c r="S110" s="1"/>
      <c r="T110" s="1">
        <f>SUM(OSRRefT22_13x_0)</f>
        <v>6250</v>
      </c>
      <c r="U110" s="1"/>
      <c r="V110" s="5">
        <f t="shared" ref="V110:V116" si="82">IF(T$12=0,0,T110/T$12)</f>
        <v>1.9916928879674346E-3</v>
      </c>
      <c r="W110" s="1"/>
      <c r="X110" s="1">
        <f t="shared" ref="X110:X116" si="83">+P110-T110</f>
        <v>-336.35000000000036</v>
      </c>
      <c r="Y110" s="1"/>
      <c r="Z110" s="5">
        <f t="shared" ref="Z110:Z116" si="84">IF(T110=0,0,X110/T110)</f>
        <v>-5.3816000000000058E-2</v>
      </c>
    </row>
    <row r="111" spans="1:26" s="24" customFormat="1" hidden="1" outlineLevel="2" x14ac:dyDescent="0.25">
      <c r="A111" s="26"/>
      <c r="B111" s="11" t="str">
        <f>CONCATENATE("          ", "6309", " - ", "TELEPHONE")</f>
        <v xml:space="preserve">          6309 - TELEPHONE</v>
      </c>
      <c r="C111" s="11"/>
      <c r="D111" s="7">
        <v>509.31</v>
      </c>
      <c r="E111" s="2"/>
      <c r="F111" s="6">
        <f t="shared" si="77"/>
        <v>2.8377648324208232E-3</v>
      </c>
      <c r="G111" s="2"/>
      <c r="H111" s="7">
        <v>550</v>
      </c>
      <c r="I111" s="2"/>
      <c r="J111" s="6">
        <f t="shared" si="78"/>
        <v>1.1471764858021266E-3</v>
      </c>
      <c r="K111" s="2"/>
      <c r="L111" s="7">
        <f t="shared" si="79"/>
        <v>-40.69</v>
      </c>
      <c r="M111" s="2"/>
      <c r="N111" s="6">
        <f t="shared" si="80"/>
        <v>-7.3981818181818176E-2</v>
      </c>
      <c r="O111" s="11"/>
      <c r="P111" s="7">
        <v>5913.65</v>
      </c>
      <c r="Q111" s="2"/>
      <c r="R111" s="6">
        <f t="shared" si="81"/>
        <v>2.5297814155322358E-3</v>
      </c>
      <c r="S111" s="2"/>
      <c r="T111" s="7">
        <v>6250</v>
      </c>
      <c r="U111" s="2"/>
      <c r="V111" s="6">
        <f t="shared" si="82"/>
        <v>1.9916928879674346E-3</v>
      </c>
      <c r="W111" s="2"/>
      <c r="X111" s="7">
        <f t="shared" si="83"/>
        <v>-336.35000000000036</v>
      </c>
      <c r="Y111" s="2"/>
      <c r="Z111" s="6">
        <f t="shared" si="84"/>
        <v>-5.3816000000000058E-2</v>
      </c>
    </row>
    <row r="112" spans="1:26" s="27" customFormat="1" outlineLevel="1" collapsed="1" x14ac:dyDescent="0.25">
      <c r="A112" s="25"/>
      <c r="B112" s="12" t="str">
        <f>CONCATENATE("     ","Training                                          ")</f>
        <v xml:space="preserve">     Training                                          </v>
      </c>
      <c r="C112" s="12"/>
      <c r="D112" s="1">
        <f>SUM(OSRRefD22_14x_0)</f>
        <v>0</v>
      </c>
      <c r="E112" s="1"/>
      <c r="F112" s="5">
        <f t="shared" si="77"/>
        <v>0</v>
      </c>
      <c r="G112" s="1"/>
      <c r="H112" s="1">
        <f>SUM(OSRRefH22_14x_0)</f>
        <v>0</v>
      </c>
      <c r="I112" s="1"/>
      <c r="J112" s="5">
        <f t="shared" si="78"/>
        <v>0</v>
      </c>
      <c r="K112" s="1"/>
      <c r="L112" s="1">
        <f t="shared" si="79"/>
        <v>0</v>
      </c>
      <c r="M112" s="1"/>
      <c r="N112" s="5">
        <f t="shared" si="80"/>
        <v>0</v>
      </c>
      <c r="O112" s="12"/>
      <c r="P112" s="1">
        <f>SUM(OSRRefP22_14x_0)</f>
        <v>3651.14</v>
      </c>
      <c r="Q112" s="1"/>
      <c r="R112" s="5">
        <f t="shared" si="81"/>
        <v>1.5619095004787851E-3</v>
      </c>
      <c r="S112" s="1"/>
      <c r="T112" s="1">
        <f>SUM(OSRRefT22_14x_0)</f>
        <v>7000</v>
      </c>
      <c r="U112" s="1"/>
      <c r="V112" s="5">
        <f t="shared" si="82"/>
        <v>2.2306960345235267E-3</v>
      </c>
      <c r="W112" s="1"/>
      <c r="X112" s="1">
        <f t="shared" si="83"/>
        <v>-3348.86</v>
      </c>
      <c r="Y112" s="1"/>
      <c r="Z112" s="5">
        <f t="shared" si="84"/>
        <v>-0.47840857142857146</v>
      </c>
    </row>
    <row r="113" spans="1:26" s="24" customFormat="1" hidden="1" outlineLevel="2" x14ac:dyDescent="0.25">
      <c r="A113" s="26"/>
      <c r="B113" s="11" t="str">
        <f>CONCATENATE("          ", "6376", " - ", "TRAINING")</f>
        <v xml:space="preserve">          6376 - TRAINING</v>
      </c>
      <c r="C113" s="11"/>
      <c r="D113" s="7"/>
      <c r="E113" s="2"/>
      <c r="F113" s="6">
        <f t="shared" si="77"/>
        <v>0</v>
      </c>
      <c r="G113" s="2"/>
      <c r="H113" s="7">
        <v>0</v>
      </c>
      <c r="I113" s="2"/>
      <c r="J113" s="6">
        <f t="shared" si="78"/>
        <v>0</v>
      </c>
      <c r="K113" s="2"/>
      <c r="L113" s="7">
        <f t="shared" si="79"/>
        <v>0</v>
      </c>
      <c r="M113" s="2"/>
      <c r="N113" s="6">
        <f t="shared" si="80"/>
        <v>0</v>
      </c>
      <c r="O113" s="11"/>
      <c r="P113" s="7">
        <v>3651.14</v>
      </c>
      <c r="Q113" s="2"/>
      <c r="R113" s="6">
        <f t="shared" si="81"/>
        <v>1.5619095004787851E-3</v>
      </c>
      <c r="S113" s="2"/>
      <c r="T113" s="7">
        <v>7000</v>
      </c>
      <c r="U113" s="2"/>
      <c r="V113" s="6">
        <f t="shared" si="82"/>
        <v>2.2306960345235267E-3</v>
      </c>
      <c r="W113" s="2"/>
      <c r="X113" s="7">
        <f t="shared" si="83"/>
        <v>-3348.86</v>
      </c>
      <c r="Y113" s="2"/>
      <c r="Z113" s="6">
        <f t="shared" si="84"/>
        <v>-0.47840857142857146</v>
      </c>
    </row>
    <row r="114" spans="1:26" s="27" customFormat="1" outlineLevel="1" collapsed="1" x14ac:dyDescent="0.25">
      <c r="A114" s="25"/>
      <c r="B114" s="12" t="str">
        <f>CONCATENATE("     ","Travel                                            ")</f>
        <v xml:space="preserve">     Travel                                            </v>
      </c>
      <c r="C114" s="12"/>
      <c r="D114" s="1">
        <f>SUM(OSRRefD22_15x_0)</f>
        <v>0</v>
      </c>
      <c r="E114" s="1"/>
      <c r="F114" s="5">
        <f t="shared" si="77"/>
        <v>0</v>
      </c>
      <c r="G114" s="1"/>
      <c r="H114" s="1">
        <f>SUM(OSRRefH22_15x_0)</f>
        <v>50</v>
      </c>
      <c r="I114" s="1"/>
      <c r="J114" s="5">
        <f t="shared" si="78"/>
        <v>1.0428877143655697E-4</v>
      </c>
      <c r="K114" s="1"/>
      <c r="L114" s="1">
        <f t="shared" si="79"/>
        <v>-50</v>
      </c>
      <c r="M114" s="1"/>
      <c r="N114" s="5">
        <f t="shared" si="80"/>
        <v>-1</v>
      </c>
      <c r="O114" s="12"/>
      <c r="P114" s="1">
        <f>SUM(OSRRefP22_15x_0)</f>
        <v>-99.159999999999982</v>
      </c>
      <c r="Q114" s="1"/>
      <c r="R114" s="5">
        <f t="shared" si="81"/>
        <v>-4.2419339183782686E-5</v>
      </c>
      <c r="S114" s="1"/>
      <c r="T114" s="1">
        <f>SUM(OSRRefT22_15x_0)</f>
        <v>575</v>
      </c>
      <c r="U114" s="1"/>
      <c r="V114" s="5">
        <f t="shared" si="82"/>
        <v>1.8323574569300397E-4</v>
      </c>
      <c r="W114" s="1"/>
      <c r="X114" s="1">
        <f t="shared" si="83"/>
        <v>-674.16</v>
      </c>
      <c r="Y114" s="1"/>
      <c r="Z114" s="5">
        <f t="shared" si="84"/>
        <v>-1.1724521739130433</v>
      </c>
    </row>
    <row r="115" spans="1:26" s="24" customFormat="1" hidden="1" outlineLevel="2" x14ac:dyDescent="0.25">
      <c r="A115" s="26"/>
      <c r="B115" s="11" t="str">
        <f>CONCATENATE("          ", "6292", " - ", "TRAVEL/CONFERENCE")</f>
        <v xml:space="preserve">          6292 - TRAVEL/CONFERENCE</v>
      </c>
      <c r="C115" s="11"/>
      <c r="D115" s="7"/>
      <c r="E115" s="2"/>
      <c r="F115" s="6">
        <f t="shared" si="77"/>
        <v>0</v>
      </c>
      <c r="G115" s="2"/>
      <c r="H115" s="7"/>
      <c r="I115" s="2"/>
      <c r="J115" s="6">
        <f t="shared" si="78"/>
        <v>0</v>
      </c>
      <c r="K115" s="2"/>
      <c r="L115" s="7">
        <f t="shared" si="79"/>
        <v>0</v>
      </c>
      <c r="M115" s="2"/>
      <c r="N115" s="6">
        <f t="shared" si="80"/>
        <v>0</v>
      </c>
      <c r="O115" s="11"/>
      <c r="P115" s="7">
        <v>107.04</v>
      </c>
      <c r="Q115" s="2"/>
      <c r="R115" s="6">
        <f t="shared" si="81"/>
        <v>4.5790299175394311E-5</v>
      </c>
      <c r="S115" s="2"/>
      <c r="T115" s="7"/>
      <c r="U115" s="2"/>
      <c r="V115" s="6">
        <f t="shared" si="82"/>
        <v>0</v>
      </c>
      <c r="W115" s="2"/>
      <c r="X115" s="7">
        <f t="shared" si="83"/>
        <v>107.04</v>
      </c>
      <c r="Y115" s="2"/>
      <c r="Z115" s="6">
        <f t="shared" si="84"/>
        <v>0</v>
      </c>
    </row>
    <row r="116" spans="1:26" s="24" customFormat="1" hidden="1" outlineLevel="2" x14ac:dyDescent="0.25">
      <c r="A116" s="26"/>
      <c r="B116" s="11" t="str">
        <f>CONCATENATE("          ", "6294", " - ", "TRAVEL OPERATIONAL")</f>
        <v xml:space="preserve">          6294 - TRAVEL OPERATIONAL</v>
      </c>
      <c r="C116" s="11"/>
      <c r="D116" s="7"/>
      <c r="E116" s="2"/>
      <c r="F116" s="6">
        <f t="shared" si="77"/>
        <v>0</v>
      </c>
      <c r="G116" s="2"/>
      <c r="H116" s="7">
        <v>50</v>
      </c>
      <c r="I116" s="2"/>
      <c r="J116" s="6">
        <f t="shared" si="78"/>
        <v>1.0428877143655697E-4</v>
      </c>
      <c r="K116" s="2"/>
      <c r="L116" s="7">
        <f t="shared" si="79"/>
        <v>-50</v>
      </c>
      <c r="M116" s="2"/>
      <c r="N116" s="6">
        <f t="shared" si="80"/>
        <v>-1</v>
      </c>
      <c r="O116" s="11"/>
      <c r="P116" s="7">
        <v>-206.2</v>
      </c>
      <c r="Q116" s="2"/>
      <c r="R116" s="6">
        <f t="shared" si="81"/>
        <v>-8.8209638359176997E-5</v>
      </c>
      <c r="S116" s="2"/>
      <c r="T116" s="7">
        <v>575</v>
      </c>
      <c r="U116" s="2"/>
      <c r="V116" s="6">
        <f t="shared" si="82"/>
        <v>1.8323574569300397E-4</v>
      </c>
      <c r="W116" s="2"/>
      <c r="X116" s="7">
        <f t="shared" si="83"/>
        <v>-781.2</v>
      </c>
      <c r="Y116" s="2"/>
      <c r="Z116" s="6">
        <f t="shared" si="84"/>
        <v>-1.3586086956521739</v>
      </c>
    </row>
    <row r="117" spans="1:26" s="62" customFormat="1" x14ac:dyDescent="0.25">
      <c r="A117" s="36"/>
      <c r="B117" s="36"/>
      <c r="C117" s="36"/>
      <c r="D117" s="1"/>
      <c r="E117" s="1"/>
      <c r="F117" s="5"/>
      <c r="G117" s="1"/>
      <c r="H117" s="1"/>
      <c r="I117" s="1"/>
      <c r="J117" s="5"/>
      <c r="K117" s="1"/>
      <c r="L117" s="1"/>
      <c r="M117" s="1"/>
      <c r="N117" s="5"/>
      <c r="O117" s="36"/>
      <c r="P117" s="1"/>
      <c r="Q117" s="1"/>
      <c r="R117" s="5"/>
      <c r="S117" s="1"/>
      <c r="T117" s="1"/>
      <c r="U117" s="1"/>
      <c r="V117" s="5"/>
      <c r="W117" s="1"/>
      <c r="X117" s="1"/>
      <c r="Y117" s="1"/>
      <c r="Z117" s="5"/>
    </row>
    <row r="118" spans="1:26" s="23" customFormat="1" collapsed="1" x14ac:dyDescent="0.25">
      <c r="A118" s="10"/>
      <c r="B118" s="28" t="s">
        <v>0</v>
      </c>
      <c r="C118" s="10"/>
      <c r="D118" s="4">
        <f>SUM(OSRRefD25x_0)</f>
        <v>0</v>
      </c>
      <c r="E118" s="4"/>
      <c r="F118" s="13">
        <f t="shared" ref="F118:F121" si="85">IF(D$12=0,0,D118/D$12)</f>
        <v>0</v>
      </c>
      <c r="G118" s="4"/>
      <c r="H118" s="4">
        <f>SUM(OSRRefH25x_0)</f>
        <v>8625</v>
      </c>
      <c r="I118" s="4"/>
      <c r="J118" s="13">
        <f t="shared" ref="J118:J121" si="86">IF(H$12=0,0,H118/H$12)</f>
        <v>1.7989813072806077E-2</v>
      </c>
      <c r="K118" s="4"/>
      <c r="L118" s="4">
        <f t="shared" ref="L118:L121" si="87">+D118-H118</f>
        <v>-8625</v>
      </c>
      <c r="M118" s="4"/>
      <c r="N118" s="13">
        <f t="shared" ref="N118:N121" si="88">IF(H118=0,0,L118/H118)</f>
        <v>-1</v>
      </c>
      <c r="O118" s="10"/>
      <c r="P118" s="4">
        <f>SUM(OSRRefP25x_0)</f>
        <v>96904.89</v>
      </c>
      <c r="Q118" s="4"/>
      <c r="R118" s="13">
        <f t="shared" ref="R118:R121" si="89">IF(P$12=0,0,P118/P$12)</f>
        <v>4.1454632891056394E-2</v>
      </c>
      <c r="S118" s="4"/>
      <c r="T118" s="4">
        <f>SUM(OSRRefT25x_0)</f>
        <v>94875</v>
      </c>
      <c r="U118" s="4"/>
      <c r="V118" s="13">
        <f t="shared" ref="V118:V121" si="90">IF(T$12=0,0,T118/T$12)</f>
        <v>3.0233898039345654E-2</v>
      </c>
      <c r="W118" s="4"/>
      <c r="X118" s="4">
        <f t="shared" ref="X118:X121" si="91">+P118-T118</f>
        <v>2029.8899999999994</v>
      </c>
      <c r="Y118" s="4"/>
      <c r="Z118" s="13">
        <f t="shared" ref="Z118:Z121" si="92">IF(T118=0,0,X118/T118)</f>
        <v>2.1395415019762838E-2</v>
      </c>
    </row>
    <row r="119" spans="1:26" s="24" customFormat="1" hidden="1" outlineLevel="1" x14ac:dyDescent="0.25">
      <c r="A119" s="44"/>
      <c r="B119" s="11" t="str">
        <f>CONCATENATE("          ", "9150", " - ", "MISC. INCOME")</f>
        <v xml:space="preserve">          9150 - MISC. INCOME</v>
      </c>
      <c r="C119" s="11"/>
      <c r="D119" s="2">
        <f t="shared" ref="D119:D121" si="93">0</f>
        <v>0</v>
      </c>
      <c r="E119" s="2"/>
      <c r="F119" s="19">
        <f t="shared" si="85"/>
        <v>0</v>
      </c>
      <c r="G119" s="2"/>
      <c r="H119" s="2">
        <v>7725</v>
      </c>
      <c r="I119" s="2"/>
      <c r="J119" s="19">
        <f t="shared" si="86"/>
        <v>1.6112615186948051E-2</v>
      </c>
      <c r="K119" s="2"/>
      <c r="L119" s="2">
        <f t="shared" si="87"/>
        <v>-7725</v>
      </c>
      <c r="M119" s="2"/>
      <c r="N119" s="19">
        <f t="shared" si="88"/>
        <v>-1</v>
      </c>
      <c r="O119" s="11"/>
      <c r="P119" s="2">
        <f>--96904.89</f>
        <v>96904.89</v>
      </c>
      <c r="Q119" s="2"/>
      <c r="R119" s="19">
        <f t="shared" si="89"/>
        <v>4.1454632891056394E-2</v>
      </c>
      <c r="S119" s="2"/>
      <c r="T119" s="2">
        <v>84975</v>
      </c>
      <c r="U119" s="2"/>
      <c r="V119" s="19">
        <f t="shared" si="90"/>
        <v>2.7079056504805236E-2</v>
      </c>
      <c r="W119" s="2"/>
      <c r="X119" s="2">
        <f t="shared" si="91"/>
        <v>11929.89</v>
      </c>
      <c r="Y119" s="2"/>
      <c r="Z119" s="19">
        <f t="shared" si="92"/>
        <v>0.14039293909973521</v>
      </c>
    </row>
    <row r="120" spans="1:26" s="24" customFormat="1" hidden="1" outlineLevel="1" x14ac:dyDescent="0.25">
      <c r="A120" s="44"/>
      <c r="B120" s="11" t="str">
        <f>CONCATENATE("          ", "9151", " - ", "MISC. INCOME")</f>
        <v xml:space="preserve">          9151 - MISC. INCOME</v>
      </c>
      <c r="C120" s="11"/>
      <c r="D120" s="2">
        <f t="shared" si="93"/>
        <v>0</v>
      </c>
      <c r="E120" s="2"/>
      <c r="F120" s="19">
        <f t="shared" si="85"/>
        <v>0</v>
      </c>
      <c r="G120" s="2"/>
      <c r="H120" s="2">
        <v>100</v>
      </c>
      <c r="I120" s="2"/>
      <c r="J120" s="19">
        <f t="shared" si="86"/>
        <v>2.0857754287311394E-4</v>
      </c>
      <c r="K120" s="2"/>
      <c r="L120" s="2">
        <f t="shared" si="87"/>
        <v>-100</v>
      </c>
      <c r="M120" s="2"/>
      <c r="N120" s="19">
        <f t="shared" si="88"/>
        <v>-1</v>
      </c>
      <c r="O120" s="11"/>
      <c r="P120" s="2">
        <f t="shared" ref="P120:P121" si="94">0</f>
        <v>0</v>
      </c>
      <c r="Q120" s="2"/>
      <c r="R120" s="19">
        <f t="shared" si="89"/>
        <v>0</v>
      </c>
      <c r="S120" s="2"/>
      <c r="T120" s="2">
        <v>1100</v>
      </c>
      <c r="U120" s="2"/>
      <c r="V120" s="19">
        <f t="shared" si="90"/>
        <v>3.5053794828226846E-4</v>
      </c>
      <c r="W120" s="2"/>
      <c r="X120" s="2">
        <f t="shared" si="91"/>
        <v>-1100</v>
      </c>
      <c r="Y120" s="2"/>
      <c r="Z120" s="19">
        <f t="shared" si="92"/>
        <v>-1</v>
      </c>
    </row>
    <row r="121" spans="1:26" s="24" customFormat="1" hidden="1" outlineLevel="1" x14ac:dyDescent="0.25">
      <c r="A121" s="44"/>
      <c r="B121" s="11" t="str">
        <f>CONCATENATE("          ", "9160", " - ", "MISC. INCOME")</f>
        <v xml:space="preserve">          9160 - MISC. INCOME</v>
      </c>
      <c r="C121" s="11"/>
      <c r="D121" s="2">
        <f t="shared" si="93"/>
        <v>0</v>
      </c>
      <c r="E121" s="2"/>
      <c r="F121" s="19">
        <f t="shared" si="85"/>
        <v>0</v>
      </c>
      <c r="G121" s="2"/>
      <c r="H121" s="2">
        <v>800</v>
      </c>
      <c r="I121" s="2"/>
      <c r="J121" s="19">
        <f t="shared" si="86"/>
        <v>1.6686203429849115E-3</v>
      </c>
      <c r="K121" s="2"/>
      <c r="L121" s="2">
        <f t="shared" si="87"/>
        <v>-800</v>
      </c>
      <c r="M121" s="2"/>
      <c r="N121" s="19">
        <f t="shared" si="88"/>
        <v>-1</v>
      </c>
      <c r="O121" s="11"/>
      <c r="P121" s="2">
        <f t="shared" si="94"/>
        <v>0</v>
      </c>
      <c r="Q121" s="2"/>
      <c r="R121" s="19">
        <f t="shared" si="89"/>
        <v>0</v>
      </c>
      <c r="S121" s="2"/>
      <c r="T121" s="2">
        <v>8800</v>
      </c>
      <c r="U121" s="2"/>
      <c r="V121" s="19">
        <f t="shared" si="90"/>
        <v>2.8043035862581477E-3</v>
      </c>
      <c r="W121" s="2"/>
      <c r="X121" s="2">
        <f t="shared" si="91"/>
        <v>-8800</v>
      </c>
      <c r="Y121" s="2"/>
      <c r="Z121" s="19">
        <f t="shared" si="92"/>
        <v>-1</v>
      </c>
    </row>
    <row r="122" spans="1:26" x14ac:dyDescent="0.25">
      <c r="A122" s="9"/>
      <c r="B122" s="10"/>
      <c r="C122" s="10"/>
      <c r="D122" s="3"/>
      <c r="E122" s="3"/>
      <c r="F122" s="8"/>
      <c r="G122" s="3"/>
      <c r="H122" s="3"/>
      <c r="I122" s="3"/>
      <c r="J122" s="8"/>
      <c r="K122" s="3"/>
      <c r="L122" s="3"/>
      <c r="M122" s="3"/>
      <c r="N122" s="8"/>
      <c r="O122" s="10"/>
      <c r="P122" s="3"/>
      <c r="Q122" s="3"/>
      <c r="R122" s="8"/>
      <c r="S122" s="3"/>
      <c r="T122" s="3"/>
      <c r="U122" s="3"/>
      <c r="V122" s="8"/>
      <c r="W122" s="3"/>
      <c r="X122" s="3"/>
      <c r="Y122" s="3"/>
      <c r="Z122" s="8"/>
    </row>
    <row r="123" spans="1:26" s="23" customFormat="1" x14ac:dyDescent="0.25">
      <c r="A123" s="10"/>
      <c r="B123" s="29" t="s">
        <v>3</v>
      </c>
      <c r="C123" s="29"/>
      <c r="D123" s="20">
        <f>+D54-D56+D118</f>
        <v>26649.67000000002</v>
      </c>
      <c r="E123" s="14"/>
      <c r="F123" s="22">
        <f>IF(D$12=0,0,D123/D$12)</f>
        <v>0.14848617997215899</v>
      </c>
      <c r="G123" s="14"/>
      <c r="H123" s="20">
        <f>+H54-H56+H118</f>
        <v>204739.84203575578</v>
      </c>
      <c r="I123" s="14"/>
      <c r="J123" s="22">
        <f>IF(H$12=0,0,H123/H$12)</f>
        <v>0.42704133180047427</v>
      </c>
      <c r="K123" s="16"/>
      <c r="L123" s="20">
        <f>+D123-H123</f>
        <v>-178090.17203575576</v>
      </c>
      <c r="M123" s="16"/>
      <c r="N123" s="22">
        <f>IF(H123=0,0,L123/H123)</f>
        <v>-0.86983642394651295</v>
      </c>
      <c r="O123" s="28"/>
      <c r="P123" s="20">
        <f>+P54-P56+P118</f>
        <v>653641.59000000008</v>
      </c>
      <c r="Q123" s="14"/>
      <c r="R123" s="22">
        <f>IF(P$12=0,0,P123/P$12)</f>
        <v>0.27961924476439115</v>
      </c>
      <c r="S123" s="14"/>
      <c r="T123" s="20">
        <f>+T54-T56+T118</f>
        <v>1134280.3001845693</v>
      </c>
      <c r="U123" s="14"/>
      <c r="V123" s="22">
        <f>IF(T$12=0,0,T123/T$12)</f>
        <v>0.36146208109426775</v>
      </c>
      <c r="W123" s="16"/>
      <c r="X123" s="20">
        <f>+P123-T123</f>
        <v>-480638.71018456924</v>
      </c>
      <c r="Y123" s="16"/>
      <c r="Z123" s="22">
        <f>IF(T123=0,0,X123/T123)</f>
        <v>-0.42373892071153846</v>
      </c>
    </row>
    <row r="124" spans="1:26" x14ac:dyDescent="0.25">
      <c r="A124" s="9"/>
      <c r="B124" s="10"/>
      <c r="C124" s="9"/>
      <c r="D124" s="3"/>
      <c r="E124" s="3"/>
      <c r="F124" s="8"/>
      <c r="G124" s="3"/>
      <c r="H124" s="3"/>
      <c r="I124" s="3"/>
      <c r="J124" s="8"/>
      <c r="K124" s="3"/>
      <c r="L124" s="3"/>
      <c r="M124" s="3"/>
      <c r="N124" s="8"/>
      <c r="P124" s="3"/>
      <c r="Q124" s="3"/>
      <c r="R124" s="8"/>
      <c r="S124" s="3"/>
      <c r="T124" s="3"/>
      <c r="U124" s="3"/>
      <c r="V124" s="8"/>
      <c r="W124" s="3"/>
      <c r="X124" s="3"/>
      <c r="Y124" s="3"/>
      <c r="Z124" s="8"/>
    </row>
    <row r="125" spans="1:26" s="23" customFormat="1" x14ac:dyDescent="0.25">
      <c r="A125" s="52"/>
      <c r="B125" s="10" t="s">
        <v>14</v>
      </c>
      <c r="C125" s="10"/>
      <c r="D125" s="4">
        <v>31768.85</v>
      </c>
      <c r="E125" s="4"/>
      <c r="F125" s="13">
        <f>IF(D$12=0,0,D125/D$12)</f>
        <v>0.1770091403986811</v>
      </c>
      <c r="G125" s="4"/>
      <c r="H125" s="4">
        <v>52830</v>
      </c>
      <c r="I125" s="4"/>
      <c r="J125" s="13">
        <f>IF(H$12=0,0,H125/H$12)</f>
        <v>0.11019151589986609</v>
      </c>
      <c r="K125" s="4"/>
      <c r="L125" s="4">
        <f>+D125-H125</f>
        <v>-21061.15</v>
      </c>
      <c r="M125" s="4"/>
      <c r="N125" s="13">
        <f>IF(H125=0,0,L125/H125)</f>
        <v>-0.39865890592466402</v>
      </c>
      <c r="O125" s="10"/>
      <c r="P125" s="4">
        <v>276809.89</v>
      </c>
      <c r="Q125" s="4"/>
      <c r="R125" s="13">
        <f>IF(P$12=0,0,P125/P$12)</f>
        <v>0.11841561731883399</v>
      </c>
      <c r="S125" s="4"/>
      <c r="T125" s="4">
        <v>363466</v>
      </c>
      <c r="U125" s="4"/>
      <c r="V125" s="13">
        <f>IF(T$12=0,0,T125/T$12)</f>
        <v>0.11582602355487544</v>
      </c>
      <c r="W125" s="4"/>
      <c r="X125" s="4">
        <f>+P125-T125</f>
        <v>-86656.109999999986</v>
      </c>
      <c r="Y125" s="4"/>
      <c r="Z125" s="13">
        <f>IF(T125=0,0,X125/T125)</f>
        <v>-0.23841600039618557</v>
      </c>
    </row>
    <row r="126" spans="1:26" x14ac:dyDescent="0.25">
      <c r="A126" s="9"/>
      <c r="B126" s="10"/>
      <c r="C126" s="10"/>
      <c r="D126" s="3"/>
      <c r="E126" s="3"/>
      <c r="F126" s="8"/>
      <c r="G126" s="3"/>
      <c r="H126" s="3"/>
      <c r="I126" s="3"/>
      <c r="J126" s="8"/>
      <c r="K126" s="3"/>
      <c r="L126" s="3"/>
      <c r="M126" s="3"/>
      <c r="N126" s="8"/>
      <c r="O126" s="10"/>
      <c r="P126" s="3"/>
      <c r="Q126" s="3"/>
      <c r="R126" s="8"/>
      <c r="S126" s="3"/>
      <c r="T126" s="3"/>
      <c r="U126" s="3"/>
      <c r="V126" s="8"/>
      <c r="W126" s="3"/>
      <c r="X126" s="3"/>
      <c r="Y126" s="3"/>
      <c r="Z126" s="8"/>
    </row>
    <row r="127" spans="1:26" s="23" customFormat="1" ht="15.75" thickBot="1" x14ac:dyDescent="0.3">
      <c r="A127" s="10"/>
      <c r="B127" s="29" t="s">
        <v>4</v>
      </c>
      <c r="C127" s="29"/>
      <c r="D127" s="35">
        <f>+D123-D125</f>
        <v>-5119.1799999999785</v>
      </c>
      <c r="E127" s="14"/>
      <c r="F127" s="32">
        <f>IF(D$12=0,0,D127/D$12)</f>
        <v>-2.8522960426522095E-2</v>
      </c>
      <c r="G127" s="14"/>
      <c r="H127" s="35">
        <f>+H123-H125</f>
        <v>151909.84203575578</v>
      </c>
      <c r="I127" s="14"/>
      <c r="J127" s="32">
        <f>IF(H$12=0,0,H127/H$12)</f>
        <v>0.31684981590060818</v>
      </c>
      <c r="K127" s="16"/>
      <c r="L127" s="35">
        <f>D127-H127</f>
        <v>-157029.02203575574</v>
      </c>
      <c r="M127" s="16"/>
      <c r="N127" s="32">
        <f>IF(H127=0,0,L127/H127)</f>
        <v>-1.0336988040498063</v>
      </c>
      <c r="O127" s="28"/>
      <c r="P127" s="35">
        <f>+P123-P125</f>
        <v>376831.70000000007</v>
      </c>
      <c r="Q127" s="14"/>
      <c r="R127" s="32">
        <f>IF(P$12=0,0,P127/P$12)</f>
        <v>0.16120362744555716</v>
      </c>
      <c r="S127" s="14"/>
      <c r="T127" s="35">
        <f>+T123-T125</f>
        <v>770814.30018456932</v>
      </c>
      <c r="U127" s="14"/>
      <c r="V127" s="32">
        <f>IF(T$12=0,0,T127/T$12)</f>
        <v>0.24563605753939227</v>
      </c>
      <c r="W127" s="16"/>
      <c r="X127" s="35">
        <f>P127-T127</f>
        <v>-393982.60018456925</v>
      </c>
      <c r="Y127" s="16"/>
      <c r="Z127" s="32">
        <f>IF(T127=0,0,X127/T127)</f>
        <v>-0.51112518292697895</v>
      </c>
    </row>
    <row r="128" spans="1:26" ht="15.75" thickTop="1" x14ac:dyDescent="0.25">
      <c r="A128" s="9"/>
      <c r="B128" s="9"/>
      <c r="C128" s="9"/>
      <c r="D128" s="3"/>
      <c r="E128" s="3"/>
      <c r="F128" s="8"/>
      <c r="G128" s="3"/>
      <c r="H128" s="3"/>
      <c r="I128" s="3"/>
      <c r="J128" s="8"/>
      <c r="K128" s="3"/>
      <c r="L128" s="3"/>
      <c r="M128" s="3"/>
      <c r="N128" s="8"/>
      <c r="P128" s="3"/>
      <c r="Q128" s="3"/>
      <c r="R128" s="8"/>
      <c r="S128" s="3"/>
      <c r="T128" s="3"/>
      <c r="U128" s="3"/>
      <c r="V128" s="8"/>
      <c r="W128" s="3"/>
      <c r="X128" s="3"/>
      <c r="Y128" s="3"/>
      <c r="Z128" s="8"/>
    </row>
    <row r="129" spans="1:26" x14ac:dyDescent="0.25">
      <c r="A129" s="9"/>
      <c r="B129" s="9"/>
      <c r="C129" s="9"/>
      <c r="D129" s="3"/>
      <c r="E129" s="3"/>
      <c r="F129" s="8"/>
      <c r="G129" s="3"/>
      <c r="H129" s="3"/>
      <c r="I129" s="3"/>
      <c r="J129" s="8"/>
      <c r="K129" s="3"/>
      <c r="L129" s="3"/>
      <c r="M129" s="3"/>
      <c r="N129" s="8"/>
      <c r="P129" s="3"/>
      <c r="Q129" s="3"/>
      <c r="R129" s="8"/>
      <c r="S129" s="3"/>
      <c r="T129" s="3"/>
      <c r="U129" s="3"/>
      <c r="V129" s="8"/>
      <c r="W129" s="3"/>
      <c r="X129" s="3"/>
      <c r="Y129" s="3"/>
      <c r="Z129" s="8"/>
    </row>
    <row r="130" spans="1:26" s="23" customFormat="1" ht="15.75" thickBot="1" x14ac:dyDescent="0.3">
      <c r="A130" s="10"/>
      <c r="B130" s="29" t="s">
        <v>5</v>
      </c>
      <c r="C130" s="29"/>
      <c r="D130" s="34">
        <f>SUM(D127:D129)</f>
        <v>-5119.1799999999785</v>
      </c>
      <c r="E130" s="14"/>
      <c r="F130" s="31">
        <f>IF(D$12=0,0,D130/D$12)</f>
        <v>-2.8522960426522095E-2</v>
      </c>
      <c r="G130" s="14"/>
      <c r="H130" s="34">
        <f>SUM(H127:H129)</f>
        <v>151909.84203575578</v>
      </c>
      <c r="I130" s="14"/>
      <c r="J130" s="31">
        <f>IF(H$12=0,0,H130/H$12)</f>
        <v>0.31684981590060818</v>
      </c>
      <c r="K130" s="16"/>
      <c r="L130" s="34">
        <f>+D130-H130</f>
        <v>-157029.02203575574</v>
      </c>
      <c r="M130" s="16"/>
      <c r="N130" s="31">
        <f>IF(H130=0,0,L130/H130)</f>
        <v>-1.0336988040498063</v>
      </c>
      <c r="O130" s="28"/>
      <c r="P130" s="34">
        <f>SUM(P127:P129)</f>
        <v>376831.70000000007</v>
      </c>
      <c r="Q130" s="14"/>
      <c r="R130" s="31">
        <f>IF(P$12=0,0,P130/P$12)</f>
        <v>0.16120362744555716</v>
      </c>
      <c r="S130" s="14"/>
      <c r="T130" s="34">
        <f>SUM(T127:T129)</f>
        <v>770814.30018456932</v>
      </c>
      <c r="U130" s="14"/>
      <c r="V130" s="31">
        <f>IF(T$12=0,0,T130/T$12)</f>
        <v>0.24563605753939227</v>
      </c>
      <c r="W130" s="16"/>
      <c r="X130" s="34">
        <f>+P130-T130</f>
        <v>-393982.60018456925</v>
      </c>
      <c r="Y130" s="16"/>
      <c r="Z130" s="31">
        <f>IF(T130=0,0,X130/T130)</f>
        <v>-0.51112518292697895</v>
      </c>
    </row>
    <row r="131" spans="1:26" ht="15.75" thickTop="1" x14ac:dyDescent="0.25">
      <c r="A131" s="9"/>
      <c r="C131" s="9"/>
      <c r="D131" s="18"/>
      <c r="E131" s="18"/>
      <c r="G131" s="18"/>
      <c r="H131" s="18"/>
      <c r="I131" s="18"/>
      <c r="J131" s="42"/>
      <c r="K131" s="18"/>
      <c r="L131" s="18"/>
      <c r="M131" s="18"/>
      <c r="P131" s="18"/>
      <c r="Q131" s="18"/>
      <c r="R131" s="42"/>
      <c r="S131" s="18"/>
      <c r="T131" s="18"/>
      <c r="U131" s="18"/>
      <c r="V131" s="42"/>
      <c r="W131" s="18"/>
      <c r="X131" s="18"/>
    </row>
    <row r="132" spans="1:26" x14ac:dyDescent="0.25">
      <c r="A132" s="9"/>
      <c r="B132" s="59">
        <v>43992.371655937503</v>
      </c>
      <c r="D132" s="18"/>
      <c r="E132" s="18"/>
      <c r="G132" s="18"/>
      <c r="H132" s="18"/>
      <c r="I132" s="18"/>
      <c r="J132" s="42"/>
      <c r="K132" s="18"/>
      <c r="L132" s="18"/>
      <c r="M132" s="18"/>
      <c r="P132" s="18"/>
      <c r="Q132" s="18"/>
      <c r="R132" s="42"/>
      <c r="S132" s="18"/>
      <c r="T132" s="18"/>
      <c r="U132" s="18"/>
      <c r="V132" s="42"/>
      <c r="W132" s="18"/>
      <c r="X132" s="18"/>
    </row>
    <row r="133" spans="1:26" x14ac:dyDescent="0.25">
      <c r="A133" s="9"/>
      <c r="B133" s="56" t="s">
        <v>314</v>
      </c>
      <c r="D133" s="18"/>
      <c r="E133" s="18"/>
      <c r="G133" s="18"/>
      <c r="H133" s="18"/>
      <c r="I133" s="18"/>
      <c r="J133" s="42"/>
      <c r="K133" s="18"/>
      <c r="L133" s="18"/>
      <c r="M133" s="18"/>
      <c r="P133" s="18"/>
      <c r="Q133" s="18"/>
      <c r="R133" s="42"/>
      <c r="S133" s="18"/>
      <c r="T133" s="18"/>
      <c r="U133" s="18"/>
      <c r="V133" s="42"/>
      <c r="W133" s="18"/>
      <c r="X133" s="18"/>
    </row>
    <row r="134" spans="1:26" x14ac:dyDescent="0.25">
      <c r="A134" s="9"/>
      <c r="B134" s="54"/>
      <c r="D134" s="18"/>
      <c r="E134" s="18"/>
      <c r="G134" s="18"/>
      <c r="H134" s="18"/>
      <c r="I134" s="18"/>
      <c r="J134" s="42"/>
      <c r="K134" s="18"/>
      <c r="L134" s="18"/>
      <c r="M134" s="18"/>
      <c r="P134" s="18"/>
      <c r="Q134" s="18"/>
      <c r="R134" s="42"/>
      <c r="S134" s="18"/>
      <c r="T134" s="18"/>
      <c r="U134" s="18"/>
      <c r="V134" s="42"/>
      <c r="W134" s="18"/>
      <c r="X134" s="18"/>
    </row>
    <row r="135" spans="1:26" x14ac:dyDescent="0.25">
      <c r="D135" s="18"/>
      <c r="E135" s="18"/>
      <c r="G135" s="18"/>
      <c r="H135" s="18"/>
      <c r="I135" s="18"/>
      <c r="J135" s="42"/>
      <c r="K135" s="18"/>
      <c r="L135" s="18"/>
      <c r="M135" s="18"/>
      <c r="P135" s="18"/>
      <c r="Q135" s="18"/>
      <c r="R135" s="42"/>
      <c r="S135" s="18"/>
      <c r="T135" s="18"/>
      <c r="U135" s="18"/>
      <c r="V135" s="42"/>
      <c r="W135" s="18"/>
      <c r="X135" s="18"/>
    </row>
  </sheetData>
  <pageMargins left="0.25" right="0.25" top="0.75" bottom="0.75" header="0.3" footer="0.3"/>
  <pageSetup scale="55" fitToWidth="2" orientation="landscape"/>
  <drawing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142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63" t="s">
        <v>13</v>
      </c>
    </row>
    <row r="3" spans="1:26" x14ac:dyDescent="0.25">
      <c r="D3" s="63" t="s">
        <v>296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61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63" t="str">
        <f>CONCATENATE("Period ",RIGHT(202011,2),", ",2020)</f>
        <v>Period 11, 2020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61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4">
        <v>43981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61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51"/>
      <c r="C6" s="51"/>
      <c r="D6" s="23" t="str">
        <f>CONCATENATE("Department ","326", " - ", "2nd Street Store")</f>
        <v>Department 326 - 2nd Street Store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57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5" t="s">
        <v>294</v>
      </c>
      <c r="E9" s="15"/>
      <c r="F9" s="38"/>
      <c r="G9" s="15"/>
      <c r="H9" s="15"/>
      <c r="I9" s="15"/>
      <c r="J9" s="46"/>
      <c r="K9" s="15"/>
      <c r="L9" s="15"/>
      <c r="M9" s="15"/>
      <c r="N9" s="38"/>
      <c r="P9" s="15" t="s">
        <v>295</v>
      </c>
      <c r="Q9" s="15"/>
      <c r="R9" s="38"/>
      <c r="S9" s="15"/>
      <c r="T9" s="15"/>
      <c r="U9" s="15"/>
      <c r="V9" s="46"/>
      <c r="W9" s="15"/>
      <c r="X9" s="15"/>
      <c r="Y9" s="15"/>
      <c r="Z9" s="38"/>
    </row>
    <row r="10" spans="1:26" x14ac:dyDescent="0.25">
      <c r="A10" s="10"/>
      <c r="B10" s="55"/>
      <c r="C10" s="10"/>
      <c r="D10" s="43" t="s">
        <v>10</v>
      </c>
      <c r="E10" s="33"/>
      <c r="F10" s="40" t="s">
        <v>15</v>
      </c>
      <c r="G10" s="33"/>
      <c r="H10" s="47" t="s">
        <v>11</v>
      </c>
      <c r="I10" s="33"/>
      <c r="J10" s="45" t="s">
        <v>16</v>
      </c>
      <c r="K10" s="10"/>
      <c r="L10" s="43" t="s">
        <v>12</v>
      </c>
      <c r="M10" s="10"/>
      <c r="N10" s="40" t="s">
        <v>17</v>
      </c>
      <c r="O10" s="10"/>
      <c r="P10" s="53" t="s">
        <v>10</v>
      </c>
      <c r="Q10" s="33"/>
      <c r="R10" s="40" t="s">
        <v>15</v>
      </c>
      <c r="S10" s="33"/>
      <c r="T10" s="47" t="s">
        <v>11</v>
      </c>
      <c r="U10" s="33"/>
      <c r="V10" s="45" t="s">
        <v>16</v>
      </c>
      <c r="W10" s="10"/>
      <c r="X10" s="43" t="s">
        <v>12</v>
      </c>
      <c r="Y10" s="10"/>
      <c r="Z10" s="40" t="s">
        <v>17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0</v>
      </c>
      <c r="E12" s="4"/>
      <c r="F12" s="13"/>
      <c r="G12" s="4"/>
      <c r="H12" s="4">
        <f>SUM(OSRRefH13x_0)</f>
        <v>70727.648549999998</v>
      </c>
      <c r="I12" s="4"/>
      <c r="J12" s="13"/>
      <c r="K12" s="4"/>
      <c r="L12" s="4">
        <f t="shared" ref="L12:L33" si="0">+D12-H12</f>
        <v>-70727.648549999998</v>
      </c>
      <c r="M12" s="4"/>
      <c r="N12" s="13">
        <f t="shared" ref="N12:N33" si="1">IF(H12=0,0,L12/H12)</f>
        <v>-1</v>
      </c>
      <c r="O12" s="10"/>
      <c r="P12" s="4">
        <f>SUM(OSRRefP13x_0)</f>
        <v>429840.87</v>
      </c>
      <c r="Q12" s="4"/>
      <c r="R12" s="13"/>
      <c r="S12" s="4"/>
      <c r="T12" s="4">
        <f>SUM(OSRRefT13x_0)</f>
        <v>558202.84869999997</v>
      </c>
      <c r="U12" s="4"/>
      <c r="V12" s="13"/>
      <c r="W12" s="4"/>
      <c r="X12" s="4">
        <f t="shared" ref="X12:X33" si="2">+P12-T12</f>
        <v>-128361.97869999998</v>
      </c>
      <c r="Y12" s="4"/>
      <c r="Z12" s="13">
        <f t="shared" ref="Z12:Z33" si="3">IF(T12=0,0,X12/T12)</f>
        <v>-0.22995579295043461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 t="shared" ref="D13:D33" si="4">0</f>
        <v>0</v>
      </c>
      <c r="E13" s="2"/>
      <c r="F13" s="19"/>
      <c r="G13" s="2"/>
      <c r="H13" s="2">
        <v>70727.648549999998</v>
      </c>
      <c r="I13" s="2"/>
      <c r="J13" s="19"/>
      <c r="K13" s="2"/>
      <c r="L13" s="2">
        <f t="shared" si="0"/>
        <v>-70727.648549999998</v>
      </c>
      <c r="M13" s="2"/>
      <c r="N13" s="19">
        <f t="shared" si="1"/>
        <v>-1</v>
      </c>
      <c r="O13" s="11"/>
      <c r="P13" s="2">
        <f>0</f>
        <v>0</v>
      </c>
      <c r="Q13" s="2"/>
      <c r="R13" s="19"/>
      <c r="S13" s="2"/>
      <c r="T13" s="2">
        <v>558202.84869999997</v>
      </c>
      <c r="U13" s="2"/>
      <c r="V13" s="19"/>
      <c r="W13" s="2"/>
      <c r="X13" s="2">
        <f t="shared" si="2"/>
        <v>-558202.84869999997</v>
      </c>
      <c r="Y13" s="2"/>
      <c r="Z13" s="19">
        <f t="shared" si="3"/>
        <v>-1</v>
      </c>
    </row>
    <row r="14" spans="1:26" s="24" customFormat="1" hidden="1" outlineLevel="1" x14ac:dyDescent="0.25">
      <c r="A14" s="44"/>
      <c r="B14" s="11" t="str">
        <f>CONCATENATE("          ", "4025", " - ", "TAXABLE SALES-TEST FORMS")</f>
        <v xml:space="preserve">          4025 - TAXABLE SALES-TEST FORMS</v>
      </c>
      <c r="C14" s="11"/>
      <c r="D14" s="2">
        <f t="shared" si="4"/>
        <v>0</v>
      </c>
      <c r="E14" s="2"/>
      <c r="F14" s="19"/>
      <c r="G14" s="2"/>
      <c r="H14" s="2"/>
      <c r="I14" s="2"/>
      <c r="J14" s="19"/>
      <c r="K14" s="2"/>
      <c r="L14" s="2">
        <f t="shared" si="0"/>
        <v>0</v>
      </c>
      <c r="M14" s="2"/>
      <c r="N14" s="19">
        <f t="shared" si="1"/>
        <v>0</v>
      </c>
      <c r="O14" s="11"/>
      <c r="P14" s="2">
        <f>--13.62</f>
        <v>13.62</v>
      </c>
      <c r="Q14" s="2"/>
      <c r="R14" s="19"/>
      <c r="S14" s="2"/>
      <c r="T14" s="2"/>
      <c r="U14" s="2"/>
      <c r="V14" s="19"/>
      <c r="W14" s="2"/>
      <c r="X14" s="2">
        <f t="shared" si="2"/>
        <v>13.62</v>
      </c>
      <c r="Y14" s="2"/>
      <c r="Z14" s="19">
        <f t="shared" si="3"/>
        <v>0</v>
      </c>
    </row>
    <row r="15" spans="1:26" s="24" customFormat="1" hidden="1" outlineLevel="1" x14ac:dyDescent="0.25">
      <c r="A15" s="44"/>
      <c r="B15" s="11" t="str">
        <f>CONCATENATE("          ", "4026", " - ", "TAXABLE SALES-WRITING INSTRUME")</f>
        <v xml:space="preserve">          4026 - TAXABLE SALES-WRITING INSTRUME</v>
      </c>
      <c r="C15" s="11"/>
      <c r="D15" s="2">
        <f t="shared" si="4"/>
        <v>0</v>
      </c>
      <c r="E15" s="2"/>
      <c r="F15" s="19"/>
      <c r="G15" s="2"/>
      <c r="H15" s="2"/>
      <c r="I15" s="2"/>
      <c r="J15" s="19"/>
      <c r="K15" s="2"/>
      <c r="L15" s="2">
        <f t="shared" si="0"/>
        <v>0</v>
      </c>
      <c r="M15" s="2"/>
      <c r="N15" s="19">
        <f t="shared" si="1"/>
        <v>0</v>
      </c>
      <c r="O15" s="11"/>
      <c r="P15" s="2">
        <f>--229.51</f>
        <v>229.51</v>
      </c>
      <c r="Q15" s="2"/>
      <c r="R15" s="19"/>
      <c r="S15" s="2"/>
      <c r="T15" s="2"/>
      <c r="U15" s="2"/>
      <c r="V15" s="19"/>
      <c r="W15" s="2"/>
      <c r="X15" s="2">
        <f t="shared" si="2"/>
        <v>229.51</v>
      </c>
      <c r="Y15" s="2"/>
      <c r="Z15" s="19">
        <f t="shared" si="3"/>
        <v>0</v>
      </c>
    </row>
    <row r="16" spans="1:26" s="24" customFormat="1" hidden="1" outlineLevel="1" x14ac:dyDescent="0.25">
      <c r="A16" s="44"/>
      <c r="B16" s="11" t="str">
        <f>CONCATENATE("          ", "4027", " - ", "TAXABLE SALES-SCHOOL SUPPLIES")</f>
        <v xml:space="preserve">          4027 - TAXABLE SALES-SCHOOL SUPPLIES</v>
      </c>
      <c r="C16" s="11"/>
      <c r="D16" s="2">
        <f t="shared" si="4"/>
        <v>0</v>
      </c>
      <c r="E16" s="2"/>
      <c r="F16" s="19"/>
      <c r="G16" s="2"/>
      <c r="H16" s="2"/>
      <c r="I16" s="2"/>
      <c r="J16" s="19"/>
      <c r="K16" s="2"/>
      <c r="L16" s="2">
        <f t="shared" si="0"/>
        <v>0</v>
      </c>
      <c r="M16" s="2"/>
      <c r="N16" s="19">
        <f t="shared" si="1"/>
        <v>0</v>
      </c>
      <c r="O16" s="11"/>
      <c r="P16" s="2">
        <f>--161.59</f>
        <v>161.59</v>
      </c>
      <c r="Q16" s="2"/>
      <c r="R16" s="19"/>
      <c r="S16" s="2"/>
      <c r="T16" s="2"/>
      <c r="U16" s="2"/>
      <c r="V16" s="19"/>
      <c r="W16" s="2"/>
      <c r="X16" s="2">
        <f t="shared" si="2"/>
        <v>161.59</v>
      </c>
      <c r="Y16" s="2"/>
      <c r="Z16" s="19">
        <f t="shared" si="3"/>
        <v>0</v>
      </c>
    </row>
    <row r="17" spans="1:26" s="24" customFormat="1" hidden="1" outlineLevel="1" x14ac:dyDescent="0.25">
      <c r="A17" s="44"/>
      <c r="B17" s="11" t="str">
        <f>CONCATENATE("          ", "4040", " - ", "TAXABLE SALES-LOGO CLOTHING")</f>
        <v xml:space="preserve">          4040 - TAXABLE SALES-LOGO CLOTHING</v>
      </c>
      <c r="C17" s="11"/>
      <c r="D17" s="2">
        <f t="shared" si="4"/>
        <v>0</v>
      </c>
      <c r="E17" s="2"/>
      <c r="F17" s="19"/>
      <c r="G17" s="2"/>
      <c r="H17" s="2"/>
      <c r="I17" s="2"/>
      <c r="J17" s="19"/>
      <c r="K17" s="2"/>
      <c r="L17" s="2">
        <f t="shared" si="0"/>
        <v>0</v>
      </c>
      <c r="M17" s="2"/>
      <c r="N17" s="19">
        <f t="shared" si="1"/>
        <v>0</v>
      </c>
      <c r="O17" s="11"/>
      <c r="P17" s="2">
        <f>--361873.67</f>
        <v>361873.67</v>
      </c>
      <c r="Q17" s="2"/>
      <c r="R17" s="19"/>
      <c r="S17" s="2"/>
      <c r="T17" s="2"/>
      <c r="U17" s="2"/>
      <c r="V17" s="19"/>
      <c r="W17" s="2"/>
      <c r="X17" s="2">
        <f t="shared" si="2"/>
        <v>361873.67</v>
      </c>
      <c r="Y17" s="2"/>
      <c r="Z17" s="19">
        <f t="shared" si="3"/>
        <v>0</v>
      </c>
    </row>
    <row r="18" spans="1:26" s="24" customFormat="1" hidden="1" outlineLevel="1" x14ac:dyDescent="0.25">
      <c r="A18" s="44"/>
      <c r="B18" s="11" t="str">
        <f>CONCATENATE("          ", "4041", " - ", "TAXABLE SALES-LOGO GIFTS")</f>
        <v xml:space="preserve">          4041 - TAXABLE SALES-LOGO GIFTS</v>
      </c>
      <c r="C18" s="11"/>
      <c r="D18" s="2">
        <f t="shared" si="4"/>
        <v>0</v>
      </c>
      <c r="E18" s="2"/>
      <c r="F18" s="19"/>
      <c r="G18" s="2"/>
      <c r="H18" s="2"/>
      <c r="I18" s="2"/>
      <c r="J18" s="19"/>
      <c r="K18" s="2"/>
      <c r="L18" s="2">
        <f t="shared" si="0"/>
        <v>0</v>
      </c>
      <c r="M18" s="2"/>
      <c r="N18" s="19">
        <f t="shared" si="1"/>
        <v>0</v>
      </c>
      <c r="O18" s="11"/>
      <c r="P18" s="2">
        <f>--48550.34</f>
        <v>48550.34</v>
      </c>
      <c r="Q18" s="2"/>
      <c r="R18" s="19"/>
      <c r="S18" s="2"/>
      <c r="T18" s="2"/>
      <c r="U18" s="2"/>
      <c r="V18" s="19"/>
      <c r="W18" s="2"/>
      <c r="X18" s="2">
        <f t="shared" si="2"/>
        <v>48550.34</v>
      </c>
      <c r="Y18" s="2"/>
      <c r="Z18" s="19">
        <f t="shared" si="3"/>
        <v>0</v>
      </c>
    </row>
    <row r="19" spans="1:26" s="24" customFormat="1" hidden="1" outlineLevel="1" x14ac:dyDescent="0.25">
      <c r="A19" s="44"/>
      <c r="B19" s="11" t="str">
        <f>CONCATENATE("          ", "4042", " - ", "TAXABLE SALES-EVERYDAY GIFTS")</f>
        <v xml:space="preserve">          4042 - TAXABLE SALES-EVERYDAY GIFTS</v>
      </c>
      <c r="C19" s="11"/>
      <c r="D19" s="2">
        <f t="shared" si="4"/>
        <v>0</v>
      </c>
      <c r="E19" s="2"/>
      <c r="F19" s="19"/>
      <c r="G19" s="2"/>
      <c r="H19" s="2"/>
      <c r="I19" s="2"/>
      <c r="J19" s="19"/>
      <c r="K19" s="2"/>
      <c r="L19" s="2">
        <f t="shared" si="0"/>
        <v>0</v>
      </c>
      <c r="M19" s="2"/>
      <c r="N19" s="19">
        <f t="shared" si="1"/>
        <v>0</v>
      </c>
      <c r="O19" s="11"/>
      <c r="P19" s="2">
        <f>--30701.57</f>
        <v>30701.57</v>
      </c>
      <c r="Q19" s="2"/>
      <c r="R19" s="19"/>
      <c r="S19" s="2"/>
      <c r="T19" s="2"/>
      <c r="U19" s="2"/>
      <c r="V19" s="19"/>
      <c r="W19" s="2"/>
      <c r="X19" s="2">
        <f t="shared" si="2"/>
        <v>30701.57</v>
      </c>
      <c r="Y19" s="2"/>
      <c r="Z19" s="19">
        <f t="shared" si="3"/>
        <v>0</v>
      </c>
    </row>
    <row r="20" spans="1:26" s="24" customFormat="1" hidden="1" outlineLevel="1" x14ac:dyDescent="0.25">
      <c r="A20" s="44"/>
      <c r="B20" s="11" t="str">
        <f>CONCATENATE("          ", "4043", " - ", "TAXABLE SALES-CARDS")</f>
        <v xml:space="preserve">          4043 - TAXABLE SALES-CARDS</v>
      </c>
      <c r="C20" s="11"/>
      <c r="D20" s="2">
        <f t="shared" si="4"/>
        <v>0</v>
      </c>
      <c r="E20" s="2"/>
      <c r="F20" s="19"/>
      <c r="G20" s="2"/>
      <c r="H20" s="2"/>
      <c r="I20" s="2"/>
      <c r="J20" s="19"/>
      <c r="K20" s="2"/>
      <c r="L20" s="2">
        <f t="shared" si="0"/>
        <v>0</v>
      </c>
      <c r="M20" s="2"/>
      <c r="N20" s="19">
        <f t="shared" si="1"/>
        <v>0</v>
      </c>
      <c r="O20" s="11"/>
      <c r="P20" s="2">
        <f>--1544.02</f>
        <v>1544.02</v>
      </c>
      <c r="Q20" s="2"/>
      <c r="R20" s="19"/>
      <c r="S20" s="2"/>
      <c r="T20" s="2"/>
      <c r="U20" s="2"/>
      <c r="V20" s="19"/>
      <c r="W20" s="2"/>
      <c r="X20" s="2">
        <f t="shared" si="2"/>
        <v>1544.02</v>
      </c>
      <c r="Y20" s="2"/>
      <c r="Z20" s="19">
        <f t="shared" si="3"/>
        <v>0</v>
      </c>
    </row>
    <row r="21" spans="1:26" s="24" customFormat="1" hidden="1" outlineLevel="1" x14ac:dyDescent="0.25">
      <c r="A21" s="44"/>
      <c r="B21" s="11" t="str">
        <f>CONCATENATE("          ", "4044", " - ", "TAXABLE SALES-ACCESSORIES")</f>
        <v xml:space="preserve">          4044 - TAXABLE SALES-ACCESSORIES</v>
      </c>
      <c r="C21" s="11"/>
      <c r="D21" s="2">
        <f t="shared" si="4"/>
        <v>0</v>
      </c>
      <c r="E21" s="2"/>
      <c r="F21" s="19"/>
      <c r="G21" s="2"/>
      <c r="H21" s="2"/>
      <c r="I21" s="2"/>
      <c r="J21" s="19"/>
      <c r="K21" s="2"/>
      <c r="L21" s="2">
        <f t="shared" si="0"/>
        <v>0</v>
      </c>
      <c r="M21" s="2"/>
      <c r="N21" s="19">
        <f t="shared" si="1"/>
        <v>0</v>
      </c>
      <c r="O21" s="11"/>
      <c r="P21" s="2">
        <f>--4101.55</f>
        <v>4101.55</v>
      </c>
      <c r="Q21" s="2"/>
      <c r="R21" s="19"/>
      <c r="S21" s="2"/>
      <c r="T21" s="2"/>
      <c r="U21" s="2"/>
      <c r="V21" s="19"/>
      <c r="W21" s="2"/>
      <c r="X21" s="2">
        <f t="shared" si="2"/>
        <v>4101.55</v>
      </c>
      <c r="Y21" s="2"/>
      <c r="Z21" s="19">
        <f t="shared" si="3"/>
        <v>0</v>
      </c>
    </row>
    <row r="22" spans="1:26" s="24" customFormat="1" hidden="1" outlineLevel="1" x14ac:dyDescent="0.25">
      <c r="A22" s="44"/>
      <c r="B22" s="11" t="str">
        <f>CONCATENATE("          ", "4045", " - ", "TAXABLE SALES-SPECIAL ORDERS")</f>
        <v xml:space="preserve">          4045 - TAXABLE SALES-SPECIAL ORDERS</v>
      </c>
      <c r="C22" s="11"/>
      <c r="D22" s="2">
        <f t="shared" si="4"/>
        <v>0</v>
      </c>
      <c r="E22" s="2"/>
      <c r="F22" s="19"/>
      <c r="G22" s="2"/>
      <c r="H22" s="2"/>
      <c r="I22" s="2"/>
      <c r="J22" s="19"/>
      <c r="K22" s="2"/>
      <c r="L22" s="2">
        <f t="shared" si="0"/>
        <v>0</v>
      </c>
      <c r="M22" s="2"/>
      <c r="N22" s="19">
        <f t="shared" si="1"/>
        <v>0</v>
      </c>
      <c r="O22" s="11"/>
      <c r="P22" s="2">
        <f>--467.6</f>
        <v>467.6</v>
      </c>
      <c r="Q22" s="2"/>
      <c r="R22" s="19"/>
      <c r="S22" s="2"/>
      <c r="T22" s="2"/>
      <c r="U22" s="2"/>
      <c r="V22" s="19"/>
      <c r="W22" s="2"/>
      <c r="X22" s="2">
        <f t="shared" si="2"/>
        <v>467.6</v>
      </c>
      <c r="Y22" s="2"/>
      <c r="Z22" s="19">
        <f t="shared" si="3"/>
        <v>0</v>
      </c>
    </row>
    <row r="23" spans="1:26" s="24" customFormat="1" hidden="1" outlineLevel="1" x14ac:dyDescent="0.25">
      <c r="A23" s="44"/>
      <c r="B23" s="11" t="str">
        <f>CONCATENATE("          ", "4092", " - ", "TAXABLE SALES-GRAD MERCH")</f>
        <v xml:space="preserve">          4092 - TAXABLE SALES-GRAD MERCH</v>
      </c>
      <c r="C23" s="11"/>
      <c r="D23" s="2">
        <f t="shared" si="4"/>
        <v>0</v>
      </c>
      <c r="E23" s="2"/>
      <c r="F23" s="19"/>
      <c r="G23" s="2"/>
      <c r="H23" s="2"/>
      <c r="I23" s="2"/>
      <c r="J23" s="19"/>
      <c r="K23" s="2"/>
      <c r="L23" s="2">
        <f t="shared" si="0"/>
        <v>0</v>
      </c>
      <c r="M23" s="2"/>
      <c r="N23" s="19">
        <f t="shared" si="1"/>
        <v>0</v>
      </c>
      <c r="O23" s="11"/>
      <c r="P23" s="2">
        <f>-39.95</f>
        <v>-39.950000000000003</v>
      </c>
      <c r="Q23" s="2"/>
      <c r="R23" s="19"/>
      <c r="S23" s="2"/>
      <c r="T23" s="2"/>
      <c r="U23" s="2"/>
      <c r="V23" s="19"/>
      <c r="W23" s="2"/>
      <c r="X23" s="2">
        <f t="shared" si="2"/>
        <v>-39.950000000000003</v>
      </c>
      <c r="Y23" s="2"/>
      <c r="Z23" s="19">
        <f t="shared" si="3"/>
        <v>0</v>
      </c>
    </row>
    <row r="24" spans="1:26" s="24" customFormat="1" hidden="1" outlineLevel="1" x14ac:dyDescent="0.25">
      <c r="A24" s="44"/>
      <c r="B24" s="11" t="str">
        <f>CONCATENATE("          ", "4095", " - ", "TAXABLE SALES-CUSTOMER SERVICE")</f>
        <v xml:space="preserve">          4095 - TAXABLE SALES-CUSTOMER SERVICE</v>
      </c>
      <c r="C24" s="11"/>
      <c r="D24" s="2">
        <f t="shared" si="4"/>
        <v>0</v>
      </c>
      <c r="E24" s="2"/>
      <c r="F24" s="19"/>
      <c r="G24" s="2"/>
      <c r="H24" s="2"/>
      <c r="I24" s="2"/>
      <c r="J24" s="19"/>
      <c r="K24" s="2"/>
      <c r="L24" s="2">
        <f t="shared" si="0"/>
        <v>0</v>
      </c>
      <c r="M24" s="2"/>
      <c r="N24" s="19">
        <f t="shared" si="1"/>
        <v>0</v>
      </c>
      <c r="O24" s="11"/>
      <c r="P24" s="2">
        <f>--29.7</f>
        <v>29.7</v>
      </c>
      <c r="Q24" s="2"/>
      <c r="R24" s="19"/>
      <c r="S24" s="2"/>
      <c r="T24" s="2"/>
      <c r="U24" s="2"/>
      <c r="V24" s="19"/>
      <c r="W24" s="2"/>
      <c r="X24" s="2">
        <f t="shared" si="2"/>
        <v>29.7</v>
      </c>
      <c r="Y24" s="2"/>
      <c r="Z24" s="19">
        <f t="shared" si="3"/>
        <v>0</v>
      </c>
    </row>
    <row r="25" spans="1:26" s="24" customFormat="1" hidden="1" outlineLevel="1" x14ac:dyDescent="0.25">
      <c r="A25" s="44"/>
      <c r="B25" s="11" t="str">
        <f>CONCATENATE("          ", "4137", " - ", "NON-TAXABLE SALES-WATER")</f>
        <v xml:space="preserve">          4137 - NON-TAXABLE SALES-WATER</v>
      </c>
      <c r="C25" s="11"/>
      <c r="D25" s="2">
        <f t="shared" si="4"/>
        <v>0</v>
      </c>
      <c r="E25" s="2"/>
      <c r="F25" s="19"/>
      <c r="G25" s="2"/>
      <c r="H25" s="2"/>
      <c r="I25" s="2"/>
      <c r="J25" s="19"/>
      <c r="K25" s="2"/>
      <c r="L25" s="2">
        <f t="shared" si="0"/>
        <v>0</v>
      </c>
      <c r="M25" s="2"/>
      <c r="N25" s="19">
        <f t="shared" si="1"/>
        <v>0</v>
      </c>
      <c r="O25" s="11"/>
      <c r="P25" s="2">
        <f>--123</f>
        <v>123</v>
      </c>
      <c r="Q25" s="2"/>
      <c r="R25" s="19"/>
      <c r="S25" s="2"/>
      <c r="T25" s="2"/>
      <c r="U25" s="2"/>
      <c r="V25" s="19"/>
      <c r="W25" s="2"/>
      <c r="X25" s="2">
        <f t="shared" si="2"/>
        <v>123</v>
      </c>
      <c r="Y25" s="2"/>
      <c r="Z25" s="19">
        <f t="shared" si="3"/>
        <v>0</v>
      </c>
    </row>
    <row r="26" spans="1:26" s="24" customFormat="1" hidden="1" outlineLevel="1" x14ac:dyDescent="0.25">
      <c r="A26" s="44"/>
      <c r="B26" s="11" t="str">
        <f>CONCATENATE("          ", "4142", " - ", "NON-TAXABLE SALES-EVERYDAY GIF")</f>
        <v xml:space="preserve">          4142 - NON-TAXABLE SALES-EVERYDAY GIF</v>
      </c>
      <c r="C26" s="11"/>
      <c r="D26" s="2">
        <f t="shared" si="4"/>
        <v>0</v>
      </c>
      <c r="E26" s="2"/>
      <c r="F26" s="19"/>
      <c r="G26" s="2"/>
      <c r="H26" s="2"/>
      <c r="I26" s="2"/>
      <c r="J26" s="19"/>
      <c r="K26" s="2"/>
      <c r="L26" s="2">
        <f t="shared" si="0"/>
        <v>0</v>
      </c>
      <c r="M26" s="2"/>
      <c r="N26" s="19">
        <f t="shared" si="1"/>
        <v>0</v>
      </c>
      <c r="O26" s="11"/>
      <c r="P26" s="2">
        <f>--591.86</f>
        <v>591.86</v>
      </c>
      <c r="Q26" s="2"/>
      <c r="R26" s="19"/>
      <c r="S26" s="2"/>
      <c r="T26" s="2"/>
      <c r="U26" s="2"/>
      <c r="V26" s="19"/>
      <c r="W26" s="2"/>
      <c r="X26" s="2">
        <f t="shared" si="2"/>
        <v>591.86</v>
      </c>
      <c r="Y26" s="2"/>
      <c r="Z26" s="19">
        <f t="shared" si="3"/>
        <v>0</v>
      </c>
    </row>
    <row r="27" spans="1:26" s="24" customFormat="1" hidden="1" outlineLevel="1" x14ac:dyDescent="0.25">
      <c r="A27" s="44"/>
      <c r="B27" s="11" t="str">
        <f>CONCATENATE("          ", "4226", " - ", "SALES RETURN TAXABLE-WRITING I")</f>
        <v xml:space="preserve">          4226 - SALES RETURN TAXABLE-WRITING I</v>
      </c>
      <c r="C27" s="11"/>
      <c r="D27" s="2">
        <f t="shared" si="4"/>
        <v>0</v>
      </c>
      <c r="E27" s="2"/>
      <c r="F27" s="19"/>
      <c r="G27" s="2"/>
      <c r="H27" s="2"/>
      <c r="I27" s="2"/>
      <c r="J27" s="19"/>
      <c r="K27" s="2"/>
      <c r="L27" s="2">
        <f t="shared" si="0"/>
        <v>0</v>
      </c>
      <c r="M27" s="2"/>
      <c r="N27" s="19">
        <f t="shared" si="1"/>
        <v>0</v>
      </c>
      <c r="O27" s="11"/>
      <c r="P27" s="2">
        <f>-134.8</f>
        <v>-134.80000000000001</v>
      </c>
      <c r="Q27" s="2"/>
      <c r="R27" s="19"/>
      <c r="S27" s="2"/>
      <c r="T27" s="2"/>
      <c r="U27" s="2"/>
      <c r="V27" s="19"/>
      <c r="W27" s="2"/>
      <c r="X27" s="2">
        <f t="shared" si="2"/>
        <v>-134.80000000000001</v>
      </c>
      <c r="Y27" s="2"/>
      <c r="Z27" s="19">
        <f t="shared" si="3"/>
        <v>0</v>
      </c>
    </row>
    <row r="28" spans="1:26" s="24" customFormat="1" hidden="1" outlineLevel="1" x14ac:dyDescent="0.25">
      <c r="A28" s="44"/>
      <c r="B28" s="11" t="str">
        <f>CONCATENATE("          ", "4240", " - ", "SALES RETURN TAXABLE-LOGO CLOT")</f>
        <v xml:space="preserve">          4240 - SALES RETURN TAXABLE-LOGO CLOT</v>
      </c>
      <c r="C28" s="11"/>
      <c r="D28" s="2">
        <f t="shared" si="4"/>
        <v>0</v>
      </c>
      <c r="E28" s="2"/>
      <c r="F28" s="19"/>
      <c r="G28" s="2"/>
      <c r="H28" s="2"/>
      <c r="I28" s="2"/>
      <c r="J28" s="19"/>
      <c r="K28" s="2"/>
      <c r="L28" s="2">
        <f t="shared" si="0"/>
        <v>0</v>
      </c>
      <c r="M28" s="2"/>
      <c r="N28" s="19">
        <f t="shared" si="1"/>
        <v>0</v>
      </c>
      <c r="O28" s="11"/>
      <c r="P28" s="2">
        <f>-16122.19</f>
        <v>-16122.19</v>
      </c>
      <c r="Q28" s="2"/>
      <c r="R28" s="19"/>
      <c r="S28" s="2"/>
      <c r="T28" s="2"/>
      <c r="U28" s="2"/>
      <c r="V28" s="19"/>
      <c r="W28" s="2"/>
      <c r="X28" s="2">
        <f t="shared" si="2"/>
        <v>-16122.19</v>
      </c>
      <c r="Y28" s="2"/>
      <c r="Z28" s="19">
        <f t="shared" si="3"/>
        <v>0</v>
      </c>
    </row>
    <row r="29" spans="1:26" s="24" customFormat="1" hidden="1" outlineLevel="1" x14ac:dyDescent="0.25">
      <c r="A29" s="44"/>
      <c r="B29" s="11" t="str">
        <f>CONCATENATE("          ", "4241", " - ", "SALES RETURN TAXABLE-LOGO GIFT")</f>
        <v xml:space="preserve">          4241 - SALES RETURN TAXABLE-LOGO GIFT</v>
      </c>
      <c r="C29" s="11"/>
      <c r="D29" s="2">
        <f t="shared" si="4"/>
        <v>0</v>
      </c>
      <c r="E29" s="2"/>
      <c r="F29" s="19"/>
      <c r="G29" s="2"/>
      <c r="H29" s="2"/>
      <c r="I29" s="2"/>
      <c r="J29" s="19"/>
      <c r="K29" s="2"/>
      <c r="L29" s="2">
        <f t="shared" si="0"/>
        <v>0</v>
      </c>
      <c r="M29" s="2"/>
      <c r="N29" s="19">
        <f t="shared" si="1"/>
        <v>0</v>
      </c>
      <c r="O29" s="11"/>
      <c r="P29" s="2">
        <f>-1260.11</f>
        <v>-1260.1099999999999</v>
      </c>
      <c r="Q29" s="2"/>
      <c r="R29" s="19"/>
      <c r="S29" s="2"/>
      <c r="T29" s="2"/>
      <c r="U29" s="2"/>
      <c r="V29" s="19"/>
      <c r="W29" s="2"/>
      <c r="X29" s="2">
        <f t="shared" si="2"/>
        <v>-1260.1099999999999</v>
      </c>
      <c r="Y29" s="2"/>
      <c r="Z29" s="19">
        <f t="shared" si="3"/>
        <v>0</v>
      </c>
    </row>
    <row r="30" spans="1:26" s="24" customFormat="1" hidden="1" outlineLevel="1" x14ac:dyDescent="0.25">
      <c r="A30" s="44"/>
      <c r="B30" s="11" t="str">
        <f>CONCATENATE("          ", "4242", " - ", "SALES RETURN TAXABLE-EVERYDAY")</f>
        <v xml:space="preserve">          4242 - SALES RETURN TAXABLE-EVERYDAY</v>
      </c>
      <c r="C30" s="11"/>
      <c r="D30" s="2">
        <f t="shared" si="4"/>
        <v>0</v>
      </c>
      <c r="E30" s="2"/>
      <c r="F30" s="19"/>
      <c r="G30" s="2"/>
      <c r="H30" s="2"/>
      <c r="I30" s="2"/>
      <c r="J30" s="19"/>
      <c r="K30" s="2"/>
      <c r="L30" s="2">
        <f t="shared" si="0"/>
        <v>0</v>
      </c>
      <c r="M30" s="2"/>
      <c r="N30" s="19">
        <f t="shared" si="1"/>
        <v>0</v>
      </c>
      <c r="O30" s="11"/>
      <c r="P30" s="2">
        <f>-850.31</f>
        <v>-850.31</v>
      </c>
      <c r="Q30" s="2"/>
      <c r="R30" s="19"/>
      <c r="S30" s="2"/>
      <c r="T30" s="2"/>
      <c r="U30" s="2"/>
      <c r="V30" s="19"/>
      <c r="W30" s="2"/>
      <c r="X30" s="2">
        <f t="shared" si="2"/>
        <v>-850.31</v>
      </c>
      <c r="Y30" s="2"/>
      <c r="Z30" s="19">
        <f t="shared" si="3"/>
        <v>0</v>
      </c>
    </row>
    <row r="31" spans="1:26" s="24" customFormat="1" hidden="1" outlineLevel="1" x14ac:dyDescent="0.25">
      <c r="A31" s="44"/>
      <c r="B31" s="11" t="str">
        <f>CONCATENATE("          ", "4244", " - ", "SALES RETURN TAXABLE-ACCESSORI")</f>
        <v xml:space="preserve">          4244 - SALES RETURN TAXABLE-ACCESSORI</v>
      </c>
      <c r="C31" s="11"/>
      <c r="D31" s="2">
        <f t="shared" si="4"/>
        <v>0</v>
      </c>
      <c r="E31" s="2"/>
      <c r="F31" s="19"/>
      <c r="G31" s="2"/>
      <c r="H31" s="2"/>
      <c r="I31" s="2"/>
      <c r="J31" s="19"/>
      <c r="K31" s="2"/>
      <c r="L31" s="2">
        <f t="shared" si="0"/>
        <v>0</v>
      </c>
      <c r="M31" s="2"/>
      <c r="N31" s="19">
        <f t="shared" si="1"/>
        <v>0</v>
      </c>
      <c r="O31" s="11"/>
      <c r="P31" s="2">
        <f>-130.8</f>
        <v>-130.80000000000001</v>
      </c>
      <c r="Q31" s="2"/>
      <c r="R31" s="19"/>
      <c r="S31" s="2"/>
      <c r="T31" s="2"/>
      <c r="U31" s="2"/>
      <c r="V31" s="19"/>
      <c r="W31" s="2"/>
      <c r="X31" s="2">
        <f t="shared" si="2"/>
        <v>-130.80000000000001</v>
      </c>
      <c r="Y31" s="2"/>
      <c r="Z31" s="19">
        <f t="shared" si="3"/>
        <v>0</v>
      </c>
    </row>
    <row r="32" spans="1:26" s="24" customFormat="1" hidden="1" outlineLevel="1" x14ac:dyDescent="0.25">
      <c r="A32" s="44"/>
      <c r="B32" s="11" t="str">
        <f>CONCATENATE("          ", "4245", " - ", "SALES RETURN TAXABLE-SPECIAL O")</f>
        <v xml:space="preserve">          4245 - SALES RETURN TAXABLE-SPECIAL O</v>
      </c>
      <c r="C32" s="11"/>
      <c r="D32" s="2">
        <f t="shared" si="4"/>
        <v>0</v>
      </c>
      <c r="E32" s="2"/>
      <c r="F32" s="19"/>
      <c r="G32" s="2"/>
      <c r="H32" s="2"/>
      <c r="I32" s="2"/>
      <c r="J32" s="19"/>
      <c r="K32" s="2"/>
      <c r="L32" s="2">
        <f t="shared" si="0"/>
        <v>0</v>
      </c>
      <c r="M32" s="2"/>
      <c r="N32" s="19">
        <f t="shared" si="1"/>
        <v>0</v>
      </c>
      <c r="O32" s="11"/>
      <c r="P32" s="2">
        <f>-9.99</f>
        <v>-9.99</v>
      </c>
      <c r="Q32" s="2"/>
      <c r="R32" s="19"/>
      <c r="S32" s="2"/>
      <c r="T32" s="2"/>
      <c r="U32" s="2"/>
      <c r="V32" s="19"/>
      <c r="W32" s="2"/>
      <c r="X32" s="2">
        <f t="shared" si="2"/>
        <v>-9.99</v>
      </c>
      <c r="Y32" s="2"/>
      <c r="Z32" s="19">
        <f t="shared" si="3"/>
        <v>0</v>
      </c>
    </row>
    <row r="33" spans="1:26" s="24" customFormat="1" hidden="1" outlineLevel="1" x14ac:dyDescent="0.25">
      <c r="A33" s="44"/>
      <c r="B33" s="11" t="str">
        <f>CONCATENATE("          ", "4295", " - ", "SALES RETURN TAXABLE-CUSTOMER")</f>
        <v xml:space="preserve">          4295 - SALES RETURN TAXABLE-CUSTOMER</v>
      </c>
      <c r="C33" s="11"/>
      <c r="D33" s="2">
        <f t="shared" si="4"/>
        <v>0</v>
      </c>
      <c r="E33" s="2"/>
      <c r="F33" s="19"/>
      <c r="G33" s="2"/>
      <c r="H33" s="2"/>
      <c r="I33" s="2"/>
      <c r="J33" s="19"/>
      <c r="K33" s="2"/>
      <c r="L33" s="2">
        <f t="shared" si="0"/>
        <v>0</v>
      </c>
      <c r="M33" s="2"/>
      <c r="N33" s="19">
        <f t="shared" si="1"/>
        <v>0</v>
      </c>
      <c r="O33" s="11"/>
      <c r="P33" s="2">
        <f>--0.99</f>
        <v>0.99</v>
      </c>
      <c r="Q33" s="2"/>
      <c r="R33" s="19"/>
      <c r="S33" s="2"/>
      <c r="T33" s="2"/>
      <c r="U33" s="2"/>
      <c r="V33" s="19"/>
      <c r="W33" s="2"/>
      <c r="X33" s="2">
        <f t="shared" si="2"/>
        <v>0.99</v>
      </c>
      <c r="Y33" s="2"/>
      <c r="Z33" s="19">
        <f t="shared" si="3"/>
        <v>0</v>
      </c>
    </row>
    <row r="34" spans="1:26" x14ac:dyDescent="0.25">
      <c r="A34" s="9"/>
      <c r="B34" s="10"/>
      <c r="C34" s="9"/>
      <c r="D34" s="3"/>
      <c r="E34" s="3"/>
      <c r="F34" s="8"/>
      <c r="G34" s="3"/>
      <c r="H34" s="3"/>
      <c r="I34" s="3"/>
      <c r="J34" s="8"/>
      <c r="K34" s="3"/>
      <c r="L34" s="3"/>
      <c r="M34" s="3"/>
      <c r="N34" s="8"/>
      <c r="P34" s="3"/>
      <c r="Q34" s="3"/>
      <c r="R34" s="8"/>
      <c r="S34" s="3"/>
      <c r="T34" s="3"/>
      <c r="U34" s="3"/>
      <c r="V34" s="8"/>
      <c r="W34" s="3"/>
      <c r="X34" s="3"/>
      <c r="Y34" s="3"/>
      <c r="Z34" s="8"/>
    </row>
    <row r="35" spans="1:26" s="23" customFormat="1" collapsed="1" x14ac:dyDescent="0.25">
      <c r="A35" s="10"/>
      <c r="B35" s="28" t="s">
        <v>8</v>
      </c>
      <c r="C35" s="10"/>
      <c r="D35" s="4">
        <f>SUM(OSRRefD16x_0)</f>
        <v>3790.1599999999958</v>
      </c>
      <c r="E35" s="4"/>
      <c r="F35" s="13">
        <f t="shared" ref="F35:F52" si="5">IF(D$12=0,0,D35/D$12)</f>
        <v>0</v>
      </c>
      <c r="G35" s="4"/>
      <c r="H35" s="4">
        <f>SUM(OSRRefH16x_0)</f>
        <v>30101.246760000002</v>
      </c>
      <c r="I35" s="4"/>
      <c r="J35" s="13">
        <f t="shared" ref="J35:J52" si="6">IF(H$12=0,0,H35/H$12)</f>
        <v>0.42559377240882418</v>
      </c>
      <c r="K35" s="4"/>
      <c r="L35" s="4">
        <f t="shared" ref="L35:L52" si="7">+D35-H35</f>
        <v>-26311.086760000006</v>
      </c>
      <c r="M35" s="4"/>
      <c r="N35" s="13">
        <f t="shared" ref="N35:N52" si="8">IF(H35=0,0,L35/H35)</f>
        <v>-0.87408627854456367</v>
      </c>
      <c r="O35" s="10"/>
      <c r="P35" s="4">
        <f>SUM(OSRRefP16x_0)</f>
        <v>187107.74999999997</v>
      </c>
      <c r="Q35" s="4"/>
      <c r="R35" s="13">
        <f t="shared" ref="R35:R52" si="9">IF(P$12=0,0,P35/P$12)</f>
        <v>0.43529539199006362</v>
      </c>
      <c r="S35" s="4"/>
      <c r="T35" s="4">
        <f>SUM(OSRRefT16x_0)</f>
        <v>238030.30929999999</v>
      </c>
      <c r="U35" s="4"/>
      <c r="V35" s="13">
        <f t="shared" ref="V35:V52" si="10">IF(T$12=0,0,T35/T$12)</f>
        <v>0.42642259862046455</v>
      </c>
      <c r="W35" s="4"/>
      <c r="X35" s="4">
        <f t="shared" ref="X35:X52" si="11">+P35-T35</f>
        <v>-50922.559300000023</v>
      </c>
      <c r="Y35" s="4"/>
      <c r="Z35" s="13">
        <f t="shared" ref="Z35:Z52" si="12">IF(T35=0,0,X35/T35)</f>
        <v>-0.21393308881441689</v>
      </c>
    </row>
    <row r="36" spans="1:26" s="24" customFormat="1" hidden="1" outlineLevel="1" x14ac:dyDescent="0.25">
      <c r="A36" s="44"/>
      <c r="B36" s="11" t="str">
        <f>CONCATENATE("          ", "5000", " - ", "PURCHASES @ COST")</f>
        <v xml:space="preserve">          5000 - PURCHASES @ COST</v>
      </c>
      <c r="C36" s="11"/>
      <c r="D36" s="2"/>
      <c r="E36" s="2"/>
      <c r="F36" s="19">
        <f t="shared" si="5"/>
        <v>0</v>
      </c>
      <c r="G36" s="2"/>
      <c r="H36" s="2">
        <v>30101.246760000002</v>
      </c>
      <c r="I36" s="2"/>
      <c r="J36" s="19">
        <f t="shared" si="6"/>
        <v>0.42559377240882418</v>
      </c>
      <c r="K36" s="2"/>
      <c r="L36" s="2">
        <f t="shared" si="7"/>
        <v>-30101.246760000002</v>
      </c>
      <c r="M36" s="2"/>
      <c r="N36" s="19">
        <f t="shared" si="8"/>
        <v>-1</v>
      </c>
      <c r="O36" s="11"/>
      <c r="P36" s="2"/>
      <c r="Q36" s="2"/>
      <c r="R36" s="19">
        <f t="shared" si="9"/>
        <v>0</v>
      </c>
      <c r="S36" s="2"/>
      <c r="T36" s="2">
        <v>238030.30929999999</v>
      </c>
      <c r="U36" s="2"/>
      <c r="V36" s="19">
        <f t="shared" si="10"/>
        <v>0.42642259862046455</v>
      </c>
      <c r="W36" s="2"/>
      <c r="X36" s="2">
        <f t="shared" si="11"/>
        <v>-238030.30929999999</v>
      </c>
      <c r="Y36" s="2"/>
      <c r="Z36" s="19">
        <f t="shared" si="12"/>
        <v>-1</v>
      </c>
    </row>
    <row r="37" spans="1:26" s="24" customFormat="1" hidden="1" outlineLevel="1" x14ac:dyDescent="0.25">
      <c r="A37" s="44"/>
      <c r="B37" s="11" t="str">
        <f>CONCATENATE("          ", "5025", " - ", "PURCHASES @ COST-TEST FORMS")</f>
        <v xml:space="preserve">          5025 - PURCHASES @ COST-TEST FORMS</v>
      </c>
      <c r="C37" s="11"/>
      <c r="D37" s="2"/>
      <c r="E37" s="2"/>
      <c r="F37" s="19">
        <f t="shared" si="5"/>
        <v>0</v>
      </c>
      <c r="G37" s="2"/>
      <c r="H37" s="2"/>
      <c r="I37" s="2"/>
      <c r="J37" s="19">
        <f t="shared" si="6"/>
        <v>0</v>
      </c>
      <c r="K37" s="2"/>
      <c r="L37" s="2">
        <f t="shared" si="7"/>
        <v>0</v>
      </c>
      <c r="M37" s="2"/>
      <c r="N37" s="19">
        <f t="shared" si="8"/>
        <v>0</v>
      </c>
      <c r="O37" s="11"/>
      <c r="P37" s="2">
        <v>6.06</v>
      </c>
      <c r="Q37" s="2"/>
      <c r="R37" s="19">
        <f t="shared" si="9"/>
        <v>1.4098240588429853E-5</v>
      </c>
      <c r="S37" s="2"/>
      <c r="T37" s="2"/>
      <c r="U37" s="2"/>
      <c r="V37" s="19">
        <f t="shared" si="10"/>
        <v>0</v>
      </c>
      <c r="W37" s="2"/>
      <c r="X37" s="2">
        <f t="shared" si="11"/>
        <v>6.06</v>
      </c>
      <c r="Y37" s="2"/>
      <c r="Z37" s="19">
        <f t="shared" si="12"/>
        <v>0</v>
      </c>
    </row>
    <row r="38" spans="1:26" s="24" customFormat="1" hidden="1" outlineLevel="1" x14ac:dyDescent="0.25">
      <c r="A38" s="44"/>
      <c r="B38" s="11" t="str">
        <f>CONCATENATE("          ", "5026", " - ", "PURCHASES @ COST-WRITING INSTR")</f>
        <v xml:space="preserve">          5026 - PURCHASES @ COST-WRITING INSTR</v>
      </c>
      <c r="C38" s="11"/>
      <c r="D38" s="2">
        <v>-4.26</v>
      </c>
      <c r="E38" s="2"/>
      <c r="F38" s="19">
        <f t="shared" si="5"/>
        <v>0</v>
      </c>
      <c r="G38" s="2"/>
      <c r="H38" s="2"/>
      <c r="I38" s="2"/>
      <c r="J38" s="19">
        <f t="shared" si="6"/>
        <v>0</v>
      </c>
      <c r="K38" s="2"/>
      <c r="L38" s="2">
        <f t="shared" si="7"/>
        <v>-4.26</v>
      </c>
      <c r="M38" s="2"/>
      <c r="N38" s="19">
        <f t="shared" si="8"/>
        <v>0</v>
      </c>
      <c r="O38" s="11"/>
      <c r="P38" s="2">
        <v>1193.81</v>
      </c>
      <c r="Q38" s="2"/>
      <c r="R38" s="19">
        <f t="shared" si="9"/>
        <v>2.7773301314972677E-3</v>
      </c>
      <c r="S38" s="2"/>
      <c r="T38" s="2"/>
      <c r="U38" s="2"/>
      <c r="V38" s="19">
        <f t="shared" si="10"/>
        <v>0</v>
      </c>
      <c r="W38" s="2"/>
      <c r="X38" s="2">
        <f t="shared" si="11"/>
        <v>1193.81</v>
      </c>
      <c r="Y38" s="2"/>
      <c r="Z38" s="19">
        <f t="shared" si="12"/>
        <v>0</v>
      </c>
    </row>
    <row r="39" spans="1:26" s="24" customFormat="1" hidden="1" outlineLevel="1" x14ac:dyDescent="0.25">
      <c r="A39" s="44"/>
      <c r="B39" s="11" t="str">
        <f>CONCATENATE("          ", "5027", " - ", "PURCHASES @ COST-SCHOOL SUPPLI")</f>
        <v xml:space="preserve">          5027 - PURCHASES @ COST-SCHOOL SUPPLI</v>
      </c>
      <c r="C39" s="11"/>
      <c r="D39" s="2">
        <v>-19.8</v>
      </c>
      <c r="E39" s="2"/>
      <c r="F39" s="19">
        <f t="shared" si="5"/>
        <v>0</v>
      </c>
      <c r="G39" s="2"/>
      <c r="H39" s="2"/>
      <c r="I39" s="2"/>
      <c r="J39" s="19">
        <f t="shared" si="6"/>
        <v>0</v>
      </c>
      <c r="K39" s="2"/>
      <c r="L39" s="2">
        <f t="shared" si="7"/>
        <v>-19.8</v>
      </c>
      <c r="M39" s="2"/>
      <c r="N39" s="19">
        <f t="shared" si="8"/>
        <v>0</v>
      </c>
      <c r="O39" s="11"/>
      <c r="P39" s="2">
        <v>305.64999999999998</v>
      </c>
      <c r="Q39" s="2"/>
      <c r="R39" s="19">
        <f t="shared" si="9"/>
        <v>7.1107710162600401E-4</v>
      </c>
      <c r="S39" s="2"/>
      <c r="T39" s="2"/>
      <c r="U39" s="2"/>
      <c r="V39" s="19">
        <f t="shared" si="10"/>
        <v>0</v>
      </c>
      <c r="W39" s="2"/>
      <c r="X39" s="2">
        <f t="shared" si="11"/>
        <v>305.64999999999998</v>
      </c>
      <c r="Y39" s="2"/>
      <c r="Z39" s="19">
        <f t="shared" si="12"/>
        <v>0</v>
      </c>
    </row>
    <row r="40" spans="1:26" s="24" customFormat="1" hidden="1" outlineLevel="1" x14ac:dyDescent="0.25">
      <c r="A40" s="44"/>
      <c r="B40" s="11" t="str">
        <f>CONCATENATE("          ", "5037", " - ", "PURCHASES @ COST-WATER")</f>
        <v xml:space="preserve">          5037 - PURCHASES @ COST-WATER</v>
      </c>
      <c r="C40" s="11"/>
      <c r="D40" s="2"/>
      <c r="E40" s="2"/>
      <c r="F40" s="19">
        <f t="shared" si="5"/>
        <v>0</v>
      </c>
      <c r="G40" s="2"/>
      <c r="H40" s="2"/>
      <c r="I40" s="2"/>
      <c r="J40" s="19">
        <f t="shared" si="6"/>
        <v>0</v>
      </c>
      <c r="K40" s="2"/>
      <c r="L40" s="2">
        <f t="shared" si="7"/>
        <v>0</v>
      </c>
      <c r="M40" s="2"/>
      <c r="N40" s="19">
        <f t="shared" si="8"/>
        <v>0</v>
      </c>
      <c r="O40" s="11"/>
      <c r="P40" s="2">
        <v>29.76</v>
      </c>
      <c r="Q40" s="2"/>
      <c r="R40" s="19">
        <f t="shared" si="9"/>
        <v>6.9234924077833738E-5</v>
      </c>
      <c r="S40" s="2"/>
      <c r="T40" s="2"/>
      <c r="U40" s="2"/>
      <c r="V40" s="19">
        <f t="shared" si="10"/>
        <v>0</v>
      </c>
      <c r="W40" s="2"/>
      <c r="X40" s="2">
        <f t="shared" si="11"/>
        <v>29.76</v>
      </c>
      <c r="Y40" s="2"/>
      <c r="Z40" s="19">
        <f t="shared" si="12"/>
        <v>0</v>
      </c>
    </row>
    <row r="41" spans="1:26" s="24" customFormat="1" hidden="1" outlineLevel="1" x14ac:dyDescent="0.25">
      <c r="A41" s="44"/>
      <c r="B41" s="11" t="str">
        <f>CONCATENATE("          ", "5040", " - ", "PURCHASES @ COST-LOGO CLOTHING")</f>
        <v xml:space="preserve">          5040 - PURCHASES @ COST-LOGO CLOTHING</v>
      </c>
      <c r="C41" s="11"/>
      <c r="D41" s="2">
        <v>-32329.99</v>
      </c>
      <c r="E41" s="2"/>
      <c r="F41" s="19">
        <f t="shared" si="5"/>
        <v>0</v>
      </c>
      <c r="G41" s="2"/>
      <c r="H41" s="2"/>
      <c r="I41" s="2"/>
      <c r="J41" s="19">
        <f t="shared" si="6"/>
        <v>0</v>
      </c>
      <c r="K41" s="2"/>
      <c r="L41" s="2">
        <f t="shared" si="7"/>
        <v>-32329.99</v>
      </c>
      <c r="M41" s="2"/>
      <c r="N41" s="19">
        <f t="shared" si="8"/>
        <v>0</v>
      </c>
      <c r="O41" s="11"/>
      <c r="P41" s="2">
        <v>163658.82999999999</v>
      </c>
      <c r="Q41" s="2"/>
      <c r="R41" s="19">
        <f t="shared" si="9"/>
        <v>0.38074283164371964</v>
      </c>
      <c r="S41" s="2"/>
      <c r="T41" s="2"/>
      <c r="U41" s="2"/>
      <c r="V41" s="19">
        <f t="shared" si="10"/>
        <v>0</v>
      </c>
      <c r="W41" s="2"/>
      <c r="X41" s="2">
        <f t="shared" si="11"/>
        <v>163658.82999999999</v>
      </c>
      <c r="Y41" s="2"/>
      <c r="Z41" s="19">
        <f t="shared" si="12"/>
        <v>0</v>
      </c>
    </row>
    <row r="42" spans="1:26" s="24" customFormat="1" hidden="1" outlineLevel="1" x14ac:dyDescent="0.25">
      <c r="A42" s="44"/>
      <c r="B42" s="11" t="str">
        <f>CONCATENATE("          ", "5041", " - ", "PURCHASES @ COST-LOGO GIFTS")</f>
        <v xml:space="preserve">          5041 - PURCHASES @ COST-LOGO GIFTS</v>
      </c>
      <c r="C42" s="11"/>
      <c r="D42" s="2">
        <v>-2213.7399999999998</v>
      </c>
      <c r="E42" s="2"/>
      <c r="F42" s="19">
        <f t="shared" si="5"/>
        <v>0</v>
      </c>
      <c r="G42" s="2"/>
      <c r="H42" s="2"/>
      <c r="I42" s="2"/>
      <c r="J42" s="19">
        <f t="shared" si="6"/>
        <v>0</v>
      </c>
      <c r="K42" s="2"/>
      <c r="L42" s="2">
        <f t="shared" si="7"/>
        <v>-2213.7399999999998</v>
      </c>
      <c r="M42" s="2"/>
      <c r="N42" s="19">
        <f t="shared" si="8"/>
        <v>0</v>
      </c>
      <c r="O42" s="11"/>
      <c r="P42" s="2">
        <v>24767.18</v>
      </c>
      <c r="Q42" s="2"/>
      <c r="R42" s="19">
        <f t="shared" si="9"/>
        <v>5.761941622721916E-2</v>
      </c>
      <c r="S42" s="2"/>
      <c r="T42" s="2"/>
      <c r="U42" s="2"/>
      <c r="V42" s="19">
        <f t="shared" si="10"/>
        <v>0</v>
      </c>
      <c r="W42" s="2"/>
      <c r="X42" s="2">
        <f t="shared" si="11"/>
        <v>24767.18</v>
      </c>
      <c r="Y42" s="2"/>
      <c r="Z42" s="19">
        <f t="shared" si="12"/>
        <v>0</v>
      </c>
    </row>
    <row r="43" spans="1:26" s="24" customFormat="1" hidden="1" outlineLevel="1" x14ac:dyDescent="0.25">
      <c r="A43" s="44"/>
      <c r="B43" s="11" t="str">
        <f>CONCATENATE("          ", "5042", " - ", "PURCHASES @ COST-EVERYDAY GIFT")</f>
        <v xml:space="preserve">          5042 - PURCHASES @ COST-EVERYDAY GIFT</v>
      </c>
      <c r="C43" s="11"/>
      <c r="D43" s="2">
        <v>-164.93</v>
      </c>
      <c r="E43" s="2"/>
      <c r="F43" s="19">
        <f t="shared" si="5"/>
        <v>0</v>
      </c>
      <c r="G43" s="2"/>
      <c r="H43" s="2"/>
      <c r="I43" s="2"/>
      <c r="J43" s="19">
        <f t="shared" si="6"/>
        <v>0</v>
      </c>
      <c r="K43" s="2"/>
      <c r="L43" s="2">
        <f t="shared" si="7"/>
        <v>-164.93</v>
      </c>
      <c r="M43" s="2"/>
      <c r="N43" s="19">
        <f t="shared" si="8"/>
        <v>0</v>
      </c>
      <c r="O43" s="11"/>
      <c r="P43" s="2">
        <v>20352.7</v>
      </c>
      <c r="Q43" s="2"/>
      <c r="R43" s="19">
        <f t="shared" si="9"/>
        <v>4.7349383040286519E-2</v>
      </c>
      <c r="S43" s="2"/>
      <c r="T43" s="2"/>
      <c r="U43" s="2"/>
      <c r="V43" s="19">
        <f t="shared" si="10"/>
        <v>0</v>
      </c>
      <c r="W43" s="2"/>
      <c r="X43" s="2">
        <f t="shared" si="11"/>
        <v>20352.7</v>
      </c>
      <c r="Y43" s="2"/>
      <c r="Z43" s="19">
        <f t="shared" si="12"/>
        <v>0</v>
      </c>
    </row>
    <row r="44" spans="1:26" s="24" customFormat="1" hidden="1" outlineLevel="1" x14ac:dyDescent="0.25">
      <c r="A44" s="44"/>
      <c r="B44" s="11" t="str">
        <f>CONCATENATE("          ", "5043", " - ", "PURCHASES @ COST-CARDS")</f>
        <v xml:space="preserve">          5043 - PURCHASES @ COST-CARDS</v>
      </c>
      <c r="C44" s="11"/>
      <c r="D44" s="2"/>
      <c r="E44" s="2"/>
      <c r="F44" s="19">
        <f t="shared" si="5"/>
        <v>0</v>
      </c>
      <c r="G44" s="2"/>
      <c r="H44" s="2"/>
      <c r="I44" s="2"/>
      <c r="J44" s="19">
        <f t="shared" si="6"/>
        <v>0</v>
      </c>
      <c r="K44" s="2"/>
      <c r="L44" s="2">
        <f t="shared" si="7"/>
        <v>0</v>
      </c>
      <c r="M44" s="2"/>
      <c r="N44" s="19">
        <f t="shared" si="8"/>
        <v>0</v>
      </c>
      <c r="O44" s="11"/>
      <c r="P44" s="2">
        <v>154.47</v>
      </c>
      <c r="Q44" s="2"/>
      <c r="R44" s="19">
        <f t="shared" si="9"/>
        <v>3.5936554846448173E-4</v>
      </c>
      <c r="S44" s="2"/>
      <c r="T44" s="2"/>
      <c r="U44" s="2"/>
      <c r="V44" s="19">
        <f t="shared" si="10"/>
        <v>0</v>
      </c>
      <c r="W44" s="2"/>
      <c r="X44" s="2">
        <f t="shared" si="11"/>
        <v>154.47</v>
      </c>
      <c r="Y44" s="2"/>
      <c r="Z44" s="19">
        <f t="shared" si="12"/>
        <v>0</v>
      </c>
    </row>
    <row r="45" spans="1:26" s="24" customFormat="1" hidden="1" outlineLevel="1" x14ac:dyDescent="0.25">
      <c r="A45" s="44"/>
      <c r="B45" s="11" t="str">
        <f>CONCATENATE("          ", "5044", " - ", "PURCHASES @ COST-ACCESSORIES")</f>
        <v xml:space="preserve">          5044 - PURCHASES @ COST-ACCESSORIES</v>
      </c>
      <c r="C45" s="11"/>
      <c r="D45" s="2">
        <v>-91.8</v>
      </c>
      <c r="E45" s="2"/>
      <c r="F45" s="19">
        <f t="shared" si="5"/>
        <v>0</v>
      </c>
      <c r="G45" s="2"/>
      <c r="H45" s="2"/>
      <c r="I45" s="2"/>
      <c r="J45" s="19">
        <f t="shared" si="6"/>
        <v>0</v>
      </c>
      <c r="K45" s="2"/>
      <c r="L45" s="2">
        <f t="shared" si="7"/>
        <v>-91.8</v>
      </c>
      <c r="M45" s="2"/>
      <c r="N45" s="19">
        <f t="shared" si="8"/>
        <v>0</v>
      </c>
      <c r="O45" s="11"/>
      <c r="P45" s="2">
        <v>-4472.8500000000004</v>
      </c>
      <c r="Q45" s="2"/>
      <c r="R45" s="19">
        <f t="shared" si="9"/>
        <v>-1.0405827626395787E-2</v>
      </c>
      <c r="S45" s="2"/>
      <c r="T45" s="2"/>
      <c r="U45" s="2"/>
      <c r="V45" s="19">
        <f t="shared" si="10"/>
        <v>0</v>
      </c>
      <c r="W45" s="2"/>
      <c r="X45" s="2">
        <f t="shared" si="11"/>
        <v>-4472.8500000000004</v>
      </c>
      <c r="Y45" s="2"/>
      <c r="Z45" s="19">
        <f t="shared" si="12"/>
        <v>0</v>
      </c>
    </row>
    <row r="46" spans="1:26" s="24" customFormat="1" hidden="1" outlineLevel="1" x14ac:dyDescent="0.25">
      <c r="A46" s="44"/>
      <c r="B46" s="11" t="str">
        <f>CONCATENATE("          ", "5045", " - ", "PURCHASES @ COST-SPECIAL ORDER")</f>
        <v xml:space="preserve">          5045 - PURCHASES @ COST-SPECIAL ORDER</v>
      </c>
      <c r="C46" s="11"/>
      <c r="D46" s="2"/>
      <c r="E46" s="2"/>
      <c r="F46" s="19">
        <f t="shared" si="5"/>
        <v>0</v>
      </c>
      <c r="G46" s="2"/>
      <c r="H46" s="2"/>
      <c r="I46" s="2"/>
      <c r="J46" s="19">
        <f t="shared" si="6"/>
        <v>0</v>
      </c>
      <c r="K46" s="2"/>
      <c r="L46" s="2">
        <f t="shared" si="7"/>
        <v>0</v>
      </c>
      <c r="M46" s="2"/>
      <c r="N46" s="19">
        <f t="shared" si="8"/>
        <v>0</v>
      </c>
      <c r="O46" s="11"/>
      <c r="P46" s="2">
        <v>-998.2</v>
      </c>
      <c r="Q46" s="2"/>
      <c r="R46" s="19">
        <f t="shared" si="9"/>
        <v>-2.3222547451106734E-3</v>
      </c>
      <c r="S46" s="2"/>
      <c r="T46" s="2"/>
      <c r="U46" s="2"/>
      <c r="V46" s="19">
        <f t="shared" si="10"/>
        <v>0</v>
      </c>
      <c r="W46" s="2"/>
      <c r="X46" s="2">
        <f t="shared" si="11"/>
        <v>-998.2</v>
      </c>
      <c r="Y46" s="2"/>
      <c r="Z46" s="19">
        <f t="shared" si="12"/>
        <v>0</v>
      </c>
    </row>
    <row r="47" spans="1:26" s="24" customFormat="1" hidden="1" outlineLevel="1" x14ac:dyDescent="0.25">
      <c r="A47" s="44"/>
      <c r="B47" s="11" t="str">
        <f>CONCATENATE("          ", "5083", " - ", "PURCHASES @ COST-COMPUTER EQUI")</f>
        <v xml:space="preserve">          5083 - PURCHASES @ COST-COMPUTER EQUI</v>
      </c>
      <c r="C47" s="11"/>
      <c r="D47" s="2"/>
      <c r="E47" s="2"/>
      <c r="F47" s="19">
        <f t="shared" si="5"/>
        <v>0</v>
      </c>
      <c r="G47" s="2"/>
      <c r="H47" s="2"/>
      <c r="I47" s="2"/>
      <c r="J47" s="19">
        <f t="shared" si="6"/>
        <v>0</v>
      </c>
      <c r="K47" s="2"/>
      <c r="L47" s="2">
        <f t="shared" si="7"/>
        <v>0</v>
      </c>
      <c r="M47" s="2"/>
      <c r="N47" s="19">
        <f t="shared" si="8"/>
        <v>0</v>
      </c>
      <c r="O47" s="11"/>
      <c r="P47" s="2">
        <v>90.35</v>
      </c>
      <c r="Q47" s="2"/>
      <c r="R47" s="19">
        <f t="shared" si="9"/>
        <v>2.1019406553871901E-4</v>
      </c>
      <c r="S47" s="2"/>
      <c r="T47" s="2"/>
      <c r="U47" s="2"/>
      <c r="V47" s="19">
        <f t="shared" si="10"/>
        <v>0</v>
      </c>
      <c r="W47" s="2"/>
      <c r="X47" s="2">
        <f t="shared" si="11"/>
        <v>90.35</v>
      </c>
      <c r="Y47" s="2"/>
      <c r="Z47" s="19">
        <f t="shared" si="12"/>
        <v>0</v>
      </c>
    </row>
    <row r="48" spans="1:26" s="24" customFormat="1" hidden="1" outlineLevel="1" x14ac:dyDescent="0.25">
      <c r="A48" s="44"/>
      <c r="B48" s="11" t="str">
        <f>CONCATENATE("          ", "5092", " - ", "PURCHASES @ COST-GRAD MERCH")</f>
        <v xml:space="preserve">          5092 - PURCHASES @ COST-GRAD MERCH</v>
      </c>
      <c r="C48" s="11"/>
      <c r="D48" s="2"/>
      <c r="E48" s="2"/>
      <c r="F48" s="19">
        <f t="shared" si="5"/>
        <v>0</v>
      </c>
      <c r="G48" s="2"/>
      <c r="H48" s="2"/>
      <c r="I48" s="2"/>
      <c r="J48" s="19">
        <f t="shared" si="6"/>
        <v>0</v>
      </c>
      <c r="K48" s="2"/>
      <c r="L48" s="2">
        <f t="shared" si="7"/>
        <v>0</v>
      </c>
      <c r="M48" s="2"/>
      <c r="N48" s="19">
        <f t="shared" si="8"/>
        <v>0</v>
      </c>
      <c r="O48" s="11"/>
      <c r="P48" s="2">
        <v>-60.35</v>
      </c>
      <c r="Q48" s="2"/>
      <c r="R48" s="19">
        <f t="shared" si="9"/>
        <v>-1.4040079529896728E-4</v>
      </c>
      <c r="S48" s="2"/>
      <c r="T48" s="2"/>
      <c r="U48" s="2"/>
      <c r="V48" s="19">
        <f t="shared" si="10"/>
        <v>0</v>
      </c>
      <c r="W48" s="2"/>
      <c r="X48" s="2">
        <f t="shared" si="11"/>
        <v>-60.35</v>
      </c>
      <c r="Y48" s="2"/>
      <c r="Z48" s="19">
        <f t="shared" si="12"/>
        <v>0</v>
      </c>
    </row>
    <row r="49" spans="1:26" s="24" customFormat="1" hidden="1" outlineLevel="1" x14ac:dyDescent="0.25">
      <c r="A49" s="44"/>
      <c r="B49" s="11" t="str">
        <f>CONCATENATE("          ", "5095", " - ", "PURCHASES @ COST-CUSTOMER SERV")</f>
        <v xml:space="preserve">          5095 - PURCHASES @ COST-CUSTOMER SERV</v>
      </c>
      <c r="C49" s="11"/>
      <c r="D49" s="2"/>
      <c r="E49" s="2"/>
      <c r="F49" s="19">
        <f t="shared" si="5"/>
        <v>0</v>
      </c>
      <c r="G49" s="2"/>
      <c r="H49" s="2"/>
      <c r="I49" s="2"/>
      <c r="J49" s="19">
        <f t="shared" si="6"/>
        <v>0</v>
      </c>
      <c r="K49" s="2"/>
      <c r="L49" s="2">
        <f t="shared" si="7"/>
        <v>0</v>
      </c>
      <c r="M49" s="2"/>
      <c r="N49" s="19">
        <f t="shared" si="8"/>
        <v>0</v>
      </c>
      <c r="O49" s="11"/>
      <c r="P49" s="2">
        <v>-11.85</v>
      </c>
      <c r="Q49" s="2"/>
      <c r="R49" s="19">
        <f t="shared" si="9"/>
        <v>-2.7568341744701939E-5</v>
      </c>
      <c r="S49" s="2"/>
      <c r="T49" s="2"/>
      <c r="U49" s="2"/>
      <c r="V49" s="19">
        <f t="shared" si="10"/>
        <v>0</v>
      </c>
      <c r="W49" s="2"/>
      <c r="X49" s="2">
        <f t="shared" si="11"/>
        <v>-11.85</v>
      </c>
      <c r="Y49" s="2"/>
      <c r="Z49" s="19">
        <f t="shared" si="12"/>
        <v>0</v>
      </c>
    </row>
    <row r="50" spans="1:26" s="24" customFormat="1" hidden="1" outlineLevel="1" x14ac:dyDescent="0.25">
      <c r="A50" s="44"/>
      <c r="B50" s="11" t="str">
        <f>CONCATENATE("          ", "5200", " - ", "PURCHASES OFFSET")</f>
        <v xml:space="preserve">          5200 - PURCHASES OFFSET</v>
      </c>
      <c r="C50" s="11"/>
      <c r="D50" s="2">
        <v>34791</v>
      </c>
      <c r="E50" s="2"/>
      <c r="F50" s="19">
        <f t="shared" si="5"/>
        <v>0</v>
      </c>
      <c r="G50" s="2"/>
      <c r="H50" s="2"/>
      <c r="I50" s="2"/>
      <c r="J50" s="19">
        <f t="shared" si="6"/>
        <v>0</v>
      </c>
      <c r="K50" s="2"/>
      <c r="L50" s="2">
        <f t="shared" si="7"/>
        <v>34791</v>
      </c>
      <c r="M50" s="2"/>
      <c r="N50" s="19">
        <f t="shared" si="8"/>
        <v>0</v>
      </c>
      <c r="O50" s="11"/>
      <c r="P50" s="2">
        <v>-166945</v>
      </c>
      <c r="Q50" s="2"/>
      <c r="R50" s="19">
        <f t="shared" si="9"/>
        <v>-0.38838791667251188</v>
      </c>
      <c r="S50" s="2"/>
      <c r="T50" s="2"/>
      <c r="U50" s="2"/>
      <c r="V50" s="19">
        <f t="shared" si="10"/>
        <v>0</v>
      </c>
      <c r="W50" s="2"/>
      <c r="X50" s="2">
        <f t="shared" si="11"/>
        <v>-166945</v>
      </c>
      <c r="Y50" s="2"/>
      <c r="Z50" s="19">
        <f t="shared" si="12"/>
        <v>0</v>
      </c>
    </row>
    <row r="51" spans="1:26" s="24" customFormat="1" hidden="1" outlineLevel="1" x14ac:dyDescent="0.25">
      <c r="A51" s="44"/>
      <c r="B51" s="11" t="str">
        <f>CONCATENATE("          ", "5300", " - ", "COG$ OFFSET")</f>
        <v xml:space="preserve">          5300 - COG$ OFFSET</v>
      </c>
      <c r="C51" s="11"/>
      <c r="D51" s="2">
        <v>3790</v>
      </c>
      <c r="E51" s="2"/>
      <c r="F51" s="19">
        <f t="shared" si="5"/>
        <v>0</v>
      </c>
      <c r="G51" s="2"/>
      <c r="H51" s="2"/>
      <c r="I51" s="2"/>
      <c r="J51" s="19">
        <f t="shared" si="6"/>
        <v>0</v>
      </c>
      <c r="K51" s="2"/>
      <c r="L51" s="2">
        <f t="shared" si="7"/>
        <v>3790</v>
      </c>
      <c r="M51" s="2"/>
      <c r="N51" s="19">
        <f t="shared" si="8"/>
        <v>0</v>
      </c>
      <c r="O51" s="11"/>
      <c r="P51" s="2">
        <v>148981</v>
      </c>
      <c r="Q51" s="2"/>
      <c r="R51" s="19">
        <f t="shared" si="9"/>
        <v>0.34659570645294852</v>
      </c>
      <c r="S51" s="2"/>
      <c r="T51" s="2"/>
      <c r="U51" s="2"/>
      <c r="V51" s="19">
        <f t="shared" si="10"/>
        <v>0</v>
      </c>
      <c r="W51" s="2"/>
      <c r="X51" s="2">
        <f t="shared" si="11"/>
        <v>148981</v>
      </c>
      <c r="Y51" s="2"/>
      <c r="Z51" s="19">
        <f t="shared" si="12"/>
        <v>0</v>
      </c>
    </row>
    <row r="52" spans="1:26" s="24" customFormat="1" hidden="1" outlineLevel="1" x14ac:dyDescent="0.25">
      <c r="A52" s="44"/>
      <c r="B52" s="11" t="str">
        <f>CONCATENATE("          ", "5540", " - ", "FREIGHT-IN-LOGO CLOTHING")</f>
        <v xml:space="preserve">          5540 - FREIGHT-IN-LOGO CLOTHING</v>
      </c>
      <c r="C52" s="11"/>
      <c r="D52" s="2">
        <v>33.68</v>
      </c>
      <c r="E52" s="2"/>
      <c r="F52" s="19">
        <f t="shared" si="5"/>
        <v>0</v>
      </c>
      <c r="G52" s="2"/>
      <c r="H52" s="2"/>
      <c r="I52" s="2"/>
      <c r="J52" s="19">
        <f t="shared" si="6"/>
        <v>0</v>
      </c>
      <c r="K52" s="2"/>
      <c r="L52" s="2">
        <f t="shared" si="7"/>
        <v>33.68</v>
      </c>
      <c r="M52" s="2"/>
      <c r="N52" s="19">
        <f t="shared" si="8"/>
        <v>0</v>
      </c>
      <c r="O52" s="11"/>
      <c r="P52" s="2">
        <v>56.19</v>
      </c>
      <c r="Q52" s="2"/>
      <c r="R52" s="19">
        <f t="shared" si="9"/>
        <v>1.3072279515905503E-4</v>
      </c>
      <c r="S52" s="2"/>
      <c r="T52" s="2"/>
      <c r="U52" s="2"/>
      <c r="V52" s="19">
        <f t="shared" si="10"/>
        <v>0</v>
      </c>
      <c r="W52" s="2"/>
      <c r="X52" s="2">
        <f t="shared" si="11"/>
        <v>56.19</v>
      </c>
      <c r="Y52" s="2"/>
      <c r="Z52" s="19">
        <f t="shared" si="12"/>
        <v>0</v>
      </c>
    </row>
    <row r="53" spans="1:26" x14ac:dyDescent="0.25">
      <c r="A53" s="9"/>
      <c r="B53" s="10"/>
      <c r="C53" s="10"/>
      <c r="D53" s="3"/>
      <c r="E53" s="3"/>
      <c r="F53" s="8"/>
      <c r="G53" s="3"/>
      <c r="H53" s="3"/>
      <c r="I53" s="3"/>
      <c r="J53" s="8"/>
      <c r="K53" s="3"/>
      <c r="L53" s="3"/>
      <c r="M53" s="3"/>
      <c r="N53" s="8"/>
      <c r="O53" s="10"/>
      <c r="P53" s="3"/>
      <c r="Q53" s="3"/>
      <c r="R53" s="8"/>
      <c r="S53" s="3"/>
      <c r="T53" s="3"/>
      <c r="U53" s="3"/>
      <c r="V53" s="8"/>
      <c r="W53" s="3"/>
      <c r="X53" s="3"/>
      <c r="Y53" s="3"/>
      <c r="Z53" s="8"/>
    </row>
    <row r="54" spans="1:26" s="23" customFormat="1" x14ac:dyDescent="0.25">
      <c r="A54" s="10"/>
      <c r="B54" s="29" t="s">
        <v>6</v>
      </c>
      <c r="C54" s="29"/>
      <c r="D54" s="20">
        <f>D12-D35</f>
        <v>-3790.1599999999958</v>
      </c>
      <c r="E54" s="14"/>
      <c r="F54" s="22">
        <f>IF(D$12=0,0,D54/D$12)</f>
        <v>0</v>
      </c>
      <c r="G54" s="14"/>
      <c r="H54" s="20">
        <f>H12-H35</f>
        <v>40626.401789999996</v>
      </c>
      <c r="I54" s="14"/>
      <c r="J54" s="22">
        <f>IF(H$12=0,0,H54/H$12)</f>
        <v>0.57440622759117588</v>
      </c>
      <c r="K54" s="16"/>
      <c r="L54" s="20">
        <f>+D54-H54</f>
        <v>-44416.561789999992</v>
      </c>
      <c r="M54" s="16"/>
      <c r="N54" s="22">
        <f>IF(H54=0,0,L54/H54)</f>
        <v>-1.093293027021973</v>
      </c>
      <c r="O54" s="28"/>
      <c r="P54" s="20">
        <f>P12-P35</f>
        <v>242733.12000000002</v>
      </c>
      <c r="Q54" s="14"/>
      <c r="R54" s="22">
        <f>IF(P$12=0,0,P54/P$12)</f>
        <v>0.56470460800993638</v>
      </c>
      <c r="S54" s="14"/>
      <c r="T54" s="20">
        <f>T12-T35</f>
        <v>320172.53940000001</v>
      </c>
      <c r="U54" s="14"/>
      <c r="V54" s="22">
        <f>IF(T$12=0,0,T54/T$12)</f>
        <v>0.5735774013795355</v>
      </c>
      <c r="W54" s="16"/>
      <c r="X54" s="20">
        <f>+P54-T54</f>
        <v>-77439.419399999984</v>
      </c>
      <c r="Y54" s="16"/>
      <c r="Z54" s="22">
        <f>IF(T54=0,0,X54/T54)</f>
        <v>-0.24186777399810941</v>
      </c>
    </row>
    <row r="55" spans="1:26" x14ac:dyDescent="0.25">
      <c r="A55" s="9"/>
      <c r="B55" s="10"/>
      <c r="C55" s="9"/>
      <c r="D55" s="1"/>
      <c r="E55" s="1"/>
      <c r="F55" s="5"/>
      <c r="G55" s="1"/>
      <c r="H55" s="1"/>
      <c r="I55" s="1"/>
      <c r="J55" s="5"/>
      <c r="K55" s="1"/>
      <c r="L55" s="1"/>
      <c r="M55" s="1"/>
      <c r="N55" s="5"/>
      <c r="O55" s="36"/>
      <c r="P55" s="1"/>
      <c r="Q55" s="1"/>
      <c r="R55" s="5"/>
      <c r="S55" s="1"/>
      <c r="T55" s="1"/>
      <c r="U55" s="1"/>
      <c r="V55" s="5"/>
      <c r="W55" s="1"/>
      <c r="X55" s="1"/>
      <c r="Y55" s="1"/>
      <c r="Z55" s="5"/>
    </row>
    <row r="56" spans="1:26" s="23" customFormat="1" x14ac:dyDescent="0.25">
      <c r="A56" s="10"/>
      <c r="B56" s="28" t="s">
        <v>9</v>
      </c>
      <c r="C56" s="10"/>
      <c r="D56" s="21">
        <f>SUM(OSRRefD22x_0)</f>
        <v>15501.939999999999</v>
      </c>
      <c r="E56" s="21"/>
      <c r="F56" s="30">
        <f t="shared" ref="F56:F66" si="13">IF(D$12=0,0,D56/D$12)</f>
        <v>0</v>
      </c>
      <c r="G56" s="21"/>
      <c r="H56" s="21">
        <f>SUM(OSRRefH22x_0)</f>
        <v>25158.11852533077</v>
      </c>
      <c r="I56" s="21"/>
      <c r="J56" s="30">
        <f t="shared" ref="J56:J66" si="14">IF(H$12=0,0,H56/H$12)</f>
        <v>0.35570415588672599</v>
      </c>
      <c r="K56" s="4"/>
      <c r="L56" s="21">
        <f t="shared" ref="L56:L66" si="15">+D56-H56</f>
        <v>-9656.1785253307717</v>
      </c>
      <c r="M56" s="4"/>
      <c r="N56" s="30">
        <f t="shared" ref="N56:N66" si="16">IF(H56=0,0,L56/H56)</f>
        <v>-0.38381958156403173</v>
      </c>
      <c r="O56" s="10"/>
      <c r="P56" s="21">
        <f>SUM(OSRRefP22x_0)</f>
        <v>316224.04000000015</v>
      </c>
      <c r="Q56" s="21"/>
      <c r="R56" s="30">
        <f t="shared" ref="R56:R66" si="17">IF(P$12=0,0,P56/P$12)</f>
        <v>0.73567699600086922</v>
      </c>
      <c r="S56" s="21"/>
      <c r="T56" s="21">
        <f>SUM(OSRRefT22x_0)</f>
        <v>293464.61753496923</v>
      </c>
      <c r="U56" s="21"/>
      <c r="V56" s="30">
        <f t="shared" ref="V56:V66" si="18">IF(T$12=0,0,T56/T$12)</f>
        <v>0.52573113558703566</v>
      </c>
      <c r="W56" s="4"/>
      <c r="X56" s="21">
        <f t="shared" ref="X56:X66" si="19">+P56-T56</f>
        <v>22759.422465030919</v>
      </c>
      <c r="Y56" s="4"/>
      <c r="Z56" s="30">
        <f t="shared" ref="Z56:Z66" si="20">IF(T56=0,0,X56/T56)</f>
        <v>7.7554230067680668E-2</v>
      </c>
    </row>
    <row r="57" spans="1:26" s="27" customFormat="1" outlineLevel="1" collapsed="1" x14ac:dyDescent="0.25">
      <c r="A57" s="25"/>
      <c r="B57" s="12" t="str">
        <f>CONCATENATE("     ","*Benefits                                         ")</f>
        <v xml:space="preserve">     *Benefits                                         </v>
      </c>
      <c r="C57" s="12"/>
      <c r="D57" s="1">
        <f>SUM(OSRRefD22_0x_0)</f>
        <v>3441.9700000000003</v>
      </c>
      <c r="E57" s="1"/>
      <c r="F57" s="5">
        <f t="shared" si="13"/>
        <v>0</v>
      </c>
      <c r="G57" s="1"/>
      <c r="H57" s="1">
        <f>SUM(OSRRefH22_0x_0)</f>
        <v>1803.2727561000002</v>
      </c>
      <c r="I57" s="1"/>
      <c r="J57" s="5">
        <f t="shared" si="14"/>
        <v>2.5496008888591846E-2</v>
      </c>
      <c r="K57" s="1"/>
      <c r="L57" s="1">
        <f t="shared" si="15"/>
        <v>1638.6972439000001</v>
      </c>
      <c r="M57" s="1"/>
      <c r="N57" s="5">
        <f t="shared" si="16"/>
        <v>0.90873509753680681</v>
      </c>
      <c r="O57" s="12"/>
      <c r="P57" s="1">
        <f>SUM(OSRRefP22_0x_0)</f>
        <v>26705.929999999997</v>
      </c>
      <c r="Q57" s="1"/>
      <c r="R57" s="5">
        <f t="shared" si="17"/>
        <v>6.2129806316463108E-2</v>
      </c>
      <c r="S57" s="1"/>
      <c r="T57" s="1">
        <f>SUM(OSRRefT22_0x_0)</f>
        <v>21675.708304199998</v>
      </c>
      <c r="U57" s="1"/>
      <c r="V57" s="5">
        <f t="shared" si="18"/>
        <v>3.8831239135881532E-2</v>
      </c>
      <c r="W57" s="1"/>
      <c r="X57" s="1">
        <f t="shared" si="19"/>
        <v>5030.221695799999</v>
      </c>
      <c r="Y57" s="1"/>
      <c r="Z57" s="5">
        <f t="shared" si="20"/>
        <v>0.23206723513737806</v>
      </c>
    </row>
    <row r="58" spans="1:26" s="24" customFormat="1" hidden="1" outlineLevel="2" x14ac:dyDescent="0.25">
      <c r="A58" s="26"/>
      <c r="B58" s="11" t="str">
        <f>CONCATENATE("          ", "6111", " - ", "F.I.C.A.")</f>
        <v xml:space="preserve">          6111 - F.I.C.A.</v>
      </c>
      <c r="C58" s="11"/>
      <c r="D58" s="7">
        <v>356.88</v>
      </c>
      <c r="E58" s="2"/>
      <c r="F58" s="6">
        <f t="shared" si="13"/>
        <v>0</v>
      </c>
      <c r="G58" s="2"/>
      <c r="H58" s="7">
        <v>292.98280133076901</v>
      </c>
      <c r="I58" s="2"/>
      <c r="J58" s="6">
        <f t="shared" si="14"/>
        <v>4.1424083415363177E-3</v>
      </c>
      <c r="K58" s="2"/>
      <c r="L58" s="7">
        <f t="shared" si="15"/>
        <v>63.897198669230988</v>
      </c>
      <c r="M58" s="2"/>
      <c r="N58" s="6">
        <f t="shared" si="16"/>
        <v>0.21809197802396912</v>
      </c>
      <c r="O58" s="11"/>
      <c r="P58" s="7">
        <v>4997.03</v>
      </c>
      <c r="Q58" s="2"/>
      <c r="R58" s="6">
        <f t="shared" si="17"/>
        <v>1.1625302172871556E-2</v>
      </c>
      <c r="S58" s="2"/>
      <c r="T58" s="7">
        <v>4511.86983096923</v>
      </c>
      <c r="U58" s="2"/>
      <c r="V58" s="6">
        <f t="shared" si="18"/>
        <v>8.0828498841898338E-3</v>
      </c>
      <c r="W58" s="2"/>
      <c r="X58" s="7">
        <f t="shared" si="19"/>
        <v>485.16016903076979</v>
      </c>
      <c r="Y58" s="2"/>
      <c r="Z58" s="6">
        <f t="shared" si="20"/>
        <v>0.10752973538834314</v>
      </c>
    </row>
    <row r="59" spans="1:26" s="24" customFormat="1" hidden="1" outlineLevel="2" x14ac:dyDescent="0.25">
      <c r="A59" s="26"/>
      <c r="B59" s="11" t="str">
        <f>CONCATENATE("          ", "6112", " - ", "COMPENSATION INSURANCE")</f>
        <v xml:space="preserve">          6112 - COMPENSATION INSURANCE</v>
      </c>
      <c r="C59" s="11"/>
      <c r="D59" s="7">
        <v>196.21</v>
      </c>
      <c r="E59" s="2"/>
      <c r="F59" s="6">
        <f t="shared" si="13"/>
        <v>0</v>
      </c>
      <c r="G59" s="2"/>
      <c r="H59" s="7">
        <v>161.74052538461498</v>
      </c>
      <c r="I59" s="2"/>
      <c r="J59" s="6">
        <f t="shared" si="14"/>
        <v>2.2868076162644458E-3</v>
      </c>
      <c r="K59" s="2"/>
      <c r="L59" s="7">
        <f t="shared" si="15"/>
        <v>34.469474615385025</v>
      </c>
      <c r="M59" s="2"/>
      <c r="N59" s="6">
        <f t="shared" si="16"/>
        <v>0.21311588133782466</v>
      </c>
      <c r="O59" s="11"/>
      <c r="P59" s="7">
        <v>1979.7</v>
      </c>
      <c r="Q59" s="2"/>
      <c r="R59" s="6">
        <f t="shared" si="17"/>
        <v>4.6056579031212184E-3</v>
      </c>
      <c r="S59" s="2"/>
      <c r="T59" s="7">
        <v>1958.2382446153811</v>
      </c>
      <c r="U59" s="2"/>
      <c r="V59" s="6">
        <f t="shared" si="18"/>
        <v>3.5081122376496771E-3</v>
      </c>
      <c r="W59" s="2"/>
      <c r="X59" s="7">
        <f t="shared" si="19"/>
        <v>21.461755384618982</v>
      </c>
      <c r="Y59" s="2"/>
      <c r="Z59" s="6">
        <f t="shared" si="20"/>
        <v>1.0959726398783669E-2</v>
      </c>
    </row>
    <row r="60" spans="1:26" s="24" customFormat="1" hidden="1" outlineLevel="2" x14ac:dyDescent="0.25">
      <c r="A60" s="26"/>
      <c r="B60" s="11" t="str">
        <f>CONCATENATE("          ", "6113", " - ", "GROUP INSURANCE")</f>
        <v xml:space="preserve">          6113 - GROUP INSURANCE</v>
      </c>
      <c r="C60" s="11"/>
      <c r="D60" s="7">
        <v>2012.47</v>
      </c>
      <c r="E60" s="2"/>
      <c r="F60" s="6">
        <f t="shared" si="13"/>
        <v>0</v>
      </c>
      <c r="G60" s="2"/>
      <c r="H60" s="7">
        <v>988.5</v>
      </c>
      <c r="I60" s="2"/>
      <c r="J60" s="6">
        <f t="shared" si="14"/>
        <v>1.397614681479468E-2</v>
      </c>
      <c r="K60" s="2"/>
      <c r="L60" s="7">
        <f t="shared" si="15"/>
        <v>1023.97</v>
      </c>
      <c r="M60" s="2"/>
      <c r="N60" s="6">
        <f t="shared" si="16"/>
        <v>1.0358826504805261</v>
      </c>
      <c r="O60" s="11"/>
      <c r="P60" s="7">
        <v>12334.05</v>
      </c>
      <c r="Q60" s="2"/>
      <c r="R60" s="6">
        <f t="shared" si="17"/>
        <v>2.8694456160020334E-2</v>
      </c>
      <c r="S60" s="2"/>
      <c r="T60" s="7">
        <v>10873.5</v>
      </c>
      <c r="U60" s="2"/>
      <c r="V60" s="6">
        <f t="shared" si="18"/>
        <v>1.9479477801525594E-2</v>
      </c>
      <c r="W60" s="2"/>
      <c r="X60" s="7">
        <f t="shared" si="19"/>
        <v>1460.5499999999993</v>
      </c>
      <c r="Y60" s="2"/>
      <c r="Z60" s="6">
        <f t="shared" si="20"/>
        <v>0.13432197544488889</v>
      </c>
    </row>
    <row r="61" spans="1:26" s="24" customFormat="1" hidden="1" outlineLevel="2" x14ac:dyDescent="0.25">
      <c r="A61" s="26"/>
      <c r="B61" s="11" t="str">
        <f>CONCATENATE("          ", "6114", " - ", "STATE UNEMPLOYMENT INSURANCE")</f>
        <v xml:space="preserve">          6114 - STATE UNEMPLOYMENT INSURANCE</v>
      </c>
      <c r="C61" s="11"/>
      <c r="D61" s="7">
        <v>26.85</v>
      </c>
      <c r="E61" s="2"/>
      <c r="F61" s="6">
        <f t="shared" si="13"/>
        <v>0</v>
      </c>
      <c r="G61" s="2"/>
      <c r="H61" s="7">
        <v>22.132914</v>
      </c>
      <c r="I61" s="2"/>
      <c r="J61" s="6">
        <f t="shared" si="14"/>
        <v>3.1293156854145124E-4</v>
      </c>
      <c r="K61" s="2"/>
      <c r="L61" s="7">
        <f t="shared" si="15"/>
        <v>4.7170860000000019</v>
      </c>
      <c r="M61" s="2"/>
      <c r="N61" s="6">
        <f t="shared" si="16"/>
        <v>0.21312539324916738</v>
      </c>
      <c r="O61" s="11"/>
      <c r="P61" s="7">
        <v>303.62</v>
      </c>
      <c r="Q61" s="2"/>
      <c r="R61" s="6">
        <f t="shared" si="17"/>
        <v>7.0635442367311424E-4</v>
      </c>
      <c r="S61" s="2"/>
      <c r="T61" s="7">
        <v>267.96944400000001</v>
      </c>
      <c r="U61" s="2"/>
      <c r="V61" s="6">
        <f t="shared" si="18"/>
        <v>4.8005746409943037E-4</v>
      </c>
      <c r="W61" s="2"/>
      <c r="X61" s="7">
        <f t="shared" si="19"/>
        <v>35.650555999999995</v>
      </c>
      <c r="Y61" s="2"/>
      <c r="Z61" s="6">
        <f t="shared" si="20"/>
        <v>0.13303963119018897</v>
      </c>
    </row>
    <row r="62" spans="1:26" s="24" customFormat="1" hidden="1" outlineLevel="2" x14ac:dyDescent="0.25">
      <c r="A62" s="26"/>
      <c r="B62" s="11" t="str">
        <f>CONCATENATE("          ", "6115", " - ", "P.E.R.S.")</f>
        <v xml:space="preserve">          6115 - P.E.R.S.</v>
      </c>
      <c r="C62" s="11"/>
      <c r="D62" s="7">
        <v>327.22000000000003</v>
      </c>
      <c r="E62" s="2"/>
      <c r="F62" s="6">
        <f t="shared" si="13"/>
        <v>0</v>
      </c>
      <c r="G62" s="2"/>
      <c r="H62" s="7">
        <v>172.53915384615402</v>
      </c>
      <c r="I62" s="2"/>
      <c r="J62" s="6">
        <f t="shared" si="14"/>
        <v>2.4394866418354019E-3</v>
      </c>
      <c r="K62" s="2"/>
      <c r="L62" s="7">
        <f t="shared" si="15"/>
        <v>154.68084615384601</v>
      </c>
      <c r="M62" s="2"/>
      <c r="N62" s="6">
        <f t="shared" si="16"/>
        <v>0.89649707156770031</v>
      </c>
      <c r="O62" s="11"/>
      <c r="P62" s="7">
        <v>2361.35</v>
      </c>
      <c r="Q62" s="2"/>
      <c r="R62" s="6">
        <f t="shared" si="17"/>
        <v>5.4935446226879259E-3</v>
      </c>
      <c r="S62" s="2"/>
      <c r="T62" s="7">
        <v>2070.469846153846</v>
      </c>
      <c r="U62" s="2"/>
      <c r="V62" s="6">
        <f t="shared" si="18"/>
        <v>3.7091710495132163E-3</v>
      </c>
      <c r="W62" s="2"/>
      <c r="X62" s="7">
        <f t="shared" si="19"/>
        <v>290.88015384615392</v>
      </c>
      <c r="Y62" s="2"/>
      <c r="Z62" s="6">
        <f t="shared" si="20"/>
        <v>0.14048992521504228</v>
      </c>
    </row>
    <row r="63" spans="1:26" s="24" customFormat="1" hidden="1" outlineLevel="2" x14ac:dyDescent="0.25">
      <c r="A63" s="26"/>
      <c r="B63" s="11" t="str">
        <f>CONCATENATE("          ", "6116", " - ", "EDUCATIONAL BENEFITS")</f>
        <v xml:space="preserve">          6116 - EDUCATIONAL BENEFITS</v>
      </c>
      <c r="C63" s="11"/>
      <c r="D63" s="7"/>
      <c r="E63" s="2"/>
      <c r="F63" s="6">
        <f t="shared" si="13"/>
        <v>0</v>
      </c>
      <c r="G63" s="2"/>
      <c r="H63" s="7">
        <v>0</v>
      </c>
      <c r="I63" s="2"/>
      <c r="J63" s="6">
        <f t="shared" si="14"/>
        <v>0</v>
      </c>
      <c r="K63" s="2"/>
      <c r="L63" s="7">
        <f t="shared" si="15"/>
        <v>0</v>
      </c>
      <c r="M63" s="2"/>
      <c r="N63" s="6">
        <f t="shared" si="16"/>
        <v>0</v>
      </c>
      <c r="O63" s="11"/>
      <c r="P63" s="7"/>
      <c r="Q63" s="2"/>
      <c r="R63" s="6">
        <f t="shared" si="17"/>
        <v>0</v>
      </c>
      <c r="S63" s="2"/>
      <c r="T63" s="7">
        <v>0</v>
      </c>
      <c r="U63" s="2"/>
      <c r="V63" s="6">
        <f t="shared" si="18"/>
        <v>0</v>
      </c>
      <c r="W63" s="2"/>
      <c r="X63" s="7">
        <f t="shared" si="19"/>
        <v>0</v>
      </c>
      <c r="Y63" s="2"/>
      <c r="Z63" s="6">
        <f t="shared" si="20"/>
        <v>0</v>
      </c>
    </row>
    <row r="64" spans="1:26" s="24" customFormat="1" hidden="1" outlineLevel="2" x14ac:dyDescent="0.25">
      <c r="A64" s="26"/>
      <c r="B64" s="11" t="str">
        <f>CONCATENATE("          ", "6118", " - ", "VACATION")</f>
        <v xml:space="preserve">          6118 - VACATION</v>
      </c>
      <c r="C64" s="11"/>
      <c r="D64" s="7">
        <v>306.26</v>
      </c>
      <c r="E64" s="2"/>
      <c r="F64" s="6">
        <f t="shared" si="13"/>
        <v>0</v>
      </c>
      <c r="G64" s="2"/>
      <c r="H64" s="7">
        <v>60.188076923076899</v>
      </c>
      <c r="I64" s="2"/>
      <c r="J64" s="6">
        <f t="shared" si="14"/>
        <v>8.5098371226816224E-4</v>
      </c>
      <c r="K64" s="2"/>
      <c r="L64" s="7">
        <f t="shared" si="15"/>
        <v>246.0719230769231</v>
      </c>
      <c r="M64" s="2"/>
      <c r="N64" s="6">
        <f t="shared" si="16"/>
        <v>4.0883832090434495</v>
      </c>
      <c r="O64" s="11"/>
      <c r="P64" s="7">
        <v>2868.7</v>
      </c>
      <c r="Q64" s="2"/>
      <c r="R64" s="6">
        <f t="shared" si="17"/>
        <v>6.6738651445591947E-3</v>
      </c>
      <c r="S64" s="2"/>
      <c r="T64" s="7">
        <v>722.25692307692304</v>
      </c>
      <c r="U64" s="2"/>
      <c r="V64" s="6">
        <f t="shared" si="18"/>
        <v>1.2938968777371684E-3</v>
      </c>
      <c r="W64" s="2"/>
      <c r="X64" s="7">
        <f t="shared" si="19"/>
        <v>2146.4430769230767</v>
      </c>
      <c r="Y64" s="2"/>
      <c r="Z64" s="6">
        <f t="shared" si="20"/>
        <v>2.9718553167741288</v>
      </c>
    </row>
    <row r="65" spans="1:26" s="24" customFormat="1" hidden="1" outlineLevel="2" x14ac:dyDescent="0.25">
      <c r="A65" s="26"/>
      <c r="B65" s="11" t="str">
        <f>CONCATENATE("          ", "6119", " - ", "SICK LEAVE")</f>
        <v xml:space="preserve">          6119 - SICK LEAVE</v>
      </c>
      <c r="C65" s="11"/>
      <c r="D65" s="7">
        <v>216.08</v>
      </c>
      <c r="E65" s="2"/>
      <c r="F65" s="6">
        <f t="shared" si="13"/>
        <v>0</v>
      </c>
      <c r="G65" s="2"/>
      <c r="H65" s="7">
        <v>105.18928461538499</v>
      </c>
      <c r="I65" s="2"/>
      <c r="J65" s="6">
        <f t="shared" si="14"/>
        <v>1.4872441933513848E-3</v>
      </c>
      <c r="K65" s="2"/>
      <c r="L65" s="7">
        <f t="shared" si="15"/>
        <v>110.89071538461502</v>
      </c>
      <c r="M65" s="2"/>
      <c r="N65" s="6">
        <f t="shared" si="16"/>
        <v>1.0542016308037154</v>
      </c>
      <c r="O65" s="11"/>
      <c r="P65" s="7">
        <v>1371.98</v>
      </c>
      <c r="Q65" s="2"/>
      <c r="R65" s="6">
        <f t="shared" si="17"/>
        <v>3.1918323634511536E-3</v>
      </c>
      <c r="S65" s="2"/>
      <c r="T65" s="7">
        <v>1271.404015384619</v>
      </c>
      <c r="U65" s="2"/>
      <c r="V65" s="6">
        <f t="shared" si="18"/>
        <v>2.2776738211666152E-3</v>
      </c>
      <c r="W65" s="2"/>
      <c r="X65" s="7">
        <f t="shared" si="19"/>
        <v>100.575984615381</v>
      </c>
      <c r="Y65" s="2"/>
      <c r="Z65" s="6">
        <f t="shared" si="20"/>
        <v>7.9106234838306089E-2</v>
      </c>
    </row>
    <row r="66" spans="1:26" s="24" customFormat="1" hidden="1" outlineLevel="2" x14ac:dyDescent="0.25">
      <c r="A66" s="26"/>
      <c r="B66" s="11" t="str">
        <f>CONCATENATE("          ", "6156", " - ", "EMPLOYEE MEALS")</f>
        <v xml:space="preserve">          6156 - EMPLOYEE MEALS</v>
      </c>
      <c r="C66" s="11"/>
      <c r="D66" s="7"/>
      <c r="E66" s="2"/>
      <c r="F66" s="6">
        <f t="shared" si="13"/>
        <v>0</v>
      </c>
      <c r="G66" s="2"/>
      <c r="H66" s="7"/>
      <c r="I66" s="2"/>
      <c r="J66" s="6">
        <f t="shared" si="14"/>
        <v>0</v>
      </c>
      <c r="K66" s="2"/>
      <c r="L66" s="7">
        <f t="shared" si="15"/>
        <v>0</v>
      </c>
      <c r="M66" s="2"/>
      <c r="N66" s="6">
        <f t="shared" si="16"/>
        <v>0</v>
      </c>
      <c r="O66" s="11"/>
      <c r="P66" s="7">
        <v>489.5</v>
      </c>
      <c r="Q66" s="2"/>
      <c r="R66" s="6">
        <f t="shared" si="17"/>
        <v>1.1387935260786161E-3</v>
      </c>
      <c r="S66" s="2"/>
      <c r="T66" s="7"/>
      <c r="U66" s="2"/>
      <c r="V66" s="6">
        <f t="shared" si="18"/>
        <v>0</v>
      </c>
      <c r="W66" s="2"/>
      <c r="X66" s="7">
        <f t="shared" si="19"/>
        <v>489.5</v>
      </c>
      <c r="Y66" s="2"/>
      <c r="Z66" s="6">
        <f t="shared" si="20"/>
        <v>0</v>
      </c>
    </row>
    <row r="67" spans="1:26" s="27" customFormat="1" outlineLevel="1" collapsed="1" x14ac:dyDescent="0.25">
      <c r="A67" s="25"/>
      <c r="B67" s="12" t="str">
        <f>CONCATENATE("     ","*Payroll                                          ")</f>
        <v xml:space="preserve">     *Payroll                                          </v>
      </c>
      <c r="C67" s="12"/>
      <c r="D67" s="1">
        <f>SUM(OSRRefD22_1x_0)</f>
        <v>3747.7</v>
      </c>
      <c r="E67" s="1"/>
      <c r="F67" s="5">
        <f t="shared" ref="F67:F77" si="21">IF(D$12=0,0,D67/D$12)</f>
        <v>0</v>
      </c>
      <c r="G67" s="1"/>
      <c r="H67" s="1">
        <f>SUM(OSRRefH22_1x_0)</f>
        <v>8412.3457692307693</v>
      </c>
      <c r="I67" s="1"/>
      <c r="J67" s="5">
        <f t="shared" ref="J67:J77" si="22">IF(H$12=0,0,H67/H$12)</f>
        <v>0.11893998940575226</v>
      </c>
      <c r="K67" s="1"/>
      <c r="L67" s="1">
        <f t="shared" ref="L67:L77" si="23">+D67-H67</f>
        <v>-4664.6457692307695</v>
      </c>
      <c r="M67" s="1"/>
      <c r="N67" s="5">
        <f t="shared" ref="N67:N77" si="24">IF(H67=0,0,L67/H67)</f>
        <v>-0.5545000047777765</v>
      </c>
      <c r="O67" s="12"/>
      <c r="P67" s="1">
        <f>SUM(OSRRefP22_1x_0)</f>
        <v>111390.59</v>
      </c>
      <c r="Q67" s="1"/>
      <c r="R67" s="5">
        <f t="shared" ref="R67:R77" si="25">IF(P$12=0,0,P67/P$12)</f>
        <v>0.25914378500117963</v>
      </c>
      <c r="S67" s="1"/>
      <c r="T67" s="1">
        <f>SUM(OSRRefT22_1x_0)</f>
        <v>101861.40923076923</v>
      </c>
      <c r="U67" s="1"/>
      <c r="V67" s="5">
        <f t="shared" ref="V67:V77" si="26">IF(T$12=0,0,T67/T$12)</f>
        <v>0.18248099139585999</v>
      </c>
      <c r="W67" s="1"/>
      <c r="X67" s="1">
        <f t="shared" ref="X67:X77" si="27">+P67-T67</f>
        <v>9529.180769230763</v>
      </c>
      <c r="Y67" s="1"/>
      <c r="Z67" s="5">
        <f t="shared" ref="Z67:Z77" si="28">IF(T67=0,0,X67/T67)</f>
        <v>9.3550450962662388E-2</v>
      </c>
    </row>
    <row r="68" spans="1:26" s="24" customFormat="1" hidden="1" outlineLevel="2" x14ac:dyDescent="0.25">
      <c r="A68" s="26"/>
      <c r="B68" s="11" t="str">
        <f>CONCATENATE("          ", "6001", " - ", "ADMINISTRATIVE SALARIES")</f>
        <v xml:space="preserve">          6001 - ADMINISTRATIVE SALARIES</v>
      </c>
      <c r="C68" s="11"/>
      <c r="D68" s="7"/>
      <c r="E68" s="2"/>
      <c r="F68" s="6">
        <f t="shared" si="21"/>
        <v>0</v>
      </c>
      <c r="G68" s="2"/>
      <c r="H68" s="7">
        <v>0</v>
      </c>
      <c r="I68" s="2"/>
      <c r="J68" s="6">
        <f t="shared" si="22"/>
        <v>0</v>
      </c>
      <c r="K68" s="2"/>
      <c r="L68" s="7">
        <f t="shared" si="23"/>
        <v>0</v>
      </c>
      <c r="M68" s="2"/>
      <c r="N68" s="6">
        <f t="shared" si="24"/>
        <v>0</v>
      </c>
      <c r="O68" s="11"/>
      <c r="P68" s="7"/>
      <c r="Q68" s="2"/>
      <c r="R68" s="6">
        <f t="shared" si="25"/>
        <v>0</v>
      </c>
      <c r="S68" s="2"/>
      <c r="T68" s="7">
        <v>0</v>
      </c>
      <c r="U68" s="2"/>
      <c r="V68" s="6">
        <f t="shared" si="26"/>
        <v>0</v>
      </c>
      <c r="W68" s="2"/>
      <c r="X68" s="7">
        <f t="shared" si="27"/>
        <v>0</v>
      </c>
      <c r="Y68" s="2"/>
      <c r="Z68" s="6">
        <f t="shared" si="28"/>
        <v>0</v>
      </c>
    </row>
    <row r="69" spans="1:26" s="24" customFormat="1" hidden="1" outlineLevel="2" x14ac:dyDescent="0.25">
      <c r="A69" s="26"/>
      <c r="B69" s="11" t="str">
        <f>CONCATENATE("          ", "6002", " - ", "STAFF SALARIES")</f>
        <v xml:space="preserve">          6002 - STAFF SALARIES</v>
      </c>
      <c r="C69" s="11"/>
      <c r="D69" s="7">
        <v>3747.7</v>
      </c>
      <c r="E69" s="2"/>
      <c r="F69" s="6">
        <f t="shared" si="21"/>
        <v>0</v>
      </c>
      <c r="G69" s="2"/>
      <c r="H69" s="7">
        <v>1905.9557692307701</v>
      </c>
      <c r="I69" s="2"/>
      <c r="J69" s="6">
        <f t="shared" si="22"/>
        <v>2.6947817555158494E-2</v>
      </c>
      <c r="K69" s="2"/>
      <c r="L69" s="7">
        <f t="shared" si="23"/>
        <v>1841.7442307692297</v>
      </c>
      <c r="M69" s="2"/>
      <c r="N69" s="6">
        <f t="shared" si="24"/>
        <v>0.96631005845038276</v>
      </c>
      <c r="O69" s="11"/>
      <c r="P69" s="7">
        <v>26496.68</v>
      </c>
      <c r="Q69" s="2"/>
      <c r="R69" s="6">
        <f t="shared" si="25"/>
        <v>6.1642998256540849E-2</v>
      </c>
      <c r="S69" s="2"/>
      <c r="T69" s="7">
        <v>22871.469230769228</v>
      </c>
      <c r="U69" s="2"/>
      <c r="V69" s="6">
        <f t="shared" si="26"/>
        <v>4.0973401128343669E-2</v>
      </c>
      <c r="W69" s="2"/>
      <c r="X69" s="7">
        <f t="shared" si="27"/>
        <v>3625.2107692307727</v>
      </c>
      <c r="Y69" s="2"/>
      <c r="Z69" s="6">
        <f t="shared" si="28"/>
        <v>0.15850362443501176</v>
      </c>
    </row>
    <row r="70" spans="1:26" s="24" customFormat="1" hidden="1" outlineLevel="2" x14ac:dyDescent="0.25">
      <c r="A70" s="26"/>
      <c r="B70" s="11" t="str">
        <f>CONCATENATE("          ", "6003", " - ", "STAFF HOURLY-9 MONTH")</f>
        <v xml:space="preserve">          6003 - STAFF HOURLY-9 MONTH</v>
      </c>
      <c r="C70" s="11"/>
      <c r="D70" s="7"/>
      <c r="E70" s="2"/>
      <c r="F70" s="6">
        <f t="shared" si="21"/>
        <v>0</v>
      </c>
      <c r="G70" s="2"/>
      <c r="H70" s="7">
        <v>0</v>
      </c>
      <c r="I70" s="2"/>
      <c r="J70" s="6">
        <f t="shared" si="22"/>
        <v>0</v>
      </c>
      <c r="K70" s="2"/>
      <c r="L70" s="7">
        <f t="shared" si="23"/>
        <v>0</v>
      </c>
      <c r="M70" s="2"/>
      <c r="N70" s="6">
        <f t="shared" si="24"/>
        <v>0</v>
      </c>
      <c r="O70" s="11"/>
      <c r="P70" s="7"/>
      <c r="Q70" s="2"/>
      <c r="R70" s="6">
        <f t="shared" si="25"/>
        <v>0</v>
      </c>
      <c r="S70" s="2"/>
      <c r="T70" s="7">
        <v>0</v>
      </c>
      <c r="U70" s="2"/>
      <c r="V70" s="6">
        <f t="shared" si="26"/>
        <v>0</v>
      </c>
      <c r="W70" s="2"/>
      <c r="X70" s="7">
        <f t="shared" si="27"/>
        <v>0</v>
      </c>
      <c r="Y70" s="2"/>
      <c r="Z70" s="6">
        <f t="shared" si="28"/>
        <v>0</v>
      </c>
    </row>
    <row r="71" spans="1:26" s="24" customFormat="1" hidden="1" outlineLevel="2" x14ac:dyDescent="0.25">
      <c r="A71" s="26"/>
      <c r="B71" s="11" t="str">
        <f>CONCATENATE("          ", "6004", " - ", "STAFF HOURLY")</f>
        <v xml:space="preserve">          6004 - STAFF HOURLY</v>
      </c>
      <c r="C71" s="11"/>
      <c r="D71" s="7"/>
      <c r="E71" s="2"/>
      <c r="F71" s="6">
        <f t="shared" si="21"/>
        <v>0</v>
      </c>
      <c r="G71" s="2"/>
      <c r="H71" s="7">
        <v>1822.07</v>
      </c>
      <c r="I71" s="2"/>
      <c r="J71" s="6">
        <f t="shared" si="22"/>
        <v>2.5761778277018654E-2</v>
      </c>
      <c r="K71" s="2"/>
      <c r="L71" s="7">
        <f t="shared" si="23"/>
        <v>-1822.07</v>
      </c>
      <c r="M71" s="2"/>
      <c r="N71" s="6">
        <f t="shared" si="24"/>
        <v>-1</v>
      </c>
      <c r="O71" s="11"/>
      <c r="P71" s="7"/>
      <c r="Q71" s="2"/>
      <c r="R71" s="6">
        <f t="shared" si="25"/>
        <v>0</v>
      </c>
      <c r="S71" s="2"/>
      <c r="T71" s="7">
        <v>21864.84</v>
      </c>
      <c r="U71" s="2"/>
      <c r="V71" s="6">
        <f t="shared" si="26"/>
        <v>3.9170061655760237E-2</v>
      </c>
      <c r="W71" s="2"/>
      <c r="X71" s="7">
        <f t="shared" si="27"/>
        <v>-21864.84</v>
      </c>
      <c r="Y71" s="2"/>
      <c r="Z71" s="6">
        <f t="shared" si="28"/>
        <v>-1</v>
      </c>
    </row>
    <row r="72" spans="1:26" s="24" customFormat="1" hidden="1" outlineLevel="2" x14ac:dyDescent="0.25">
      <c r="A72" s="26"/>
      <c r="B72" s="11" t="str">
        <f>CONCATENATE("          ", "6005", " - ", "TEMPORARY WAGES-HOURLY")</f>
        <v xml:space="preserve">          6005 - TEMPORARY WAGES-HOURLY</v>
      </c>
      <c r="C72" s="11"/>
      <c r="D72" s="7"/>
      <c r="E72" s="2"/>
      <c r="F72" s="6">
        <f t="shared" si="21"/>
        <v>0</v>
      </c>
      <c r="G72" s="2"/>
      <c r="H72" s="7">
        <v>0</v>
      </c>
      <c r="I72" s="2"/>
      <c r="J72" s="6">
        <f t="shared" si="22"/>
        <v>0</v>
      </c>
      <c r="K72" s="2"/>
      <c r="L72" s="7">
        <f t="shared" si="23"/>
        <v>0</v>
      </c>
      <c r="M72" s="2"/>
      <c r="N72" s="6">
        <f t="shared" si="24"/>
        <v>0</v>
      </c>
      <c r="O72" s="11"/>
      <c r="P72" s="7">
        <v>12681.83</v>
      </c>
      <c r="Q72" s="2"/>
      <c r="R72" s="6">
        <f t="shared" si="25"/>
        <v>2.9503546277486362E-2</v>
      </c>
      <c r="S72" s="2"/>
      <c r="T72" s="7">
        <v>0</v>
      </c>
      <c r="U72" s="2"/>
      <c r="V72" s="6">
        <f t="shared" si="26"/>
        <v>0</v>
      </c>
      <c r="W72" s="2"/>
      <c r="X72" s="7">
        <f t="shared" si="27"/>
        <v>12681.83</v>
      </c>
      <c r="Y72" s="2"/>
      <c r="Z72" s="6">
        <f t="shared" si="28"/>
        <v>0</v>
      </c>
    </row>
    <row r="73" spans="1:26" s="24" customFormat="1" hidden="1" outlineLevel="2" x14ac:dyDescent="0.25">
      <c r="A73" s="26"/>
      <c r="B73" s="11" t="str">
        <f>CONCATENATE("          ", "6006", " - ", "TEMPORARY PART TIME")</f>
        <v xml:space="preserve">          6006 - TEMPORARY PART TIME</v>
      </c>
      <c r="C73" s="11"/>
      <c r="D73" s="7"/>
      <c r="E73" s="2"/>
      <c r="F73" s="6">
        <f t="shared" si="21"/>
        <v>0</v>
      </c>
      <c r="G73" s="2"/>
      <c r="H73" s="7">
        <v>0</v>
      </c>
      <c r="I73" s="2"/>
      <c r="J73" s="6">
        <f t="shared" si="22"/>
        <v>0</v>
      </c>
      <c r="K73" s="2"/>
      <c r="L73" s="7">
        <f t="shared" si="23"/>
        <v>0</v>
      </c>
      <c r="M73" s="2"/>
      <c r="N73" s="6">
        <f t="shared" si="24"/>
        <v>0</v>
      </c>
      <c r="O73" s="11"/>
      <c r="P73" s="7">
        <v>316.16000000000003</v>
      </c>
      <c r="Q73" s="2"/>
      <c r="R73" s="6">
        <f t="shared" si="25"/>
        <v>7.3552801063333053E-4</v>
      </c>
      <c r="S73" s="2"/>
      <c r="T73" s="7">
        <v>0</v>
      </c>
      <c r="U73" s="2"/>
      <c r="V73" s="6">
        <f t="shared" si="26"/>
        <v>0</v>
      </c>
      <c r="W73" s="2"/>
      <c r="X73" s="7">
        <f t="shared" si="27"/>
        <v>316.16000000000003</v>
      </c>
      <c r="Y73" s="2"/>
      <c r="Z73" s="6">
        <f t="shared" si="28"/>
        <v>0</v>
      </c>
    </row>
    <row r="74" spans="1:26" s="24" customFormat="1" hidden="1" outlineLevel="2" x14ac:dyDescent="0.25">
      <c r="A74" s="26"/>
      <c r="B74" s="11" t="str">
        <f>CONCATENATE("          ", "6007", " - ", "STUDENT HOURLY")</f>
        <v xml:space="preserve">          6007 - STUDENT HOURLY</v>
      </c>
      <c r="C74" s="11"/>
      <c r="D74" s="7"/>
      <c r="E74" s="2"/>
      <c r="F74" s="6">
        <f t="shared" si="21"/>
        <v>0</v>
      </c>
      <c r="G74" s="2"/>
      <c r="H74" s="7">
        <v>0</v>
      </c>
      <c r="I74" s="2"/>
      <c r="J74" s="6">
        <f t="shared" si="22"/>
        <v>0</v>
      </c>
      <c r="K74" s="2"/>
      <c r="L74" s="7">
        <f t="shared" si="23"/>
        <v>0</v>
      </c>
      <c r="M74" s="2"/>
      <c r="N74" s="6">
        <f t="shared" si="24"/>
        <v>0</v>
      </c>
      <c r="O74" s="11"/>
      <c r="P74" s="7">
        <v>71895.92</v>
      </c>
      <c r="Q74" s="2"/>
      <c r="R74" s="6">
        <f t="shared" si="25"/>
        <v>0.16726171245651908</v>
      </c>
      <c r="S74" s="2"/>
      <c r="T74" s="7">
        <v>13015.5</v>
      </c>
      <c r="U74" s="2"/>
      <c r="V74" s="6">
        <f t="shared" si="26"/>
        <v>2.3316792507082025E-2</v>
      </c>
      <c r="W74" s="2"/>
      <c r="X74" s="7">
        <f t="shared" si="27"/>
        <v>58880.42</v>
      </c>
      <c r="Y74" s="2"/>
      <c r="Z74" s="6">
        <f t="shared" si="28"/>
        <v>4.5238692328377699</v>
      </c>
    </row>
    <row r="75" spans="1:26" s="24" customFormat="1" hidden="1" outlineLevel="2" x14ac:dyDescent="0.25">
      <c r="A75" s="26"/>
      <c r="B75" s="11" t="str">
        <f>CONCATENATE("          ", "6008", " - ", "STUDENT HOURLY-FICA EXEMPT")</f>
        <v xml:space="preserve">          6008 - STUDENT HOURLY-FICA EXEMPT</v>
      </c>
      <c r="C75" s="11"/>
      <c r="D75" s="7"/>
      <c r="E75" s="2"/>
      <c r="F75" s="6">
        <f t="shared" si="21"/>
        <v>0</v>
      </c>
      <c r="G75" s="2"/>
      <c r="H75" s="7">
        <v>4684.32</v>
      </c>
      <c r="I75" s="2"/>
      <c r="J75" s="6">
        <f t="shared" si="22"/>
        <v>6.6230393573575116E-2</v>
      </c>
      <c r="K75" s="2"/>
      <c r="L75" s="7">
        <f t="shared" si="23"/>
        <v>-4684.32</v>
      </c>
      <c r="M75" s="2"/>
      <c r="N75" s="6">
        <f t="shared" si="24"/>
        <v>-1</v>
      </c>
      <c r="O75" s="11"/>
      <c r="P75" s="7"/>
      <c r="Q75" s="2"/>
      <c r="R75" s="6">
        <f t="shared" si="25"/>
        <v>0</v>
      </c>
      <c r="S75" s="2"/>
      <c r="T75" s="7">
        <v>44109.599999999999</v>
      </c>
      <c r="U75" s="2"/>
      <c r="V75" s="6">
        <f t="shared" si="26"/>
        <v>7.9020736104674055E-2</v>
      </c>
      <c r="W75" s="2"/>
      <c r="X75" s="7">
        <f t="shared" si="27"/>
        <v>-44109.599999999999</v>
      </c>
      <c r="Y75" s="2"/>
      <c r="Z75" s="6">
        <f t="shared" si="28"/>
        <v>-1</v>
      </c>
    </row>
    <row r="76" spans="1:26" s="24" customFormat="1" hidden="1" outlineLevel="2" x14ac:dyDescent="0.25">
      <c r="A76" s="26"/>
      <c r="B76" s="11" t="str">
        <f>CONCATENATE("          ", "6009", " - ", "TEMPORARY-SEASONAL")</f>
        <v xml:space="preserve">          6009 - TEMPORARY-SEASONAL</v>
      </c>
      <c r="C76" s="11"/>
      <c r="D76" s="7"/>
      <c r="E76" s="2"/>
      <c r="F76" s="6">
        <f t="shared" si="21"/>
        <v>0</v>
      </c>
      <c r="G76" s="2"/>
      <c r="H76" s="7">
        <v>0</v>
      </c>
      <c r="I76" s="2"/>
      <c r="J76" s="6">
        <f t="shared" si="22"/>
        <v>0</v>
      </c>
      <c r="K76" s="2"/>
      <c r="L76" s="7">
        <f t="shared" si="23"/>
        <v>0</v>
      </c>
      <c r="M76" s="2"/>
      <c r="N76" s="6">
        <f t="shared" si="24"/>
        <v>0</v>
      </c>
      <c r="O76" s="11"/>
      <c r="P76" s="7"/>
      <c r="Q76" s="2"/>
      <c r="R76" s="6">
        <f t="shared" si="25"/>
        <v>0</v>
      </c>
      <c r="S76" s="2"/>
      <c r="T76" s="7">
        <v>0</v>
      </c>
      <c r="U76" s="2"/>
      <c r="V76" s="6">
        <f t="shared" si="26"/>
        <v>0</v>
      </c>
      <c r="W76" s="2"/>
      <c r="X76" s="7">
        <f t="shared" si="27"/>
        <v>0</v>
      </c>
      <c r="Y76" s="2"/>
      <c r="Z76" s="6">
        <f t="shared" si="28"/>
        <v>0</v>
      </c>
    </row>
    <row r="77" spans="1:26" s="24" customFormat="1" hidden="1" outlineLevel="2" x14ac:dyDescent="0.25">
      <c r="A77" s="26"/>
      <c r="B77" s="11" t="str">
        <f>CONCATENATE("          ", "6010", " - ", "GRATUITY")</f>
        <v xml:space="preserve">          6010 - GRATUITY</v>
      </c>
      <c r="C77" s="11"/>
      <c r="D77" s="7"/>
      <c r="E77" s="2"/>
      <c r="F77" s="6">
        <f t="shared" si="21"/>
        <v>0</v>
      </c>
      <c r="G77" s="2"/>
      <c r="H77" s="7">
        <v>0</v>
      </c>
      <c r="I77" s="2"/>
      <c r="J77" s="6">
        <f t="shared" si="22"/>
        <v>0</v>
      </c>
      <c r="K77" s="2"/>
      <c r="L77" s="7">
        <f t="shared" si="23"/>
        <v>0</v>
      </c>
      <c r="M77" s="2"/>
      <c r="N77" s="6">
        <f t="shared" si="24"/>
        <v>0</v>
      </c>
      <c r="O77" s="11"/>
      <c r="P77" s="7"/>
      <c r="Q77" s="2"/>
      <c r="R77" s="6">
        <f t="shared" si="25"/>
        <v>0</v>
      </c>
      <c r="S77" s="2"/>
      <c r="T77" s="7">
        <v>0</v>
      </c>
      <c r="U77" s="2"/>
      <c r="V77" s="6">
        <f t="shared" si="26"/>
        <v>0</v>
      </c>
      <c r="W77" s="2"/>
      <c r="X77" s="7">
        <f t="shared" si="27"/>
        <v>0</v>
      </c>
      <c r="Y77" s="2"/>
      <c r="Z77" s="6">
        <f t="shared" si="28"/>
        <v>0</v>
      </c>
    </row>
    <row r="78" spans="1:26" s="27" customFormat="1" outlineLevel="1" collapsed="1" x14ac:dyDescent="0.25">
      <c r="A78" s="25"/>
      <c r="B78" s="12" t="str">
        <f>CONCATENATE("     ","Advertising/Promo                                 ")</f>
        <v xml:space="preserve">     Advertising/Promo                                 </v>
      </c>
      <c r="C78" s="12"/>
      <c r="D78" s="1">
        <f>SUM(OSRRefD22_2x_0)</f>
        <v>0</v>
      </c>
      <c r="E78" s="1"/>
      <c r="F78" s="5">
        <f t="shared" ref="F78:F82" si="29">IF(D$12=0,0,D78/D$12)</f>
        <v>0</v>
      </c>
      <c r="G78" s="1"/>
      <c r="H78" s="1">
        <f>SUM(OSRRefH22_2x_0)</f>
        <v>1250</v>
      </c>
      <c r="I78" s="1"/>
      <c r="J78" s="5">
        <f t="shared" ref="J78:J82" si="30">IF(H$12=0,0,H78/H$12)</f>
        <v>1.7673427939801062E-2</v>
      </c>
      <c r="K78" s="1"/>
      <c r="L78" s="1">
        <f t="shared" ref="L78:L82" si="31">+D78-H78</f>
        <v>-1250</v>
      </c>
      <c r="M78" s="1"/>
      <c r="N78" s="5">
        <f t="shared" ref="N78:N82" si="32">IF(H78=0,0,L78/H78)</f>
        <v>-1</v>
      </c>
      <c r="O78" s="12"/>
      <c r="P78" s="1">
        <f>SUM(OSRRefP22_2x_0)</f>
        <v>3638.48</v>
      </c>
      <c r="Q78" s="1"/>
      <c r="R78" s="5">
        <f t="shared" ref="R78:R82" si="33">IF(P$12=0,0,P78/P$12)</f>
        <v>8.4647139300643975E-3</v>
      </c>
      <c r="S78" s="1"/>
      <c r="T78" s="1">
        <f>SUM(OSRRefT22_2x_0)</f>
        <v>6800</v>
      </c>
      <c r="U78" s="1"/>
      <c r="V78" s="5">
        <f t="shared" ref="V78:V82" si="34">IF(T$12=0,0,T78/T$12)</f>
        <v>1.2181951446210884E-2</v>
      </c>
      <c r="W78" s="1"/>
      <c r="X78" s="1">
        <f t="shared" ref="X78:X82" si="35">+P78-T78</f>
        <v>-3161.52</v>
      </c>
      <c r="Y78" s="1"/>
      <c r="Z78" s="5">
        <f t="shared" ref="Z78:Z82" si="36">IF(T78=0,0,X78/T78)</f>
        <v>-0.46492941176470587</v>
      </c>
    </row>
    <row r="79" spans="1:26" s="24" customFormat="1" hidden="1" outlineLevel="2" x14ac:dyDescent="0.25">
      <c r="A79" s="26"/>
      <c r="B79" s="11" t="str">
        <f>CONCATENATE("          ", "6362", " - ", "ADVERTISING EXPENSE")</f>
        <v xml:space="preserve">          6362 - ADVERTISING EXPENSE</v>
      </c>
      <c r="C79" s="11"/>
      <c r="D79" s="7"/>
      <c r="E79" s="2"/>
      <c r="F79" s="6">
        <f t="shared" si="29"/>
        <v>0</v>
      </c>
      <c r="G79" s="2"/>
      <c r="H79" s="7">
        <v>1250</v>
      </c>
      <c r="I79" s="2"/>
      <c r="J79" s="6">
        <f t="shared" si="30"/>
        <v>1.7673427939801062E-2</v>
      </c>
      <c r="K79" s="2"/>
      <c r="L79" s="7">
        <f t="shared" si="31"/>
        <v>-1250</v>
      </c>
      <c r="M79" s="2"/>
      <c r="N79" s="6">
        <f t="shared" si="32"/>
        <v>-1</v>
      </c>
      <c r="O79" s="11"/>
      <c r="P79" s="7">
        <v>3638.48</v>
      </c>
      <c r="Q79" s="2"/>
      <c r="R79" s="6">
        <f t="shared" si="33"/>
        <v>8.4647139300643975E-3</v>
      </c>
      <c r="S79" s="2"/>
      <c r="T79" s="7">
        <v>6800</v>
      </c>
      <c r="U79" s="2"/>
      <c r="V79" s="6">
        <f t="shared" si="34"/>
        <v>1.2181951446210884E-2</v>
      </c>
      <c r="W79" s="2"/>
      <c r="X79" s="7">
        <f t="shared" si="35"/>
        <v>-3161.52</v>
      </c>
      <c r="Y79" s="2"/>
      <c r="Z79" s="6">
        <f t="shared" si="36"/>
        <v>-0.46492941176470587</v>
      </c>
    </row>
    <row r="80" spans="1:26" s="27" customFormat="1" outlineLevel="1" collapsed="1" x14ac:dyDescent="0.25">
      <c r="A80" s="25"/>
      <c r="B80" s="12" t="str">
        <f>CONCATENATE("     ","Bad Debts/Over/Short                              ")</f>
        <v xml:space="preserve">     Bad Debts/Over/Short                              </v>
      </c>
      <c r="C80" s="12"/>
      <c r="D80" s="1">
        <f>SUM(OSRRefD22_3x_0)</f>
        <v>0</v>
      </c>
      <c r="E80" s="1"/>
      <c r="F80" s="5">
        <f t="shared" si="29"/>
        <v>0</v>
      </c>
      <c r="G80" s="1"/>
      <c r="H80" s="1">
        <f>SUM(OSRRefH22_3x_0)</f>
        <v>10</v>
      </c>
      <c r="I80" s="1"/>
      <c r="J80" s="5">
        <f t="shared" si="30"/>
        <v>1.413874235184085E-4</v>
      </c>
      <c r="K80" s="1"/>
      <c r="L80" s="1">
        <f t="shared" si="31"/>
        <v>-10</v>
      </c>
      <c r="M80" s="1"/>
      <c r="N80" s="5">
        <f t="shared" si="32"/>
        <v>-1</v>
      </c>
      <c r="O80" s="12"/>
      <c r="P80" s="1">
        <f>SUM(OSRRefP22_3x_0)</f>
        <v>44.45</v>
      </c>
      <c r="Q80" s="1"/>
      <c r="R80" s="5">
        <f t="shared" si="33"/>
        <v>1.0341036207189884E-4</v>
      </c>
      <c r="S80" s="1"/>
      <c r="T80" s="1">
        <f>SUM(OSRRefT22_3x_0)</f>
        <v>110</v>
      </c>
      <c r="U80" s="1"/>
      <c r="V80" s="5">
        <f t="shared" si="34"/>
        <v>1.9706097927694077E-4</v>
      </c>
      <c r="W80" s="1"/>
      <c r="X80" s="1">
        <f t="shared" si="35"/>
        <v>-65.55</v>
      </c>
      <c r="Y80" s="1"/>
      <c r="Z80" s="5">
        <f t="shared" si="36"/>
        <v>-0.59590909090909083</v>
      </c>
    </row>
    <row r="81" spans="1:26" s="24" customFormat="1" hidden="1" outlineLevel="2" x14ac:dyDescent="0.25">
      <c r="A81" s="26"/>
      <c r="B81" s="11" t="str">
        <f>CONCATENATE("          ", "6272", " - ", "CASH (OVER/SHORT)")</f>
        <v xml:space="preserve">          6272 - CASH (OVER/SHORT)</v>
      </c>
      <c r="C81" s="11"/>
      <c r="D81" s="7"/>
      <c r="E81" s="2"/>
      <c r="F81" s="6">
        <f t="shared" si="29"/>
        <v>0</v>
      </c>
      <c r="G81" s="2"/>
      <c r="H81" s="7"/>
      <c r="I81" s="2"/>
      <c r="J81" s="6">
        <f t="shared" si="30"/>
        <v>0</v>
      </c>
      <c r="K81" s="2"/>
      <c r="L81" s="7">
        <f t="shared" si="31"/>
        <v>0</v>
      </c>
      <c r="M81" s="2"/>
      <c r="N81" s="6">
        <f t="shared" si="32"/>
        <v>0</v>
      </c>
      <c r="O81" s="11"/>
      <c r="P81" s="7">
        <v>44.45</v>
      </c>
      <c r="Q81" s="2"/>
      <c r="R81" s="6">
        <f t="shared" si="33"/>
        <v>1.0341036207189884E-4</v>
      </c>
      <c r="S81" s="2"/>
      <c r="T81" s="7"/>
      <c r="U81" s="2"/>
      <c r="V81" s="6">
        <f t="shared" si="34"/>
        <v>0</v>
      </c>
      <c r="W81" s="2"/>
      <c r="X81" s="7">
        <f t="shared" si="35"/>
        <v>44.45</v>
      </c>
      <c r="Y81" s="2"/>
      <c r="Z81" s="6">
        <f t="shared" si="36"/>
        <v>0</v>
      </c>
    </row>
    <row r="82" spans="1:26" s="24" customFormat="1" hidden="1" outlineLevel="2" x14ac:dyDescent="0.25">
      <c r="A82" s="26"/>
      <c r="B82" s="11" t="str">
        <f>CONCATENATE("          ", "6342", " - ", "BAD DEBT")</f>
        <v xml:space="preserve">          6342 - BAD DEBT</v>
      </c>
      <c r="C82" s="11"/>
      <c r="D82" s="7"/>
      <c r="E82" s="2"/>
      <c r="F82" s="6">
        <f t="shared" si="29"/>
        <v>0</v>
      </c>
      <c r="G82" s="2"/>
      <c r="H82" s="7">
        <v>10</v>
      </c>
      <c r="I82" s="2"/>
      <c r="J82" s="6">
        <f t="shared" si="30"/>
        <v>1.413874235184085E-4</v>
      </c>
      <c r="K82" s="2"/>
      <c r="L82" s="7">
        <f t="shared" si="31"/>
        <v>-10</v>
      </c>
      <c r="M82" s="2"/>
      <c r="N82" s="6">
        <f t="shared" si="32"/>
        <v>-1</v>
      </c>
      <c r="O82" s="11"/>
      <c r="P82" s="7"/>
      <c r="Q82" s="2"/>
      <c r="R82" s="6">
        <f t="shared" si="33"/>
        <v>0</v>
      </c>
      <c r="S82" s="2"/>
      <c r="T82" s="7">
        <v>110</v>
      </c>
      <c r="U82" s="2"/>
      <c r="V82" s="6">
        <f t="shared" si="34"/>
        <v>1.9706097927694077E-4</v>
      </c>
      <c r="W82" s="2"/>
      <c r="X82" s="7">
        <f t="shared" si="35"/>
        <v>-110</v>
      </c>
      <c r="Y82" s="2"/>
      <c r="Z82" s="6">
        <f t="shared" si="36"/>
        <v>-1</v>
      </c>
    </row>
    <row r="83" spans="1:26" s="27" customFormat="1" outlineLevel="1" collapsed="1" x14ac:dyDescent="0.25">
      <c r="A83" s="25"/>
      <c r="B83" s="12" t="str">
        <f>CONCATENATE("     ","Bank/card Fees                                    ")</f>
        <v xml:space="preserve">     Bank/card Fees                                    </v>
      </c>
      <c r="C83" s="12"/>
      <c r="D83" s="1">
        <f>SUM(OSRRefD22_4x_0)</f>
        <v>19</v>
      </c>
      <c r="E83" s="1"/>
      <c r="F83" s="5">
        <f t="shared" ref="F83:F103" si="37">IF(D$12=0,0,D83/D$12)</f>
        <v>0</v>
      </c>
      <c r="G83" s="1"/>
      <c r="H83" s="1">
        <f>SUM(OSRRefH22_4x_0)</f>
        <v>1000</v>
      </c>
      <c r="I83" s="1"/>
      <c r="J83" s="5">
        <f t="shared" ref="J83:J103" si="38">IF(H$12=0,0,H83/H$12)</f>
        <v>1.4138742351840849E-2</v>
      </c>
      <c r="K83" s="1"/>
      <c r="L83" s="1">
        <f t="shared" ref="L83:L103" si="39">+D83-H83</f>
        <v>-981</v>
      </c>
      <c r="M83" s="1"/>
      <c r="N83" s="5">
        <f t="shared" ref="N83:N103" si="40">IF(H83=0,0,L83/H83)</f>
        <v>-0.98099999999999998</v>
      </c>
      <c r="O83" s="12"/>
      <c r="P83" s="1">
        <f>SUM(OSRRefP22_4x_0)</f>
        <v>6179.92</v>
      </c>
      <c r="Q83" s="1"/>
      <c r="R83" s="5">
        <f t="shared" ref="R83:R103" si="41">IF(P$12=0,0,P83/P$12)</f>
        <v>1.4377227554001554E-2</v>
      </c>
      <c r="S83" s="1"/>
      <c r="T83" s="1">
        <f>SUM(OSRRefT22_4x_0)</f>
        <v>7985</v>
      </c>
      <c r="U83" s="1"/>
      <c r="V83" s="5">
        <f t="shared" ref="V83:V103" si="42">IF(T$12=0,0,T83/T$12)</f>
        <v>1.4304835632057929E-2</v>
      </c>
      <c r="W83" s="1"/>
      <c r="X83" s="1">
        <f t="shared" ref="X83:X103" si="43">+P83-T83</f>
        <v>-1805.08</v>
      </c>
      <c r="Y83" s="1"/>
      <c r="Z83" s="5">
        <f t="shared" ref="Z83:Z103" si="44">IF(T83=0,0,X83/T83)</f>
        <v>-0.22605886036318096</v>
      </c>
    </row>
    <row r="84" spans="1:26" s="24" customFormat="1" hidden="1" outlineLevel="2" x14ac:dyDescent="0.25">
      <c r="A84" s="26"/>
      <c r="B84" s="11" t="str">
        <f>CONCATENATE("          ", "6381", " - ", "BANK/CREDIT CARD FEES")</f>
        <v xml:space="preserve">          6381 - BANK/CREDIT CARD FEES</v>
      </c>
      <c r="C84" s="11"/>
      <c r="D84" s="7">
        <v>19</v>
      </c>
      <c r="E84" s="2"/>
      <c r="F84" s="6">
        <f t="shared" si="37"/>
        <v>0</v>
      </c>
      <c r="G84" s="2"/>
      <c r="H84" s="7">
        <v>1000</v>
      </c>
      <c r="I84" s="2"/>
      <c r="J84" s="6">
        <f t="shared" si="38"/>
        <v>1.4138742351840849E-2</v>
      </c>
      <c r="K84" s="2"/>
      <c r="L84" s="7">
        <f t="shared" si="39"/>
        <v>-981</v>
      </c>
      <c r="M84" s="2"/>
      <c r="N84" s="6">
        <f t="shared" si="40"/>
        <v>-0.98099999999999998</v>
      </c>
      <c r="O84" s="11"/>
      <c r="P84" s="7">
        <v>6179.92</v>
      </c>
      <c r="Q84" s="2"/>
      <c r="R84" s="6">
        <f t="shared" si="41"/>
        <v>1.4377227554001554E-2</v>
      </c>
      <c r="S84" s="2"/>
      <c r="T84" s="7">
        <v>7985</v>
      </c>
      <c r="U84" s="2"/>
      <c r="V84" s="6">
        <f t="shared" si="42"/>
        <v>1.4304835632057929E-2</v>
      </c>
      <c r="W84" s="2"/>
      <c r="X84" s="7">
        <f t="shared" si="43"/>
        <v>-1805.08</v>
      </c>
      <c r="Y84" s="2"/>
      <c r="Z84" s="6">
        <f t="shared" si="44"/>
        <v>-0.22605886036318096</v>
      </c>
    </row>
    <row r="85" spans="1:26" s="27" customFormat="1" outlineLevel="1" collapsed="1" x14ac:dyDescent="0.25">
      <c r="A85" s="25"/>
      <c r="B85" s="12" t="str">
        <f>CONCATENATE("     ","Discounts and Markdowns                           ")</f>
        <v xml:space="preserve">     Discounts and Markdowns                           </v>
      </c>
      <c r="C85" s="12"/>
      <c r="D85" s="1">
        <f>SUM(OSRRefD22_5x_0)</f>
        <v>0</v>
      </c>
      <c r="E85" s="1"/>
      <c r="F85" s="5">
        <f t="shared" si="37"/>
        <v>0</v>
      </c>
      <c r="G85" s="1"/>
      <c r="H85" s="1">
        <f>SUM(OSRRefH22_5x_0)</f>
        <v>3000</v>
      </c>
      <c r="I85" s="1"/>
      <c r="J85" s="5">
        <f t="shared" si="38"/>
        <v>4.2416227055522546E-2</v>
      </c>
      <c r="K85" s="1"/>
      <c r="L85" s="1">
        <f t="shared" si="39"/>
        <v>-3000</v>
      </c>
      <c r="M85" s="1"/>
      <c r="N85" s="5">
        <f t="shared" si="40"/>
        <v>-1</v>
      </c>
      <c r="O85" s="12"/>
      <c r="P85" s="1">
        <f>SUM(OSRRefP22_5x_0)</f>
        <v>68571.64</v>
      </c>
      <c r="Q85" s="1"/>
      <c r="R85" s="5">
        <f t="shared" si="41"/>
        <v>0.15952796671009903</v>
      </c>
      <c r="S85" s="1"/>
      <c r="T85" s="1">
        <f>SUM(OSRRefT22_5x_0)</f>
        <v>43000</v>
      </c>
      <c r="U85" s="1"/>
      <c r="V85" s="5">
        <f t="shared" si="42"/>
        <v>7.7032928262804126E-2</v>
      </c>
      <c r="W85" s="1"/>
      <c r="X85" s="1">
        <f t="shared" si="43"/>
        <v>25571.64</v>
      </c>
      <c r="Y85" s="1"/>
      <c r="Z85" s="5">
        <f t="shared" si="44"/>
        <v>0.59468930232558137</v>
      </c>
    </row>
    <row r="86" spans="1:26" s="24" customFormat="1" hidden="1" outlineLevel="2" x14ac:dyDescent="0.25">
      <c r="A86" s="26"/>
      <c r="B86" s="11" t="str">
        <f>CONCATENATE("          ", "6382", " - ", "DISCOUNTS/MARK DOWNS")</f>
        <v xml:space="preserve">          6382 - DISCOUNTS/MARK DOWNS</v>
      </c>
      <c r="C86" s="11"/>
      <c r="D86" s="7"/>
      <c r="E86" s="2"/>
      <c r="F86" s="6">
        <f t="shared" si="37"/>
        <v>0</v>
      </c>
      <c r="G86" s="2"/>
      <c r="H86" s="7">
        <v>3000</v>
      </c>
      <c r="I86" s="2"/>
      <c r="J86" s="6">
        <f t="shared" si="38"/>
        <v>4.2416227055522546E-2</v>
      </c>
      <c r="K86" s="2"/>
      <c r="L86" s="7">
        <f t="shared" si="39"/>
        <v>-3000</v>
      </c>
      <c r="M86" s="2"/>
      <c r="N86" s="6">
        <f t="shared" si="40"/>
        <v>-1</v>
      </c>
      <c r="O86" s="11"/>
      <c r="P86" s="7">
        <v>68571.64</v>
      </c>
      <c r="Q86" s="2"/>
      <c r="R86" s="6">
        <f t="shared" si="41"/>
        <v>0.15952796671009903</v>
      </c>
      <c r="S86" s="2"/>
      <c r="T86" s="7">
        <v>43000</v>
      </c>
      <c r="U86" s="2"/>
      <c r="V86" s="6">
        <f t="shared" si="42"/>
        <v>7.7032928262804126E-2</v>
      </c>
      <c r="W86" s="2"/>
      <c r="X86" s="7">
        <f t="shared" si="43"/>
        <v>25571.64</v>
      </c>
      <c r="Y86" s="2"/>
      <c r="Z86" s="6">
        <f t="shared" si="44"/>
        <v>0.59468930232558137</v>
      </c>
    </row>
    <row r="87" spans="1:26" s="27" customFormat="1" outlineLevel="1" collapsed="1" x14ac:dyDescent="0.25">
      <c r="A87" s="25"/>
      <c r="B87" s="12" t="str">
        <f>CONCATENATE("     ","Donations                                         ")</f>
        <v xml:space="preserve">     Donations                                         </v>
      </c>
      <c r="C87" s="12"/>
      <c r="D87" s="1">
        <f>SUM(OSRRefD22_6x_0)</f>
        <v>0</v>
      </c>
      <c r="E87" s="1"/>
      <c r="F87" s="5">
        <f t="shared" si="37"/>
        <v>0</v>
      </c>
      <c r="G87" s="1"/>
      <c r="H87" s="1">
        <f>SUM(OSRRefH22_6x_0)</f>
        <v>50</v>
      </c>
      <c r="I87" s="1"/>
      <c r="J87" s="5">
        <f t="shared" si="38"/>
        <v>7.0693711759204248E-4</v>
      </c>
      <c r="K87" s="1"/>
      <c r="L87" s="1">
        <f t="shared" si="39"/>
        <v>-50</v>
      </c>
      <c r="M87" s="1"/>
      <c r="N87" s="5">
        <f t="shared" si="40"/>
        <v>-1</v>
      </c>
      <c r="O87" s="12"/>
      <c r="P87" s="1">
        <f>SUM(OSRRefP22_6x_0)</f>
        <v>0</v>
      </c>
      <c r="Q87" s="1"/>
      <c r="R87" s="5">
        <f t="shared" si="41"/>
        <v>0</v>
      </c>
      <c r="S87" s="1"/>
      <c r="T87" s="1">
        <f>SUM(OSRRefT22_6x_0)</f>
        <v>375</v>
      </c>
      <c r="U87" s="1"/>
      <c r="V87" s="5">
        <f t="shared" si="42"/>
        <v>6.7179879298957085E-4</v>
      </c>
      <c r="W87" s="1"/>
      <c r="X87" s="1">
        <f t="shared" si="43"/>
        <v>-375</v>
      </c>
      <c r="Y87" s="1"/>
      <c r="Z87" s="5">
        <f t="shared" si="44"/>
        <v>-1</v>
      </c>
    </row>
    <row r="88" spans="1:26" s="24" customFormat="1" hidden="1" outlineLevel="2" x14ac:dyDescent="0.25">
      <c r="A88" s="26"/>
      <c r="B88" s="11" t="str">
        <f>CONCATENATE("          ", "6395", " - ", "DONATION-OFF CAMPUS")</f>
        <v xml:space="preserve">          6395 - DONATION-OFF CAMPUS</v>
      </c>
      <c r="C88" s="11"/>
      <c r="D88" s="7"/>
      <c r="E88" s="2"/>
      <c r="F88" s="6">
        <f t="shared" si="37"/>
        <v>0</v>
      </c>
      <c r="G88" s="2"/>
      <c r="H88" s="7">
        <v>50</v>
      </c>
      <c r="I88" s="2"/>
      <c r="J88" s="6">
        <f t="shared" si="38"/>
        <v>7.0693711759204248E-4</v>
      </c>
      <c r="K88" s="2"/>
      <c r="L88" s="7">
        <f t="shared" si="39"/>
        <v>-50</v>
      </c>
      <c r="M88" s="2"/>
      <c r="N88" s="6">
        <f t="shared" si="40"/>
        <v>-1</v>
      </c>
      <c r="O88" s="11"/>
      <c r="P88" s="7"/>
      <c r="Q88" s="2"/>
      <c r="R88" s="6">
        <f t="shared" si="41"/>
        <v>0</v>
      </c>
      <c r="S88" s="2"/>
      <c r="T88" s="7">
        <v>375</v>
      </c>
      <c r="U88" s="2"/>
      <c r="V88" s="6">
        <f t="shared" si="42"/>
        <v>6.7179879298957085E-4</v>
      </c>
      <c r="W88" s="2"/>
      <c r="X88" s="7">
        <f t="shared" si="43"/>
        <v>-375</v>
      </c>
      <c r="Y88" s="2"/>
      <c r="Z88" s="6">
        <f t="shared" si="44"/>
        <v>-1</v>
      </c>
    </row>
    <row r="89" spans="1:26" s="27" customFormat="1" outlineLevel="1" collapsed="1" x14ac:dyDescent="0.25">
      <c r="A89" s="25"/>
      <c r="B89" s="12" t="str">
        <f>CONCATENATE("     ","Employees' Appreciation                           ")</f>
        <v xml:space="preserve">     Employees' Appreciation                           </v>
      </c>
      <c r="C89" s="12"/>
      <c r="D89" s="1">
        <f>SUM(OSRRefD22_7x_0)</f>
        <v>0</v>
      </c>
      <c r="E89" s="1"/>
      <c r="F89" s="5">
        <f t="shared" si="37"/>
        <v>0</v>
      </c>
      <c r="G89" s="1"/>
      <c r="H89" s="1">
        <f>SUM(OSRRefH22_7x_0)</f>
        <v>50</v>
      </c>
      <c r="I89" s="1"/>
      <c r="J89" s="5">
        <f t="shared" si="38"/>
        <v>7.0693711759204248E-4</v>
      </c>
      <c r="K89" s="1"/>
      <c r="L89" s="1">
        <f t="shared" si="39"/>
        <v>-50</v>
      </c>
      <c r="M89" s="1"/>
      <c r="N89" s="5">
        <f t="shared" si="40"/>
        <v>-1</v>
      </c>
      <c r="O89" s="12"/>
      <c r="P89" s="1">
        <f>SUM(OSRRefP22_7x_0)</f>
        <v>120.93</v>
      </c>
      <c r="Q89" s="1"/>
      <c r="R89" s="5">
        <f t="shared" si="41"/>
        <v>2.8133667233643932E-4</v>
      </c>
      <c r="S89" s="1"/>
      <c r="T89" s="1">
        <f>SUM(OSRRefT22_7x_0)</f>
        <v>550</v>
      </c>
      <c r="U89" s="1"/>
      <c r="V89" s="5">
        <f t="shared" si="42"/>
        <v>9.8530489638470387E-4</v>
      </c>
      <c r="W89" s="1"/>
      <c r="X89" s="1">
        <f t="shared" si="43"/>
        <v>-429.07</v>
      </c>
      <c r="Y89" s="1"/>
      <c r="Z89" s="5">
        <f t="shared" si="44"/>
        <v>-0.78012727272727267</v>
      </c>
    </row>
    <row r="90" spans="1:26" s="24" customFormat="1" hidden="1" outlineLevel="2" x14ac:dyDescent="0.25">
      <c r="A90" s="26"/>
      <c r="B90" s="11" t="str">
        <f>CONCATENATE("          ", "6277", " - ", "EMPLOYEE APPRECIATION")</f>
        <v xml:space="preserve">          6277 - EMPLOYEE APPRECIATION</v>
      </c>
      <c r="C90" s="11"/>
      <c r="D90" s="7"/>
      <c r="E90" s="2"/>
      <c r="F90" s="6">
        <f t="shared" si="37"/>
        <v>0</v>
      </c>
      <c r="G90" s="2"/>
      <c r="H90" s="7">
        <v>50</v>
      </c>
      <c r="I90" s="2"/>
      <c r="J90" s="6">
        <f t="shared" si="38"/>
        <v>7.0693711759204248E-4</v>
      </c>
      <c r="K90" s="2"/>
      <c r="L90" s="7">
        <f t="shared" si="39"/>
        <v>-50</v>
      </c>
      <c r="M90" s="2"/>
      <c r="N90" s="6">
        <f t="shared" si="40"/>
        <v>-1</v>
      </c>
      <c r="O90" s="11"/>
      <c r="P90" s="7">
        <v>120.93</v>
      </c>
      <c r="Q90" s="2"/>
      <c r="R90" s="6">
        <f t="shared" si="41"/>
        <v>2.8133667233643932E-4</v>
      </c>
      <c r="S90" s="2"/>
      <c r="T90" s="7">
        <v>550</v>
      </c>
      <c r="U90" s="2"/>
      <c r="V90" s="6">
        <f t="shared" si="42"/>
        <v>9.8530489638470387E-4</v>
      </c>
      <c r="W90" s="2"/>
      <c r="X90" s="7">
        <f t="shared" si="43"/>
        <v>-429.07</v>
      </c>
      <c r="Y90" s="2"/>
      <c r="Z90" s="6">
        <f t="shared" si="44"/>
        <v>-0.78012727272727267</v>
      </c>
    </row>
    <row r="91" spans="1:26" s="27" customFormat="1" outlineLevel="1" collapsed="1" x14ac:dyDescent="0.25">
      <c r="A91" s="25"/>
      <c r="B91" s="12" t="str">
        <f>CONCATENATE("     ","General                                           ")</f>
        <v xml:space="preserve">     General                                           </v>
      </c>
      <c r="C91" s="12"/>
      <c r="D91" s="1">
        <f>SUM(OSRRefD22_8x_0)</f>
        <v>120.99</v>
      </c>
      <c r="E91" s="1"/>
      <c r="F91" s="5">
        <f t="shared" si="37"/>
        <v>0</v>
      </c>
      <c r="G91" s="1"/>
      <c r="H91" s="1">
        <f>SUM(OSRRefH22_8x_0)</f>
        <v>0</v>
      </c>
      <c r="I91" s="1"/>
      <c r="J91" s="5">
        <f t="shared" si="38"/>
        <v>0</v>
      </c>
      <c r="K91" s="1"/>
      <c r="L91" s="1">
        <f t="shared" si="39"/>
        <v>120.99</v>
      </c>
      <c r="M91" s="1"/>
      <c r="N91" s="5">
        <f t="shared" si="40"/>
        <v>0</v>
      </c>
      <c r="O91" s="12"/>
      <c r="P91" s="1">
        <f>SUM(OSRRefP22_8x_0)</f>
        <v>1392.43</v>
      </c>
      <c r="Q91" s="1"/>
      <c r="R91" s="5">
        <f t="shared" si="41"/>
        <v>3.2394081093312511E-3</v>
      </c>
      <c r="S91" s="1"/>
      <c r="T91" s="1">
        <f>SUM(OSRRefT22_8x_0)</f>
        <v>1735</v>
      </c>
      <c r="U91" s="1"/>
      <c r="V91" s="5">
        <f t="shared" si="42"/>
        <v>3.1081890822317478E-3</v>
      </c>
      <c r="W91" s="1"/>
      <c r="X91" s="1">
        <f t="shared" si="43"/>
        <v>-342.56999999999994</v>
      </c>
      <c r="Y91" s="1"/>
      <c r="Z91" s="5">
        <f t="shared" si="44"/>
        <v>-0.1974466858789625</v>
      </c>
    </row>
    <row r="92" spans="1:26" s="24" customFormat="1" hidden="1" outlineLevel="2" x14ac:dyDescent="0.25">
      <c r="A92" s="26"/>
      <c r="B92" s="11" t="str">
        <f>CONCATENATE("          ", "6279", " - ", "GENERAL EXPENSE")</f>
        <v xml:space="preserve">          6279 - GENERAL EXPENSE</v>
      </c>
      <c r="C92" s="11"/>
      <c r="D92" s="7">
        <v>120.99</v>
      </c>
      <c r="E92" s="2"/>
      <c r="F92" s="6">
        <f t="shared" si="37"/>
        <v>0</v>
      </c>
      <c r="G92" s="2"/>
      <c r="H92" s="7">
        <v>0</v>
      </c>
      <c r="I92" s="2"/>
      <c r="J92" s="6">
        <f t="shared" si="38"/>
        <v>0</v>
      </c>
      <c r="K92" s="2"/>
      <c r="L92" s="7">
        <f t="shared" si="39"/>
        <v>120.99</v>
      </c>
      <c r="M92" s="2"/>
      <c r="N92" s="6">
        <f t="shared" si="40"/>
        <v>0</v>
      </c>
      <c r="O92" s="11"/>
      <c r="P92" s="7">
        <v>1392.43</v>
      </c>
      <c r="Q92" s="2"/>
      <c r="R92" s="6">
        <f t="shared" si="41"/>
        <v>3.2394081093312511E-3</v>
      </c>
      <c r="S92" s="2"/>
      <c r="T92" s="7">
        <v>1735</v>
      </c>
      <c r="U92" s="2"/>
      <c r="V92" s="6">
        <f t="shared" si="42"/>
        <v>3.1081890822317478E-3</v>
      </c>
      <c r="W92" s="2"/>
      <c r="X92" s="7">
        <f t="shared" si="43"/>
        <v>-342.56999999999994</v>
      </c>
      <c r="Y92" s="2"/>
      <c r="Z92" s="6">
        <f t="shared" si="44"/>
        <v>-0.1974466858789625</v>
      </c>
    </row>
    <row r="93" spans="1:26" s="27" customFormat="1" outlineLevel="1" collapsed="1" x14ac:dyDescent="0.25">
      <c r="A93" s="25"/>
      <c r="B93" s="12" t="str">
        <f>CONCATENATE("     ","Insurance                                         ")</f>
        <v xml:space="preserve">     Insurance                                         </v>
      </c>
      <c r="C93" s="12"/>
      <c r="D93" s="1">
        <f>SUM(OSRRefD22_9x_0)</f>
        <v>161.18</v>
      </c>
      <c r="E93" s="1"/>
      <c r="F93" s="5">
        <f t="shared" si="37"/>
        <v>0</v>
      </c>
      <c r="G93" s="1"/>
      <c r="H93" s="1">
        <f>SUM(OSRRefH22_9x_0)</f>
        <v>155</v>
      </c>
      <c r="I93" s="1"/>
      <c r="J93" s="5">
        <f t="shared" si="38"/>
        <v>2.1915050645353318E-3</v>
      </c>
      <c r="K93" s="1"/>
      <c r="L93" s="1">
        <f t="shared" si="39"/>
        <v>6.1800000000000068</v>
      </c>
      <c r="M93" s="1"/>
      <c r="N93" s="5">
        <f t="shared" si="40"/>
        <v>3.9870967741935527E-2</v>
      </c>
      <c r="O93" s="12"/>
      <c r="P93" s="1">
        <f>SUM(OSRRefP22_9x_0)</f>
        <v>1772.98</v>
      </c>
      <c r="Q93" s="1"/>
      <c r="R93" s="5">
        <f t="shared" si="41"/>
        <v>4.1247357423225021E-3</v>
      </c>
      <c r="S93" s="1"/>
      <c r="T93" s="1">
        <f>SUM(OSRRefT22_9x_0)</f>
        <v>1705</v>
      </c>
      <c r="U93" s="1"/>
      <c r="V93" s="5">
        <f t="shared" si="42"/>
        <v>3.0544451787925821E-3</v>
      </c>
      <c r="W93" s="1"/>
      <c r="X93" s="1">
        <f t="shared" si="43"/>
        <v>67.980000000000018</v>
      </c>
      <c r="Y93" s="1"/>
      <c r="Z93" s="5">
        <f t="shared" si="44"/>
        <v>3.9870967741935492E-2</v>
      </c>
    </row>
    <row r="94" spans="1:26" s="24" customFormat="1" hidden="1" outlineLevel="2" x14ac:dyDescent="0.25">
      <c r="A94" s="26"/>
      <c r="B94" s="11" t="str">
        <f>CONCATENATE("          ", "6314", " - ", "LIABILITY INSURANCE")</f>
        <v xml:space="preserve">          6314 - LIABILITY INSURANCE</v>
      </c>
      <c r="C94" s="11"/>
      <c r="D94" s="7">
        <v>161.18</v>
      </c>
      <c r="E94" s="2"/>
      <c r="F94" s="6">
        <f t="shared" si="37"/>
        <v>0</v>
      </c>
      <c r="G94" s="2"/>
      <c r="H94" s="7">
        <v>155</v>
      </c>
      <c r="I94" s="2"/>
      <c r="J94" s="6">
        <f t="shared" si="38"/>
        <v>2.1915050645353318E-3</v>
      </c>
      <c r="K94" s="2"/>
      <c r="L94" s="7">
        <f t="shared" si="39"/>
        <v>6.1800000000000068</v>
      </c>
      <c r="M94" s="2"/>
      <c r="N94" s="6">
        <f t="shared" si="40"/>
        <v>3.9870967741935527E-2</v>
      </c>
      <c r="O94" s="11"/>
      <c r="P94" s="7">
        <v>1772.98</v>
      </c>
      <c r="Q94" s="2"/>
      <c r="R94" s="6">
        <f t="shared" si="41"/>
        <v>4.1247357423225021E-3</v>
      </c>
      <c r="S94" s="2"/>
      <c r="T94" s="7">
        <v>1705</v>
      </c>
      <c r="U94" s="2"/>
      <c r="V94" s="6">
        <f t="shared" si="42"/>
        <v>3.0544451787925821E-3</v>
      </c>
      <c r="W94" s="2"/>
      <c r="X94" s="7">
        <f t="shared" si="43"/>
        <v>67.980000000000018</v>
      </c>
      <c r="Y94" s="2"/>
      <c r="Z94" s="6">
        <f t="shared" si="44"/>
        <v>3.9870967741935492E-2</v>
      </c>
    </row>
    <row r="95" spans="1:26" s="27" customFormat="1" outlineLevel="1" collapsed="1" x14ac:dyDescent="0.25">
      <c r="A95" s="25"/>
      <c r="B95" s="12" t="str">
        <f>CONCATENATE("     ","Inventory Adjustment                              ")</f>
        <v xml:space="preserve">     Inventory Adjustment                              </v>
      </c>
      <c r="C95" s="12"/>
      <c r="D95" s="1">
        <f>SUM(OSRRefD22_10x_0)</f>
        <v>600</v>
      </c>
      <c r="E95" s="1"/>
      <c r="F95" s="5">
        <f t="shared" si="37"/>
        <v>0</v>
      </c>
      <c r="G95" s="1"/>
      <c r="H95" s="1">
        <f>SUM(OSRRefH22_10x_0)</f>
        <v>600</v>
      </c>
      <c r="I95" s="1"/>
      <c r="J95" s="5">
        <f t="shared" si="38"/>
        <v>8.4832454111045102E-3</v>
      </c>
      <c r="K95" s="1"/>
      <c r="L95" s="1">
        <f t="shared" si="39"/>
        <v>0</v>
      </c>
      <c r="M95" s="1"/>
      <c r="N95" s="5">
        <f t="shared" si="40"/>
        <v>0</v>
      </c>
      <c r="O95" s="12"/>
      <c r="P95" s="1">
        <f>SUM(OSRRefP22_10x_0)</f>
        <v>4200</v>
      </c>
      <c r="Q95" s="1"/>
      <c r="R95" s="5">
        <f t="shared" si="41"/>
        <v>9.7710578335652443E-3</v>
      </c>
      <c r="S95" s="1"/>
      <c r="T95" s="1">
        <f>SUM(OSRRefT22_10x_0)</f>
        <v>4200</v>
      </c>
      <c r="U95" s="1"/>
      <c r="V95" s="5">
        <f t="shared" si="42"/>
        <v>7.5241464814831934E-3</v>
      </c>
      <c r="W95" s="1"/>
      <c r="X95" s="1">
        <f t="shared" si="43"/>
        <v>0</v>
      </c>
      <c r="Y95" s="1"/>
      <c r="Z95" s="5">
        <f t="shared" si="44"/>
        <v>0</v>
      </c>
    </row>
    <row r="96" spans="1:26" s="24" customFormat="1" hidden="1" outlineLevel="2" x14ac:dyDescent="0.25">
      <c r="A96" s="26"/>
      <c r="B96" s="11" t="str">
        <f>CONCATENATE("          ", "6408", " - ", "INVENTORY ADJUSTMENT")</f>
        <v xml:space="preserve">          6408 - INVENTORY ADJUSTMENT</v>
      </c>
      <c r="C96" s="11"/>
      <c r="D96" s="7">
        <v>600</v>
      </c>
      <c r="E96" s="2"/>
      <c r="F96" s="6">
        <f t="shared" si="37"/>
        <v>0</v>
      </c>
      <c r="G96" s="2"/>
      <c r="H96" s="7">
        <v>600</v>
      </c>
      <c r="I96" s="2"/>
      <c r="J96" s="6">
        <f t="shared" si="38"/>
        <v>8.4832454111045102E-3</v>
      </c>
      <c r="K96" s="2"/>
      <c r="L96" s="7">
        <f t="shared" si="39"/>
        <v>0</v>
      </c>
      <c r="M96" s="2"/>
      <c r="N96" s="6">
        <f t="shared" si="40"/>
        <v>0</v>
      </c>
      <c r="O96" s="11"/>
      <c r="P96" s="7">
        <v>4200</v>
      </c>
      <c r="Q96" s="2"/>
      <c r="R96" s="6">
        <f t="shared" si="41"/>
        <v>9.7710578335652443E-3</v>
      </c>
      <c r="S96" s="2"/>
      <c r="T96" s="7">
        <v>4200</v>
      </c>
      <c r="U96" s="2"/>
      <c r="V96" s="6">
        <f t="shared" si="42"/>
        <v>7.5241464814831934E-3</v>
      </c>
      <c r="W96" s="2"/>
      <c r="X96" s="7">
        <f t="shared" si="43"/>
        <v>0</v>
      </c>
      <c r="Y96" s="2"/>
      <c r="Z96" s="6">
        <f t="shared" si="44"/>
        <v>0</v>
      </c>
    </row>
    <row r="97" spans="1:26" s="27" customFormat="1" outlineLevel="1" collapsed="1" x14ac:dyDescent="0.25">
      <c r="A97" s="25"/>
      <c r="B97" s="12" t="str">
        <f>CONCATENATE("     ","Professional Services                             ")</f>
        <v xml:space="preserve">     Professional Services                             </v>
      </c>
      <c r="C97" s="12"/>
      <c r="D97" s="1">
        <f>SUM(OSRRefD22_11x_0)</f>
        <v>0</v>
      </c>
      <c r="E97" s="1"/>
      <c r="F97" s="5">
        <f t="shared" si="37"/>
        <v>0</v>
      </c>
      <c r="G97" s="1"/>
      <c r="H97" s="1">
        <f>SUM(OSRRefH22_11x_0)</f>
        <v>0</v>
      </c>
      <c r="I97" s="1"/>
      <c r="J97" s="5">
        <f t="shared" si="38"/>
        <v>0</v>
      </c>
      <c r="K97" s="1"/>
      <c r="L97" s="1">
        <f t="shared" si="39"/>
        <v>0</v>
      </c>
      <c r="M97" s="1"/>
      <c r="N97" s="5">
        <f t="shared" si="40"/>
        <v>0</v>
      </c>
      <c r="O97" s="12"/>
      <c r="P97" s="1">
        <f>SUM(OSRRefP22_11x_0)</f>
        <v>750</v>
      </c>
      <c r="Q97" s="1"/>
      <c r="R97" s="5">
        <f t="shared" si="41"/>
        <v>1.7448317559937937E-3</v>
      </c>
      <c r="S97" s="1"/>
      <c r="T97" s="1">
        <f>SUM(OSRRefT22_11x_0)</f>
        <v>900</v>
      </c>
      <c r="U97" s="1"/>
      <c r="V97" s="5">
        <f t="shared" si="42"/>
        <v>1.6123171031749699E-3</v>
      </c>
      <c r="W97" s="1"/>
      <c r="X97" s="1">
        <f t="shared" si="43"/>
        <v>-150</v>
      </c>
      <c r="Y97" s="1"/>
      <c r="Z97" s="5">
        <f t="shared" si="44"/>
        <v>-0.16666666666666666</v>
      </c>
    </row>
    <row r="98" spans="1:26" s="24" customFormat="1" hidden="1" outlineLevel="2" x14ac:dyDescent="0.25">
      <c r="A98" s="26"/>
      <c r="B98" s="11" t="str">
        <f>CONCATENATE("          ", "6336", " - ", "PROFESSIONAL SERVICES")</f>
        <v xml:space="preserve">          6336 - PROFESSIONAL SERVICES</v>
      </c>
      <c r="C98" s="11"/>
      <c r="D98" s="7"/>
      <c r="E98" s="2"/>
      <c r="F98" s="6">
        <f t="shared" si="37"/>
        <v>0</v>
      </c>
      <c r="G98" s="2"/>
      <c r="H98" s="7">
        <v>0</v>
      </c>
      <c r="I98" s="2"/>
      <c r="J98" s="6">
        <f t="shared" si="38"/>
        <v>0</v>
      </c>
      <c r="K98" s="2"/>
      <c r="L98" s="7">
        <f t="shared" si="39"/>
        <v>0</v>
      </c>
      <c r="M98" s="2"/>
      <c r="N98" s="6">
        <f t="shared" si="40"/>
        <v>0</v>
      </c>
      <c r="O98" s="11"/>
      <c r="P98" s="7">
        <v>750</v>
      </c>
      <c r="Q98" s="2"/>
      <c r="R98" s="6">
        <f t="shared" si="41"/>
        <v>1.7448317559937937E-3</v>
      </c>
      <c r="S98" s="2"/>
      <c r="T98" s="7">
        <v>900</v>
      </c>
      <c r="U98" s="2"/>
      <c r="V98" s="6">
        <f t="shared" si="42"/>
        <v>1.6123171031749699E-3</v>
      </c>
      <c r="W98" s="2"/>
      <c r="X98" s="7">
        <f t="shared" si="43"/>
        <v>-150</v>
      </c>
      <c r="Y98" s="2"/>
      <c r="Z98" s="6">
        <f t="shared" si="44"/>
        <v>-0.16666666666666666</v>
      </c>
    </row>
    <row r="99" spans="1:26" s="27" customFormat="1" outlineLevel="1" collapsed="1" x14ac:dyDescent="0.25">
      <c r="A99" s="25"/>
      <c r="B99" s="12" t="str">
        <f>CONCATENATE("     ","Rent                                              ")</f>
        <v xml:space="preserve">     Rent                                              </v>
      </c>
      <c r="C99" s="12"/>
      <c r="D99" s="1">
        <f>SUM(OSRRefD22_12x_0)</f>
        <v>6900</v>
      </c>
      <c r="E99" s="1"/>
      <c r="F99" s="5">
        <f t="shared" si="37"/>
        <v>0</v>
      </c>
      <c r="G99" s="1"/>
      <c r="H99" s="1">
        <f>SUM(OSRRefH22_12x_0)</f>
        <v>7200</v>
      </c>
      <c r="I99" s="1"/>
      <c r="J99" s="5">
        <f t="shared" si="38"/>
        <v>0.10179894493325412</v>
      </c>
      <c r="K99" s="1"/>
      <c r="L99" s="1">
        <f t="shared" si="39"/>
        <v>-300</v>
      </c>
      <c r="M99" s="1"/>
      <c r="N99" s="5">
        <f t="shared" si="40"/>
        <v>-4.1666666666666664E-2</v>
      </c>
      <c r="O99" s="12"/>
      <c r="P99" s="1">
        <f>SUM(OSRRefP22_12x_0)</f>
        <v>75900</v>
      </c>
      <c r="Q99" s="1"/>
      <c r="R99" s="5">
        <f t="shared" si="41"/>
        <v>0.17657697370657194</v>
      </c>
      <c r="S99" s="1"/>
      <c r="T99" s="1">
        <f>SUM(OSRRefT22_12x_0)</f>
        <v>79200</v>
      </c>
      <c r="U99" s="1"/>
      <c r="V99" s="5">
        <f t="shared" si="42"/>
        <v>0.14188390507939735</v>
      </c>
      <c r="W99" s="1"/>
      <c r="X99" s="1">
        <f t="shared" si="43"/>
        <v>-3300</v>
      </c>
      <c r="Y99" s="1"/>
      <c r="Z99" s="5">
        <f t="shared" si="44"/>
        <v>-4.1666666666666664E-2</v>
      </c>
    </row>
    <row r="100" spans="1:26" s="24" customFormat="1" hidden="1" outlineLevel="2" x14ac:dyDescent="0.25">
      <c r="A100" s="26"/>
      <c r="B100" s="11" t="str">
        <f>CONCATENATE("          ", "6273", " - ", "RENT")</f>
        <v xml:space="preserve">          6273 - RENT</v>
      </c>
      <c r="C100" s="11"/>
      <c r="D100" s="7">
        <v>6900</v>
      </c>
      <c r="E100" s="2"/>
      <c r="F100" s="6">
        <f t="shared" si="37"/>
        <v>0</v>
      </c>
      <c r="G100" s="2"/>
      <c r="H100" s="7">
        <v>7200</v>
      </c>
      <c r="I100" s="2"/>
      <c r="J100" s="6">
        <f t="shared" si="38"/>
        <v>0.10179894493325412</v>
      </c>
      <c r="K100" s="2"/>
      <c r="L100" s="7">
        <f t="shared" si="39"/>
        <v>-300</v>
      </c>
      <c r="M100" s="2"/>
      <c r="N100" s="6">
        <f t="shared" si="40"/>
        <v>-4.1666666666666664E-2</v>
      </c>
      <c r="O100" s="11"/>
      <c r="P100" s="7">
        <v>75900</v>
      </c>
      <c r="Q100" s="2"/>
      <c r="R100" s="6">
        <f t="shared" si="41"/>
        <v>0.17657697370657194</v>
      </c>
      <c r="S100" s="2"/>
      <c r="T100" s="7">
        <v>79200</v>
      </c>
      <c r="U100" s="2"/>
      <c r="V100" s="6">
        <f t="shared" si="42"/>
        <v>0.14188390507939735</v>
      </c>
      <c r="W100" s="2"/>
      <c r="X100" s="7">
        <f t="shared" si="43"/>
        <v>-3300</v>
      </c>
      <c r="Y100" s="2"/>
      <c r="Z100" s="6">
        <f t="shared" si="44"/>
        <v>-4.1666666666666664E-2</v>
      </c>
    </row>
    <row r="101" spans="1:26" s="27" customFormat="1" outlineLevel="1" collapsed="1" x14ac:dyDescent="0.25">
      <c r="A101" s="25"/>
      <c r="B101" s="12" t="str">
        <f>CONCATENATE("     ","Repair and Maintenance                            ")</f>
        <v xml:space="preserve">     Repair and Maintenance                            </v>
      </c>
      <c r="C101" s="12"/>
      <c r="D101" s="1">
        <f>SUM(OSRRefD22_13x_0)</f>
        <v>0</v>
      </c>
      <c r="E101" s="1"/>
      <c r="F101" s="5">
        <f t="shared" si="37"/>
        <v>0</v>
      </c>
      <c r="G101" s="1"/>
      <c r="H101" s="1">
        <f>SUM(OSRRefH22_13x_0)</f>
        <v>100</v>
      </c>
      <c r="I101" s="1"/>
      <c r="J101" s="5">
        <f t="shared" si="38"/>
        <v>1.413874235184085E-3</v>
      </c>
      <c r="K101" s="1"/>
      <c r="L101" s="1">
        <f t="shared" si="39"/>
        <v>-100</v>
      </c>
      <c r="M101" s="1"/>
      <c r="N101" s="5">
        <f t="shared" si="40"/>
        <v>-1</v>
      </c>
      <c r="O101" s="12"/>
      <c r="P101" s="1">
        <f>SUM(OSRRefP22_13x_0)</f>
        <v>323.98</v>
      </c>
      <c r="Q101" s="1"/>
      <c r="R101" s="5">
        <f t="shared" si="41"/>
        <v>7.5372078974249247E-4</v>
      </c>
      <c r="S101" s="1"/>
      <c r="T101" s="1">
        <f>SUM(OSRRefT22_13x_0)</f>
        <v>1450</v>
      </c>
      <c r="U101" s="1"/>
      <c r="V101" s="5">
        <f t="shared" si="42"/>
        <v>2.5976219995596738E-3</v>
      </c>
      <c r="W101" s="1"/>
      <c r="X101" s="1">
        <f t="shared" si="43"/>
        <v>-1126.02</v>
      </c>
      <c r="Y101" s="1"/>
      <c r="Z101" s="5">
        <f t="shared" si="44"/>
        <v>-0.77656551724137934</v>
      </c>
    </row>
    <row r="102" spans="1:26" s="24" customFormat="1" hidden="1" outlineLevel="2" x14ac:dyDescent="0.25">
      <c r="A102" s="26"/>
      <c r="B102" s="11" t="str">
        <f>CONCATENATE("          ", "6373", " - ", "MAINTENANCE CONTRACTS")</f>
        <v xml:space="preserve">          6373 - MAINTENANCE CONTRACTS</v>
      </c>
      <c r="C102" s="11"/>
      <c r="D102" s="7"/>
      <c r="E102" s="2"/>
      <c r="F102" s="6">
        <f t="shared" si="37"/>
        <v>0</v>
      </c>
      <c r="G102" s="2"/>
      <c r="H102" s="7">
        <v>0</v>
      </c>
      <c r="I102" s="2"/>
      <c r="J102" s="6">
        <f t="shared" si="38"/>
        <v>0</v>
      </c>
      <c r="K102" s="2"/>
      <c r="L102" s="7">
        <f t="shared" si="39"/>
        <v>0</v>
      </c>
      <c r="M102" s="2"/>
      <c r="N102" s="6">
        <f t="shared" si="40"/>
        <v>0</v>
      </c>
      <c r="O102" s="11"/>
      <c r="P102" s="7">
        <v>141.44999999999999</v>
      </c>
      <c r="Q102" s="2"/>
      <c r="R102" s="6">
        <f t="shared" si="41"/>
        <v>3.2907526918042948E-4</v>
      </c>
      <c r="S102" s="2"/>
      <c r="T102" s="7">
        <v>75</v>
      </c>
      <c r="U102" s="2"/>
      <c r="V102" s="6">
        <f t="shared" si="42"/>
        <v>1.3435975859791416E-4</v>
      </c>
      <c r="W102" s="2"/>
      <c r="X102" s="7">
        <f t="shared" si="43"/>
        <v>66.449999999999989</v>
      </c>
      <c r="Y102" s="2"/>
      <c r="Z102" s="6">
        <f t="shared" si="44"/>
        <v>0.8859999999999999</v>
      </c>
    </row>
    <row r="103" spans="1:26" s="24" customFormat="1" hidden="1" outlineLevel="2" x14ac:dyDescent="0.25">
      <c r="A103" s="26"/>
      <c r="B103" s="11" t="str">
        <f>CONCATENATE("          ", "6375", " - ", "OUTSIDE REPAIRS &amp; MAINTENANCE")</f>
        <v xml:space="preserve">          6375 - OUTSIDE REPAIRS &amp; MAINTENANCE</v>
      </c>
      <c r="C103" s="11"/>
      <c r="D103" s="7"/>
      <c r="E103" s="2"/>
      <c r="F103" s="6">
        <f t="shared" si="37"/>
        <v>0</v>
      </c>
      <c r="G103" s="2"/>
      <c r="H103" s="7">
        <v>100</v>
      </c>
      <c r="I103" s="2"/>
      <c r="J103" s="6">
        <f t="shared" si="38"/>
        <v>1.413874235184085E-3</v>
      </c>
      <c r="K103" s="2"/>
      <c r="L103" s="7">
        <f t="shared" si="39"/>
        <v>-100</v>
      </c>
      <c r="M103" s="2"/>
      <c r="N103" s="6">
        <f t="shared" si="40"/>
        <v>-1</v>
      </c>
      <c r="O103" s="11"/>
      <c r="P103" s="7">
        <v>182.53</v>
      </c>
      <c r="Q103" s="2"/>
      <c r="R103" s="6">
        <f t="shared" si="41"/>
        <v>4.2464552056206288E-4</v>
      </c>
      <c r="S103" s="2"/>
      <c r="T103" s="7">
        <v>1375</v>
      </c>
      <c r="U103" s="2"/>
      <c r="V103" s="6">
        <f t="shared" si="42"/>
        <v>2.4632622409617596E-3</v>
      </c>
      <c r="W103" s="2"/>
      <c r="X103" s="7">
        <f t="shared" si="43"/>
        <v>-1192.47</v>
      </c>
      <c r="Y103" s="2"/>
      <c r="Z103" s="6">
        <f t="shared" si="44"/>
        <v>-0.86725090909090907</v>
      </c>
    </row>
    <row r="104" spans="1:26" s="27" customFormat="1" outlineLevel="1" collapsed="1" x14ac:dyDescent="0.25">
      <c r="A104" s="25"/>
      <c r="B104" s="12" t="str">
        <f>CONCATENATE("     ","Services                                          ")</f>
        <v xml:space="preserve">     Services                                          </v>
      </c>
      <c r="C104" s="12"/>
      <c r="D104" s="1">
        <f>SUM(OSRRefD22_14x_0)</f>
        <v>189.45</v>
      </c>
      <c r="E104" s="1"/>
      <c r="F104" s="5">
        <f t="shared" ref="F104:F107" si="45">IF(D$12=0,0,D104/D$12)</f>
        <v>0</v>
      </c>
      <c r="G104" s="1"/>
      <c r="H104" s="1">
        <f>SUM(OSRRefH22_14x_0)</f>
        <v>242.5</v>
      </c>
      <c r="I104" s="1"/>
      <c r="J104" s="5">
        <f t="shared" ref="J104:J107" si="46">IF(H$12=0,0,H104/H$12)</f>
        <v>3.4286450203214061E-3</v>
      </c>
      <c r="K104" s="1"/>
      <c r="L104" s="1">
        <f t="shared" ref="L104:L107" si="47">+D104-H104</f>
        <v>-53.050000000000011</v>
      </c>
      <c r="M104" s="1"/>
      <c r="N104" s="5">
        <f t="shared" ref="N104:N107" si="48">IF(H104=0,0,L104/H104)</f>
        <v>-0.21876288659793819</v>
      </c>
      <c r="O104" s="12"/>
      <c r="P104" s="1">
        <f>SUM(OSRRefP22_14x_0)</f>
        <v>2949.5299999999997</v>
      </c>
      <c r="Q104" s="1"/>
      <c r="R104" s="5">
        <f t="shared" ref="R104:R107" si="49">IF(P$12=0,0,P104/P$12)</f>
        <v>6.8619114790084987E-3</v>
      </c>
      <c r="S104" s="1"/>
      <c r="T104" s="1">
        <f>SUM(OSRRefT22_14x_0)</f>
        <v>2932.5</v>
      </c>
      <c r="U104" s="1"/>
      <c r="V104" s="5">
        <f t="shared" ref="V104:V107" si="50">IF(T$12=0,0,T104/T$12)</f>
        <v>5.253466561178444E-3</v>
      </c>
      <c r="W104" s="1"/>
      <c r="X104" s="1">
        <f t="shared" ref="X104:X107" si="51">+P104-T104</f>
        <v>17.029999999999745</v>
      </c>
      <c r="Y104" s="1"/>
      <c r="Z104" s="5">
        <f t="shared" ref="Z104:Z107" si="52">IF(T104=0,0,X104/T104)</f>
        <v>5.8073316283034082E-3</v>
      </c>
    </row>
    <row r="105" spans="1:26" s="24" customFormat="1" hidden="1" outlineLevel="2" x14ac:dyDescent="0.25">
      <c r="A105" s="26"/>
      <c r="B105" s="11" t="str">
        <f>CONCATENATE("          ", "6283", " - ", "PLANT SERVICE")</f>
        <v xml:space="preserve">          6283 - PLANT SERVICE</v>
      </c>
      <c r="C105" s="11"/>
      <c r="D105" s="7"/>
      <c r="E105" s="2"/>
      <c r="F105" s="6">
        <f t="shared" si="45"/>
        <v>0</v>
      </c>
      <c r="G105" s="2"/>
      <c r="H105" s="7">
        <v>60</v>
      </c>
      <c r="I105" s="2"/>
      <c r="J105" s="6">
        <f t="shared" si="46"/>
        <v>8.4832454111045095E-4</v>
      </c>
      <c r="K105" s="2"/>
      <c r="L105" s="7">
        <f t="shared" si="47"/>
        <v>-60</v>
      </c>
      <c r="M105" s="2"/>
      <c r="N105" s="6">
        <f t="shared" si="48"/>
        <v>-1</v>
      </c>
      <c r="O105" s="11"/>
      <c r="P105" s="7">
        <v>178.65</v>
      </c>
      <c r="Q105" s="2"/>
      <c r="R105" s="6">
        <f t="shared" si="49"/>
        <v>4.1561892427772166E-4</v>
      </c>
      <c r="S105" s="2"/>
      <c r="T105" s="7">
        <v>660</v>
      </c>
      <c r="U105" s="2"/>
      <c r="V105" s="6">
        <f t="shared" si="50"/>
        <v>1.1823658756616446E-3</v>
      </c>
      <c r="W105" s="2"/>
      <c r="X105" s="7">
        <f t="shared" si="51"/>
        <v>-481.35</v>
      </c>
      <c r="Y105" s="2"/>
      <c r="Z105" s="6">
        <f t="shared" si="52"/>
        <v>-0.72931818181818187</v>
      </c>
    </row>
    <row r="106" spans="1:26" s="24" customFormat="1" hidden="1" outlineLevel="2" x14ac:dyDescent="0.25">
      <c r="A106" s="26"/>
      <c r="B106" s="11" t="str">
        <f>CONCATENATE("          ", "6284", " - ", "TRASH REMOVAL EXPENSE")</f>
        <v xml:space="preserve">          6284 - TRASH REMOVAL EXPENSE</v>
      </c>
      <c r="C106" s="11"/>
      <c r="D106" s="7">
        <v>134.82</v>
      </c>
      <c r="E106" s="2"/>
      <c r="F106" s="6">
        <f t="shared" si="45"/>
        <v>0</v>
      </c>
      <c r="G106" s="2"/>
      <c r="H106" s="7">
        <v>62.5</v>
      </c>
      <c r="I106" s="2"/>
      <c r="J106" s="6">
        <f t="shared" si="46"/>
        <v>8.8367139699005307E-4</v>
      </c>
      <c r="K106" s="2"/>
      <c r="L106" s="7">
        <f t="shared" si="47"/>
        <v>72.319999999999993</v>
      </c>
      <c r="M106" s="2"/>
      <c r="N106" s="6">
        <f t="shared" si="48"/>
        <v>1.1571199999999999</v>
      </c>
      <c r="O106" s="11"/>
      <c r="P106" s="7">
        <v>1483.02</v>
      </c>
      <c r="Q106" s="2"/>
      <c r="R106" s="6">
        <f t="shared" si="49"/>
        <v>3.4501605210318881E-3</v>
      </c>
      <c r="S106" s="2"/>
      <c r="T106" s="7">
        <v>687.5</v>
      </c>
      <c r="U106" s="2"/>
      <c r="V106" s="6">
        <f t="shared" si="50"/>
        <v>1.2316311204808798E-3</v>
      </c>
      <c r="W106" s="2"/>
      <c r="X106" s="7">
        <f t="shared" si="51"/>
        <v>795.52</v>
      </c>
      <c r="Y106" s="2"/>
      <c r="Z106" s="6">
        <f t="shared" si="52"/>
        <v>1.1571199999999999</v>
      </c>
    </row>
    <row r="107" spans="1:26" s="24" customFormat="1" hidden="1" outlineLevel="2" x14ac:dyDescent="0.25">
      <c r="A107" s="26"/>
      <c r="B107" s="11" t="str">
        <f>CONCATENATE("          ", "6285", " - ", "JANITORIAL SERVICES")</f>
        <v xml:space="preserve">          6285 - JANITORIAL SERVICES</v>
      </c>
      <c r="C107" s="11"/>
      <c r="D107" s="7">
        <v>54.63</v>
      </c>
      <c r="E107" s="2"/>
      <c r="F107" s="6">
        <f t="shared" si="45"/>
        <v>0</v>
      </c>
      <c r="G107" s="2"/>
      <c r="H107" s="7">
        <v>120</v>
      </c>
      <c r="I107" s="2"/>
      <c r="J107" s="6">
        <f t="shared" si="46"/>
        <v>1.6966490822209019E-3</v>
      </c>
      <c r="K107" s="2"/>
      <c r="L107" s="7">
        <f t="shared" si="47"/>
        <v>-65.37</v>
      </c>
      <c r="M107" s="2"/>
      <c r="N107" s="6">
        <f t="shared" si="48"/>
        <v>-0.54475000000000007</v>
      </c>
      <c r="O107" s="11"/>
      <c r="P107" s="7">
        <v>1287.8599999999999</v>
      </c>
      <c r="Q107" s="2"/>
      <c r="R107" s="6">
        <f t="shared" si="49"/>
        <v>2.9961320336988895E-3</v>
      </c>
      <c r="S107" s="2"/>
      <c r="T107" s="7">
        <v>1585</v>
      </c>
      <c r="U107" s="2"/>
      <c r="V107" s="6">
        <f t="shared" si="50"/>
        <v>2.8394695650359194E-3</v>
      </c>
      <c r="W107" s="2"/>
      <c r="X107" s="7">
        <f t="shared" si="51"/>
        <v>-297.1400000000001</v>
      </c>
      <c r="Y107" s="2"/>
      <c r="Z107" s="6">
        <f t="shared" si="52"/>
        <v>-0.18747003154574138</v>
      </c>
    </row>
    <row r="108" spans="1:26" s="27" customFormat="1" outlineLevel="1" collapsed="1" x14ac:dyDescent="0.25">
      <c r="A108" s="25"/>
      <c r="B108" s="12" t="str">
        <f>CONCATENATE("     ","Subscriptions &amp; Dues                              ")</f>
        <v xml:space="preserve">     Subscriptions &amp; Dues                              </v>
      </c>
      <c r="C108" s="12"/>
      <c r="D108" s="1">
        <f>SUM(OSRRefD22_15x_0)</f>
        <v>0</v>
      </c>
      <c r="E108" s="1"/>
      <c r="F108" s="5">
        <f t="shared" ref="F108:F110" si="53">IF(D$12=0,0,D108/D$12)</f>
        <v>0</v>
      </c>
      <c r="G108" s="1"/>
      <c r="H108" s="1">
        <f>SUM(OSRRefH22_15x_0)</f>
        <v>215</v>
      </c>
      <c r="I108" s="1"/>
      <c r="J108" s="5">
        <f t="shared" ref="J108:J110" si="54">IF(H$12=0,0,H108/H$12)</f>
        <v>3.0398296056457826E-3</v>
      </c>
      <c r="K108" s="1"/>
      <c r="L108" s="1">
        <f t="shared" ref="L108:L110" si="55">+D108-H108</f>
        <v>-215</v>
      </c>
      <c r="M108" s="1"/>
      <c r="N108" s="5">
        <f t="shared" ref="N108:N110" si="56">IF(H108=0,0,L108/H108)</f>
        <v>-1</v>
      </c>
      <c r="O108" s="12"/>
      <c r="P108" s="1">
        <f>SUM(OSRRefP22_15x_0)</f>
        <v>268.40999999999997</v>
      </c>
      <c r="Q108" s="1"/>
      <c r="R108" s="5">
        <f t="shared" ref="R108:R110" si="57">IF(P$12=0,0,P108/P$12)</f>
        <v>6.2444038883505886E-4</v>
      </c>
      <c r="S108" s="1"/>
      <c r="T108" s="1">
        <f>SUM(OSRRefT22_15x_0)</f>
        <v>3060</v>
      </c>
      <c r="U108" s="1"/>
      <c r="V108" s="5">
        <f t="shared" ref="V108:V110" si="58">IF(T$12=0,0,T108/T$12)</f>
        <v>5.4818781507948982E-3</v>
      </c>
      <c r="W108" s="1"/>
      <c r="X108" s="1">
        <f t="shared" ref="X108:X110" si="59">+P108-T108</f>
        <v>-2791.59</v>
      </c>
      <c r="Y108" s="1"/>
      <c r="Z108" s="5">
        <f t="shared" ref="Z108:Z110" si="60">IF(T108=0,0,X108/T108)</f>
        <v>-0.91228431372549024</v>
      </c>
    </row>
    <row r="109" spans="1:26" s="24" customFormat="1" hidden="1" outlineLevel="2" x14ac:dyDescent="0.25">
      <c r="A109" s="26"/>
      <c r="B109" s="11" t="str">
        <f>CONCATENATE("          ", "6258", " - ", "MEMBERSHIP DUES")</f>
        <v xml:space="preserve">          6258 - MEMBERSHIP DUES</v>
      </c>
      <c r="C109" s="11"/>
      <c r="D109" s="7"/>
      <c r="E109" s="2"/>
      <c r="F109" s="6">
        <f t="shared" si="53"/>
        <v>0</v>
      </c>
      <c r="G109" s="2"/>
      <c r="H109" s="7">
        <v>0</v>
      </c>
      <c r="I109" s="2"/>
      <c r="J109" s="6">
        <f t="shared" si="54"/>
        <v>0</v>
      </c>
      <c r="K109" s="2"/>
      <c r="L109" s="7">
        <f t="shared" si="55"/>
        <v>0</v>
      </c>
      <c r="M109" s="2"/>
      <c r="N109" s="6">
        <f t="shared" si="56"/>
        <v>0</v>
      </c>
      <c r="O109" s="11"/>
      <c r="P109" s="7">
        <v>29.99</v>
      </c>
      <c r="Q109" s="2"/>
      <c r="R109" s="6">
        <f t="shared" si="57"/>
        <v>6.9770005816338491E-5</v>
      </c>
      <c r="S109" s="2"/>
      <c r="T109" s="7">
        <v>395</v>
      </c>
      <c r="U109" s="2"/>
      <c r="V109" s="6">
        <f t="shared" si="58"/>
        <v>7.0762806194901457E-4</v>
      </c>
      <c r="W109" s="2"/>
      <c r="X109" s="7">
        <f t="shared" si="59"/>
        <v>-365.01</v>
      </c>
      <c r="Y109" s="2"/>
      <c r="Z109" s="6">
        <f t="shared" si="60"/>
        <v>-0.92407594936708859</v>
      </c>
    </row>
    <row r="110" spans="1:26" s="24" customFormat="1" hidden="1" outlineLevel="2" x14ac:dyDescent="0.25">
      <c r="A110" s="26"/>
      <c r="B110" s="11" t="str">
        <f>CONCATENATE("          ", "6275", " - ", "SUBSCRIPTIONS")</f>
        <v xml:space="preserve">          6275 - SUBSCRIPTIONS</v>
      </c>
      <c r="C110" s="11"/>
      <c r="D110" s="7"/>
      <c r="E110" s="2"/>
      <c r="F110" s="6">
        <f t="shared" si="53"/>
        <v>0</v>
      </c>
      <c r="G110" s="2"/>
      <c r="H110" s="7">
        <v>215</v>
      </c>
      <c r="I110" s="2"/>
      <c r="J110" s="6">
        <f t="shared" si="54"/>
        <v>3.0398296056457826E-3</v>
      </c>
      <c r="K110" s="2"/>
      <c r="L110" s="7">
        <f t="shared" si="55"/>
        <v>-215</v>
      </c>
      <c r="M110" s="2"/>
      <c r="N110" s="6">
        <f t="shared" si="56"/>
        <v>-1</v>
      </c>
      <c r="O110" s="11"/>
      <c r="P110" s="7">
        <v>238.42</v>
      </c>
      <c r="Q110" s="2"/>
      <c r="R110" s="6">
        <f t="shared" si="57"/>
        <v>5.5467038301872042E-4</v>
      </c>
      <c r="S110" s="2"/>
      <c r="T110" s="7">
        <v>2665</v>
      </c>
      <c r="U110" s="2"/>
      <c r="V110" s="6">
        <f t="shared" si="58"/>
        <v>4.7742500888458836E-3</v>
      </c>
      <c r="W110" s="2"/>
      <c r="X110" s="7">
        <f t="shared" si="59"/>
        <v>-2426.58</v>
      </c>
      <c r="Y110" s="2"/>
      <c r="Z110" s="6">
        <f t="shared" si="60"/>
        <v>-0.91053658536585358</v>
      </c>
    </row>
    <row r="111" spans="1:26" s="27" customFormat="1" outlineLevel="1" collapsed="1" x14ac:dyDescent="0.25">
      <c r="A111" s="25"/>
      <c r="B111" s="12" t="str">
        <f>CONCATENATE("     ","Supplies                                          ")</f>
        <v xml:space="preserve">     Supplies                                          </v>
      </c>
      <c r="C111" s="12"/>
      <c r="D111" s="1">
        <f>SUM(OSRRefD22_16x_0)</f>
        <v>0</v>
      </c>
      <c r="E111" s="1"/>
      <c r="F111" s="5">
        <f t="shared" ref="F111:F117" si="61">IF(D$12=0,0,D111/D$12)</f>
        <v>0</v>
      </c>
      <c r="G111" s="1"/>
      <c r="H111" s="1">
        <f>SUM(OSRRefH22_16x_0)</f>
        <v>470</v>
      </c>
      <c r="I111" s="1"/>
      <c r="J111" s="5">
        <f t="shared" ref="J111:J117" si="62">IF(H$12=0,0,H111/H$12)</f>
        <v>6.6452089053651991E-3</v>
      </c>
      <c r="K111" s="1"/>
      <c r="L111" s="1">
        <f t="shared" ref="L111:L117" si="63">+D111-H111</f>
        <v>-470</v>
      </c>
      <c r="M111" s="1"/>
      <c r="N111" s="5">
        <f t="shared" ref="N111:N117" si="64">IF(H111=0,0,L111/H111)</f>
        <v>-1</v>
      </c>
      <c r="O111" s="12"/>
      <c r="P111" s="1">
        <f>SUM(OSRRefP22_16x_0)</f>
        <v>3811.06</v>
      </c>
      <c r="Q111" s="1"/>
      <c r="R111" s="5">
        <f t="shared" ref="R111:R117" si="65">IF(P$12=0,0,P111/P$12)</f>
        <v>8.8662113493302771E-3</v>
      </c>
      <c r="S111" s="1"/>
      <c r="T111" s="1">
        <f>SUM(OSRRefT22_16x_0)</f>
        <v>4890</v>
      </c>
      <c r="U111" s="1"/>
      <c r="V111" s="5">
        <f t="shared" ref="V111:V117" si="66">IF(T$12=0,0,T111/T$12)</f>
        <v>8.7602562605840033E-3</v>
      </c>
      <c r="W111" s="1"/>
      <c r="X111" s="1">
        <f t="shared" ref="X111:X117" si="67">+P111-T111</f>
        <v>-1078.94</v>
      </c>
      <c r="Y111" s="1"/>
      <c r="Z111" s="5">
        <f t="shared" ref="Z111:Z117" si="68">IF(T111=0,0,X111/T111)</f>
        <v>-0.22064212678936607</v>
      </c>
    </row>
    <row r="112" spans="1:26" s="24" customFormat="1" hidden="1" outlineLevel="2" x14ac:dyDescent="0.25">
      <c r="A112" s="26"/>
      <c r="B112" s="11" t="str">
        <f>CONCATENATE("          ", "6234", " - ", "EXPENDABLE SUPPLIES &amp; EQUIPMEN")</f>
        <v xml:space="preserve">          6234 - EXPENDABLE SUPPLIES &amp; EQUIPMEN</v>
      </c>
      <c r="C112" s="11"/>
      <c r="D112" s="7"/>
      <c r="E112" s="2"/>
      <c r="F112" s="6">
        <f t="shared" si="61"/>
        <v>0</v>
      </c>
      <c r="G112" s="2"/>
      <c r="H112" s="7">
        <v>200</v>
      </c>
      <c r="I112" s="2"/>
      <c r="J112" s="6">
        <f t="shared" si="62"/>
        <v>2.8277484703681699E-3</v>
      </c>
      <c r="K112" s="2"/>
      <c r="L112" s="7">
        <f t="shared" si="63"/>
        <v>-200</v>
      </c>
      <c r="M112" s="2"/>
      <c r="N112" s="6">
        <f t="shared" si="64"/>
        <v>-1</v>
      </c>
      <c r="O112" s="11"/>
      <c r="P112" s="7">
        <v>303.86</v>
      </c>
      <c r="Q112" s="2"/>
      <c r="R112" s="6">
        <f t="shared" si="65"/>
        <v>7.0691276983503228E-4</v>
      </c>
      <c r="S112" s="2"/>
      <c r="T112" s="7">
        <v>1750</v>
      </c>
      <c r="U112" s="2"/>
      <c r="V112" s="6">
        <f t="shared" si="66"/>
        <v>3.1350610339513306E-3</v>
      </c>
      <c r="W112" s="2"/>
      <c r="X112" s="7">
        <f t="shared" si="67"/>
        <v>-1446.1399999999999</v>
      </c>
      <c r="Y112" s="2"/>
      <c r="Z112" s="6">
        <f t="shared" si="68"/>
        <v>-0.82636571428571426</v>
      </c>
    </row>
    <row r="113" spans="1:26" s="24" customFormat="1" hidden="1" outlineLevel="2" x14ac:dyDescent="0.25">
      <c r="A113" s="26"/>
      <c r="B113" s="11" t="str">
        <f>CONCATENATE("          ", "6237", " - ", "JANITORIAL SUPPLIES")</f>
        <v xml:space="preserve">          6237 - JANITORIAL SUPPLIES</v>
      </c>
      <c r="C113" s="11"/>
      <c r="D113" s="7"/>
      <c r="E113" s="2"/>
      <c r="F113" s="6">
        <f t="shared" si="61"/>
        <v>0</v>
      </c>
      <c r="G113" s="2"/>
      <c r="H113" s="7">
        <v>20</v>
      </c>
      <c r="I113" s="2"/>
      <c r="J113" s="6">
        <f t="shared" si="62"/>
        <v>2.82774847036817E-4</v>
      </c>
      <c r="K113" s="2"/>
      <c r="L113" s="7">
        <f t="shared" si="63"/>
        <v>-20</v>
      </c>
      <c r="M113" s="2"/>
      <c r="N113" s="6">
        <f t="shared" si="64"/>
        <v>-1</v>
      </c>
      <c r="O113" s="11"/>
      <c r="P113" s="7">
        <v>670.42</v>
      </c>
      <c r="Q113" s="2"/>
      <c r="R113" s="6">
        <f t="shared" si="65"/>
        <v>1.5596934744711455E-3</v>
      </c>
      <c r="S113" s="2"/>
      <c r="T113" s="7">
        <v>215</v>
      </c>
      <c r="U113" s="2"/>
      <c r="V113" s="6">
        <f t="shared" si="66"/>
        <v>3.8516464131402062E-4</v>
      </c>
      <c r="W113" s="2"/>
      <c r="X113" s="7">
        <f t="shared" si="67"/>
        <v>455.41999999999996</v>
      </c>
      <c r="Y113" s="2"/>
      <c r="Z113" s="6">
        <f t="shared" si="68"/>
        <v>2.1182325581395345</v>
      </c>
    </row>
    <row r="114" spans="1:26" s="24" customFormat="1" hidden="1" outlineLevel="2" x14ac:dyDescent="0.25">
      <c r="A114" s="26"/>
      <c r="B114" s="11" t="str">
        <f>CONCATENATE("          ", "6241", " - ", "OFFICE EXPENSE")</f>
        <v xml:space="preserve">          6241 - OFFICE EXPENSE</v>
      </c>
      <c r="C114" s="11"/>
      <c r="D114" s="7"/>
      <c r="E114" s="2"/>
      <c r="F114" s="6">
        <f t="shared" si="61"/>
        <v>0</v>
      </c>
      <c r="G114" s="2"/>
      <c r="H114" s="7">
        <v>200</v>
      </c>
      <c r="I114" s="2"/>
      <c r="J114" s="6">
        <f t="shared" si="62"/>
        <v>2.8277484703681699E-3</v>
      </c>
      <c r="K114" s="2"/>
      <c r="L114" s="7">
        <f t="shared" si="63"/>
        <v>-200</v>
      </c>
      <c r="M114" s="2"/>
      <c r="N114" s="6">
        <f t="shared" si="64"/>
        <v>-1</v>
      </c>
      <c r="O114" s="11"/>
      <c r="P114" s="7">
        <v>2338.41</v>
      </c>
      <c r="Q114" s="2"/>
      <c r="R114" s="6">
        <f t="shared" si="65"/>
        <v>5.4401760353779294E-3</v>
      </c>
      <c r="S114" s="2"/>
      <c r="T114" s="7">
        <v>2125</v>
      </c>
      <c r="U114" s="2"/>
      <c r="V114" s="6">
        <f t="shared" si="66"/>
        <v>3.8068598269409013E-3</v>
      </c>
      <c r="W114" s="2"/>
      <c r="X114" s="7">
        <f t="shared" si="67"/>
        <v>213.40999999999985</v>
      </c>
      <c r="Y114" s="2"/>
      <c r="Z114" s="6">
        <f t="shared" si="68"/>
        <v>0.10042823529411758</v>
      </c>
    </row>
    <row r="115" spans="1:26" s="24" customFormat="1" hidden="1" outlineLevel="2" x14ac:dyDescent="0.25">
      <c r="A115" s="26"/>
      <c r="B115" s="11" t="str">
        <f>CONCATENATE("          ", "6245", " - ", "PRINTING")</f>
        <v xml:space="preserve">          6245 - PRINTING</v>
      </c>
      <c r="C115" s="11"/>
      <c r="D115" s="7"/>
      <c r="E115" s="2"/>
      <c r="F115" s="6">
        <f t="shared" si="61"/>
        <v>0</v>
      </c>
      <c r="G115" s="2"/>
      <c r="H115" s="7"/>
      <c r="I115" s="2"/>
      <c r="J115" s="6">
        <f t="shared" si="62"/>
        <v>0</v>
      </c>
      <c r="K115" s="2"/>
      <c r="L115" s="7">
        <f t="shared" si="63"/>
        <v>0</v>
      </c>
      <c r="M115" s="2"/>
      <c r="N115" s="6">
        <f t="shared" si="64"/>
        <v>0</v>
      </c>
      <c r="O115" s="11"/>
      <c r="P115" s="7">
        <v>22.05</v>
      </c>
      <c r="Q115" s="2"/>
      <c r="R115" s="6">
        <f t="shared" si="65"/>
        <v>5.1298053626217537E-5</v>
      </c>
      <c r="S115" s="2"/>
      <c r="T115" s="7"/>
      <c r="U115" s="2"/>
      <c r="V115" s="6">
        <f t="shared" si="66"/>
        <v>0</v>
      </c>
      <c r="W115" s="2"/>
      <c r="X115" s="7">
        <f t="shared" si="67"/>
        <v>22.05</v>
      </c>
      <c r="Y115" s="2"/>
      <c r="Z115" s="6">
        <f t="shared" si="68"/>
        <v>0</v>
      </c>
    </row>
    <row r="116" spans="1:26" s="24" customFormat="1" hidden="1" outlineLevel="2" x14ac:dyDescent="0.25">
      <c r="A116" s="26"/>
      <c r="B116" s="11" t="str">
        <f>CONCATENATE("          ", "6247", " - ", "STORE SUPPLIES")</f>
        <v xml:space="preserve">          6247 - STORE SUPPLIES</v>
      </c>
      <c r="C116" s="11"/>
      <c r="D116" s="7"/>
      <c r="E116" s="2"/>
      <c r="F116" s="6">
        <f t="shared" si="61"/>
        <v>0</v>
      </c>
      <c r="G116" s="2"/>
      <c r="H116" s="7">
        <v>50</v>
      </c>
      <c r="I116" s="2"/>
      <c r="J116" s="6">
        <f t="shared" si="62"/>
        <v>7.0693711759204248E-4</v>
      </c>
      <c r="K116" s="2"/>
      <c r="L116" s="7">
        <f t="shared" si="63"/>
        <v>-50</v>
      </c>
      <c r="M116" s="2"/>
      <c r="N116" s="6">
        <f t="shared" si="64"/>
        <v>-1</v>
      </c>
      <c r="O116" s="11"/>
      <c r="P116" s="7">
        <v>476.32</v>
      </c>
      <c r="Q116" s="2"/>
      <c r="R116" s="6">
        <f t="shared" si="65"/>
        <v>1.1081310160199517E-3</v>
      </c>
      <c r="S116" s="2"/>
      <c r="T116" s="7">
        <v>300</v>
      </c>
      <c r="U116" s="2"/>
      <c r="V116" s="6">
        <f t="shared" si="66"/>
        <v>5.3743903439165664E-4</v>
      </c>
      <c r="W116" s="2"/>
      <c r="X116" s="7">
        <f t="shared" si="67"/>
        <v>176.32</v>
      </c>
      <c r="Y116" s="2"/>
      <c r="Z116" s="6">
        <f t="shared" si="68"/>
        <v>0.58773333333333333</v>
      </c>
    </row>
    <row r="117" spans="1:26" s="24" customFormat="1" hidden="1" outlineLevel="2" x14ac:dyDescent="0.25">
      <c r="A117" s="26"/>
      <c r="B117" s="11" t="str">
        <f>CONCATENATE("          ", "6248", " - ", "UNIFORMS")</f>
        <v xml:space="preserve">          6248 - UNIFORMS</v>
      </c>
      <c r="C117" s="11"/>
      <c r="D117" s="7"/>
      <c r="E117" s="2"/>
      <c r="F117" s="6">
        <f t="shared" si="61"/>
        <v>0</v>
      </c>
      <c r="G117" s="2"/>
      <c r="H117" s="7">
        <v>0</v>
      </c>
      <c r="I117" s="2"/>
      <c r="J117" s="6">
        <f t="shared" si="62"/>
        <v>0</v>
      </c>
      <c r="K117" s="2"/>
      <c r="L117" s="7">
        <f t="shared" si="63"/>
        <v>0</v>
      </c>
      <c r="M117" s="2"/>
      <c r="N117" s="6">
        <f t="shared" si="64"/>
        <v>0</v>
      </c>
      <c r="O117" s="11"/>
      <c r="P117" s="7"/>
      <c r="Q117" s="2"/>
      <c r="R117" s="6">
        <f t="shared" si="65"/>
        <v>0</v>
      </c>
      <c r="S117" s="2"/>
      <c r="T117" s="7">
        <v>500</v>
      </c>
      <c r="U117" s="2"/>
      <c r="V117" s="6">
        <f t="shared" si="66"/>
        <v>8.9573172398609447E-4</v>
      </c>
      <c r="W117" s="2"/>
      <c r="X117" s="7">
        <f t="shared" si="67"/>
        <v>-500</v>
      </c>
      <c r="Y117" s="2"/>
      <c r="Z117" s="6">
        <f t="shared" si="68"/>
        <v>-1</v>
      </c>
    </row>
    <row r="118" spans="1:26" s="27" customFormat="1" outlineLevel="1" collapsed="1" x14ac:dyDescent="0.25">
      <c r="A118" s="25"/>
      <c r="B118" s="12" t="str">
        <f>CONCATENATE("     ","Telephone/Data Lines                              ")</f>
        <v xml:space="preserve">     Telephone/Data Lines                              </v>
      </c>
      <c r="C118" s="12"/>
      <c r="D118" s="1">
        <f>SUM(OSRRefD22_17x_0)</f>
        <v>295.22000000000003</v>
      </c>
      <c r="E118" s="1"/>
      <c r="F118" s="5">
        <f t="shared" ref="F118:F120" si="69">IF(D$12=0,0,D118/D$12)</f>
        <v>0</v>
      </c>
      <c r="G118" s="1"/>
      <c r="H118" s="1">
        <f>SUM(OSRRefH22_17x_0)</f>
        <v>450</v>
      </c>
      <c r="I118" s="1"/>
      <c r="J118" s="5">
        <f t="shared" ref="J118:J120" si="70">IF(H$12=0,0,H118/H$12)</f>
        <v>6.3624340583283822E-3</v>
      </c>
      <c r="K118" s="1"/>
      <c r="L118" s="1">
        <f t="shared" ref="L118:L120" si="71">+D118-H118</f>
        <v>-154.77999999999997</v>
      </c>
      <c r="M118" s="1"/>
      <c r="N118" s="5">
        <f t="shared" ref="N118:N120" si="72">IF(H118=0,0,L118/H118)</f>
        <v>-0.34395555555555551</v>
      </c>
      <c r="O118" s="12"/>
      <c r="P118" s="1">
        <f>SUM(OSRRefP22_17x_0)</f>
        <v>2918.39</v>
      </c>
      <c r="Q118" s="1"/>
      <c r="R118" s="5">
        <f t="shared" ref="R118:R120" si="73">IF(P$12=0,0,P118/P$12)</f>
        <v>6.7894660644996366E-3</v>
      </c>
      <c r="S118" s="1"/>
      <c r="T118" s="1">
        <f>SUM(OSRRefT22_17x_0)</f>
        <v>6275</v>
      </c>
      <c r="U118" s="1"/>
      <c r="V118" s="5">
        <f t="shared" ref="V118:V120" si="74">IF(T$12=0,0,T118/T$12)</f>
        <v>1.1241433136025485E-2</v>
      </c>
      <c r="W118" s="1"/>
      <c r="X118" s="1">
        <f t="shared" ref="X118:X120" si="75">+P118-T118</f>
        <v>-3356.61</v>
      </c>
      <c r="Y118" s="1"/>
      <c r="Z118" s="5">
        <f t="shared" ref="Z118:Z120" si="76">IF(T118=0,0,X118/T118)</f>
        <v>-0.53491792828685258</v>
      </c>
    </row>
    <row r="119" spans="1:26" s="24" customFormat="1" hidden="1" outlineLevel="2" x14ac:dyDescent="0.25">
      <c r="A119" s="26"/>
      <c r="B119" s="11" t="str">
        <f>CONCATENATE("          ", "6303", " - ", "DATA PHONE LINES")</f>
        <v xml:space="preserve">          6303 - DATA PHONE LINES</v>
      </c>
      <c r="C119" s="11"/>
      <c r="D119" s="7"/>
      <c r="E119" s="2"/>
      <c r="F119" s="6">
        <f t="shared" si="69"/>
        <v>0</v>
      </c>
      <c r="G119" s="2"/>
      <c r="H119" s="7">
        <v>450</v>
      </c>
      <c r="I119" s="2"/>
      <c r="J119" s="6">
        <f t="shared" si="70"/>
        <v>6.3624340583283822E-3</v>
      </c>
      <c r="K119" s="2"/>
      <c r="L119" s="7">
        <f t="shared" si="71"/>
        <v>-450</v>
      </c>
      <c r="M119" s="2"/>
      <c r="N119" s="6">
        <f t="shared" si="72"/>
        <v>-1</v>
      </c>
      <c r="O119" s="11"/>
      <c r="P119" s="7"/>
      <c r="Q119" s="2"/>
      <c r="R119" s="6">
        <f t="shared" si="73"/>
        <v>0</v>
      </c>
      <c r="S119" s="2"/>
      <c r="T119" s="7">
        <v>6275</v>
      </c>
      <c r="U119" s="2"/>
      <c r="V119" s="6">
        <f t="shared" si="74"/>
        <v>1.1241433136025485E-2</v>
      </c>
      <c r="W119" s="2"/>
      <c r="X119" s="7">
        <f t="shared" si="75"/>
        <v>-6275</v>
      </c>
      <c r="Y119" s="2"/>
      <c r="Z119" s="6">
        <f t="shared" si="76"/>
        <v>-1</v>
      </c>
    </row>
    <row r="120" spans="1:26" s="24" customFormat="1" hidden="1" outlineLevel="2" x14ac:dyDescent="0.25">
      <c r="A120" s="26"/>
      <c r="B120" s="11" t="str">
        <f>CONCATENATE("          ", "6309", " - ", "TELEPHONE")</f>
        <v xml:space="preserve">          6309 - TELEPHONE</v>
      </c>
      <c r="C120" s="11"/>
      <c r="D120" s="7">
        <v>295.22000000000003</v>
      </c>
      <c r="E120" s="2"/>
      <c r="F120" s="6">
        <f t="shared" si="69"/>
        <v>0</v>
      </c>
      <c r="G120" s="2"/>
      <c r="H120" s="7"/>
      <c r="I120" s="2"/>
      <c r="J120" s="6">
        <f t="shared" si="70"/>
        <v>0</v>
      </c>
      <c r="K120" s="2"/>
      <c r="L120" s="7">
        <f t="shared" si="71"/>
        <v>295.22000000000003</v>
      </c>
      <c r="M120" s="2"/>
      <c r="N120" s="6">
        <f t="shared" si="72"/>
        <v>0</v>
      </c>
      <c r="O120" s="11"/>
      <c r="P120" s="7">
        <v>2918.39</v>
      </c>
      <c r="Q120" s="2"/>
      <c r="R120" s="6">
        <f t="shared" si="73"/>
        <v>6.7894660644996366E-3</v>
      </c>
      <c r="S120" s="2"/>
      <c r="T120" s="7"/>
      <c r="U120" s="2"/>
      <c r="V120" s="6">
        <f t="shared" si="74"/>
        <v>0</v>
      </c>
      <c r="W120" s="2"/>
      <c r="X120" s="7">
        <f t="shared" si="75"/>
        <v>2918.39</v>
      </c>
      <c r="Y120" s="2"/>
      <c r="Z120" s="6">
        <f t="shared" si="76"/>
        <v>0</v>
      </c>
    </row>
    <row r="121" spans="1:26" s="27" customFormat="1" outlineLevel="1" collapsed="1" x14ac:dyDescent="0.25">
      <c r="A121" s="25"/>
      <c r="B121" s="12" t="str">
        <f>CONCATENATE("     ","Training                                          ")</f>
        <v xml:space="preserve">     Training                                          </v>
      </c>
      <c r="C121" s="12"/>
      <c r="D121" s="1">
        <f>SUM(OSRRefD22_18x_0)</f>
        <v>0</v>
      </c>
      <c r="E121" s="1"/>
      <c r="F121" s="5">
        <f t="shared" ref="F121:F126" si="77">IF(D$12=0,0,D121/D$12)</f>
        <v>0</v>
      </c>
      <c r="G121" s="1"/>
      <c r="H121" s="1">
        <f>SUM(OSRRefH22_18x_0)</f>
        <v>0</v>
      </c>
      <c r="I121" s="1"/>
      <c r="J121" s="5">
        <f t="shared" ref="J121:J126" si="78">IF(H$12=0,0,H121/H$12)</f>
        <v>0</v>
      </c>
      <c r="K121" s="1"/>
      <c r="L121" s="1">
        <f t="shared" ref="L121:L126" si="79">+D121-H121</f>
        <v>0</v>
      </c>
      <c r="M121" s="1"/>
      <c r="N121" s="5">
        <f t="shared" ref="N121:N126" si="80">IF(H121=0,0,L121/H121)</f>
        <v>0</v>
      </c>
      <c r="O121" s="12"/>
      <c r="P121" s="1">
        <f>SUM(OSRRefP22_18x_0)</f>
        <v>1613.4</v>
      </c>
      <c r="Q121" s="1"/>
      <c r="R121" s="5">
        <f t="shared" ref="R121:R126" si="81">IF(P$12=0,0,P121/P$12)</f>
        <v>3.7534820734938493E-3</v>
      </c>
      <c r="S121" s="1"/>
      <c r="T121" s="1">
        <f>SUM(OSRRefT22_18x_0)</f>
        <v>200</v>
      </c>
      <c r="U121" s="1"/>
      <c r="V121" s="5">
        <f t="shared" ref="V121:V126" si="82">IF(T$12=0,0,T121/T$12)</f>
        <v>3.5829268959443778E-4</v>
      </c>
      <c r="W121" s="1"/>
      <c r="X121" s="1">
        <f t="shared" ref="X121:X126" si="83">+P121-T121</f>
        <v>1413.4</v>
      </c>
      <c r="Y121" s="1"/>
      <c r="Z121" s="5">
        <f t="shared" ref="Z121:Z126" si="84">IF(T121=0,0,X121/T121)</f>
        <v>7.0670000000000002</v>
      </c>
    </row>
    <row r="122" spans="1:26" s="24" customFormat="1" hidden="1" outlineLevel="2" x14ac:dyDescent="0.25">
      <c r="A122" s="26"/>
      <c r="B122" s="11" t="str">
        <f>CONCATENATE("          ", "6376", " - ", "TRAINING")</f>
        <v xml:space="preserve">          6376 - TRAINING</v>
      </c>
      <c r="C122" s="11"/>
      <c r="D122" s="7"/>
      <c r="E122" s="2"/>
      <c r="F122" s="6">
        <f t="shared" si="77"/>
        <v>0</v>
      </c>
      <c r="G122" s="2"/>
      <c r="H122" s="7">
        <v>0</v>
      </c>
      <c r="I122" s="2"/>
      <c r="J122" s="6">
        <f t="shared" si="78"/>
        <v>0</v>
      </c>
      <c r="K122" s="2"/>
      <c r="L122" s="7">
        <f t="shared" si="79"/>
        <v>0</v>
      </c>
      <c r="M122" s="2"/>
      <c r="N122" s="6">
        <f t="shared" si="80"/>
        <v>0</v>
      </c>
      <c r="O122" s="11"/>
      <c r="P122" s="7">
        <v>1613.4</v>
      </c>
      <c r="Q122" s="2"/>
      <c r="R122" s="6">
        <f t="shared" si="81"/>
        <v>3.7534820734938493E-3</v>
      </c>
      <c r="S122" s="2"/>
      <c r="T122" s="7">
        <v>200</v>
      </c>
      <c r="U122" s="2"/>
      <c r="V122" s="6">
        <f t="shared" si="82"/>
        <v>3.5829268959443778E-4</v>
      </c>
      <c r="W122" s="2"/>
      <c r="X122" s="7">
        <f t="shared" si="83"/>
        <v>1413.4</v>
      </c>
      <c r="Y122" s="2"/>
      <c r="Z122" s="6">
        <f t="shared" si="84"/>
        <v>7.0670000000000002</v>
      </c>
    </row>
    <row r="123" spans="1:26" s="27" customFormat="1" outlineLevel="1" collapsed="1" x14ac:dyDescent="0.25">
      <c r="A123" s="25"/>
      <c r="B123" s="12" t="str">
        <f>CONCATENATE("     ","Travel                                            ")</f>
        <v xml:space="preserve">     Travel                                            </v>
      </c>
      <c r="C123" s="12"/>
      <c r="D123" s="1">
        <f>SUM(OSRRefD22_19x_0)</f>
        <v>0</v>
      </c>
      <c r="E123" s="1"/>
      <c r="F123" s="5">
        <f t="shared" si="77"/>
        <v>0</v>
      </c>
      <c r="G123" s="1"/>
      <c r="H123" s="1">
        <f>SUM(OSRRefH22_19x_0)</f>
        <v>50</v>
      </c>
      <c r="I123" s="1"/>
      <c r="J123" s="5">
        <f t="shared" si="78"/>
        <v>7.0693711759204248E-4</v>
      </c>
      <c r="K123" s="1"/>
      <c r="L123" s="1">
        <f t="shared" si="79"/>
        <v>-50</v>
      </c>
      <c r="M123" s="1"/>
      <c r="N123" s="5">
        <f t="shared" si="80"/>
        <v>-1</v>
      </c>
      <c r="O123" s="12"/>
      <c r="P123" s="1">
        <f>SUM(OSRRefP22_19x_0)</f>
        <v>712.14</v>
      </c>
      <c r="Q123" s="1"/>
      <c r="R123" s="5">
        <f t="shared" si="81"/>
        <v>1.656752648951227E-3</v>
      </c>
      <c r="S123" s="1"/>
      <c r="T123" s="1">
        <f>SUM(OSRRefT22_19x_0)</f>
        <v>510</v>
      </c>
      <c r="U123" s="1"/>
      <c r="V123" s="5">
        <f t="shared" si="82"/>
        <v>9.1364635846581633E-4</v>
      </c>
      <c r="W123" s="1"/>
      <c r="X123" s="1">
        <f t="shared" si="83"/>
        <v>202.14</v>
      </c>
      <c r="Y123" s="1"/>
      <c r="Z123" s="5">
        <f t="shared" si="84"/>
        <v>0.39635294117647057</v>
      </c>
    </row>
    <row r="124" spans="1:26" s="24" customFormat="1" hidden="1" outlineLevel="2" x14ac:dyDescent="0.25">
      <c r="A124" s="26"/>
      <c r="B124" s="11" t="str">
        <f>CONCATENATE("          ", "6294", " - ", "TRAVEL OPERATIONAL")</f>
        <v xml:space="preserve">          6294 - TRAVEL OPERATIONAL</v>
      </c>
      <c r="C124" s="11"/>
      <c r="D124" s="7"/>
      <c r="E124" s="2"/>
      <c r="F124" s="6">
        <f t="shared" si="77"/>
        <v>0</v>
      </c>
      <c r="G124" s="2"/>
      <c r="H124" s="7">
        <v>50</v>
      </c>
      <c r="I124" s="2"/>
      <c r="J124" s="6">
        <f t="shared" si="78"/>
        <v>7.0693711759204248E-4</v>
      </c>
      <c r="K124" s="2"/>
      <c r="L124" s="7">
        <f t="shared" si="79"/>
        <v>-50</v>
      </c>
      <c r="M124" s="2"/>
      <c r="N124" s="6">
        <f t="shared" si="80"/>
        <v>-1</v>
      </c>
      <c r="O124" s="11"/>
      <c r="P124" s="7">
        <v>712.14</v>
      </c>
      <c r="Q124" s="2"/>
      <c r="R124" s="6">
        <f t="shared" si="81"/>
        <v>1.656752648951227E-3</v>
      </c>
      <c r="S124" s="2"/>
      <c r="T124" s="7">
        <v>510</v>
      </c>
      <c r="U124" s="2"/>
      <c r="V124" s="6">
        <f t="shared" si="82"/>
        <v>9.1364635846581633E-4</v>
      </c>
      <c r="W124" s="2"/>
      <c r="X124" s="7">
        <f t="shared" si="83"/>
        <v>202.14</v>
      </c>
      <c r="Y124" s="2"/>
      <c r="Z124" s="6">
        <f t="shared" si="84"/>
        <v>0.39635294117647057</v>
      </c>
    </row>
    <row r="125" spans="1:26" s="27" customFormat="1" outlineLevel="1" collapsed="1" x14ac:dyDescent="0.25">
      <c r="A125" s="25"/>
      <c r="B125" s="12" t="str">
        <f>CONCATENATE("     ","Utilities                                         ")</f>
        <v xml:space="preserve">     Utilities                                         </v>
      </c>
      <c r="C125" s="12"/>
      <c r="D125" s="1">
        <f>SUM(OSRRefD22_20x_0)</f>
        <v>26.43</v>
      </c>
      <c r="E125" s="1"/>
      <c r="F125" s="5">
        <f t="shared" si="77"/>
        <v>0</v>
      </c>
      <c r="G125" s="1"/>
      <c r="H125" s="1">
        <f>SUM(OSRRefH22_20x_0)</f>
        <v>100</v>
      </c>
      <c r="I125" s="1"/>
      <c r="J125" s="5">
        <f t="shared" si="78"/>
        <v>1.413874235184085E-3</v>
      </c>
      <c r="K125" s="1"/>
      <c r="L125" s="1">
        <f t="shared" si="79"/>
        <v>-73.569999999999993</v>
      </c>
      <c r="M125" s="1"/>
      <c r="N125" s="5">
        <f t="shared" si="80"/>
        <v>-0.73569999999999991</v>
      </c>
      <c r="O125" s="12"/>
      <c r="P125" s="1">
        <f>SUM(OSRRefP22_20x_0)</f>
        <v>2959.78</v>
      </c>
      <c r="Q125" s="1"/>
      <c r="R125" s="5">
        <f t="shared" si="81"/>
        <v>6.8857575130070814E-3</v>
      </c>
      <c r="S125" s="1"/>
      <c r="T125" s="1">
        <f>SUM(OSRRefT22_20x_0)</f>
        <v>4050</v>
      </c>
      <c r="U125" s="1"/>
      <c r="V125" s="5">
        <f t="shared" si="82"/>
        <v>7.255426964287365E-3</v>
      </c>
      <c r="W125" s="1"/>
      <c r="X125" s="1">
        <f t="shared" si="83"/>
        <v>-1090.2199999999998</v>
      </c>
      <c r="Y125" s="1"/>
      <c r="Z125" s="5">
        <f t="shared" si="84"/>
        <v>-0.26919012345679005</v>
      </c>
    </row>
    <row r="126" spans="1:26" s="24" customFormat="1" hidden="1" outlineLevel="2" x14ac:dyDescent="0.25">
      <c r="A126" s="26"/>
      <c r="B126" s="11" t="str">
        <f>CONCATENATE("          ", "6274", " - ", "UTILITIES")</f>
        <v xml:space="preserve">          6274 - UTILITIES</v>
      </c>
      <c r="C126" s="11"/>
      <c r="D126" s="7">
        <v>26.43</v>
      </c>
      <c r="E126" s="2"/>
      <c r="F126" s="6">
        <f t="shared" si="77"/>
        <v>0</v>
      </c>
      <c r="G126" s="2"/>
      <c r="H126" s="7">
        <v>100</v>
      </c>
      <c r="I126" s="2"/>
      <c r="J126" s="6">
        <f t="shared" si="78"/>
        <v>1.413874235184085E-3</v>
      </c>
      <c r="K126" s="2"/>
      <c r="L126" s="7">
        <f t="shared" si="79"/>
        <v>-73.569999999999993</v>
      </c>
      <c r="M126" s="2"/>
      <c r="N126" s="6">
        <f t="shared" si="80"/>
        <v>-0.73569999999999991</v>
      </c>
      <c r="O126" s="11"/>
      <c r="P126" s="7">
        <v>2959.78</v>
      </c>
      <c r="Q126" s="2"/>
      <c r="R126" s="6">
        <f t="shared" si="81"/>
        <v>6.8857575130070814E-3</v>
      </c>
      <c r="S126" s="2"/>
      <c r="T126" s="7">
        <v>4050</v>
      </c>
      <c r="U126" s="2"/>
      <c r="V126" s="6">
        <f t="shared" si="82"/>
        <v>7.255426964287365E-3</v>
      </c>
      <c r="W126" s="2"/>
      <c r="X126" s="7">
        <f t="shared" si="83"/>
        <v>-1090.2199999999998</v>
      </c>
      <c r="Y126" s="2"/>
      <c r="Z126" s="6">
        <f t="shared" si="84"/>
        <v>-0.26919012345679005</v>
      </c>
    </row>
    <row r="127" spans="1:26" s="62" customFormat="1" x14ac:dyDescent="0.25">
      <c r="A127" s="36"/>
      <c r="B127" s="36"/>
      <c r="C127" s="36"/>
      <c r="D127" s="1"/>
      <c r="E127" s="1"/>
      <c r="F127" s="5"/>
      <c r="G127" s="1"/>
      <c r="H127" s="1"/>
      <c r="I127" s="1"/>
      <c r="J127" s="5"/>
      <c r="K127" s="1"/>
      <c r="L127" s="1"/>
      <c r="M127" s="1"/>
      <c r="N127" s="5"/>
      <c r="O127" s="36"/>
      <c r="P127" s="1"/>
      <c r="Q127" s="1"/>
      <c r="R127" s="5"/>
      <c r="S127" s="1"/>
      <c r="T127" s="1"/>
      <c r="U127" s="1"/>
      <c r="V127" s="5"/>
      <c r="W127" s="1"/>
      <c r="X127" s="1"/>
      <c r="Y127" s="1"/>
      <c r="Z127" s="5"/>
    </row>
    <row r="128" spans="1:26" s="23" customFormat="1" x14ac:dyDescent="0.25">
      <c r="A128" s="10"/>
      <c r="B128" s="28" t="s">
        <v>0</v>
      </c>
      <c r="C128" s="10"/>
      <c r="D128" s="4">
        <f>SUM(0)</f>
        <v>0</v>
      </c>
      <c r="E128" s="4"/>
      <c r="F128" s="13">
        <f>IF(D$12=0,0,D128/D$12)</f>
        <v>0</v>
      </c>
      <c r="G128" s="4"/>
      <c r="H128" s="4">
        <f>SUM(0)</f>
        <v>0</v>
      </c>
      <c r="I128" s="4"/>
      <c r="J128" s="13">
        <f>IF(H$12=0,0,H128/H$12)</f>
        <v>0</v>
      </c>
      <c r="K128" s="4"/>
      <c r="L128" s="4">
        <f>+D128-H128</f>
        <v>0</v>
      </c>
      <c r="M128" s="4"/>
      <c r="N128" s="13">
        <f>IF(H128=0,0,L128/H128)</f>
        <v>0</v>
      </c>
      <c r="O128" s="10"/>
      <c r="P128" s="4">
        <f>SUM(0)</f>
        <v>0</v>
      </c>
      <c r="Q128" s="4"/>
      <c r="R128" s="13">
        <f>IF(P$12=0,0,P128/P$12)</f>
        <v>0</v>
      </c>
      <c r="S128" s="4"/>
      <c r="T128" s="4">
        <f>SUM(0)</f>
        <v>0</v>
      </c>
      <c r="U128" s="4"/>
      <c r="V128" s="13">
        <f>IF(T$12=0,0,T128/T$12)</f>
        <v>0</v>
      </c>
      <c r="W128" s="4"/>
      <c r="X128" s="4">
        <f>+P128-T128</f>
        <v>0</v>
      </c>
      <c r="Y128" s="4"/>
      <c r="Z128" s="13">
        <f>IF(T128=0,0,X128/T128)</f>
        <v>0</v>
      </c>
    </row>
    <row r="129" spans="1:26" x14ac:dyDescent="0.25">
      <c r="A129" s="9"/>
      <c r="B129" s="10"/>
      <c r="C129" s="10"/>
      <c r="D129" s="3"/>
      <c r="E129" s="3"/>
      <c r="F129" s="8"/>
      <c r="G129" s="3"/>
      <c r="H129" s="3"/>
      <c r="I129" s="3"/>
      <c r="J129" s="8"/>
      <c r="K129" s="3"/>
      <c r="L129" s="3"/>
      <c r="M129" s="3"/>
      <c r="N129" s="8"/>
      <c r="O129" s="10"/>
      <c r="P129" s="3"/>
      <c r="Q129" s="3"/>
      <c r="R129" s="8"/>
      <c r="S129" s="3"/>
      <c r="T129" s="3"/>
      <c r="U129" s="3"/>
      <c r="V129" s="8"/>
      <c r="W129" s="3"/>
      <c r="X129" s="3"/>
      <c r="Y129" s="3"/>
      <c r="Z129" s="8"/>
    </row>
    <row r="130" spans="1:26" s="23" customFormat="1" x14ac:dyDescent="0.25">
      <c r="A130" s="10"/>
      <c r="B130" s="29" t="s">
        <v>3</v>
      </c>
      <c r="C130" s="29"/>
      <c r="D130" s="20">
        <f>+D54-D56+D128</f>
        <v>-19292.099999999995</v>
      </c>
      <c r="E130" s="14"/>
      <c r="F130" s="22">
        <f>IF(D$12=0,0,D130/D$12)</f>
        <v>0</v>
      </c>
      <c r="G130" s="14"/>
      <c r="H130" s="20">
        <f>+H54-H56+H128</f>
        <v>15468.283264669226</v>
      </c>
      <c r="I130" s="14"/>
      <c r="J130" s="22">
        <f>IF(H$12=0,0,H130/H$12)</f>
        <v>0.21870207170444983</v>
      </c>
      <c r="K130" s="16"/>
      <c r="L130" s="20">
        <f>+D130-H130</f>
        <v>-34760.383264669217</v>
      </c>
      <c r="M130" s="16"/>
      <c r="N130" s="22">
        <f>IF(H130=0,0,L130/H130)</f>
        <v>-2.2472036922199803</v>
      </c>
      <c r="O130" s="28"/>
      <c r="P130" s="20">
        <f>+P54-P56+P128</f>
        <v>-73490.920000000129</v>
      </c>
      <c r="Q130" s="14"/>
      <c r="R130" s="22">
        <f>IF(P$12=0,0,P130/P$12)</f>
        <v>-0.17097238799093287</v>
      </c>
      <c r="S130" s="14"/>
      <c r="T130" s="20">
        <f>+T54-T56+T128</f>
        <v>26707.921865030774</v>
      </c>
      <c r="U130" s="14"/>
      <c r="V130" s="22">
        <f>IF(T$12=0,0,T130/T$12)</f>
        <v>4.7846265792499842E-2</v>
      </c>
      <c r="W130" s="16"/>
      <c r="X130" s="20">
        <f>+P130-T130</f>
        <v>-100198.8418650309</v>
      </c>
      <c r="Y130" s="16"/>
      <c r="Z130" s="22">
        <f>IF(T130=0,0,X130/T130)</f>
        <v>-3.7516525011338784</v>
      </c>
    </row>
    <row r="131" spans="1:26" x14ac:dyDescent="0.25">
      <c r="A131" s="9"/>
      <c r="B131" s="10"/>
      <c r="C131" s="9"/>
      <c r="D131" s="3"/>
      <c r="E131" s="3"/>
      <c r="F131" s="8"/>
      <c r="G131" s="3"/>
      <c r="H131" s="3"/>
      <c r="I131" s="3"/>
      <c r="J131" s="8"/>
      <c r="K131" s="3"/>
      <c r="L131" s="3"/>
      <c r="M131" s="3"/>
      <c r="N131" s="8"/>
      <c r="P131" s="3"/>
      <c r="Q131" s="3"/>
      <c r="R131" s="8"/>
      <c r="S131" s="3"/>
      <c r="T131" s="3"/>
      <c r="U131" s="3"/>
      <c r="V131" s="8"/>
      <c r="W131" s="3"/>
      <c r="X131" s="3"/>
      <c r="Y131" s="3"/>
      <c r="Z131" s="8"/>
    </row>
    <row r="132" spans="1:26" s="23" customFormat="1" x14ac:dyDescent="0.25">
      <c r="A132" s="52"/>
      <c r="B132" s="10" t="s">
        <v>14</v>
      </c>
      <c r="C132" s="10"/>
      <c r="D132" s="4">
        <v>2094.52</v>
      </c>
      <c r="E132" s="4"/>
      <c r="F132" s="13">
        <f>IF(D$12=0,0,D132/D$12)</f>
        <v>0</v>
      </c>
      <c r="G132" s="4"/>
      <c r="H132" s="4">
        <v>7697</v>
      </c>
      <c r="I132" s="4"/>
      <c r="J132" s="13">
        <f>IF(H$12=0,0,H132/H$12)</f>
        <v>0.10882589988211902</v>
      </c>
      <c r="K132" s="4"/>
      <c r="L132" s="4">
        <f>+D132-H132</f>
        <v>-5602.48</v>
      </c>
      <c r="M132" s="4"/>
      <c r="N132" s="13">
        <f>IF(H132=0,0,L132/H132)</f>
        <v>-0.72787839417955047</v>
      </c>
      <c r="O132" s="10"/>
      <c r="P132" s="4">
        <v>50899.87</v>
      </c>
      <c r="Q132" s="4"/>
      <c r="R132" s="13">
        <f>IF(P$12=0,0,P132/P$12)</f>
        <v>0.1184156127359411</v>
      </c>
      <c r="S132" s="4"/>
      <c r="T132" s="4">
        <v>64656</v>
      </c>
      <c r="U132" s="4"/>
      <c r="V132" s="13">
        <f>IF(T$12=0,0,T132/T$12)</f>
        <v>0.11582886069208984</v>
      </c>
      <c r="W132" s="4"/>
      <c r="X132" s="4">
        <f>+P132-T132</f>
        <v>-13756.129999999997</v>
      </c>
      <c r="Y132" s="4"/>
      <c r="Z132" s="13">
        <f>IF(T132=0,0,X132/T132)</f>
        <v>-0.21275875402128183</v>
      </c>
    </row>
    <row r="133" spans="1:26" x14ac:dyDescent="0.25">
      <c r="A133" s="9"/>
      <c r="B133" s="10"/>
      <c r="C133" s="10"/>
      <c r="D133" s="3"/>
      <c r="E133" s="3"/>
      <c r="F133" s="8"/>
      <c r="G133" s="3"/>
      <c r="H133" s="3"/>
      <c r="I133" s="3"/>
      <c r="J133" s="8"/>
      <c r="K133" s="3"/>
      <c r="L133" s="3"/>
      <c r="M133" s="3"/>
      <c r="N133" s="8"/>
      <c r="O133" s="10"/>
      <c r="P133" s="3"/>
      <c r="Q133" s="3"/>
      <c r="R133" s="8"/>
      <c r="S133" s="3"/>
      <c r="T133" s="3"/>
      <c r="U133" s="3"/>
      <c r="V133" s="8"/>
      <c r="W133" s="3"/>
      <c r="X133" s="3"/>
      <c r="Y133" s="3"/>
      <c r="Z133" s="8"/>
    </row>
    <row r="134" spans="1:26" s="23" customFormat="1" ht="15.75" thickBot="1" x14ac:dyDescent="0.3">
      <c r="A134" s="10"/>
      <c r="B134" s="29" t="s">
        <v>4</v>
      </c>
      <c r="C134" s="29"/>
      <c r="D134" s="35">
        <f>+D130-D132</f>
        <v>-21386.619999999995</v>
      </c>
      <c r="E134" s="14"/>
      <c r="F134" s="32">
        <f>IF(D$12=0,0,D134/D$12)</f>
        <v>0</v>
      </c>
      <c r="G134" s="14"/>
      <c r="H134" s="35">
        <f>+H130-H132</f>
        <v>7771.2832646692259</v>
      </c>
      <c r="I134" s="14"/>
      <c r="J134" s="32">
        <f>IF(H$12=0,0,H134/H$12)</f>
        <v>0.10987617182233081</v>
      </c>
      <c r="K134" s="16"/>
      <c r="L134" s="35">
        <f>D134-H134</f>
        <v>-29157.903264669221</v>
      </c>
      <c r="M134" s="16"/>
      <c r="N134" s="32">
        <f>IF(H134=0,0,L134/H134)</f>
        <v>-3.7520062352160686</v>
      </c>
      <c r="O134" s="28"/>
      <c r="P134" s="35">
        <f>+P130-P132</f>
        <v>-124390.79000000012</v>
      </c>
      <c r="Q134" s="14"/>
      <c r="R134" s="32">
        <f>IF(P$12=0,0,P134/P$12)</f>
        <v>-0.28938800072687393</v>
      </c>
      <c r="S134" s="14"/>
      <c r="T134" s="35">
        <f>+T130-T132</f>
        <v>-37948.078134969226</v>
      </c>
      <c r="U134" s="14"/>
      <c r="V134" s="32">
        <f>IF(T$12=0,0,T134/T$12)</f>
        <v>-6.7982594899589993E-2</v>
      </c>
      <c r="W134" s="16"/>
      <c r="X134" s="35">
        <f>P134-T134</f>
        <v>-86442.711865030898</v>
      </c>
      <c r="Y134" s="16"/>
      <c r="Z134" s="32">
        <f>IF(T134=0,0,X134/T134)</f>
        <v>2.2779206777634879</v>
      </c>
    </row>
    <row r="135" spans="1:26" ht="15.75" thickTop="1" x14ac:dyDescent="0.25">
      <c r="A135" s="9"/>
      <c r="B135" s="9"/>
      <c r="C135" s="9"/>
      <c r="D135" s="3"/>
      <c r="E135" s="3"/>
      <c r="F135" s="8"/>
      <c r="G135" s="3"/>
      <c r="H135" s="3"/>
      <c r="I135" s="3"/>
      <c r="J135" s="8"/>
      <c r="K135" s="3"/>
      <c r="L135" s="3"/>
      <c r="M135" s="3"/>
      <c r="N135" s="8"/>
      <c r="P135" s="3"/>
      <c r="Q135" s="3"/>
      <c r="R135" s="8"/>
      <c r="S135" s="3"/>
      <c r="T135" s="3"/>
      <c r="U135" s="3"/>
      <c r="V135" s="8"/>
      <c r="W135" s="3"/>
      <c r="X135" s="3"/>
      <c r="Y135" s="3"/>
      <c r="Z135" s="8"/>
    </row>
    <row r="136" spans="1:26" x14ac:dyDescent="0.25">
      <c r="A136" s="9"/>
      <c r="B136" s="9"/>
      <c r="C136" s="9"/>
      <c r="D136" s="3"/>
      <c r="E136" s="3"/>
      <c r="F136" s="8"/>
      <c r="G136" s="3"/>
      <c r="H136" s="3"/>
      <c r="I136" s="3"/>
      <c r="J136" s="8"/>
      <c r="K136" s="3"/>
      <c r="L136" s="3"/>
      <c r="M136" s="3"/>
      <c r="N136" s="8"/>
      <c r="P136" s="3"/>
      <c r="Q136" s="3"/>
      <c r="R136" s="8"/>
      <c r="S136" s="3"/>
      <c r="T136" s="3"/>
      <c r="U136" s="3"/>
      <c r="V136" s="8"/>
      <c r="W136" s="3"/>
      <c r="X136" s="3"/>
      <c r="Y136" s="3"/>
      <c r="Z136" s="8"/>
    </row>
    <row r="137" spans="1:26" s="23" customFormat="1" ht="15.75" thickBot="1" x14ac:dyDescent="0.3">
      <c r="A137" s="10"/>
      <c r="B137" s="29" t="s">
        <v>5</v>
      </c>
      <c r="C137" s="29"/>
      <c r="D137" s="34">
        <f>SUM(D134:D136)</f>
        <v>-21386.619999999995</v>
      </c>
      <c r="E137" s="14"/>
      <c r="F137" s="31">
        <f>IF(D$12=0,0,D137/D$12)</f>
        <v>0</v>
      </c>
      <c r="G137" s="14"/>
      <c r="H137" s="34">
        <f>SUM(H134:H136)</f>
        <v>7771.2832646692259</v>
      </c>
      <c r="I137" s="14"/>
      <c r="J137" s="31">
        <f>IF(H$12=0,0,H137/H$12)</f>
        <v>0.10987617182233081</v>
      </c>
      <c r="K137" s="16"/>
      <c r="L137" s="34">
        <f>+D137-H137</f>
        <v>-29157.903264669221</v>
      </c>
      <c r="M137" s="16"/>
      <c r="N137" s="31">
        <f>IF(H137=0,0,L137/H137)</f>
        <v>-3.7520062352160686</v>
      </c>
      <c r="O137" s="28"/>
      <c r="P137" s="34">
        <f>SUM(P134:P136)</f>
        <v>-124390.79000000012</v>
      </c>
      <c r="Q137" s="14"/>
      <c r="R137" s="31">
        <f>IF(P$12=0,0,P137/P$12)</f>
        <v>-0.28938800072687393</v>
      </c>
      <c r="S137" s="14"/>
      <c r="T137" s="34">
        <f>SUM(T134:T136)</f>
        <v>-37948.078134969226</v>
      </c>
      <c r="U137" s="14"/>
      <c r="V137" s="31">
        <f>IF(T$12=0,0,T137/T$12)</f>
        <v>-6.7982594899589993E-2</v>
      </c>
      <c r="W137" s="16"/>
      <c r="X137" s="34">
        <f>+P137-T137</f>
        <v>-86442.711865030898</v>
      </c>
      <c r="Y137" s="16"/>
      <c r="Z137" s="31">
        <f>IF(T137=0,0,X137/T137)</f>
        <v>2.2779206777634879</v>
      </c>
    </row>
    <row r="138" spans="1:26" ht="15.75" thickTop="1" x14ac:dyDescent="0.25">
      <c r="A138" s="9"/>
      <c r="C138" s="9"/>
      <c r="D138" s="18"/>
      <c r="E138" s="18"/>
      <c r="G138" s="18"/>
      <c r="H138" s="18"/>
      <c r="I138" s="18"/>
      <c r="J138" s="42"/>
      <c r="K138" s="18"/>
      <c r="L138" s="18"/>
      <c r="M138" s="18"/>
      <c r="P138" s="18"/>
      <c r="Q138" s="18"/>
      <c r="R138" s="42"/>
      <c r="S138" s="18"/>
      <c r="T138" s="18"/>
      <c r="U138" s="18"/>
      <c r="V138" s="42"/>
      <c r="W138" s="18"/>
      <c r="X138" s="18"/>
    </row>
    <row r="139" spans="1:26" x14ac:dyDescent="0.25">
      <c r="A139" s="9"/>
      <c r="B139" s="59">
        <v>43992.371954629627</v>
      </c>
      <c r="D139" s="18"/>
      <c r="E139" s="18"/>
      <c r="G139" s="18"/>
      <c r="H139" s="18"/>
      <c r="I139" s="18"/>
      <c r="J139" s="42"/>
      <c r="K139" s="18"/>
      <c r="L139" s="18"/>
      <c r="M139" s="18"/>
      <c r="P139" s="18"/>
      <c r="Q139" s="18"/>
      <c r="R139" s="42"/>
      <c r="S139" s="18"/>
      <c r="T139" s="18"/>
      <c r="U139" s="18"/>
      <c r="V139" s="42"/>
      <c r="W139" s="18"/>
      <c r="X139" s="18"/>
    </row>
    <row r="140" spans="1:26" x14ac:dyDescent="0.25">
      <c r="A140" s="9"/>
      <c r="B140" s="56" t="s">
        <v>314</v>
      </c>
      <c r="D140" s="18"/>
      <c r="E140" s="18"/>
      <c r="G140" s="18"/>
      <c r="H140" s="18"/>
      <c r="I140" s="18"/>
      <c r="J140" s="42"/>
      <c r="K140" s="18"/>
      <c r="L140" s="18"/>
      <c r="M140" s="18"/>
      <c r="P140" s="18"/>
      <c r="Q140" s="18"/>
      <c r="R140" s="42"/>
      <c r="S140" s="18"/>
      <c r="T140" s="18"/>
      <c r="U140" s="18"/>
      <c r="V140" s="42"/>
      <c r="W140" s="18"/>
      <c r="X140" s="18"/>
    </row>
    <row r="141" spans="1:26" x14ac:dyDescent="0.25">
      <c r="A141" s="9"/>
      <c r="B141" s="54"/>
      <c r="D141" s="18"/>
      <c r="E141" s="18"/>
      <c r="G141" s="18"/>
      <c r="H141" s="18"/>
      <c r="I141" s="18"/>
      <c r="J141" s="42"/>
      <c r="K141" s="18"/>
      <c r="L141" s="18"/>
      <c r="M141" s="18"/>
      <c r="P141" s="18"/>
      <c r="Q141" s="18"/>
      <c r="R141" s="42"/>
      <c r="S141" s="18"/>
      <c r="T141" s="18"/>
      <c r="U141" s="18"/>
      <c r="V141" s="42"/>
      <c r="W141" s="18"/>
      <c r="X141" s="18"/>
    </row>
    <row r="142" spans="1:26" x14ac:dyDescent="0.25">
      <c r="D142" s="18"/>
      <c r="E142" s="18"/>
      <c r="G142" s="18"/>
      <c r="H142" s="18"/>
      <c r="I142" s="18"/>
      <c r="J142" s="42"/>
      <c r="K142" s="18"/>
      <c r="L142" s="18"/>
      <c r="M142" s="18"/>
      <c r="P142" s="18"/>
      <c r="Q142" s="18"/>
      <c r="R142" s="42"/>
      <c r="S142" s="18"/>
      <c r="T142" s="18"/>
      <c r="U142" s="18"/>
      <c r="V142" s="42"/>
      <c r="W142" s="18"/>
      <c r="X142" s="18"/>
    </row>
  </sheetData>
  <pageMargins left="0.25" right="0.25" top="0.75" bottom="0.75" header="0.3" footer="0.3"/>
  <pageSetup scale="55" fitToWidth="2" orientation="landscape"/>
  <drawing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122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63" t="s">
        <v>13</v>
      </c>
    </row>
    <row r="3" spans="1:26" x14ac:dyDescent="0.25">
      <c r="D3" s="63" t="s">
        <v>296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61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63" t="str">
        <f>CONCATENATE("Period ",RIGHT(202011,2),", ",2020)</f>
        <v>Period 11, 2020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61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4">
        <v>43981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61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51"/>
      <c r="C6" s="51"/>
      <c r="D6" s="23" t="s">
        <v>305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57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5" t="s">
        <v>294</v>
      </c>
      <c r="E9" s="15"/>
      <c r="F9" s="38"/>
      <c r="G9" s="15"/>
      <c r="H9" s="15"/>
      <c r="I9" s="15"/>
      <c r="J9" s="46"/>
      <c r="K9" s="15"/>
      <c r="L9" s="15"/>
      <c r="M9" s="15"/>
      <c r="N9" s="38"/>
      <c r="P9" s="15" t="s">
        <v>295</v>
      </c>
      <c r="Q9" s="15"/>
      <c r="R9" s="38"/>
      <c r="S9" s="15"/>
      <c r="T9" s="15"/>
      <c r="U9" s="15"/>
      <c r="V9" s="46"/>
      <c r="W9" s="15"/>
      <c r="X9" s="15"/>
      <c r="Y9" s="15"/>
      <c r="Z9" s="38"/>
    </row>
    <row r="10" spans="1:26" x14ac:dyDescent="0.25">
      <c r="A10" s="10"/>
      <c r="B10" s="55"/>
      <c r="C10" s="10"/>
      <c r="D10" s="43" t="s">
        <v>10</v>
      </c>
      <c r="E10" s="33"/>
      <c r="F10" s="40" t="s">
        <v>15</v>
      </c>
      <c r="G10" s="33"/>
      <c r="H10" s="47" t="s">
        <v>11</v>
      </c>
      <c r="I10" s="33"/>
      <c r="J10" s="45" t="s">
        <v>16</v>
      </c>
      <c r="K10" s="10"/>
      <c r="L10" s="43" t="s">
        <v>12</v>
      </c>
      <c r="M10" s="10"/>
      <c r="N10" s="40" t="s">
        <v>17</v>
      </c>
      <c r="O10" s="10"/>
      <c r="P10" s="53" t="s">
        <v>10</v>
      </c>
      <c r="Q10" s="33"/>
      <c r="R10" s="40" t="s">
        <v>15</v>
      </c>
      <c r="S10" s="33"/>
      <c r="T10" s="47" t="s">
        <v>11</v>
      </c>
      <c r="U10" s="33"/>
      <c r="V10" s="45" t="s">
        <v>16</v>
      </c>
      <c r="W10" s="10"/>
      <c r="X10" s="43" t="s">
        <v>12</v>
      </c>
      <c r="Y10" s="10"/>
      <c r="Z10" s="40" t="s">
        <v>17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16537.950000000004</v>
      </c>
      <c r="E12" s="4"/>
      <c r="F12" s="13"/>
      <c r="G12" s="4"/>
      <c r="H12" s="4">
        <f>SUM(OSRRefH13x_0)</f>
        <v>428380</v>
      </c>
      <c r="I12" s="4"/>
      <c r="J12" s="13"/>
      <c r="K12" s="4"/>
      <c r="L12" s="4">
        <f t="shared" ref="L12:L32" si="0">+D12-H12</f>
        <v>-411842.05</v>
      </c>
      <c r="M12" s="4"/>
      <c r="N12" s="13">
        <f t="shared" ref="N12:N32" si="1">IF(H12=0,0,L12/H12)</f>
        <v>-0.96139420607871517</v>
      </c>
      <c r="O12" s="10"/>
      <c r="P12" s="4">
        <f>SUM(OSRRefP13x_0)</f>
        <v>508371.8</v>
      </c>
      <c r="Q12" s="4"/>
      <c r="R12" s="13"/>
      <c r="S12" s="4"/>
      <c r="T12" s="4">
        <f>SUM(OSRRefT13x_0)</f>
        <v>1439827.5</v>
      </c>
      <c r="U12" s="4"/>
      <c r="V12" s="13"/>
      <c r="W12" s="4"/>
      <c r="X12" s="4">
        <f t="shared" ref="X12:X32" si="2">+P12-T12</f>
        <v>-931455.7</v>
      </c>
      <c r="Y12" s="4"/>
      <c r="Z12" s="13">
        <f t="shared" ref="Z12:Z32" si="3">IF(T12=0,0,X12/T12)</f>
        <v>-0.64692173194358349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>0</f>
        <v>0</v>
      </c>
      <c r="E13" s="2"/>
      <c r="F13" s="19"/>
      <c r="G13" s="2"/>
      <c r="H13" s="2">
        <v>176100</v>
      </c>
      <c r="I13" s="2"/>
      <c r="J13" s="19"/>
      <c r="K13" s="2"/>
      <c r="L13" s="2">
        <f t="shared" si="0"/>
        <v>-176100</v>
      </c>
      <c r="M13" s="2"/>
      <c r="N13" s="19">
        <f t="shared" si="1"/>
        <v>-1</v>
      </c>
      <c r="O13" s="11"/>
      <c r="P13" s="2">
        <f>0</f>
        <v>0</v>
      </c>
      <c r="Q13" s="2"/>
      <c r="R13" s="19"/>
      <c r="S13" s="2"/>
      <c r="T13" s="2">
        <v>846707.5</v>
      </c>
      <c r="U13" s="2"/>
      <c r="V13" s="19"/>
      <c r="W13" s="2"/>
      <c r="X13" s="2">
        <f t="shared" si="2"/>
        <v>-846707.5</v>
      </c>
      <c r="Y13" s="2"/>
      <c r="Z13" s="19">
        <f t="shared" si="3"/>
        <v>-1</v>
      </c>
    </row>
    <row r="14" spans="1:26" s="24" customFormat="1" hidden="1" outlineLevel="1" x14ac:dyDescent="0.25">
      <c r="A14" s="44"/>
      <c r="B14" s="11" t="str">
        <f>CONCATENATE("          ", "4041", " - ", "TAXABLE SALES-LOGO GIFTS")</f>
        <v xml:space="preserve">          4041 - TAXABLE SALES-LOGO GIFTS</v>
      </c>
      <c r="C14" s="11"/>
      <c r="D14" s="2">
        <f>--813.1</f>
        <v>813.1</v>
      </c>
      <c r="E14" s="2"/>
      <c r="F14" s="19"/>
      <c r="G14" s="2"/>
      <c r="H14" s="2"/>
      <c r="I14" s="2"/>
      <c r="J14" s="19"/>
      <c r="K14" s="2"/>
      <c r="L14" s="2">
        <f t="shared" si="0"/>
        <v>813.1</v>
      </c>
      <c r="M14" s="2"/>
      <c r="N14" s="19">
        <f t="shared" si="1"/>
        <v>0</v>
      </c>
      <c r="O14" s="11"/>
      <c r="P14" s="2">
        <f>--175020.35</f>
        <v>175020.35</v>
      </c>
      <c r="Q14" s="2"/>
      <c r="R14" s="19"/>
      <c r="S14" s="2"/>
      <c r="T14" s="2"/>
      <c r="U14" s="2"/>
      <c r="V14" s="19"/>
      <c r="W14" s="2"/>
      <c r="X14" s="2">
        <f t="shared" si="2"/>
        <v>175020.35</v>
      </c>
      <c r="Y14" s="2"/>
      <c r="Z14" s="19">
        <f t="shared" si="3"/>
        <v>0</v>
      </c>
    </row>
    <row r="15" spans="1:26" s="24" customFormat="1" hidden="1" outlineLevel="1" x14ac:dyDescent="0.25">
      <c r="A15" s="44"/>
      <c r="B15" s="11" t="str">
        <f>CONCATENATE("          ", "4042", " - ", "TAXABLE SALES-EVERYDAY GIFTS")</f>
        <v xml:space="preserve">          4042 - TAXABLE SALES-EVERYDAY GIFTS</v>
      </c>
      <c r="C15" s="11"/>
      <c r="D15" s="2">
        <f>--2076.05</f>
        <v>2076.0500000000002</v>
      </c>
      <c r="E15" s="2"/>
      <c r="F15" s="19"/>
      <c r="G15" s="2"/>
      <c r="H15" s="2"/>
      <c r="I15" s="2"/>
      <c r="J15" s="19"/>
      <c r="K15" s="2"/>
      <c r="L15" s="2">
        <f t="shared" si="0"/>
        <v>2076.0500000000002</v>
      </c>
      <c r="M15" s="2"/>
      <c r="N15" s="19">
        <f t="shared" si="1"/>
        <v>0</v>
      </c>
      <c r="O15" s="11"/>
      <c r="P15" s="2">
        <f>--76522.66</f>
        <v>76522.66</v>
      </c>
      <c r="Q15" s="2"/>
      <c r="R15" s="19"/>
      <c r="S15" s="2"/>
      <c r="T15" s="2"/>
      <c r="U15" s="2"/>
      <c r="V15" s="19"/>
      <c r="W15" s="2"/>
      <c r="X15" s="2">
        <f t="shared" si="2"/>
        <v>76522.66</v>
      </c>
      <c r="Y15" s="2"/>
      <c r="Z15" s="19">
        <f t="shared" si="3"/>
        <v>0</v>
      </c>
    </row>
    <row r="16" spans="1:26" s="24" customFormat="1" hidden="1" outlineLevel="1" x14ac:dyDescent="0.25">
      <c r="A16" s="44"/>
      <c r="B16" s="11" t="str">
        <f>CONCATENATE("          ", "4043", " - ", "TAXABLE SALES-CARDS")</f>
        <v xml:space="preserve">          4043 - TAXABLE SALES-CARDS</v>
      </c>
      <c r="C16" s="11"/>
      <c r="D16" s="2">
        <f t="shared" ref="D16:D18" si="4">0</f>
        <v>0</v>
      </c>
      <c r="E16" s="2"/>
      <c r="F16" s="19"/>
      <c r="G16" s="2"/>
      <c r="H16" s="2"/>
      <c r="I16" s="2"/>
      <c r="J16" s="19"/>
      <c r="K16" s="2"/>
      <c r="L16" s="2">
        <f t="shared" si="0"/>
        <v>0</v>
      </c>
      <c r="M16" s="2"/>
      <c r="N16" s="19">
        <f t="shared" si="1"/>
        <v>0</v>
      </c>
      <c r="O16" s="11"/>
      <c r="P16" s="2">
        <f>--921.72</f>
        <v>921.72</v>
      </c>
      <c r="Q16" s="2"/>
      <c r="R16" s="19"/>
      <c r="S16" s="2"/>
      <c r="T16" s="2"/>
      <c r="U16" s="2"/>
      <c r="V16" s="19"/>
      <c r="W16" s="2"/>
      <c r="X16" s="2">
        <f t="shared" si="2"/>
        <v>921.72</v>
      </c>
      <c r="Y16" s="2"/>
      <c r="Z16" s="19">
        <f t="shared" si="3"/>
        <v>0</v>
      </c>
    </row>
    <row r="17" spans="1:26" s="24" customFormat="1" hidden="1" outlineLevel="1" x14ac:dyDescent="0.25">
      <c r="A17" s="44"/>
      <c r="B17" s="11" t="str">
        <f>CONCATENATE("          ", "4044", " - ", "TAXABLE SALES-ACCESSORIES")</f>
        <v xml:space="preserve">          4044 - TAXABLE SALES-ACCESSORIES</v>
      </c>
      <c r="C17" s="11"/>
      <c r="D17" s="2">
        <f t="shared" si="4"/>
        <v>0</v>
      </c>
      <c r="E17" s="2"/>
      <c r="F17" s="19"/>
      <c r="G17" s="2"/>
      <c r="H17" s="2"/>
      <c r="I17" s="2"/>
      <c r="J17" s="19"/>
      <c r="K17" s="2"/>
      <c r="L17" s="2">
        <f t="shared" si="0"/>
        <v>0</v>
      </c>
      <c r="M17" s="2"/>
      <c r="N17" s="19">
        <f t="shared" si="1"/>
        <v>0</v>
      </c>
      <c r="O17" s="11"/>
      <c r="P17" s="2">
        <f>--235.18</f>
        <v>235.18</v>
      </c>
      <c r="Q17" s="2"/>
      <c r="R17" s="19"/>
      <c r="S17" s="2"/>
      <c r="T17" s="2"/>
      <c r="U17" s="2"/>
      <c r="V17" s="19"/>
      <c r="W17" s="2"/>
      <c r="X17" s="2">
        <f t="shared" si="2"/>
        <v>235.18</v>
      </c>
      <c r="Y17" s="2"/>
      <c r="Z17" s="19">
        <f t="shared" si="3"/>
        <v>0</v>
      </c>
    </row>
    <row r="18" spans="1:26" s="24" customFormat="1" hidden="1" outlineLevel="1" x14ac:dyDescent="0.25">
      <c r="A18" s="44"/>
      <c r="B18" s="11" t="str">
        <f>CONCATENATE("          ", "4047", " - ", "TAXABLE SALES-MISC")</f>
        <v xml:space="preserve">          4047 - TAXABLE SALES-MISC</v>
      </c>
      <c r="C18" s="11"/>
      <c r="D18" s="2">
        <f t="shared" si="4"/>
        <v>0</v>
      </c>
      <c r="E18" s="2"/>
      <c r="F18" s="19"/>
      <c r="G18" s="2"/>
      <c r="H18" s="2"/>
      <c r="I18" s="2"/>
      <c r="J18" s="19"/>
      <c r="K18" s="2"/>
      <c r="L18" s="2">
        <f t="shared" si="0"/>
        <v>0</v>
      </c>
      <c r="M18" s="2"/>
      <c r="N18" s="19">
        <f t="shared" si="1"/>
        <v>0</v>
      </c>
      <c r="O18" s="11"/>
      <c r="P18" s="2">
        <f>--2676.14</f>
        <v>2676.14</v>
      </c>
      <c r="Q18" s="2"/>
      <c r="R18" s="19"/>
      <c r="S18" s="2"/>
      <c r="T18" s="2"/>
      <c r="U18" s="2"/>
      <c r="V18" s="19"/>
      <c r="W18" s="2"/>
      <c r="X18" s="2">
        <f t="shared" si="2"/>
        <v>2676.14</v>
      </c>
      <c r="Y18" s="2"/>
      <c r="Z18" s="19">
        <f t="shared" si="3"/>
        <v>0</v>
      </c>
    </row>
    <row r="19" spans="1:26" s="24" customFormat="1" hidden="1" outlineLevel="1" x14ac:dyDescent="0.25">
      <c r="A19" s="44"/>
      <c r="B19" s="11" t="str">
        <f>CONCATENATE("          ", "4092", " - ", "TAXABLE SALES-GRAD MERCH")</f>
        <v xml:space="preserve">          4092 - TAXABLE SALES-GRAD MERCH</v>
      </c>
      <c r="C19" s="11"/>
      <c r="D19" s="2">
        <f>--13527.29</f>
        <v>13527.29</v>
      </c>
      <c r="E19" s="2"/>
      <c r="F19" s="19"/>
      <c r="G19" s="2"/>
      <c r="H19" s="2"/>
      <c r="I19" s="2"/>
      <c r="J19" s="19"/>
      <c r="K19" s="2"/>
      <c r="L19" s="2">
        <f t="shared" si="0"/>
        <v>13527.29</v>
      </c>
      <c r="M19" s="2"/>
      <c r="N19" s="19">
        <f t="shared" si="1"/>
        <v>0</v>
      </c>
      <c r="O19" s="11"/>
      <c r="P19" s="2">
        <f>--35393.66</f>
        <v>35393.660000000003</v>
      </c>
      <c r="Q19" s="2"/>
      <c r="R19" s="19"/>
      <c r="S19" s="2"/>
      <c r="T19" s="2"/>
      <c r="U19" s="2"/>
      <c r="V19" s="19"/>
      <c r="W19" s="2"/>
      <c r="X19" s="2">
        <f t="shared" si="2"/>
        <v>35393.660000000003</v>
      </c>
      <c r="Y19" s="2"/>
      <c r="Z19" s="19">
        <f t="shared" si="3"/>
        <v>0</v>
      </c>
    </row>
    <row r="20" spans="1:26" s="24" customFormat="1" hidden="1" outlineLevel="1" x14ac:dyDescent="0.25">
      <c r="A20" s="44"/>
      <c r="B20" s="11" t="str">
        <f>CONCATENATE("          ", "4095", " - ", "TAXABLE SALES-CUSTOMER SERVICE")</f>
        <v xml:space="preserve">          4095 - TAXABLE SALES-CUSTOMER SERVICE</v>
      </c>
      <c r="C20" s="11"/>
      <c r="D20" s="2">
        <f t="shared" ref="D20:D21" si="5">0</f>
        <v>0</v>
      </c>
      <c r="E20" s="2"/>
      <c r="F20" s="19"/>
      <c r="G20" s="2"/>
      <c r="H20" s="2"/>
      <c r="I20" s="2"/>
      <c r="J20" s="19"/>
      <c r="K20" s="2"/>
      <c r="L20" s="2">
        <f t="shared" si="0"/>
        <v>0</v>
      </c>
      <c r="M20" s="2"/>
      <c r="N20" s="19">
        <f t="shared" si="1"/>
        <v>0</v>
      </c>
      <c r="O20" s="11"/>
      <c r="P20" s="2">
        <f>--279.56</f>
        <v>279.56</v>
      </c>
      <c r="Q20" s="2"/>
      <c r="R20" s="19"/>
      <c r="S20" s="2"/>
      <c r="T20" s="2"/>
      <c r="U20" s="2"/>
      <c r="V20" s="19"/>
      <c r="W20" s="2"/>
      <c r="X20" s="2">
        <f t="shared" si="2"/>
        <v>279.56</v>
      </c>
      <c r="Y20" s="2"/>
      <c r="Z20" s="19">
        <f t="shared" si="3"/>
        <v>0</v>
      </c>
    </row>
    <row r="21" spans="1:26" s="24" customFormat="1" hidden="1" outlineLevel="1" x14ac:dyDescent="0.25">
      <c r="A21" s="44"/>
      <c r="B21" s="11" t="str">
        <f>CONCATENATE("          ", "4100", " - ", "NON-TAXABLE SALES")</f>
        <v xml:space="preserve">          4100 - NON-TAXABLE SALES</v>
      </c>
      <c r="C21" s="11"/>
      <c r="D21" s="2">
        <f t="shared" si="5"/>
        <v>0</v>
      </c>
      <c r="E21" s="2"/>
      <c r="F21" s="19"/>
      <c r="G21" s="2"/>
      <c r="H21" s="2">
        <v>252280</v>
      </c>
      <c r="I21" s="2"/>
      <c r="J21" s="19"/>
      <c r="K21" s="2"/>
      <c r="L21" s="2">
        <f t="shared" si="0"/>
        <v>-252280</v>
      </c>
      <c r="M21" s="2"/>
      <c r="N21" s="19">
        <f t="shared" si="1"/>
        <v>-1</v>
      </c>
      <c r="O21" s="11"/>
      <c r="P21" s="2">
        <f>0</f>
        <v>0</v>
      </c>
      <c r="Q21" s="2"/>
      <c r="R21" s="19"/>
      <c r="S21" s="2"/>
      <c r="T21" s="2">
        <v>593120</v>
      </c>
      <c r="U21" s="2"/>
      <c r="V21" s="19"/>
      <c r="W21" s="2"/>
      <c r="X21" s="2">
        <f t="shared" si="2"/>
        <v>-593120</v>
      </c>
      <c r="Y21" s="2"/>
      <c r="Z21" s="19">
        <f t="shared" si="3"/>
        <v>-1</v>
      </c>
    </row>
    <row r="22" spans="1:26" s="24" customFormat="1" hidden="1" outlineLevel="1" x14ac:dyDescent="0.25">
      <c r="A22" s="44"/>
      <c r="B22" s="11" t="str">
        <f>CONCATENATE("          ", "4141", " - ", "NON-TAXABLE SALES-LOGO GIFTS")</f>
        <v xml:space="preserve">          4141 - NON-TAXABLE SALES-LOGO GIFTS</v>
      </c>
      <c r="C22" s="11"/>
      <c r="D22" s="2">
        <f>--57</f>
        <v>57</v>
      </c>
      <c r="E22" s="2"/>
      <c r="F22" s="19"/>
      <c r="G22" s="2"/>
      <c r="H22" s="2"/>
      <c r="I22" s="2"/>
      <c r="J22" s="19"/>
      <c r="K22" s="2"/>
      <c r="L22" s="2">
        <f t="shared" si="0"/>
        <v>57</v>
      </c>
      <c r="M22" s="2"/>
      <c r="N22" s="19">
        <f t="shared" si="1"/>
        <v>0</v>
      </c>
      <c r="O22" s="11"/>
      <c r="P22" s="2">
        <f>--921.6</f>
        <v>921.6</v>
      </c>
      <c r="Q22" s="2"/>
      <c r="R22" s="19"/>
      <c r="S22" s="2"/>
      <c r="T22" s="2"/>
      <c r="U22" s="2"/>
      <c r="V22" s="19"/>
      <c r="W22" s="2"/>
      <c r="X22" s="2">
        <f t="shared" si="2"/>
        <v>921.6</v>
      </c>
      <c r="Y22" s="2"/>
      <c r="Z22" s="19">
        <f t="shared" si="3"/>
        <v>0</v>
      </c>
    </row>
    <row r="23" spans="1:26" s="24" customFormat="1" hidden="1" outlineLevel="1" x14ac:dyDescent="0.25">
      <c r="A23" s="44"/>
      <c r="B23" s="11" t="str">
        <f>CONCATENATE("          ", "4142", " - ", "NON-TAXABLE SALES-EVERYDAY GIF")</f>
        <v xml:space="preserve">          4142 - NON-TAXABLE SALES-EVERYDAY GIF</v>
      </c>
      <c r="C23" s="11"/>
      <c r="D23" s="2">
        <f t="shared" ref="D23:D24" si="6">0</f>
        <v>0</v>
      </c>
      <c r="E23" s="2"/>
      <c r="F23" s="19"/>
      <c r="G23" s="2"/>
      <c r="H23" s="2"/>
      <c r="I23" s="2"/>
      <c r="J23" s="19"/>
      <c r="K23" s="2"/>
      <c r="L23" s="2">
        <f t="shared" si="0"/>
        <v>0</v>
      </c>
      <c r="M23" s="2"/>
      <c r="N23" s="19">
        <f t="shared" si="1"/>
        <v>0</v>
      </c>
      <c r="O23" s="11"/>
      <c r="P23" s="2">
        <f>--8924.02</f>
        <v>8924.02</v>
      </c>
      <c r="Q23" s="2"/>
      <c r="R23" s="19"/>
      <c r="S23" s="2"/>
      <c r="T23" s="2"/>
      <c r="U23" s="2"/>
      <c r="V23" s="19"/>
      <c r="W23" s="2"/>
      <c r="X23" s="2">
        <f t="shared" si="2"/>
        <v>8924.02</v>
      </c>
      <c r="Y23" s="2"/>
      <c r="Z23" s="19">
        <f t="shared" si="3"/>
        <v>0</v>
      </c>
    </row>
    <row r="24" spans="1:26" s="24" customFormat="1" hidden="1" outlineLevel="1" x14ac:dyDescent="0.25">
      <c r="A24" s="44"/>
      <c r="B24" s="11" t="str">
        <f>CONCATENATE("          ", "4146", " - ", "NON-TAXABLE SALES-COIN OP MACH")</f>
        <v xml:space="preserve">          4146 - NON-TAXABLE SALES-COIN OP MACH</v>
      </c>
      <c r="C24" s="11"/>
      <c r="D24" s="2">
        <f t="shared" si="6"/>
        <v>0</v>
      </c>
      <c r="E24" s="2"/>
      <c r="F24" s="19"/>
      <c r="G24" s="2"/>
      <c r="H24" s="2"/>
      <c r="I24" s="2"/>
      <c r="J24" s="19"/>
      <c r="K24" s="2"/>
      <c r="L24" s="2">
        <f t="shared" si="0"/>
        <v>0</v>
      </c>
      <c r="M24" s="2"/>
      <c r="N24" s="19">
        <f t="shared" si="1"/>
        <v>0</v>
      </c>
      <c r="O24" s="11"/>
      <c r="P24" s="2">
        <f>--205908.65</f>
        <v>205908.65</v>
      </c>
      <c r="Q24" s="2"/>
      <c r="R24" s="19"/>
      <c r="S24" s="2"/>
      <c r="T24" s="2"/>
      <c r="U24" s="2"/>
      <c r="V24" s="19"/>
      <c r="W24" s="2"/>
      <c r="X24" s="2">
        <f t="shared" si="2"/>
        <v>205908.65</v>
      </c>
      <c r="Y24" s="2"/>
      <c r="Z24" s="19">
        <f t="shared" si="3"/>
        <v>0</v>
      </c>
    </row>
    <row r="25" spans="1:26" s="24" customFormat="1" hidden="1" outlineLevel="1" x14ac:dyDescent="0.25">
      <c r="A25" s="44"/>
      <c r="B25" s="11" t="str">
        <f>CONCATENATE("          ", "4147", " - ", "NON-TAXABLE SALES-MISC")</f>
        <v xml:space="preserve">          4147 - NON-TAXABLE SALES-MISC</v>
      </c>
      <c r="C25" s="11"/>
      <c r="D25" s="2">
        <f>--10</f>
        <v>10</v>
      </c>
      <c r="E25" s="2"/>
      <c r="F25" s="19"/>
      <c r="G25" s="2"/>
      <c r="H25" s="2"/>
      <c r="I25" s="2"/>
      <c r="J25" s="19"/>
      <c r="K25" s="2"/>
      <c r="L25" s="2">
        <f t="shared" si="0"/>
        <v>10</v>
      </c>
      <c r="M25" s="2"/>
      <c r="N25" s="19">
        <f t="shared" si="1"/>
        <v>0</v>
      </c>
      <c r="O25" s="11"/>
      <c r="P25" s="2">
        <f>--3446.37</f>
        <v>3446.37</v>
      </c>
      <c r="Q25" s="2"/>
      <c r="R25" s="19"/>
      <c r="S25" s="2"/>
      <c r="T25" s="2"/>
      <c r="U25" s="2"/>
      <c r="V25" s="19"/>
      <c r="W25" s="2"/>
      <c r="X25" s="2">
        <f t="shared" si="2"/>
        <v>3446.37</v>
      </c>
      <c r="Y25" s="2"/>
      <c r="Z25" s="19">
        <f t="shared" si="3"/>
        <v>0</v>
      </c>
    </row>
    <row r="26" spans="1:26" s="24" customFormat="1" hidden="1" outlineLevel="1" x14ac:dyDescent="0.25">
      <c r="A26" s="44"/>
      <c r="B26" s="11" t="str">
        <f>CONCATENATE("          ", "4192", " - ", "NON-TAXABLE SALES-GRAD MERCH")</f>
        <v xml:space="preserve">          4192 - NON-TAXABLE SALES-GRAD MERCH</v>
      </c>
      <c r="C26" s="11"/>
      <c r="D26" s="2">
        <f>--119.4</f>
        <v>119.4</v>
      </c>
      <c r="E26" s="2"/>
      <c r="F26" s="19"/>
      <c r="G26" s="2"/>
      <c r="H26" s="2"/>
      <c r="I26" s="2"/>
      <c r="J26" s="19"/>
      <c r="K26" s="2"/>
      <c r="L26" s="2">
        <f t="shared" si="0"/>
        <v>119.4</v>
      </c>
      <c r="M26" s="2"/>
      <c r="N26" s="19">
        <f t="shared" si="1"/>
        <v>0</v>
      </c>
      <c r="O26" s="11"/>
      <c r="P26" s="2">
        <f>--119.4</f>
        <v>119.4</v>
      </c>
      <c r="Q26" s="2"/>
      <c r="R26" s="19"/>
      <c r="S26" s="2"/>
      <c r="T26" s="2"/>
      <c r="U26" s="2"/>
      <c r="V26" s="19"/>
      <c r="W26" s="2"/>
      <c r="X26" s="2">
        <f t="shared" si="2"/>
        <v>119.4</v>
      </c>
      <c r="Y26" s="2"/>
      <c r="Z26" s="19">
        <f t="shared" si="3"/>
        <v>0</v>
      </c>
    </row>
    <row r="27" spans="1:26" s="24" customFormat="1" hidden="1" outlineLevel="1" x14ac:dyDescent="0.25">
      <c r="A27" s="44"/>
      <c r="B27" s="11" t="str">
        <f>CONCATENATE("          ", "4241", " - ", "SALES RETURN TAXABLE-LOGO GIFT")</f>
        <v xml:space="preserve">          4241 - SALES RETURN TAXABLE-LOGO GIFT</v>
      </c>
      <c r="C27" s="11"/>
      <c r="D27" s="2">
        <f t="shared" ref="D27:D28" si="7">0</f>
        <v>0</v>
      </c>
      <c r="E27" s="2"/>
      <c r="F27" s="19"/>
      <c r="G27" s="2"/>
      <c r="H27" s="2"/>
      <c r="I27" s="2"/>
      <c r="J27" s="19"/>
      <c r="K27" s="2"/>
      <c r="L27" s="2">
        <f t="shared" si="0"/>
        <v>0</v>
      </c>
      <c r="M27" s="2"/>
      <c r="N27" s="19">
        <f t="shared" si="1"/>
        <v>0</v>
      </c>
      <c r="O27" s="11"/>
      <c r="P27" s="2">
        <f>-1059.4</f>
        <v>-1059.4000000000001</v>
      </c>
      <c r="Q27" s="2"/>
      <c r="R27" s="19"/>
      <c r="S27" s="2"/>
      <c r="T27" s="2"/>
      <c r="U27" s="2"/>
      <c r="V27" s="19"/>
      <c r="W27" s="2"/>
      <c r="X27" s="2">
        <f t="shared" si="2"/>
        <v>-1059.4000000000001</v>
      </c>
      <c r="Y27" s="2"/>
      <c r="Z27" s="19">
        <f t="shared" si="3"/>
        <v>0</v>
      </c>
    </row>
    <row r="28" spans="1:26" s="24" customFormat="1" hidden="1" outlineLevel="1" x14ac:dyDescent="0.25">
      <c r="A28" s="44"/>
      <c r="B28" s="11" t="str">
        <f>CONCATENATE("          ", "4242", " - ", "SALES RETURN TAXABLE-EVERYDAY")</f>
        <v xml:space="preserve">          4242 - SALES RETURN TAXABLE-EVERYDAY</v>
      </c>
      <c r="C28" s="11"/>
      <c r="D28" s="2">
        <f t="shared" si="7"/>
        <v>0</v>
      </c>
      <c r="E28" s="2"/>
      <c r="F28" s="19"/>
      <c r="G28" s="2"/>
      <c r="H28" s="2"/>
      <c r="I28" s="2"/>
      <c r="J28" s="19"/>
      <c r="K28" s="2"/>
      <c r="L28" s="2">
        <f t="shared" si="0"/>
        <v>0</v>
      </c>
      <c r="M28" s="2"/>
      <c r="N28" s="19">
        <f t="shared" si="1"/>
        <v>0</v>
      </c>
      <c r="O28" s="11"/>
      <c r="P28" s="2">
        <f>-227.7</f>
        <v>-227.7</v>
      </c>
      <c r="Q28" s="2"/>
      <c r="R28" s="19"/>
      <c r="S28" s="2"/>
      <c r="T28" s="2"/>
      <c r="U28" s="2"/>
      <c r="V28" s="19"/>
      <c r="W28" s="2"/>
      <c r="X28" s="2">
        <f t="shared" si="2"/>
        <v>-227.7</v>
      </c>
      <c r="Y28" s="2"/>
      <c r="Z28" s="19">
        <f t="shared" si="3"/>
        <v>0</v>
      </c>
    </row>
    <row r="29" spans="1:26" s="24" customFormat="1" hidden="1" outlineLevel="1" x14ac:dyDescent="0.25">
      <c r="A29" s="44"/>
      <c r="B29" s="11" t="str">
        <f>CONCATENATE("          ", "4292", " - ", "SALES RETURN TAXABLE-GRAD MERC")</f>
        <v xml:space="preserve">          4292 - SALES RETURN TAXABLE-GRAD MERC</v>
      </c>
      <c r="C29" s="11"/>
      <c r="D29" s="2">
        <f>-64.89</f>
        <v>-64.89</v>
      </c>
      <c r="E29" s="2"/>
      <c r="F29" s="19"/>
      <c r="G29" s="2"/>
      <c r="H29" s="2"/>
      <c r="I29" s="2"/>
      <c r="J29" s="19"/>
      <c r="K29" s="2"/>
      <c r="L29" s="2">
        <f t="shared" si="0"/>
        <v>-64.89</v>
      </c>
      <c r="M29" s="2"/>
      <c r="N29" s="19">
        <f t="shared" si="1"/>
        <v>0</v>
      </c>
      <c r="O29" s="11"/>
      <c r="P29" s="2">
        <f>-578.84</f>
        <v>-578.84</v>
      </c>
      <c r="Q29" s="2"/>
      <c r="R29" s="19"/>
      <c r="S29" s="2"/>
      <c r="T29" s="2"/>
      <c r="U29" s="2"/>
      <c r="V29" s="19"/>
      <c r="W29" s="2"/>
      <c r="X29" s="2">
        <f t="shared" si="2"/>
        <v>-578.84</v>
      </c>
      <c r="Y29" s="2"/>
      <c r="Z29" s="19">
        <f t="shared" si="3"/>
        <v>0</v>
      </c>
    </row>
    <row r="30" spans="1:26" s="24" customFormat="1" hidden="1" outlineLevel="1" x14ac:dyDescent="0.25">
      <c r="A30" s="44"/>
      <c r="B30" s="11" t="str">
        <f>CONCATENATE("          ", "4342", " - ", "SALES RETURN NON TAXABLE-EVERY")</f>
        <v xml:space="preserve">          4342 - SALES RETURN NON TAXABLE-EVERY</v>
      </c>
      <c r="C30" s="11"/>
      <c r="D30" s="2">
        <f t="shared" ref="D30:D32" si="8">0</f>
        <v>0</v>
      </c>
      <c r="E30" s="2"/>
      <c r="F30" s="19"/>
      <c r="G30" s="2"/>
      <c r="H30" s="2"/>
      <c r="I30" s="2"/>
      <c r="J30" s="19"/>
      <c r="K30" s="2"/>
      <c r="L30" s="2">
        <f t="shared" si="0"/>
        <v>0</v>
      </c>
      <c r="M30" s="2"/>
      <c r="N30" s="19">
        <f t="shared" si="1"/>
        <v>0</v>
      </c>
      <c r="O30" s="11"/>
      <c r="P30" s="2">
        <f>-39.42</f>
        <v>-39.42</v>
      </c>
      <c r="Q30" s="2"/>
      <c r="R30" s="19"/>
      <c r="S30" s="2"/>
      <c r="T30" s="2"/>
      <c r="U30" s="2"/>
      <c r="V30" s="19"/>
      <c r="W30" s="2"/>
      <c r="X30" s="2">
        <f t="shared" si="2"/>
        <v>-39.42</v>
      </c>
      <c r="Y30" s="2"/>
      <c r="Z30" s="19">
        <f t="shared" si="3"/>
        <v>0</v>
      </c>
    </row>
    <row r="31" spans="1:26" s="24" customFormat="1" hidden="1" outlineLevel="1" x14ac:dyDescent="0.25">
      <c r="A31" s="44"/>
      <c r="B31" s="11" t="str">
        <f>CONCATENATE("          ", "4346", " - ", "SALES RETURN NON TAXABLE-COIN-")</f>
        <v xml:space="preserve">          4346 - SALES RETURN NON TAXABLE-COIN-</v>
      </c>
      <c r="C31" s="11"/>
      <c r="D31" s="2">
        <f t="shared" si="8"/>
        <v>0</v>
      </c>
      <c r="E31" s="2"/>
      <c r="F31" s="19"/>
      <c r="G31" s="2"/>
      <c r="H31" s="2"/>
      <c r="I31" s="2"/>
      <c r="J31" s="19"/>
      <c r="K31" s="2"/>
      <c r="L31" s="2">
        <f t="shared" si="0"/>
        <v>0</v>
      </c>
      <c r="M31" s="2"/>
      <c r="N31" s="19">
        <f t="shared" si="1"/>
        <v>0</v>
      </c>
      <c r="O31" s="11"/>
      <c r="P31" s="2">
        <f>-8.15</f>
        <v>-8.15</v>
      </c>
      <c r="Q31" s="2"/>
      <c r="R31" s="19"/>
      <c r="S31" s="2"/>
      <c r="T31" s="2"/>
      <c r="U31" s="2"/>
      <c r="V31" s="19"/>
      <c r="W31" s="2"/>
      <c r="X31" s="2">
        <f t="shared" si="2"/>
        <v>-8.15</v>
      </c>
      <c r="Y31" s="2"/>
      <c r="Z31" s="19">
        <f t="shared" si="3"/>
        <v>0</v>
      </c>
    </row>
    <row r="32" spans="1:26" s="24" customFormat="1" hidden="1" outlineLevel="1" x14ac:dyDescent="0.25">
      <c r="A32" s="44"/>
      <c r="B32" s="11" t="str">
        <f>CONCATENATE("          ", "4347", " - ", "SALES RETURN NON TAXABLE-MISC")</f>
        <v xml:space="preserve">          4347 - SALES RETURN NON TAXABLE-MISC</v>
      </c>
      <c r="C32" s="11"/>
      <c r="D32" s="2">
        <f t="shared" si="8"/>
        <v>0</v>
      </c>
      <c r="E32" s="2"/>
      <c r="F32" s="19"/>
      <c r="G32" s="2"/>
      <c r="H32" s="2"/>
      <c r="I32" s="2"/>
      <c r="J32" s="19"/>
      <c r="K32" s="2"/>
      <c r="L32" s="2">
        <f t="shared" si="0"/>
        <v>0</v>
      </c>
      <c r="M32" s="2"/>
      <c r="N32" s="19">
        <f t="shared" si="1"/>
        <v>0</v>
      </c>
      <c r="O32" s="11"/>
      <c r="P32" s="2">
        <f>-84</f>
        <v>-84</v>
      </c>
      <c r="Q32" s="2"/>
      <c r="R32" s="19"/>
      <c r="S32" s="2"/>
      <c r="T32" s="2"/>
      <c r="U32" s="2"/>
      <c r="V32" s="19"/>
      <c r="W32" s="2"/>
      <c r="X32" s="2">
        <f t="shared" si="2"/>
        <v>-84</v>
      </c>
      <c r="Y32" s="2"/>
      <c r="Z32" s="19">
        <f t="shared" si="3"/>
        <v>0</v>
      </c>
    </row>
    <row r="33" spans="1:26" x14ac:dyDescent="0.25">
      <c r="A33" s="9"/>
      <c r="B33" s="10"/>
      <c r="C33" s="9"/>
      <c r="D33" s="3"/>
      <c r="E33" s="3"/>
      <c r="F33" s="8"/>
      <c r="G33" s="3"/>
      <c r="H33" s="3"/>
      <c r="I33" s="3"/>
      <c r="J33" s="8"/>
      <c r="K33" s="3"/>
      <c r="L33" s="3"/>
      <c r="M33" s="3"/>
      <c r="N33" s="8"/>
      <c r="P33" s="3"/>
      <c r="Q33" s="3"/>
      <c r="R33" s="8"/>
      <c r="S33" s="3"/>
      <c r="T33" s="3"/>
      <c r="U33" s="3"/>
      <c r="V33" s="8"/>
      <c r="W33" s="3"/>
      <c r="X33" s="3"/>
      <c r="Y33" s="3"/>
      <c r="Z33" s="8"/>
    </row>
    <row r="34" spans="1:26" s="23" customFormat="1" collapsed="1" x14ac:dyDescent="0.25">
      <c r="A34" s="10"/>
      <c r="B34" s="28" t="s">
        <v>8</v>
      </c>
      <c r="C34" s="10"/>
      <c r="D34" s="4">
        <f>SUM(OSRRefD16x_0)</f>
        <v>5155.7199999999993</v>
      </c>
      <c r="E34" s="4"/>
      <c r="F34" s="13">
        <f t="shared" ref="F34:F40" si="9">IF(D$12=0,0,D34/D$12)</f>
        <v>0.31175085182867274</v>
      </c>
      <c r="G34" s="4"/>
      <c r="H34" s="4">
        <f>SUM(OSRRefH16x_0)</f>
        <v>152580.5</v>
      </c>
      <c r="I34" s="4"/>
      <c r="J34" s="13">
        <f t="shared" ref="J34:J40" si="10">IF(H$12=0,0,H34/H$12)</f>
        <v>0.35618026051636398</v>
      </c>
      <c r="K34" s="4"/>
      <c r="L34" s="4">
        <f t="shared" ref="L34:L40" si="11">+D34-H34</f>
        <v>-147424.78</v>
      </c>
      <c r="M34" s="4"/>
      <c r="N34" s="13">
        <f t="shared" ref="N34:N40" si="12">IF(H34=0,0,L34/H34)</f>
        <v>-0.96620983677468619</v>
      </c>
      <c r="O34" s="10"/>
      <c r="P34" s="4">
        <f>SUM(OSRRefP16x_0)</f>
        <v>14627.13</v>
      </c>
      <c r="Q34" s="4"/>
      <c r="R34" s="13">
        <f t="shared" ref="R34:R40" si="13">IF(P$12=0,0,P34/P$12)</f>
        <v>2.8772504690464735E-2</v>
      </c>
      <c r="S34" s="4"/>
      <c r="T34" s="4">
        <f>SUM(OSRRefT16x_0)</f>
        <v>309962.97499999998</v>
      </c>
      <c r="U34" s="4"/>
      <c r="V34" s="13">
        <f t="shared" ref="V34:V40" si="14">IF(T$12=0,0,T34/T$12)</f>
        <v>0.215277854465205</v>
      </c>
      <c r="W34" s="4"/>
      <c r="X34" s="4">
        <f t="shared" ref="X34:X40" si="15">+P34-T34</f>
        <v>-295335.84499999997</v>
      </c>
      <c r="Y34" s="4"/>
      <c r="Z34" s="13">
        <f t="shared" ref="Z34:Z40" si="16">IF(T34=0,0,X34/T34)</f>
        <v>-0.95281007352571701</v>
      </c>
    </row>
    <row r="35" spans="1:26" s="24" customFormat="1" hidden="1" outlineLevel="1" x14ac:dyDescent="0.25">
      <c r="A35" s="44"/>
      <c r="B35" s="11" t="str">
        <f>CONCATENATE("          ", "5000", " - ", "PURCHASES @ COST")</f>
        <v xml:space="preserve">          5000 - PURCHASES @ COST</v>
      </c>
      <c r="C35" s="11"/>
      <c r="D35" s="2"/>
      <c r="E35" s="2"/>
      <c r="F35" s="19">
        <f t="shared" si="9"/>
        <v>0</v>
      </c>
      <c r="G35" s="2"/>
      <c r="H35" s="2">
        <v>152580.5</v>
      </c>
      <c r="I35" s="2"/>
      <c r="J35" s="19">
        <f t="shared" si="10"/>
        <v>0.35618026051636398</v>
      </c>
      <c r="K35" s="2"/>
      <c r="L35" s="2">
        <f t="shared" si="11"/>
        <v>-152580.5</v>
      </c>
      <c r="M35" s="2"/>
      <c r="N35" s="19">
        <f t="shared" si="12"/>
        <v>-1</v>
      </c>
      <c r="O35" s="11"/>
      <c r="P35" s="2"/>
      <c r="Q35" s="2"/>
      <c r="R35" s="19">
        <f t="shared" si="13"/>
        <v>0</v>
      </c>
      <c r="S35" s="2"/>
      <c r="T35" s="2">
        <v>309962.97499999998</v>
      </c>
      <c r="U35" s="2"/>
      <c r="V35" s="19">
        <f t="shared" si="14"/>
        <v>0.215277854465205</v>
      </c>
      <c r="W35" s="2"/>
      <c r="X35" s="2">
        <f t="shared" si="15"/>
        <v>-309962.97499999998</v>
      </c>
      <c r="Y35" s="2"/>
      <c r="Z35" s="19">
        <f t="shared" si="16"/>
        <v>-1</v>
      </c>
    </row>
    <row r="36" spans="1:26" s="24" customFormat="1" hidden="1" outlineLevel="1" x14ac:dyDescent="0.25">
      <c r="A36" s="44"/>
      <c r="B36" s="11" t="str">
        <f>CONCATENATE("          ", "5092", " - ", "PURCHASES @ COST-GRAD MERCH")</f>
        <v xml:space="preserve">          5092 - PURCHASES @ COST-GRAD MERCH</v>
      </c>
      <c r="C36" s="11"/>
      <c r="D36" s="2">
        <v>-3999.6</v>
      </c>
      <c r="E36" s="2"/>
      <c r="F36" s="19">
        <f t="shared" si="9"/>
        <v>-0.2418437593534869</v>
      </c>
      <c r="G36" s="2"/>
      <c r="H36" s="2"/>
      <c r="I36" s="2"/>
      <c r="J36" s="19">
        <f t="shared" si="10"/>
        <v>0</v>
      </c>
      <c r="K36" s="2"/>
      <c r="L36" s="2">
        <f t="shared" si="11"/>
        <v>-3999.6</v>
      </c>
      <c r="M36" s="2"/>
      <c r="N36" s="19">
        <f t="shared" si="12"/>
        <v>0</v>
      </c>
      <c r="O36" s="11"/>
      <c r="P36" s="2">
        <v>4546.2299999999996</v>
      </c>
      <c r="Q36" s="2"/>
      <c r="R36" s="19">
        <f t="shared" si="13"/>
        <v>8.9427265635111941E-3</v>
      </c>
      <c r="S36" s="2"/>
      <c r="T36" s="2"/>
      <c r="U36" s="2"/>
      <c r="V36" s="19">
        <f t="shared" si="14"/>
        <v>0</v>
      </c>
      <c r="W36" s="2"/>
      <c r="X36" s="2">
        <f t="shared" si="15"/>
        <v>4546.2299999999996</v>
      </c>
      <c r="Y36" s="2"/>
      <c r="Z36" s="19">
        <f t="shared" si="16"/>
        <v>0</v>
      </c>
    </row>
    <row r="37" spans="1:26" s="24" customFormat="1" hidden="1" outlineLevel="1" x14ac:dyDescent="0.25">
      <c r="A37" s="44"/>
      <c r="B37" s="11" t="str">
        <f>CONCATENATE("          ", "5095", " - ", "PURCHASES @ COST-CUSTOMER SERV")</f>
        <v xml:space="preserve">          5095 - PURCHASES @ COST-CUSTOMER SERV</v>
      </c>
      <c r="C37" s="11"/>
      <c r="D37" s="2"/>
      <c r="E37" s="2"/>
      <c r="F37" s="19">
        <f t="shared" si="9"/>
        <v>0</v>
      </c>
      <c r="G37" s="2"/>
      <c r="H37" s="2"/>
      <c r="I37" s="2"/>
      <c r="J37" s="19">
        <f t="shared" si="10"/>
        <v>0</v>
      </c>
      <c r="K37" s="2"/>
      <c r="L37" s="2">
        <f t="shared" si="11"/>
        <v>0</v>
      </c>
      <c r="M37" s="2"/>
      <c r="N37" s="19">
        <f t="shared" si="12"/>
        <v>0</v>
      </c>
      <c r="O37" s="11"/>
      <c r="P37" s="2">
        <v>11.85</v>
      </c>
      <c r="Q37" s="2"/>
      <c r="R37" s="19">
        <f t="shared" si="13"/>
        <v>2.3309711514289344E-5</v>
      </c>
      <c r="S37" s="2"/>
      <c r="T37" s="2"/>
      <c r="U37" s="2"/>
      <c r="V37" s="19">
        <f t="shared" si="14"/>
        <v>0</v>
      </c>
      <c r="W37" s="2"/>
      <c r="X37" s="2">
        <f t="shared" si="15"/>
        <v>11.85</v>
      </c>
      <c r="Y37" s="2"/>
      <c r="Z37" s="19">
        <f t="shared" si="16"/>
        <v>0</v>
      </c>
    </row>
    <row r="38" spans="1:26" s="24" customFormat="1" hidden="1" outlineLevel="1" x14ac:dyDescent="0.25">
      <c r="A38" s="44"/>
      <c r="B38" s="11" t="str">
        <f>CONCATENATE("          ", "5200", " - ", "PURCHASES OFFSET")</f>
        <v xml:space="preserve">          5200 - PURCHASES OFFSET</v>
      </c>
      <c r="C38" s="11"/>
      <c r="D38" s="2">
        <v>3958</v>
      </c>
      <c r="E38" s="2"/>
      <c r="F38" s="19">
        <f t="shared" si="9"/>
        <v>0.23932833271354667</v>
      </c>
      <c r="G38" s="2"/>
      <c r="H38" s="2"/>
      <c r="I38" s="2"/>
      <c r="J38" s="19">
        <f t="shared" si="10"/>
        <v>0</v>
      </c>
      <c r="K38" s="2"/>
      <c r="L38" s="2">
        <f t="shared" si="11"/>
        <v>3958</v>
      </c>
      <c r="M38" s="2"/>
      <c r="N38" s="19">
        <f t="shared" si="12"/>
        <v>0</v>
      </c>
      <c r="O38" s="11"/>
      <c r="P38" s="2">
        <v>-4719</v>
      </c>
      <c r="Q38" s="2"/>
      <c r="R38" s="19">
        <f t="shared" si="13"/>
        <v>-9.2825762561967451E-3</v>
      </c>
      <c r="S38" s="2"/>
      <c r="T38" s="2"/>
      <c r="U38" s="2"/>
      <c r="V38" s="19">
        <f t="shared" si="14"/>
        <v>0</v>
      </c>
      <c r="W38" s="2"/>
      <c r="X38" s="2">
        <f t="shared" si="15"/>
        <v>-4719</v>
      </c>
      <c r="Y38" s="2"/>
      <c r="Z38" s="19">
        <f t="shared" si="16"/>
        <v>0</v>
      </c>
    </row>
    <row r="39" spans="1:26" s="24" customFormat="1" hidden="1" outlineLevel="1" x14ac:dyDescent="0.25">
      <c r="A39" s="44"/>
      <c r="B39" s="11" t="str">
        <f>CONCATENATE("          ", "5300", " - ", "COG$ OFFSET")</f>
        <v xml:space="preserve">          5300 - COG$ OFFSET</v>
      </c>
      <c r="C39" s="11"/>
      <c r="D39" s="2">
        <v>5156</v>
      </c>
      <c r="E39" s="2"/>
      <c r="F39" s="19">
        <f t="shared" si="9"/>
        <v>0.31176778258490312</v>
      </c>
      <c r="G39" s="2"/>
      <c r="H39" s="2"/>
      <c r="I39" s="2"/>
      <c r="J39" s="19">
        <f t="shared" si="10"/>
        <v>0</v>
      </c>
      <c r="K39" s="2"/>
      <c r="L39" s="2">
        <f t="shared" si="11"/>
        <v>5156</v>
      </c>
      <c r="M39" s="2"/>
      <c r="N39" s="19">
        <f t="shared" si="12"/>
        <v>0</v>
      </c>
      <c r="O39" s="11"/>
      <c r="P39" s="2">
        <v>14628</v>
      </c>
      <c r="Q39" s="2"/>
      <c r="R39" s="19">
        <f t="shared" si="13"/>
        <v>2.8774216036373378E-2</v>
      </c>
      <c r="S39" s="2"/>
      <c r="T39" s="2"/>
      <c r="U39" s="2"/>
      <c r="V39" s="19">
        <f t="shared" si="14"/>
        <v>0</v>
      </c>
      <c r="W39" s="2"/>
      <c r="X39" s="2">
        <f t="shared" si="15"/>
        <v>14628</v>
      </c>
      <c r="Y39" s="2"/>
      <c r="Z39" s="19">
        <f t="shared" si="16"/>
        <v>0</v>
      </c>
    </row>
    <row r="40" spans="1:26" s="24" customFormat="1" hidden="1" outlineLevel="1" x14ac:dyDescent="0.25">
      <c r="A40" s="44"/>
      <c r="B40" s="11" t="str">
        <f>CONCATENATE("          ", "5592", " - ", "FREIGHT-IN-GRAD MERCH")</f>
        <v xml:space="preserve">          5592 - FREIGHT-IN-GRAD MERCH</v>
      </c>
      <c r="C40" s="11"/>
      <c r="D40" s="2">
        <v>41.32</v>
      </c>
      <c r="E40" s="2"/>
      <c r="F40" s="19">
        <f t="shared" si="9"/>
        <v>2.4984958837098907E-3</v>
      </c>
      <c r="G40" s="2"/>
      <c r="H40" s="2"/>
      <c r="I40" s="2"/>
      <c r="J40" s="19">
        <f t="shared" si="10"/>
        <v>0</v>
      </c>
      <c r="K40" s="2"/>
      <c r="L40" s="2">
        <f t="shared" si="11"/>
        <v>41.32</v>
      </c>
      <c r="M40" s="2"/>
      <c r="N40" s="19">
        <f t="shared" si="12"/>
        <v>0</v>
      </c>
      <c r="O40" s="11"/>
      <c r="P40" s="2">
        <v>160.05000000000001</v>
      </c>
      <c r="Q40" s="2"/>
      <c r="R40" s="19">
        <f t="shared" si="13"/>
        <v>3.1482863526261689E-4</v>
      </c>
      <c r="S40" s="2"/>
      <c r="T40" s="2"/>
      <c r="U40" s="2"/>
      <c r="V40" s="19">
        <f t="shared" si="14"/>
        <v>0</v>
      </c>
      <c r="W40" s="2"/>
      <c r="X40" s="2">
        <f t="shared" si="15"/>
        <v>160.05000000000001</v>
      </c>
      <c r="Y40" s="2"/>
      <c r="Z40" s="19">
        <f t="shared" si="16"/>
        <v>0</v>
      </c>
    </row>
    <row r="41" spans="1:26" x14ac:dyDescent="0.25">
      <c r="A41" s="9"/>
      <c r="B41" s="10"/>
      <c r="C41" s="10"/>
      <c r="D41" s="3"/>
      <c r="E41" s="3"/>
      <c r="F41" s="8"/>
      <c r="G41" s="3"/>
      <c r="H41" s="3"/>
      <c r="I41" s="3"/>
      <c r="J41" s="8"/>
      <c r="K41" s="3"/>
      <c r="L41" s="3"/>
      <c r="M41" s="3"/>
      <c r="N41" s="8"/>
      <c r="O41" s="10"/>
      <c r="P41" s="3"/>
      <c r="Q41" s="3"/>
      <c r="R41" s="8"/>
      <c r="S41" s="3"/>
      <c r="T41" s="3"/>
      <c r="U41" s="3"/>
      <c r="V41" s="8"/>
      <c r="W41" s="3"/>
      <c r="X41" s="3"/>
      <c r="Y41" s="3"/>
      <c r="Z41" s="8"/>
    </row>
    <row r="42" spans="1:26" s="23" customFormat="1" x14ac:dyDescent="0.25">
      <c r="A42" s="10"/>
      <c r="B42" s="29" t="s">
        <v>6</v>
      </c>
      <c r="C42" s="29"/>
      <c r="D42" s="20">
        <f>D12-D34</f>
        <v>11382.230000000005</v>
      </c>
      <c r="E42" s="14"/>
      <c r="F42" s="22">
        <f>IF(D$12=0,0,D42/D$12)</f>
        <v>0.68824914817132732</v>
      </c>
      <c r="G42" s="14"/>
      <c r="H42" s="20">
        <f>H12-H34</f>
        <v>275799.5</v>
      </c>
      <c r="I42" s="14"/>
      <c r="J42" s="22">
        <f>IF(H$12=0,0,H42/H$12)</f>
        <v>0.64381973948363602</v>
      </c>
      <c r="K42" s="16"/>
      <c r="L42" s="20">
        <f>+D42-H42</f>
        <v>-264417.27</v>
      </c>
      <c r="M42" s="16"/>
      <c r="N42" s="22">
        <f>IF(H42=0,0,L42/H42)</f>
        <v>-0.95873005571076098</v>
      </c>
      <c r="O42" s="28"/>
      <c r="P42" s="20">
        <f>P12-P34</f>
        <v>493744.67</v>
      </c>
      <c r="Q42" s="14"/>
      <c r="R42" s="22">
        <f>IF(P$12=0,0,P42/P$12)</f>
        <v>0.97122749530953523</v>
      </c>
      <c r="S42" s="14"/>
      <c r="T42" s="20">
        <f>T12-T34</f>
        <v>1129864.5249999999</v>
      </c>
      <c r="U42" s="14"/>
      <c r="V42" s="22">
        <f>IF(T$12=0,0,T42/T$12)</f>
        <v>0.78472214553479491</v>
      </c>
      <c r="W42" s="16"/>
      <c r="X42" s="20">
        <f>+P42-T42</f>
        <v>-636119.85499999998</v>
      </c>
      <c r="Y42" s="16"/>
      <c r="Z42" s="22">
        <f>IF(T42=0,0,X42/T42)</f>
        <v>-0.5630054231501781</v>
      </c>
    </row>
    <row r="43" spans="1:26" x14ac:dyDescent="0.25">
      <c r="A43" s="9"/>
      <c r="B43" s="10"/>
      <c r="C43" s="9"/>
      <c r="D43" s="1"/>
      <c r="E43" s="1"/>
      <c r="F43" s="5"/>
      <c r="G43" s="1"/>
      <c r="H43" s="1"/>
      <c r="I43" s="1"/>
      <c r="J43" s="5"/>
      <c r="K43" s="1"/>
      <c r="L43" s="1"/>
      <c r="M43" s="1"/>
      <c r="N43" s="5"/>
      <c r="O43" s="36"/>
      <c r="P43" s="1"/>
      <c r="Q43" s="1"/>
      <c r="R43" s="5"/>
      <c r="S43" s="1"/>
      <c r="T43" s="1"/>
      <c r="U43" s="1"/>
      <c r="V43" s="5"/>
      <c r="W43" s="1"/>
      <c r="X43" s="1"/>
      <c r="Y43" s="1"/>
      <c r="Z43" s="5"/>
    </row>
    <row r="44" spans="1:26" s="23" customFormat="1" x14ac:dyDescent="0.25">
      <c r="A44" s="10"/>
      <c r="B44" s="28" t="s">
        <v>9</v>
      </c>
      <c r="C44" s="10"/>
      <c r="D44" s="21">
        <f>SUM(OSRRefD22x_0)</f>
        <v>23027.79</v>
      </c>
      <c r="E44" s="21"/>
      <c r="F44" s="30">
        <f t="shared" ref="F44:F54" si="17">IF(D$12=0,0,D44/D$12)</f>
        <v>1.3924210679074489</v>
      </c>
      <c r="G44" s="21"/>
      <c r="H44" s="21">
        <f>SUM(OSRRefH22x_0)</f>
        <v>76641.935590664594</v>
      </c>
      <c r="I44" s="21"/>
      <c r="J44" s="30">
        <f t="shared" ref="J44:J54" si="18">IF(H$12=0,0,H44/H$12)</f>
        <v>0.17891109666806246</v>
      </c>
      <c r="K44" s="4"/>
      <c r="L44" s="21">
        <f t="shared" ref="L44:L54" si="19">+D44-H44</f>
        <v>-53614.145590664593</v>
      </c>
      <c r="M44" s="4"/>
      <c r="N44" s="30">
        <f t="shared" ref="N44:N54" si="20">IF(H44=0,0,L44/H44)</f>
        <v>-0.69954059977048766</v>
      </c>
      <c r="O44" s="10"/>
      <c r="P44" s="21">
        <f>SUM(OSRRefP22x_0)</f>
        <v>478092.63000000012</v>
      </c>
      <c r="Q44" s="21"/>
      <c r="R44" s="30">
        <f t="shared" ref="R44:R54" si="21">IF(P$12=0,0,P44/P$12)</f>
        <v>0.94043892678547503</v>
      </c>
      <c r="S44" s="21"/>
      <c r="T44" s="21">
        <f>SUM(OSRRefT22x_0)</f>
        <v>594820.88063762849</v>
      </c>
      <c r="U44" s="21"/>
      <c r="V44" s="30">
        <f t="shared" ref="V44:V54" si="22">IF(T$12=0,0,T44/T$12)</f>
        <v>0.41311954427709463</v>
      </c>
      <c r="W44" s="4"/>
      <c r="X44" s="21">
        <f t="shared" ref="X44:X54" si="23">+P44-T44</f>
        <v>-116728.25063762837</v>
      </c>
      <c r="Y44" s="4"/>
      <c r="Z44" s="30">
        <f t="shared" ref="Z44:Z54" si="24">IF(T44=0,0,X44/T44)</f>
        <v>-0.19624101042401118</v>
      </c>
    </row>
    <row r="45" spans="1:26" s="27" customFormat="1" outlineLevel="1" collapsed="1" x14ac:dyDescent="0.25">
      <c r="A45" s="25"/>
      <c r="B45" s="12" t="str">
        <f>CONCATENATE("     ","*Benefits                                         ")</f>
        <v xml:space="preserve">     *Benefits                                         </v>
      </c>
      <c r="C45" s="12"/>
      <c r="D45" s="1">
        <f>SUM(OSRRefD22_0x_0)</f>
        <v>6736.43</v>
      </c>
      <c r="E45" s="1"/>
      <c r="F45" s="5">
        <f t="shared" si="17"/>
        <v>0.40733162211761426</v>
      </c>
      <c r="G45" s="1"/>
      <c r="H45" s="1">
        <f>SUM(OSRRefH22_0x_0)</f>
        <v>8924.0290494986893</v>
      </c>
      <c r="I45" s="1"/>
      <c r="J45" s="5">
        <f t="shared" si="18"/>
        <v>2.0832039426440751E-2</v>
      </c>
      <c r="K45" s="1"/>
      <c r="L45" s="1">
        <f t="shared" si="19"/>
        <v>-2187.5990494986891</v>
      </c>
      <c r="M45" s="1"/>
      <c r="N45" s="5">
        <f t="shared" si="20"/>
        <v>-0.24513580551618422</v>
      </c>
      <c r="O45" s="12"/>
      <c r="P45" s="1">
        <f>SUM(OSRRefP22_0x_0)</f>
        <v>89841.48000000001</v>
      </c>
      <c r="Q45" s="1"/>
      <c r="R45" s="5">
        <f t="shared" si="21"/>
        <v>0.17672396462588996</v>
      </c>
      <c r="S45" s="1"/>
      <c r="T45" s="1">
        <f>SUM(OSRRefT22_0x_0)</f>
        <v>80327.224636845582</v>
      </c>
      <c r="U45" s="1"/>
      <c r="V45" s="5">
        <f t="shared" si="22"/>
        <v>5.5789478001250552E-2</v>
      </c>
      <c r="W45" s="1"/>
      <c r="X45" s="1">
        <f t="shared" si="23"/>
        <v>9514.2553631544288</v>
      </c>
      <c r="Y45" s="1"/>
      <c r="Z45" s="5">
        <f t="shared" si="24"/>
        <v>0.11844372074558519</v>
      </c>
    </row>
    <row r="46" spans="1:26" s="24" customFormat="1" hidden="1" outlineLevel="2" x14ac:dyDescent="0.25">
      <c r="A46" s="26"/>
      <c r="B46" s="11" t="str">
        <f>CONCATENATE("          ", "6111", " - ", "F.I.C.A.")</f>
        <v xml:space="preserve">          6111 - F.I.C.A.</v>
      </c>
      <c r="C46" s="11"/>
      <c r="D46" s="7">
        <v>870.7</v>
      </c>
      <c r="E46" s="2"/>
      <c r="F46" s="6">
        <f t="shared" si="17"/>
        <v>5.2648605177788049E-2</v>
      </c>
      <c r="G46" s="2"/>
      <c r="H46" s="7">
        <v>2803.59166056923</v>
      </c>
      <c r="I46" s="2"/>
      <c r="J46" s="6">
        <f t="shared" si="18"/>
        <v>6.5446371459200476E-3</v>
      </c>
      <c r="K46" s="2"/>
      <c r="L46" s="7">
        <f t="shared" si="19"/>
        <v>-1932.89166056923</v>
      </c>
      <c r="M46" s="2"/>
      <c r="N46" s="6">
        <f t="shared" si="20"/>
        <v>-0.68943408833538311</v>
      </c>
      <c r="O46" s="11"/>
      <c r="P46" s="7">
        <v>14023.03</v>
      </c>
      <c r="Q46" s="2"/>
      <c r="R46" s="6">
        <f t="shared" si="21"/>
        <v>2.7584201169301683E-2</v>
      </c>
      <c r="S46" s="2"/>
      <c r="T46" s="7">
        <v>16934.07056670649</v>
      </c>
      <c r="U46" s="2"/>
      <c r="V46" s="6">
        <f t="shared" si="22"/>
        <v>1.1761180118247838E-2</v>
      </c>
      <c r="W46" s="2"/>
      <c r="X46" s="7">
        <f t="shared" si="23"/>
        <v>-2911.0405667064897</v>
      </c>
      <c r="Y46" s="2"/>
      <c r="Z46" s="6">
        <f t="shared" si="24"/>
        <v>-0.17190436022097305</v>
      </c>
    </row>
    <row r="47" spans="1:26" s="24" customFormat="1" hidden="1" outlineLevel="2" x14ac:dyDescent="0.25">
      <c r="A47" s="26"/>
      <c r="B47" s="11" t="str">
        <f>CONCATENATE("          ", "6112", " - ", "COMPENSATION INSURANCE")</f>
        <v xml:space="preserve">          6112 - COMPENSATION INSURANCE</v>
      </c>
      <c r="C47" s="11"/>
      <c r="D47" s="7">
        <v>324.37</v>
      </c>
      <c r="E47" s="2"/>
      <c r="F47" s="6">
        <f t="shared" si="17"/>
        <v>1.9613676423014939E-2</v>
      </c>
      <c r="G47" s="2"/>
      <c r="H47" s="7">
        <v>638.85392461538504</v>
      </c>
      <c r="I47" s="2"/>
      <c r="J47" s="6">
        <f t="shared" si="18"/>
        <v>1.4913252827288507E-3</v>
      </c>
      <c r="K47" s="2"/>
      <c r="L47" s="7">
        <f t="shared" si="19"/>
        <v>-314.48392461538504</v>
      </c>
      <c r="M47" s="2"/>
      <c r="N47" s="6">
        <f t="shared" si="20"/>
        <v>-0.49226264799847103</v>
      </c>
      <c r="O47" s="11"/>
      <c r="P47" s="7">
        <v>2440.85</v>
      </c>
      <c r="Q47" s="2"/>
      <c r="R47" s="6">
        <f t="shared" si="21"/>
        <v>4.8013088058779024E-3</v>
      </c>
      <c r="S47" s="2"/>
      <c r="T47" s="7">
        <v>3495.7622953846162</v>
      </c>
      <c r="U47" s="2"/>
      <c r="V47" s="6">
        <f t="shared" si="22"/>
        <v>2.4279035477406956E-3</v>
      </c>
      <c r="W47" s="2"/>
      <c r="X47" s="7">
        <f t="shared" si="23"/>
        <v>-1054.9122953846163</v>
      </c>
      <c r="Y47" s="2"/>
      <c r="Z47" s="6">
        <f t="shared" si="24"/>
        <v>-0.3017688865107892</v>
      </c>
    </row>
    <row r="48" spans="1:26" s="24" customFormat="1" hidden="1" outlineLevel="2" x14ac:dyDescent="0.25">
      <c r="A48" s="26"/>
      <c r="B48" s="11" t="str">
        <f>CONCATENATE("          ", "6113", " - ", "GROUP INSURANCE")</f>
        <v xml:space="preserve">          6113 - GROUP INSURANCE</v>
      </c>
      <c r="C48" s="11"/>
      <c r="D48" s="7">
        <v>2724.48</v>
      </c>
      <c r="E48" s="2"/>
      <c r="F48" s="6">
        <f t="shared" si="17"/>
        <v>0.16474109548039506</v>
      </c>
      <c r="G48" s="2"/>
      <c r="H48" s="7">
        <v>2704</v>
      </c>
      <c r="I48" s="2"/>
      <c r="J48" s="6">
        <f t="shared" si="18"/>
        <v>6.3121527615668336E-3</v>
      </c>
      <c r="K48" s="2"/>
      <c r="L48" s="7">
        <f t="shared" si="19"/>
        <v>20.480000000000018</v>
      </c>
      <c r="M48" s="2"/>
      <c r="N48" s="6">
        <f t="shared" si="20"/>
        <v>7.573964497041427E-3</v>
      </c>
      <c r="O48" s="11"/>
      <c r="P48" s="7">
        <v>32791.75</v>
      </c>
      <c r="Q48" s="2"/>
      <c r="R48" s="6">
        <f t="shared" si="21"/>
        <v>6.4503479539974484E-2</v>
      </c>
      <c r="S48" s="2"/>
      <c r="T48" s="7">
        <v>29744</v>
      </c>
      <c r="U48" s="2"/>
      <c r="V48" s="6">
        <f t="shared" si="22"/>
        <v>2.0658030215425113E-2</v>
      </c>
      <c r="W48" s="2"/>
      <c r="X48" s="7">
        <f t="shared" si="23"/>
        <v>3047.75</v>
      </c>
      <c r="Y48" s="2"/>
      <c r="Z48" s="6">
        <f t="shared" si="24"/>
        <v>0.1024660435718128</v>
      </c>
    </row>
    <row r="49" spans="1:26" s="24" customFormat="1" hidden="1" outlineLevel="2" x14ac:dyDescent="0.25">
      <c r="A49" s="26"/>
      <c r="B49" s="11" t="str">
        <f>CONCATENATE("          ", "6114", " - ", "STATE UNEMPLOYMENT INSURANCE")</f>
        <v xml:space="preserve">          6114 - STATE UNEMPLOYMENT INSURANCE</v>
      </c>
      <c r="C49" s="11"/>
      <c r="D49" s="7">
        <v>44.39</v>
      </c>
      <c r="E49" s="2"/>
      <c r="F49" s="6">
        <f t="shared" si="17"/>
        <v>2.6841295323785591E-3</v>
      </c>
      <c r="G49" s="2"/>
      <c r="H49" s="7">
        <v>104.8783262870314</v>
      </c>
      <c r="I49" s="2"/>
      <c r="J49" s="6">
        <f t="shared" si="18"/>
        <v>2.4482545003742329E-4</v>
      </c>
      <c r="K49" s="2"/>
      <c r="L49" s="7">
        <f t="shared" si="19"/>
        <v>-60.488326287031398</v>
      </c>
      <c r="M49" s="2"/>
      <c r="N49" s="6">
        <f t="shared" si="20"/>
        <v>-0.57674763155055242</v>
      </c>
      <c r="O49" s="11"/>
      <c r="P49" s="7">
        <v>528.47</v>
      </c>
      <c r="Q49" s="2"/>
      <c r="R49" s="6">
        <f t="shared" si="21"/>
        <v>1.0395344509667925E-3</v>
      </c>
      <c r="S49" s="2"/>
      <c r="T49" s="7">
        <v>680.81690336203565</v>
      </c>
      <c r="U49" s="2"/>
      <c r="V49" s="6">
        <f t="shared" si="22"/>
        <v>4.7284615925312975E-4</v>
      </c>
      <c r="W49" s="2"/>
      <c r="X49" s="7">
        <f t="shared" si="23"/>
        <v>-152.34690336203562</v>
      </c>
      <c r="Y49" s="2"/>
      <c r="Z49" s="6">
        <f t="shared" si="24"/>
        <v>-0.22377074160425572</v>
      </c>
    </row>
    <row r="50" spans="1:26" s="24" customFormat="1" hidden="1" outlineLevel="2" x14ac:dyDescent="0.25">
      <c r="A50" s="26"/>
      <c r="B50" s="11" t="str">
        <f>CONCATENATE("          ", "6115", " - ", "P.E.R.S.")</f>
        <v xml:space="preserve">          6115 - P.E.R.S.</v>
      </c>
      <c r="C50" s="11"/>
      <c r="D50" s="7">
        <v>1166.77</v>
      </c>
      <c r="E50" s="2"/>
      <c r="F50" s="6">
        <f t="shared" si="17"/>
        <v>7.0551065881805167E-2</v>
      </c>
      <c r="G50" s="2"/>
      <c r="H50" s="7">
        <v>1085.6546061538459</v>
      </c>
      <c r="I50" s="2"/>
      <c r="J50" s="6">
        <f t="shared" si="18"/>
        <v>2.534326080008044E-3</v>
      </c>
      <c r="K50" s="2"/>
      <c r="L50" s="7">
        <f t="shared" si="19"/>
        <v>81.11539384615412</v>
      </c>
      <c r="M50" s="2"/>
      <c r="N50" s="6">
        <f t="shared" si="20"/>
        <v>7.4715653934838491E-2</v>
      </c>
      <c r="O50" s="11"/>
      <c r="P50" s="7">
        <v>14386.65</v>
      </c>
      <c r="Q50" s="2"/>
      <c r="R50" s="6">
        <f t="shared" si="21"/>
        <v>2.8299465076544371E-2</v>
      </c>
      <c r="S50" s="2"/>
      <c r="T50" s="7">
        <v>12984.924073846147</v>
      </c>
      <c r="U50" s="2"/>
      <c r="V50" s="6">
        <f t="shared" si="22"/>
        <v>9.0183887124298898E-3</v>
      </c>
      <c r="W50" s="2"/>
      <c r="X50" s="7">
        <f t="shared" si="23"/>
        <v>1401.7259261538529</v>
      </c>
      <c r="Y50" s="2"/>
      <c r="Z50" s="6">
        <f t="shared" si="24"/>
        <v>0.10795025971520066</v>
      </c>
    </row>
    <row r="51" spans="1:26" s="24" customFormat="1" hidden="1" outlineLevel="2" x14ac:dyDescent="0.25">
      <c r="A51" s="26"/>
      <c r="B51" s="11" t="str">
        <f>CONCATENATE("          ", "6116", " - ", "EDUCATIONAL BENEFITS")</f>
        <v xml:space="preserve">          6116 - EDUCATIONAL BENEFITS</v>
      </c>
      <c r="C51" s="11"/>
      <c r="D51" s="7"/>
      <c r="E51" s="2"/>
      <c r="F51" s="6">
        <f t="shared" si="17"/>
        <v>0</v>
      </c>
      <c r="G51" s="2"/>
      <c r="H51" s="7">
        <v>0</v>
      </c>
      <c r="I51" s="2"/>
      <c r="J51" s="6">
        <f t="shared" si="18"/>
        <v>0</v>
      </c>
      <c r="K51" s="2"/>
      <c r="L51" s="7">
        <f t="shared" si="19"/>
        <v>0</v>
      </c>
      <c r="M51" s="2"/>
      <c r="N51" s="6">
        <f t="shared" si="20"/>
        <v>0</v>
      </c>
      <c r="O51" s="11"/>
      <c r="P51" s="7"/>
      <c r="Q51" s="2"/>
      <c r="R51" s="6">
        <f t="shared" si="21"/>
        <v>0</v>
      </c>
      <c r="S51" s="2"/>
      <c r="T51" s="7">
        <v>0</v>
      </c>
      <c r="U51" s="2"/>
      <c r="V51" s="6">
        <f t="shared" si="22"/>
        <v>0</v>
      </c>
      <c r="W51" s="2"/>
      <c r="X51" s="7">
        <f t="shared" si="23"/>
        <v>0</v>
      </c>
      <c r="Y51" s="2"/>
      <c r="Z51" s="6">
        <f t="shared" si="24"/>
        <v>0</v>
      </c>
    </row>
    <row r="52" spans="1:26" s="24" customFormat="1" hidden="1" outlineLevel="2" x14ac:dyDescent="0.25">
      <c r="A52" s="26"/>
      <c r="B52" s="11" t="str">
        <f>CONCATENATE("          ", "6118", " - ", "VACATION")</f>
        <v xml:space="preserve">          6118 - VACATION</v>
      </c>
      <c r="C52" s="11"/>
      <c r="D52" s="7">
        <v>1039.18</v>
      </c>
      <c r="E52" s="2"/>
      <c r="F52" s="6">
        <f t="shared" si="17"/>
        <v>6.2836083069546092E-2</v>
      </c>
      <c r="G52" s="2"/>
      <c r="H52" s="7">
        <v>631.19453846153897</v>
      </c>
      <c r="I52" s="2"/>
      <c r="J52" s="6">
        <f t="shared" si="18"/>
        <v>1.4734453953535154E-3</v>
      </c>
      <c r="K52" s="2"/>
      <c r="L52" s="7">
        <f t="shared" si="19"/>
        <v>407.9854615384611</v>
      </c>
      <c r="M52" s="2"/>
      <c r="N52" s="6">
        <f t="shared" si="20"/>
        <v>0.64637039245123507</v>
      </c>
      <c r="O52" s="11"/>
      <c r="P52" s="7">
        <v>14492.92</v>
      </c>
      <c r="Q52" s="2"/>
      <c r="R52" s="6">
        <f t="shared" si="21"/>
        <v>2.8508504995753109E-2</v>
      </c>
      <c r="S52" s="2"/>
      <c r="T52" s="7">
        <v>7549.3744615384649</v>
      </c>
      <c r="U52" s="2"/>
      <c r="V52" s="6">
        <f t="shared" si="22"/>
        <v>5.243249251412732E-3</v>
      </c>
      <c r="W52" s="2"/>
      <c r="X52" s="7">
        <f t="shared" si="23"/>
        <v>6943.5455384615352</v>
      </c>
      <c r="Y52" s="2"/>
      <c r="Z52" s="6">
        <f t="shared" si="24"/>
        <v>0.91975110968949481</v>
      </c>
    </row>
    <row r="53" spans="1:26" s="24" customFormat="1" hidden="1" outlineLevel="2" x14ac:dyDescent="0.25">
      <c r="A53" s="26"/>
      <c r="B53" s="11" t="str">
        <f>CONCATENATE("          ", "6119", " - ", "SICK LEAVE")</f>
        <v xml:space="preserve">          6119 - SICK LEAVE</v>
      </c>
      <c r="C53" s="11"/>
      <c r="D53" s="7">
        <v>526.54</v>
      </c>
      <c r="E53" s="2"/>
      <c r="F53" s="6">
        <f t="shared" si="17"/>
        <v>3.1838287091205369E-2</v>
      </c>
      <c r="G53" s="2"/>
      <c r="H53" s="7">
        <v>655.85599341165891</v>
      </c>
      <c r="I53" s="2"/>
      <c r="J53" s="6">
        <f t="shared" si="18"/>
        <v>1.5310145044391871E-3</v>
      </c>
      <c r="K53" s="2"/>
      <c r="L53" s="7">
        <f t="shared" si="19"/>
        <v>-129.31599341165895</v>
      </c>
      <c r="M53" s="2"/>
      <c r="N53" s="6">
        <f t="shared" si="20"/>
        <v>-0.19717132222727379</v>
      </c>
      <c r="O53" s="11"/>
      <c r="P53" s="7">
        <v>8695.2999999999993</v>
      </c>
      <c r="Q53" s="2"/>
      <c r="R53" s="6">
        <f t="shared" si="21"/>
        <v>1.7104213884405074E-2</v>
      </c>
      <c r="S53" s="2"/>
      <c r="T53" s="7">
        <v>5638.2763360078316</v>
      </c>
      <c r="U53" s="2"/>
      <c r="V53" s="6">
        <f t="shared" si="22"/>
        <v>3.915938774615592E-3</v>
      </c>
      <c r="W53" s="2"/>
      <c r="X53" s="7">
        <f t="shared" si="23"/>
        <v>3057.0236639921677</v>
      </c>
      <c r="Y53" s="2"/>
      <c r="Z53" s="6">
        <f t="shared" si="24"/>
        <v>0.54219117365160685</v>
      </c>
    </row>
    <row r="54" spans="1:26" s="24" customFormat="1" hidden="1" outlineLevel="2" x14ac:dyDescent="0.25">
      <c r="A54" s="26"/>
      <c r="B54" s="11" t="str">
        <f>CONCATENATE("          ", "6156", " - ", "EMPLOYEE MEALS")</f>
        <v xml:space="preserve">          6156 - EMPLOYEE MEALS</v>
      </c>
      <c r="C54" s="11"/>
      <c r="D54" s="7">
        <v>40</v>
      </c>
      <c r="E54" s="2"/>
      <c r="F54" s="6">
        <f t="shared" si="17"/>
        <v>2.4186794614810174E-3</v>
      </c>
      <c r="G54" s="2"/>
      <c r="H54" s="7">
        <v>300</v>
      </c>
      <c r="I54" s="2"/>
      <c r="J54" s="6">
        <f t="shared" si="18"/>
        <v>7.0031280638685283E-4</v>
      </c>
      <c r="K54" s="2"/>
      <c r="L54" s="7">
        <f t="shared" si="19"/>
        <v>-260</v>
      </c>
      <c r="M54" s="2"/>
      <c r="N54" s="6">
        <f t="shared" si="20"/>
        <v>-0.8666666666666667</v>
      </c>
      <c r="O54" s="11"/>
      <c r="P54" s="7">
        <v>2482.5100000000002</v>
      </c>
      <c r="Q54" s="2"/>
      <c r="R54" s="6">
        <f t="shared" si="21"/>
        <v>4.8832567030665354E-3</v>
      </c>
      <c r="S54" s="2"/>
      <c r="T54" s="7">
        <v>3300</v>
      </c>
      <c r="U54" s="2"/>
      <c r="V54" s="6">
        <f t="shared" si="22"/>
        <v>2.2919412221255671E-3</v>
      </c>
      <c r="W54" s="2"/>
      <c r="X54" s="7">
        <f t="shared" si="23"/>
        <v>-817.48999999999978</v>
      </c>
      <c r="Y54" s="2"/>
      <c r="Z54" s="6">
        <f t="shared" si="24"/>
        <v>-0.24772424242424235</v>
      </c>
    </row>
    <row r="55" spans="1:26" s="27" customFormat="1" outlineLevel="1" collapsed="1" x14ac:dyDescent="0.25">
      <c r="A55" s="25"/>
      <c r="B55" s="12" t="str">
        <f>CONCATENATE("     ","*Payroll                                          ")</f>
        <v xml:space="preserve">     *Payroll                                          </v>
      </c>
      <c r="C55" s="12"/>
      <c r="D55" s="1">
        <f>SUM(OSRRefD22_1x_0)</f>
        <v>8890.02</v>
      </c>
      <c r="E55" s="1"/>
      <c r="F55" s="5">
        <f t="shared" ref="F55:F65" si="25">IF(D$12=0,0,D55/D$12)</f>
        <v>0.53755271965388685</v>
      </c>
      <c r="G55" s="1"/>
      <c r="H55" s="1">
        <f>SUM(OSRRefH22_1x_0)</f>
        <v>39117.90654116591</v>
      </c>
      <c r="I55" s="1"/>
      <c r="J55" s="5">
        <f t="shared" ref="J55:J65" si="26">IF(H$12=0,0,H55/H$12)</f>
        <v>9.1315903032741744E-2</v>
      </c>
      <c r="K55" s="1"/>
      <c r="L55" s="1">
        <f t="shared" ref="L55:L65" si="27">+D55-H55</f>
        <v>-30227.88654116591</v>
      </c>
      <c r="M55" s="1"/>
      <c r="N55" s="5">
        <f t="shared" ref="N55:N65" si="28">IF(H55=0,0,L55/H55)</f>
        <v>-0.77273783834407017</v>
      </c>
      <c r="O55" s="12"/>
      <c r="P55" s="1">
        <f>SUM(OSRRefP22_1x_0)</f>
        <v>178878.8</v>
      </c>
      <c r="Q55" s="1"/>
      <c r="R55" s="5">
        <f t="shared" ref="R55:R65" si="29">IF(P$12=0,0,P55/P$12)</f>
        <v>0.35186609485419923</v>
      </c>
      <c r="S55" s="1"/>
      <c r="T55" s="1">
        <f>SUM(OSRRefT22_1x_0)</f>
        <v>249443.65600078294</v>
      </c>
      <c r="U55" s="1"/>
      <c r="V55" s="5">
        <f t="shared" ref="V55:V65" si="30">IF(T$12=0,0,T55/T$12)</f>
        <v>0.17324551448057698</v>
      </c>
      <c r="W55" s="1"/>
      <c r="X55" s="1">
        <f t="shared" ref="X55:X65" si="31">+P55-T55</f>
        <v>-70564.856000782951</v>
      </c>
      <c r="Y55" s="1"/>
      <c r="Z55" s="5">
        <f t="shared" ref="Z55:Z65" si="32">IF(T55=0,0,X55/T55)</f>
        <v>-0.28288895830071326</v>
      </c>
    </row>
    <row r="56" spans="1:26" s="24" customFormat="1" hidden="1" outlineLevel="2" x14ac:dyDescent="0.25">
      <c r="A56" s="26"/>
      <c r="B56" s="11" t="str">
        <f>CONCATENATE("          ", "6001", " - ", "ADMINISTRATIVE SALARIES")</f>
        <v xml:space="preserve">          6001 - ADMINISTRATIVE SALARIES</v>
      </c>
      <c r="C56" s="11"/>
      <c r="D56" s="7"/>
      <c r="E56" s="2"/>
      <c r="F56" s="6">
        <f t="shared" si="25"/>
        <v>0</v>
      </c>
      <c r="G56" s="2"/>
      <c r="H56" s="7">
        <v>5990.5432000000001</v>
      </c>
      <c r="I56" s="2"/>
      <c r="J56" s="6">
        <f t="shared" si="26"/>
        <v>1.3984180400578925E-2</v>
      </c>
      <c r="K56" s="2"/>
      <c r="L56" s="7">
        <f t="shared" si="27"/>
        <v>-5990.5432000000001</v>
      </c>
      <c r="M56" s="2"/>
      <c r="N56" s="6">
        <f t="shared" si="28"/>
        <v>-1</v>
      </c>
      <c r="O56" s="11"/>
      <c r="P56" s="7"/>
      <c r="Q56" s="2"/>
      <c r="R56" s="6">
        <f t="shared" si="29"/>
        <v>0</v>
      </c>
      <c r="S56" s="2"/>
      <c r="T56" s="7">
        <v>71886.518400000001</v>
      </c>
      <c r="U56" s="2"/>
      <c r="V56" s="6">
        <f t="shared" si="30"/>
        <v>4.9927174192741841E-2</v>
      </c>
      <c r="W56" s="2"/>
      <c r="X56" s="7">
        <f t="shared" si="31"/>
        <v>-71886.518400000001</v>
      </c>
      <c r="Y56" s="2"/>
      <c r="Z56" s="6">
        <f t="shared" si="32"/>
        <v>-1</v>
      </c>
    </row>
    <row r="57" spans="1:26" s="24" customFormat="1" hidden="1" outlineLevel="2" x14ac:dyDescent="0.25">
      <c r="A57" s="26"/>
      <c r="B57" s="11" t="str">
        <f>CONCATENATE("          ", "6002", " - ", "STAFF SALARIES")</f>
        <v xml:space="preserve">          6002 - STAFF SALARIES</v>
      </c>
      <c r="C57" s="11"/>
      <c r="D57" s="7">
        <v>8890.02</v>
      </c>
      <c r="E57" s="2"/>
      <c r="F57" s="6">
        <f t="shared" si="25"/>
        <v>0.53755271965388685</v>
      </c>
      <c r="G57" s="2"/>
      <c r="H57" s="7">
        <v>5623.43630769231</v>
      </c>
      <c r="I57" s="2"/>
      <c r="J57" s="6">
        <f t="shared" si="26"/>
        <v>1.3127214873925744E-2</v>
      </c>
      <c r="K57" s="2"/>
      <c r="L57" s="7">
        <f t="shared" si="27"/>
        <v>3266.5836923076904</v>
      </c>
      <c r="M57" s="2"/>
      <c r="N57" s="6">
        <f t="shared" si="28"/>
        <v>0.58088747050256861</v>
      </c>
      <c r="O57" s="11"/>
      <c r="P57" s="7">
        <v>122217.64</v>
      </c>
      <c r="Q57" s="2"/>
      <c r="R57" s="6">
        <f t="shared" si="29"/>
        <v>0.24040995192888354</v>
      </c>
      <c r="S57" s="2"/>
      <c r="T57" s="7">
        <v>67021.971692307736</v>
      </c>
      <c r="U57" s="2"/>
      <c r="V57" s="6">
        <f t="shared" si="30"/>
        <v>4.6548612033252411E-2</v>
      </c>
      <c r="W57" s="2"/>
      <c r="X57" s="7">
        <f t="shared" si="31"/>
        <v>55195.668307692264</v>
      </c>
      <c r="Y57" s="2"/>
      <c r="Z57" s="6">
        <f t="shared" si="32"/>
        <v>0.82354587479298513</v>
      </c>
    </row>
    <row r="58" spans="1:26" s="24" customFormat="1" hidden="1" outlineLevel="2" x14ac:dyDescent="0.25">
      <c r="A58" s="26"/>
      <c r="B58" s="11" t="str">
        <f>CONCATENATE("          ", "6003", " - ", "STAFF HOURLY-9 MONTH")</f>
        <v xml:space="preserve">          6003 - STAFF HOURLY-9 MONTH</v>
      </c>
      <c r="C58" s="11"/>
      <c r="D58" s="7"/>
      <c r="E58" s="2"/>
      <c r="F58" s="6">
        <f t="shared" si="25"/>
        <v>0</v>
      </c>
      <c r="G58" s="2"/>
      <c r="H58" s="7">
        <v>0</v>
      </c>
      <c r="I58" s="2"/>
      <c r="J58" s="6">
        <f t="shared" si="26"/>
        <v>0</v>
      </c>
      <c r="K58" s="2"/>
      <c r="L58" s="7">
        <f t="shared" si="27"/>
        <v>0</v>
      </c>
      <c r="M58" s="2"/>
      <c r="N58" s="6">
        <f t="shared" si="28"/>
        <v>0</v>
      </c>
      <c r="O58" s="11"/>
      <c r="P58" s="7"/>
      <c r="Q58" s="2"/>
      <c r="R58" s="6">
        <f t="shared" si="29"/>
        <v>0</v>
      </c>
      <c r="S58" s="2"/>
      <c r="T58" s="7">
        <v>0</v>
      </c>
      <c r="U58" s="2"/>
      <c r="V58" s="6">
        <f t="shared" si="30"/>
        <v>0</v>
      </c>
      <c r="W58" s="2"/>
      <c r="X58" s="7">
        <f t="shared" si="31"/>
        <v>0</v>
      </c>
      <c r="Y58" s="2"/>
      <c r="Z58" s="6">
        <f t="shared" si="32"/>
        <v>0</v>
      </c>
    </row>
    <row r="59" spans="1:26" s="24" customFormat="1" hidden="1" outlineLevel="2" x14ac:dyDescent="0.25">
      <c r="A59" s="26"/>
      <c r="B59" s="11" t="str">
        <f>CONCATENATE("          ", "6004", " - ", "STAFF HOURLY")</f>
        <v xml:space="preserve">          6004 - STAFF HOURLY</v>
      </c>
      <c r="C59" s="11"/>
      <c r="D59" s="7"/>
      <c r="E59" s="2"/>
      <c r="F59" s="6">
        <f t="shared" si="25"/>
        <v>0</v>
      </c>
      <c r="G59" s="2"/>
      <c r="H59" s="7">
        <v>3010</v>
      </c>
      <c r="I59" s="2"/>
      <c r="J59" s="6">
        <f t="shared" si="26"/>
        <v>7.0264718240814232E-3</v>
      </c>
      <c r="K59" s="2"/>
      <c r="L59" s="7">
        <f t="shared" si="27"/>
        <v>-3010</v>
      </c>
      <c r="M59" s="2"/>
      <c r="N59" s="6">
        <f t="shared" si="28"/>
        <v>-1</v>
      </c>
      <c r="O59" s="11"/>
      <c r="P59" s="7">
        <v>491.67</v>
      </c>
      <c r="Q59" s="2"/>
      <c r="R59" s="6">
        <f t="shared" si="29"/>
        <v>9.6714648609541294E-4</v>
      </c>
      <c r="S59" s="2"/>
      <c r="T59" s="7">
        <v>33530</v>
      </c>
      <c r="U59" s="2"/>
      <c r="V59" s="6">
        <f t="shared" si="30"/>
        <v>2.32875118720819E-2</v>
      </c>
      <c r="W59" s="2"/>
      <c r="X59" s="7">
        <f t="shared" si="31"/>
        <v>-33038.33</v>
      </c>
      <c r="Y59" s="2"/>
      <c r="Z59" s="6">
        <f t="shared" si="32"/>
        <v>-0.98533641515061143</v>
      </c>
    </row>
    <row r="60" spans="1:26" s="24" customFormat="1" hidden="1" outlineLevel="2" x14ac:dyDescent="0.25">
      <c r="A60" s="26"/>
      <c r="B60" s="11" t="str">
        <f>CONCATENATE("          ", "6005", " - ", "TEMPORARY WAGES-HOURLY")</f>
        <v xml:space="preserve">          6005 - TEMPORARY WAGES-HOURLY</v>
      </c>
      <c r="C60" s="11"/>
      <c r="D60" s="7"/>
      <c r="E60" s="2"/>
      <c r="F60" s="6">
        <f t="shared" si="25"/>
        <v>0</v>
      </c>
      <c r="G60" s="2"/>
      <c r="H60" s="7">
        <v>0</v>
      </c>
      <c r="I60" s="2"/>
      <c r="J60" s="6">
        <f t="shared" si="26"/>
        <v>0</v>
      </c>
      <c r="K60" s="2"/>
      <c r="L60" s="7">
        <f t="shared" si="27"/>
        <v>0</v>
      </c>
      <c r="M60" s="2"/>
      <c r="N60" s="6">
        <f t="shared" si="28"/>
        <v>0</v>
      </c>
      <c r="O60" s="11"/>
      <c r="P60" s="7">
        <v>18251.969999999998</v>
      </c>
      <c r="Q60" s="2"/>
      <c r="R60" s="6">
        <f t="shared" si="29"/>
        <v>3.590279791286613E-2</v>
      </c>
      <c r="S60" s="2"/>
      <c r="T60" s="7">
        <v>0</v>
      </c>
      <c r="U60" s="2"/>
      <c r="V60" s="6">
        <f t="shared" si="30"/>
        <v>0</v>
      </c>
      <c r="W60" s="2"/>
      <c r="X60" s="7">
        <f t="shared" si="31"/>
        <v>18251.969999999998</v>
      </c>
      <c r="Y60" s="2"/>
      <c r="Z60" s="6">
        <f t="shared" si="32"/>
        <v>0</v>
      </c>
    </row>
    <row r="61" spans="1:26" s="24" customFormat="1" hidden="1" outlineLevel="2" x14ac:dyDescent="0.25">
      <c r="A61" s="26"/>
      <c r="B61" s="11" t="str">
        <f>CONCATENATE("          ", "6006", " - ", "TEMPORARY PART TIME")</f>
        <v xml:space="preserve">          6006 - TEMPORARY PART TIME</v>
      </c>
      <c r="C61" s="11"/>
      <c r="D61" s="7"/>
      <c r="E61" s="2"/>
      <c r="F61" s="6">
        <f t="shared" si="25"/>
        <v>0</v>
      </c>
      <c r="G61" s="2"/>
      <c r="H61" s="7">
        <v>0</v>
      </c>
      <c r="I61" s="2"/>
      <c r="J61" s="6">
        <f t="shared" si="26"/>
        <v>0</v>
      </c>
      <c r="K61" s="2"/>
      <c r="L61" s="7">
        <f t="shared" si="27"/>
        <v>0</v>
      </c>
      <c r="M61" s="2"/>
      <c r="N61" s="6">
        <f t="shared" si="28"/>
        <v>0</v>
      </c>
      <c r="O61" s="11"/>
      <c r="P61" s="7">
        <v>2571.56</v>
      </c>
      <c r="Q61" s="2"/>
      <c r="R61" s="6">
        <f t="shared" si="29"/>
        <v>5.0584237756696971E-3</v>
      </c>
      <c r="S61" s="2"/>
      <c r="T61" s="7">
        <v>0</v>
      </c>
      <c r="U61" s="2"/>
      <c r="V61" s="6">
        <f t="shared" si="30"/>
        <v>0</v>
      </c>
      <c r="W61" s="2"/>
      <c r="X61" s="7">
        <f t="shared" si="31"/>
        <v>2571.56</v>
      </c>
      <c r="Y61" s="2"/>
      <c r="Z61" s="6">
        <f t="shared" si="32"/>
        <v>0</v>
      </c>
    </row>
    <row r="62" spans="1:26" s="24" customFormat="1" hidden="1" outlineLevel="2" x14ac:dyDescent="0.25">
      <c r="A62" s="26"/>
      <c r="B62" s="11" t="str">
        <f>CONCATENATE("          ", "6007", " - ", "STUDENT HOURLY")</f>
        <v xml:space="preserve">          6007 - STUDENT HOURLY</v>
      </c>
      <c r="C62" s="11"/>
      <c r="D62" s="7"/>
      <c r="E62" s="2"/>
      <c r="F62" s="6">
        <f t="shared" si="25"/>
        <v>0</v>
      </c>
      <c r="G62" s="2"/>
      <c r="H62" s="7">
        <v>20790</v>
      </c>
      <c r="I62" s="2"/>
      <c r="J62" s="6">
        <f t="shared" si="26"/>
        <v>4.85316774826089E-2</v>
      </c>
      <c r="K62" s="2"/>
      <c r="L62" s="7">
        <f t="shared" si="27"/>
        <v>-20790</v>
      </c>
      <c r="M62" s="2"/>
      <c r="N62" s="6">
        <f t="shared" si="28"/>
        <v>-1</v>
      </c>
      <c r="O62" s="11"/>
      <c r="P62" s="7">
        <v>35345.96</v>
      </c>
      <c r="Q62" s="2"/>
      <c r="R62" s="6">
        <f t="shared" si="29"/>
        <v>6.9527774750684446E-2</v>
      </c>
      <c r="S62" s="2"/>
      <c r="T62" s="7">
        <v>36426.136363199999</v>
      </c>
      <c r="U62" s="2"/>
      <c r="V62" s="6">
        <f t="shared" si="30"/>
        <v>2.5298958634419749E-2</v>
      </c>
      <c r="W62" s="2"/>
      <c r="X62" s="7">
        <f t="shared" si="31"/>
        <v>-1080.1763632000002</v>
      </c>
      <c r="Y62" s="2"/>
      <c r="Z62" s="6">
        <f t="shared" si="32"/>
        <v>-2.9653882378018633E-2</v>
      </c>
    </row>
    <row r="63" spans="1:26" s="24" customFormat="1" hidden="1" outlineLevel="2" x14ac:dyDescent="0.25">
      <c r="A63" s="26"/>
      <c r="B63" s="11" t="str">
        <f>CONCATENATE("          ", "6008", " - ", "STUDENT HOURLY-FICA EXEMPT")</f>
        <v xml:space="preserve">          6008 - STUDENT HOURLY-FICA EXEMPT</v>
      </c>
      <c r="C63" s="11"/>
      <c r="D63" s="7"/>
      <c r="E63" s="2"/>
      <c r="F63" s="6">
        <f t="shared" si="25"/>
        <v>0</v>
      </c>
      <c r="G63" s="2"/>
      <c r="H63" s="7">
        <v>3703.9270334735997</v>
      </c>
      <c r="I63" s="2"/>
      <c r="J63" s="6">
        <f t="shared" si="26"/>
        <v>8.6463584515467564E-3</v>
      </c>
      <c r="K63" s="2"/>
      <c r="L63" s="7">
        <f t="shared" si="27"/>
        <v>-3703.9270334735997</v>
      </c>
      <c r="M63" s="2"/>
      <c r="N63" s="6">
        <f t="shared" si="28"/>
        <v>-1</v>
      </c>
      <c r="O63" s="11"/>
      <c r="P63" s="7"/>
      <c r="Q63" s="2"/>
      <c r="R63" s="6">
        <f t="shared" si="29"/>
        <v>0</v>
      </c>
      <c r="S63" s="2"/>
      <c r="T63" s="7">
        <v>40579.029545275203</v>
      </c>
      <c r="U63" s="2"/>
      <c r="V63" s="6">
        <f t="shared" si="30"/>
        <v>2.8183257748081076E-2</v>
      </c>
      <c r="W63" s="2"/>
      <c r="X63" s="7">
        <f t="shared" si="31"/>
        <v>-40579.029545275203</v>
      </c>
      <c r="Y63" s="2"/>
      <c r="Z63" s="6">
        <f t="shared" si="32"/>
        <v>-1</v>
      </c>
    </row>
    <row r="64" spans="1:26" s="24" customFormat="1" hidden="1" outlineLevel="2" x14ac:dyDescent="0.25">
      <c r="A64" s="26"/>
      <c r="B64" s="11" t="str">
        <f>CONCATENATE("          ", "6009", " - ", "TEMPORARY-SEASONAL")</f>
        <v xml:space="preserve">          6009 - TEMPORARY-SEASONAL</v>
      </c>
      <c r="C64" s="11"/>
      <c r="D64" s="7"/>
      <c r="E64" s="2"/>
      <c r="F64" s="6">
        <f t="shared" si="25"/>
        <v>0</v>
      </c>
      <c r="G64" s="2"/>
      <c r="H64" s="7">
        <v>0</v>
      </c>
      <c r="I64" s="2"/>
      <c r="J64" s="6">
        <f t="shared" si="26"/>
        <v>0</v>
      </c>
      <c r="K64" s="2"/>
      <c r="L64" s="7">
        <f t="shared" si="27"/>
        <v>0</v>
      </c>
      <c r="M64" s="2"/>
      <c r="N64" s="6">
        <f t="shared" si="28"/>
        <v>0</v>
      </c>
      <c r="O64" s="11"/>
      <c r="P64" s="7"/>
      <c r="Q64" s="2"/>
      <c r="R64" s="6">
        <f t="shared" si="29"/>
        <v>0</v>
      </c>
      <c r="S64" s="2"/>
      <c r="T64" s="7">
        <v>0</v>
      </c>
      <c r="U64" s="2"/>
      <c r="V64" s="6">
        <f t="shared" si="30"/>
        <v>0</v>
      </c>
      <c r="W64" s="2"/>
      <c r="X64" s="7">
        <f t="shared" si="31"/>
        <v>0</v>
      </c>
      <c r="Y64" s="2"/>
      <c r="Z64" s="6">
        <f t="shared" si="32"/>
        <v>0</v>
      </c>
    </row>
    <row r="65" spans="1:26" s="24" customFormat="1" hidden="1" outlineLevel="2" x14ac:dyDescent="0.25">
      <c r="A65" s="26"/>
      <c r="B65" s="11" t="str">
        <f>CONCATENATE("          ", "6010", " - ", "GRATUITY")</f>
        <v xml:space="preserve">          6010 - GRATUITY</v>
      </c>
      <c r="C65" s="11"/>
      <c r="D65" s="7"/>
      <c r="E65" s="2"/>
      <c r="F65" s="6">
        <f t="shared" si="25"/>
        <v>0</v>
      </c>
      <c r="G65" s="2"/>
      <c r="H65" s="7">
        <v>0</v>
      </c>
      <c r="I65" s="2"/>
      <c r="J65" s="6">
        <f t="shared" si="26"/>
        <v>0</v>
      </c>
      <c r="K65" s="2"/>
      <c r="L65" s="7">
        <f t="shared" si="27"/>
        <v>0</v>
      </c>
      <c r="M65" s="2"/>
      <c r="N65" s="6">
        <f t="shared" si="28"/>
        <v>0</v>
      </c>
      <c r="O65" s="11"/>
      <c r="P65" s="7"/>
      <c r="Q65" s="2"/>
      <c r="R65" s="6">
        <f t="shared" si="29"/>
        <v>0</v>
      </c>
      <c r="S65" s="2"/>
      <c r="T65" s="7">
        <v>0</v>
      </c>
      <c r="U65" s="2"/>
      <c r="V65" s="6">
        <f t="shared" si="30"/>
        <v>0</v>
      </c>
      <c r="W65" s="2"/>
      <c r="X65" s="7">
        <f t="shared" si="31"/>
        <v>0</v>
      </c>
      <c r="Y65" s="2"/>
      <c r="Z65" s="6">
        <f t="shared" si="32"/>
        <v>0</v>
      </c>
    </row>
    <row r="66" spans="1:26" s="27" customFormat="1" outlineLevel="1" collapsed="1" x14ac:dyDescent="0.25">
      <c r="A66" s="25"/>
      <c r="B66" s="12" t="str">
        <f>CONCATENATE("     ","Advertising/Promo                                 ")</f>
        <v xml:space="preserve">     Advertising/Promo                                 </v>
      </c>
      <c r="C66" s="12"/>
      <c r="D66" s="1">
        <f>SUM(OSRRefD22_2x_0)</f>
        <v>0</v>
      </c>
      <c r="E66" s="1"/>
      <c r="F66" s="5">
        <f t="shared" ref="F66:F78" si="33">IF(D$12=0,0,D66/D$12)</f>
        <v>0</v>
      </c>
      <c r="G66" s="1"/>
      <c r="H66" s="1">
        <f>SUM(OSRRefH22_2x_0)</f>
        <v>100</v>
      </c>
      <c r="I66" s="1"/>
      <c r="J66" s="5">
        <f t="shared" ref="J66:J78" si="34">IF(H$12=0,0,H66/H$12)</f>
        <v>2.3343760212895094E-4</v>
      </c>
      <c r="K66" s="1"/>
      <c r="L66" s="1">
        <f t="shared" ref="L66:L78" si="35">+D66-H66</f>
        <v>-100</v>
      </c>
      <c r="M66" s="1"/>
      <c r="N66" s="5">
        <f t="shared" ref="N66:N78" si="36">IF(H66=0,0,L66/H66)</f>
        <v>-1</v>
      </c>
      <c r="O66" s="12"/>
      <c r="P66" s="1">
        <f>SUM(OSRRefP22_2x_0)</f>
        <v>1915.77</v>
      </c>
      <c r="Q66" s="1"/>
      <c r="R66" s="5">
        <f t="shared" ref="R66:R78" si="37">IF(P$12=0,0,P66/P$12)</f>
        <v>3.7684427027620338E-3</v>
      </c>
      <c r="S66" s="1"/>
      <c r="T66" s="1">
        <f>SUM(OSRRefT22_2x_0)</f>
        <v>5100</v>
      </c>
      <c r="U66" s="1"/>
      <c r="V66" s="5">
        <f t="shared" ref="V66:V78" si="38">IF(T$12=0,0,T66/T$12)</f>
        <v>3.5420909796486039E-3</v>
      </c>
      <c r="W66" s="1"/>
      <c r="X66" s="1">
        <f t="shared" ref="X66:X78" si="39">+P66-T66</f>
        <v>-3184.23</v>
      </c>
      <c r="Y66" s="1"/>
      <c r="Z66" s="5">
        <f t="shared" ref="Z66:Z78" si="40">IF(T66=0,0,X66/T66)</f>
        <v>-0.62435882352941174</v>
      </c>
    </row>
    <row r="67" spans="1:26" s="24" customFormat="1" hidden="1" outlineLevel="2" x14ac:dyDescent="0.25">
      <c r="A67" s="26"/>
      <c r="B67" s="11" t="str">
        <f>CONCATENATE("          ", "6362", " - ", "ADVERTISING EXPENSE")</f>
        <v xml:space="preserve">          6362 - ADVERTISING EXPENSE</v>
      </c>
      <c r="C67" s="11"/>
      <c r="D67" s="7"/>
      <c r="E67" s="2"/>
      <c r="F67" s="6">
        <f t="shared" si="33"/>
        <v>0</v>
      </c>
      <c r="G67" s="2"/>
      <c r="H67" s="7">
        <v>100</v>
      </c>
      <c r="I67" s="2"/>
      <c r="J67" s="6">
        <f t="shared" si="34"/>
        <v>2.3343760212895094E-4</v>
      </c>
      <c r="K67" s="2"/>
      <c r="L67" s="7">
        <f t="shared" si="35"/>
        <v>-100</v>
      </c>
      <c r="M67" s="2"/>
      <c r="N67" s="6">
        <f t="shared" si="36"/>
        <v>-1</v>
      </c>
      <c r="O67" s="11"/>
      <c r="P67" s="7">
        <v>1915.77</v>
      </c>
      <c r="Q67" s="2"/>
      <c r="R67" s="6">
        <f t="shared" si="37"/>
        <v>3.7684427027620338E-3</v>
      </c>
      <c r="S67" s="2"/>
      <c r="T67" s="7">
        <v>5100</v>
      </c>
      <c r="U67" s="2"/>
      <c r="V67" s="6">
        <f t="shared" si="38"/>
        <v>3.5420909796486039E-3</v>
      </c>
      <c r="W67" s="2"/>
      <c r="X67" s="7">
        <f t="shared" si="39"/>
        <v>-3184.23</v>
      </c>
      <c r="Y67" s="2"/>
      <c r="Z67" s="6">
        <f t="shared" si="40"/>
        <v>-0.62435882352941174</v>
      </c>
    </row>
    <row r="68" spans="1:26" s="27" customFormat="1" outlineLevel="1" collapsed="1" x14ac:dyDescent="0.25">
      <c r="A68" s="25"/>
      <c r="B68" s="12" t="str">
        <f>CONCATENATE("     ","Depreciation                                      ")</f>
        <v xml:space="preserve">     Depreciation                                      </v>
      </c>
      <c r="C68" s="12"/>
      <c r="D68" s="1">
        <f>SUM(OSRRefD22_3x_0)</f>
        <v>169.88</v>
      </c>
      <c r="E68" s="1"/>
      <c r="F68" s="5">
        <f t="shared" si="33"/>
        <v>1.0272131672909879E-2</v>
      </c>
      <c r="G68" s="1"/>
      <c r="H68" s="1">
        <f>SUM(OSRRefH22_3x_0)</f>
        <v>0</v>
      </c>
      <c r="I68" s="1"/>
      <c r="J68" s="5">
        <f t="shared" si="34"/>
        <v>0</v>
      </c>
      <c r="K68" s="1"/>
      <c r="L68" s="1">
        <f t="shared" si="35"/>
        <v>169.88</v>
      </c>
      <c r="M68" s="1"/>
      <c r="N68" s="5">
        <f t="shared" si="36"/>
        <v>0</v>
      </c>
      <c r="O68" s="12"/>
      <c r="P68" s="1">
        <f>SUM(OSRRefP22_3x_0)</f>
        <v>1019.28</v>
      </c>
      <c r="Q68" s="1"/>
      <c r="R68" s="5">
        <f t="shared" si="37"/>
        <v>2.0049892617961893E-3</v>
      </c>
      <c r="S68" s="1"/>
      <c r="T68" s="1">
        <f>SUM(OSRRefT22_3x_0)</f>
        <v>0</v>
      </c>
      <c r="U68" s="1"/>
      <c r="V68" s="5">
        <f t="shared" si="38"/>
        <v>0</v>
      </c>
      <c r="W68" s="1"/>
      <c r="X68" s="1">
        <f t="shared" si="39"/>
        <v>1019.28</v>
      </c>
      <c r="Y68" s="1"/>
      <c r="Z68" s="5">
        <f t="shared" si="40"/>
        <v>0</v>
      </c>
    </row>
    <row r="69" spans="1:26" s="24" customFormat="1" hidden="1" outlineLevel="2" x14ac:dyDescent="0.25">
      <c r="A69" s="26"/>
      <c r="B69" s="11" t="str">
        <f>CONCATENATE("          ", "6322", " - ", "EQUIPMENT DEPRECIATION EXPENSE")</f>
        <v xml:space="preserve">          6322 - EQUIPMENT DEPRECIATION EXPENSE</v>
      </c>
      <c r="C69" s="11"/>
      <c r="D69" s="7">
        <v>169.88</v>
      </c>
      <c r="E69" s="2"/>
      <c r="F69" s="6">
        <f t="shared" si="33"/>
        <v>1.0272131672909879E-2</v>
      </c>
      <c r="G69" s="2"/>
      <c r="H69" s="7">
        <v>0</v>
      </c>
      <c r="I69" s="2"/>
      <c r="J69" s="6">
        <f t="shared" si="34"/>
        <v>0</v>
      </c>
      <c r="K69" s="2"/>
      <c r="L69" s="7">
        <f t="shared" si="35"/>
        <v>169.88</v>
      </c>
      <c r="M69" s="2"/>
      <c r="N69" s="6">
        <f t="shared" si="36"/>
        <v>0</v>
      </c>
      <c r="O69" s="11"/>
      <c r="P69" s="7">
        <v>1019.28</v>
      </c>
      <c r="Q69" s="2"/>
      <c r="R69" s="6">
        <f t="shared" si="37"/>
        <v>2.0049892617961893E-3</v>
      </c>
      <c r="S69" s="2"/>
      <c r="T69" s="7">
        <v>0</v>
      </c>
      <c r="U69" s="2"/>
      <c r="V69" s="6">
        <f t="shared" si="38"/>
        <v>0</v>
      </c>
      <c r="W69" s="2"/>
      <c r="X69" s="7">
        <f t="shared" si="39"/>
        <v>1019.28</v>
      </c>
      <c r="Y69" s="2"/>
      <c r="Z69" s="6">
        <f t="shared" si="40"/>
        <v>0</v>
      </c>
    </row>
    <row r="70" spans="1:26" s="27" customFormat="1" outlineLevel="1" collapsed="1" x14ac:dyDescent="0.25">
      <c r="A70" s="25"/>
      <c r="B70" s="12" t="str">
        <f>CONCATENATE("     ","Discounts and Markdowns                           ")</f>
        <v xml:space="preserve">     Discounts and Markdowns                           </v>
      </c>
      <c r="C70" s="12"/>
      <c r="D70" s="1">
        <f>SUM(OSRRefD22_4x_0)</f>
        <v>0</v>
      </c>
      <c r="E70" s="1"/>
      <c r="F70" s="5">
        <f t="shared" si="33"/>
        <v>0</v>
      </c>
      <c r="G70" s="1"/>
      <c r="H70" s="1">
        <f>SUM(OSRRefH22_4x_0)</f>
        <v>600</v>
      </c>
      <c r="I70" s="1"/>
      <c r="J70" s="5">
        <f t="shared" si="34"/>
        <v>1.4006256127737057E-3</v>
      </c>
      <c r="K70" s="1"/>
      <c r="L70" s="1">
        <f t="shared" si="35"/>
        <v>-600</v>
      </c>
      <c r="M70" s="1"/>
      <c r="N70" s="5">
        <f t="shared" si="36"/>
        <v>-1</v>
      </c>
      <c r="O70" s="12"/>
      <c r="P70" s="1">
        <f>SUM(OSRRefP22_4x_0)</f>
        <v>1281.19</v>
      </c>
      <c r="Q70" s="1"/>
      <c r="R70" s="5">
        <f t="shared" si="37"/>
        <v>2.5201830628685542E-3</v>
      </c>
      <c r="S70" s="1"/>
      <c r="T70" s="1">
        <f>SUM(OSRRefT22_4x_0)</f>
        <v>7800</v>
      </c>
      <c r="U70" s="1"/>
      <c r="V70" s="5">
        <f t="shared" si="38"/>
        <v>5.4173156159331584E-3</v>
      </c>
      <c r="W70" s="1"/>
      <c r="X70" s="1">
        <f t="shared" si="39"/>
        <v>-6518.8099999999995</v>
      </c>
      <c r="Y70" s="1"/>
      <c r="Z70" s="5">
        <f t="shared" si="40"/>
        <v>-0.83574487179487178</v>
      </c>
    </row>
    <row r="71" spans="1:26" s="24" customFormat="1" hidden="1" outlineLevel="2" x14ac:dyDescent="0.25">
      <c r="A71" s="26"/>
      <c r="B71" s="11" t="str">
        <f>CONCATENATE("          ", "6382", " - ", "DISCOUNTS/MARK DOWNS")</f>
        <v xml:space="preserve">          6382 - DISCOUNTS/MARK DOWNS</v>
      </c>
      <c r="C71" s="11"/>
      <c r="D71" s="7"/>
      <c r="E71" s="2"/>
      <c r="F71" s="6">
        <f t="shared" si="33"/>
        <v>0</v>
      </c>
      <c r="G71" s="2"/>
      <c r="H71" s="7">
        <v>600</v>
      </c>
      <c r="I71" s="2"/>
      <c r="J71" s="6">
        <f t="shared" si="34"/>
        <v>1.4006256127737057E-3</v>
      </c>
      <c r="K71" s="2"/>
      <c r="L71" s="7">
        <f t="shared" si="35"/>
        <v>-600</v>
      </c>
      <c r="M71" s="2"/>
      <c r="N71" s="6">
        <f t="shared" si="36"/>
        <v>-1</v>
      </c>
      <c r="O71" s="11"/>
      <c r="P71" s="7">
        <v>1281.19</v>
      </c>
      <c r="Q71" s="2"/>
      <c r="R71" s="6">
        <f t="shared" si="37"/>
        <v>2.5201830628685542E-3</v>
      </c>
      <c r="S71" s="2"/>
      <c r="T71" s="7">
        <v>7800</v>
      </c>
      <c r="U71" s="2"/>
      <c r="V71" s="6">
        <f t="shared" si="38"/>
        <v>5.4173156159331584E-3</v>
      </c>
      <c r="W71" s="2"/>
      <c r="X71" s="7">
        <f t="shared" si="39"/>
        <v>-6518.8099999999995</v>
      </c>
      <c r="Y71" s="2"/>
      <c r="Z71" s="6">
        <f t="shared" si="40"/>
        <v>-0.83574487179487178</v>
      </c>
    </row>
    <row r="72" spans="1:26" s="27" customFormat="1" outlineLevel="1" collapsed="1" x14ac:dyDescent="0.25">
      <c r="A72" s="25"/>
      <c r="B72" s="12" t="str">
        <f>CONCATENATE("     ","Employees' Appreciation                           ")</f>
        <v xml:space="preserve">     Employees' Appreciation                           </v>
      </c>
      <c r="C72" s="12"/>
      <c r="D72" s="1">
        <f>SUM(OSRRefD22_5x_0)</f>
        <v>0</v>
      </c>
      <c r="E72" s="1"/>
      <c r="F72" s="5">
        <f t="shared" si="33"/>
        <v>0</v>
      </c>
      <c r="G72" s="1"/>
      <c r="H72" s="1">
        <f>SUM(OSRRefH22_5x_0)</f>
        <v>100</v>
      </c>
      <c r="I72" s="1"/>
      <c r="J72" s="5">
        <f t="shared" si="34"/>
        <v>2.3343760212895094E-4</v>
      </c>
      <c r="K72" s="1"/>
      <c r="L72" s="1">
        <f t="shared" si="35"/>
        <v>-100</v>
      </c>
      <c r="M72" s="1"/>
      <c r="N72" s="5">
        <f t="shared" si="36"/>
        <v>-1</v>
      </c>
      <c r="O72" s="12"/>
      <c r="P72" s="1">
        <f>SUM(OSRRefP22_5x_0)</f>
        <v>0</v>
      </c>
      <c r="Q72" s="1"/>
      <c r="R72" s="5">
        <f t="shared" si="37"/>
        <v>0</v>
      </c>
      <c r="S72" s="1"/>
      <c r="T72" s="1">
        <f>SUM(OSRRefT22_5x_0)</f>
        <v>1100</v>
      </c>
      <c r="U72" s="1"/>
      <c r="V72" s="5">
        <f t="shared" si="38"/>
        <v>7.6398040737518907E-4</v>
      </c>
      <c r="W72" s="1"/>
      <c r="X72" s="1">
        <f t="shared" si="39"/>
        <v>-1100</v>
      </c>
      <c r="Y72" s="1"/>
      <c r="Z72" s="5">
        <f t="shared" si="40"/>
        <v>-1</v>
      </c>
    </row>
    <row r="73" spans="1:26" s="24" customFormat="1" hidden="1" outlineLevel="2" x14ac:dyDescent="0.25">
      <c r="A73" s="26"/>
      <c r="B73" s="11" t="str">
        <f>CONCATENATE("          ", "6277", " - ", "EMPLOYEE APPRECIATION")</f>
        <v xml:space="preserve">          6277 - EMPLOYEE APPRECIATION</v>
      </c>
      <c r="C73" s="11"/>
      <c r="D73" s="7"/>
      <c r="E73" s="2"/>
      <c r="F73" s="6">
        <f t="shared" si="33"/>
        <v>0</v>
      </c>
      <c r="G73" s="2"/>
      <c r="H73" s="7">
        <v>100</v>
      </c>
      <c r="I73" s="2"/>
      <c r="J73" s="6">
        <f t="shared" si="34"/>
        <v>2.3343760212895094E-4</v>
      </c>
      <c r="K73" s="2"/>
      <c r="L73" s="7">
        <f t="shared" si="35"/>
        <v>-100</v>
      </c>
      <c r="M73" s="2"/>
      <c r="N73" s="6">
        <f t="shared" si="36"/>
        <v>-1</v>
      </c>
      <c r="O73" s="11"/>
      <c r="P73" s="7"/>
      <c r="Q73" s="2"/>
      <c r="R73" s="6">
        <f t="shared" si="37"/>
        <v>0</v>
      </c>
      <c r="S73" s="2"/>
      <c r="T73" s="7">
        <v>1100</v>
      </c>
      <c r="U73" s="2"/>
      <c r="V73" s="6">
        <f t="shared" si="38"/>
        <v>7.6398040737518907E-4</v>
      </c>
      <c r="W73" s="2"/>
      <c r="X73" s="7">
        <f t="shared" si="39"/>
        <v>-1100</v>
      </c>
      <c r="Y73" s="2"/>
      <c r="Z73" s="6">
        <f t="shared" si="40"/>
        <v>-1</v>
      </c>
    </row>
    <row r="74" spans="1:26" s="27" customFormat="1" outlineLevel="1" collapsed="1" x14ac:dyDescent="0.25">
      <c r="A74" s="25"/>
      <c r="B74" s="12" t="str">
        <f>CONCATENATE("     ","Equipment Rental                                  ")</f>
        <v xml:space="preserve">     Equipment Rental                                  </v>
      </c>
      <c r="C74" s="12"/>
      <c r="D74" s="1">
        <f>SUM(OSRRefD22_6x_0)</f>
        <v>1205.6400000000001</v>
      </c>
      <c r="E74" s="1"/>
      <c r="F74" s="5">
        <f t="shared" si="33"/>
        <v>7.2901417648499348E-2</v>
      </c>
      <c r="G74" s="1"/>
      <c r="H74" s="1">
        <f>SUM(OSRRefH22_6x_0)</f>
        <v>3000</v>
      </c>
      <c r="I74" s="1"/>
      <c r="J74" s="5">
        <f t="shared" si="34"/>
        <v>7.0031280638685276E-3</v>
      </c>
      <c r="K74" s="1"/>
      <c r="L74" s="1">
        <f t="shared" si="35"/>
        <v>-1794.36</v>
      </c>
      <c r="M74" s="1"/>
      <c r="N74" s="5">
        <f t="shared" si="36"/>
        <v>-0.59811999999999999</v>
      </c>
      <c r="O74" s="12"/>
      <c r="P74" s="1">
        <f>SUM(OSRRefP22_6x_0)</f>
        <v>16081.710000000001</v>
      </c>
      <c r="Q74" s="1"/>
      <c r="R74" s="5">
        <f t="shared" si="37"/>
        <v>3.1633757025861783E-2</v>
      </c>
      <c r="S74" s="1"/>
      <c r="T74" s="1">
        <f>SUM(OSRRefT22_6x_0)</f>
        <v>33000</v>
      </c>
      <c r="U74" s="1"/>
      <c r="V74" s="5">
        <f t="shared" si="38"/>
        <v>2.291941222125567E-2</v>
      </c>
      <c r="W74" s="1"/>
      <c r="X74" s="1">
        <f t="shared" si="39"/>
        <v>-16918.29</v>
      </c>
      <c r="Y74" s="1"/>
      <c r="Z74" s="5">
        <f t="shared" si="40"/>
        <v>-0.5126754545454546</v>
      </c>
    </row>
    <row r="75" spans="1:26" s="24" customFormat="1" hidden="1" outlineLevel="2" x14ac:dyDescent="0.25">
      <c r="A75" s="26"/>
      <c r="B75" s="11" t="str">
        <f>CONCATENATE("          ", "6351", " - ", "EQUIPMENT RENTAL")</f>
        <v xml:space="preserve">          6351 - EQUIPMENT RENTAL</v>
      </c>
      <c r="C75" s="11"/>
      <c r="D75" s="7">
        <v>1205.6400000000001</v>
      </c>
      <c r="E75" s="2"/>
      <c r="F75" s="6">
        <f t="shared" si="33"/>
        <v>7.2901417648499348E-2</v>
      </c>
      <c r="G75" s="2"/>
      <c r="H75" s="7">
        <v>3000</v>
      </c>
      <c r="I75" s="2"/>
      <c r="J75" s="6">
        <f t="shared" si="34"/>
        <v>7.0031280638685276E-3</v>
      </c>
      <c r="K75" s="2"/>
      <c r="L75" s="7">
        <f t="shared" si="35"/>
        <v>-1794.36</v>
      </c>
      <c r="M75" s="2"/>
      <c r="N75" s="6">
        <f t="shared" si="36"/>
        <v>-0.59811999999999999</v>
      </c>
      <c r="O75" s="11"/>
      <c r="P75" s="7">
        <v>16081.710000000001</v>
      </c>
      <c r="Q75" s="2"/>
      <c r="R75" s="6">
        <f t="shared" si="37"/>
        <v>3.1633757025861783E-2</v>
      </c>
      <c r="S75" s="2"/>
      <c r="T75" s="7">
        <v>33000</v>
      </c>
      <c r="U75" s="2"/>
      <c r="V75" s="6">
        <f t="shared" si="38"/>
        <v>2.291941222125567E-2</v>
      </c>
      <c r="W75" s="2"/>
      <c r="X75" s="7">
        <f t="shared" si="39"/>
        <v>-16918.29</v>
      </c>
      <c r="Y75" s="2"/>
      <c r="Z75" s="6">
        <f t="shared" si="40"/>
        <v>-0.5126754545454546</v>
      </c>
    </row>
    <row r="76" spans="1:26" s="27" customFormat="1" outlineLevel="1" collapsed="1" x14ac:dyDescent="0.25">
      <c r="A76" s="25"/>
      <c r="B76" s="12" t="str">
        <f>CONCATENATE("     ","Freight out/Postage                               ")</f>
        <v xml:space="preserve">     Freight out/Postage                               </v>
      </c>
      <c r="C76" s="12"/>
      <c r="D76" s="1">
        <f>SUM(OSRRefD22_7x_0)</f>
        <v>4988.5300000000007</v>
      </c>
      <c r="E76" s="1"/>
      <c r="F76" s="5">
        <f t="shared" si="33"/>
        <v>0.30164137634954752</v>
      </c>
      <c r="G76" s="1"/>
      <c r="H76" s="1">
        <f>SUM(OSRRefH22_7x_0)</f>
        <v>-1300</v>
      </c>
      <c r="I76" s="1"/>
      <c r="J76" s="5">
        <f t="shared" si="34"/>
        <v>-3.0346888276763621E-3</v>
      </c>
      <c r="K76" s="1"/>
      <c r="L76" s="1">
        <f t="shared" si="35"/>
        <v>6288.5300000000007</v>
      </c>
      <c r="M76" s="1"/>
      <c r="N76" s="5">
        <f t="shared" si="36"/>
        <v>-4.8373307692307694</v>
      </c>
      <c r="O76" s="12"/>
      <c r="P76" s="1">
        <f>SUM(OSRRefP22_7x_0)</f>
        <v>-12260.989999999998</v>
      </c>
      <c r="Q76" s="1"/>
      <c r="R76" s="5">
        <f t="shared" si="37"/>
        <v>-2.4118155255661307E-2</v>
      </c>
      <c r="S76" s="1"/>
      <c r="T76" s="1">
        <f>SUM(OSRRefT22_7x_0)</f>
        <v>-83300</v>
      </c>
      <c r="U76" s="1"/>
      <c r="V76" s="5">
        <f t="shared" si="38"/>
        <v>-5.7854152667593861E-2</v>
      </c>
      <c r="W76" s="1"/>
      <c r="X76" s="1">
        <f t="shared" si="39"/>
        <v>71039.010000000009</v>
      </c>
      <c r="Y76" s="1"/>
      <c r="Z76" s="5">
        <f t="shared" si="40"/>
        <v>-0.85280924369747912</v>
      </c>
    </row>
    <row r="77" spans="1:26" s="24" customFormat="1" hidden="1" outlineLevel="2" x14ac:dyDescent="0.25">
      <c r="A77" s="26"/>
      <c r="B77" s="11" t="str">
        <f>CONCATENATE("          ", "6305", " - ", "FREIGHT OUT")</f>
        <v xml:space="preserve">          6305 - FREIGHT OUT</v>
      </c>
      <c r="C77" s="11"/>
      <c r="D77" s="7">
        <v>6492.31</v>
      </c>
      <c r="E77" s="2"/>
      <c r="F77" s="6">
        <f t="shared" si="33"/>
        <v>0.39257042136419562</v>
      </c>
      <c r="G77" s="2"/>
      <c r="H77" s="7">
        <v>-1300</v>
      </c>
      <c r="I77" s="2"/>
      <c r="J77" s="6">
        <f t="shared" si="34"/>
        <v>-3.0346888276763621E-3</v>
      </c>
      <c r="K77" s="2"/>
      <c r="L77" s="7">
        <f t="shared" si="35"/>
        <v>7792.31</v>
      </c>
      <c r="M77" s="2"/>
      <c r="N77" s="6">
        <f t="shared" si="36"/>
        <v>-5.9940846153846161</v>
      </c>
      <c r="O77" s="11"/>
      <c r="P77" s="7">
        <v>45919.03</v>
      </c>
      <c r="Q77" s="2"/>
      <c r="R77" s="6">
        <f t="shared" si="37"/>
        <v>9.0325682895864803E-2</v>
      </c>
      <c r="S77" s="2"/>
      <c r="T77" s="7">
        <v>-83300</v>
      </c>
      <c r="U77" s="2"/>
      <c r="V77" s="6">
        <f t="shared" si="38"/>
        <v>-5.7854152667593861E-2</v>
      </c>
      <c r="W77" s="2"/>
      <c r="X77" s="7">
        <f t="shared" si="39"/>
        <v>129219.03</v>
      </c>
      <c r="Y77" s="2"/>
      <c r="Z77" s="6">
        <f t="shared" si="40"/>
        <v>-1.5512488595438174</v>
      </c>
    </row>
    <row r="78" spans="1:26" s="24" customFormat="1" hidden="1" outlineLevel="2" x14ac:dyDescent="0.25">
      <c r="A78" s="26"/>
      <c r="B78" s="11" t="str">
        <f>CONCATENATE("          ", "6307", " - ", "POSTAGE")</f>
        <v xml:space="preserve">          6307 - POSTAGE</v>
      </c>
      <c r="C78" s="11"/>
      <c r="D78" s="7">
        <v>-1503.78</v>
      </c>
      <c r="E78" s="2"/>
      <c r="F78" s="6">
        <f t="shared" si="33"/>
        <v>-9.0929045014648102E-2</v>
      </c>
      <c r="G78" s="2"/>
      <c r="H78" s="7"/>
      <c r="I78" s="2"/>
      <c r="J78" s="6">
        <f t="shared" si="34"/>
        <v>0</v>
      </c>
      <c r="K78" s="2"/>
      <c r="L78" s="7">
        <f t="shared" si="35"/>
        <v>-1503.78</v>
      </c>
      <c r="M78" s="2"/>
      <c r="N78" s="6">
        <f t="shared" si="36"/>
        <v>0</v>
      </c>
      <c r="O78" s="11"/>
      <c r="P78" s="7">
        <v>-58180.02</v>
      </c>
      <c r="Q78" s="2"/>
      <c r="R78" s="6">
        <f t="shared" si="37"/>
        <v>-0.1144438381515261</v>
      </c>
      <c r="S78" s="2"/>
      <c r="T78" s="7"/>
      <c r="U78" s="2"/>
      <c r="V78" s="6">
        <f t="shared" si="38"/>
        <v>0</v>
      </c>
      <c r="W78" s="2"/>
      <c r="X78" s="7">
        <f t="shared" si="39"/>
        <v>-58180.02</v>
      </c>
      <c r="Y78" s="2"/>
      <c r="Z78" s="6">
        <f t="shared" si="40"/>
        <v>0</v>
      </c>
    </row>
    <row r="79" spans="1:26" s="27" customFormat="1" outlineLevel="1" collapsed="1" x14ac:dyDescent="0.25">
      <c r="A79" s="25"/>
      <c r="B79" s="12" t="str">
        <f>CONCATENATE("     ","General                                           ")</f>
        <v xml:space="preserve">     General                                           </v>
      </c>
      <c r="C79" s="12"/>
      <c r="D79" s="1">
        <f>SUM(OSRRefD22_8x_0)</f>
        <v>0</v>
      </c>
      <c r="E79" s="1"/>
      <c r="F79" s="5">
        <f t="shared" ref="F79:F85" si="41">IF(D$12=0,0,D79/D$12)</f>
        <v>0</v>
      </c>
      <c r="G79" s="1"/>
      <c r="H79" s="1">
        <f>SUM(OSRRefH22_8x_0)</f>
        <v>300</v>
      </c>
      <c r="I79" s="1"/>
      <c r="J79" s="5">
        <f t="shared" ref="J79:J85" si="42">IF(H$12=0,0,H79/H$12)</f>
        <v>7.0031280638685283E-4</v>
      </c>
      <c r="K79" s="1"/>
      <c r="L79" s="1">
        <f t="shared" ref="L79:L85" si="43">+D79-H79</f>
        <v>-300</v>
      </c>
      <c r="M79" s="1"/>
      <c r="N79" s="5">
        <f t="shared" ref="N79:N85" si="44">IF(H79=0,0,L79/H79)</f>
        <v>-1</v>
      </c>
      <c r="O79" s="12"/>
      <c r="P79" s="1">
        <f>SUM(OSRRefP22_8x_0)</f>
        <v>155.16999999999999</v>
      </c>
      <c r="Q79" s="1"/>
      <c r="R79" s="5">
        <f t="shared" ref="R79:R85" si="45">IF(P$12=0,0,P79/P$12)</f>
        <v>3.052293616601078E-4</v>
      </c>
      <c r="S79" s="1"/>
      <c r="T79" s="1">
        <f>SUM(OSRRefT22_8x_0)</f>
        <v>3200</v>
      </c>
      <c r="U79" s="1"/>
      <c r="V79" s="5">
        <f t="shared" ref="V79:V85" si="46">IF(T$12=0,0,T79/T$12)</f>
        <v>2.2224884578187316E-3</v>
      </c>
      <c r="W79" s="1"/>
      <c r="X79" s="1">
        <f t="shared" ref="X79:X85" si="47">+P79-T79</f>
        <v>-3044.83</v>
      </c>
      <c r="Y79" s="1"/>
      <c r="Z79" s="5">
        <f t="shared" ref="Z79:Z85" si="48">IF(T79=0,0,X79/T79)</f>
        <v>-0.95150937499999999</v>
      </c>
    </row>
    <row r="80" spans="1:26" s="24" customFormat="1" hidden="1" outlineLevel="2" x14ac:dyDescent="0.25">
      <c r="A80" s="26"/>
      <c r="B80" s="11" t="str">
        <f>CONCATENATE("          ", "6279", " - ", "GENERAL EXPENSE")</f>
        <v xml:space="preserve">          6279 - GENERAL EXPENSE</v>
      </c>
      <c r="C80" s="11"/>
      <c r="D80" s="7"/>
      <c r="E80" s="2"/>
      <c r="F80" s="6">
        <f t="shared" si="41"/>
        <v>0</v>
      </c>
      <c r="G80" s="2"/>
      <c r="H80" s="7">
        <v>300</v>
      </c>
      <c r="I80" s="2"/>
      <c r="J80" s="6">
        <f t="shared" si="42"/>
        <v>7.0031280638685283E-4</v>
      </c>
      <c r="K80" s="2"/>
      <c r="L80" s="7">
        <f t="shared" si="43"/>
        <v>-300</v>
      </c>
      <c r="M80" s="2"/>
      <c r="N80" s="6">
        <f t="shared" si="44"/>
        <v>-1</v>
      </c>
      <c r="O80" s="11"/>
      <c r="P80" s="7">
        <v>155.16999999999999</v>
      </c>
      <c r="Q80" s="2"/>
      <c r="R80" s="6">
        <f t="shared" si="45"/>
        <v>3.052293616601078E-4</v>
      </c>
      <c r="S80" s="2"/>
      <c r="T80" s="7">
        <v>3200</v>
      </c>
      <c r="U80" s="2"/>
      <c r="V80" s="6">
        <f t="shared" si="46"/>
        <v>2.2224884578187316E-3</v>
      </c>
      <c r="W80" s="2"/>
      <c r="X80" s="7">
        <f t="shared" si="47"/>
        <v>-3044.83</v>
      </c>
      <c r="Y80" s="2"/>
      <c r="Z80" s="6">
        <f t="shared" si="48"/>
        <v>-0.95150937499999999</v>
      </c>
    </row>
    <row r="81" spans="1:26" s="27" customFormat="1" outlineLevel="1" collapsed="1" x14ac:dyDescent="0.25">
      <c r="A81" s="25"/>
      <c r="B81" s="12" t="str">
        <f>CONCATENATE("     ","Inventory Adjustment                              ")</f>
        <v xml:space="preserve">     Inventory Adjustment                              </v>
      </c>
      <c r="C81" s="12"/>
      <c r="D81" s="1">
        <f>SUM(OSRRefD22_9x_0)</f>
        <v>100</v>
      </c>
      <c r="E81" s="1"/>
      <c r="F81" s="5">
        <f t="shared" si="41"/>
        <v>6.0466986537025431E-3</v>
      </c>
      <c r="G81" s="1"/>
      <c r="H81" s="1">
        <f>SUM(OSRRefH22_9x_0)</f>
        <v>100</v>
      </c>
      <c r="I81" s="1"/>
      <c r="J81" s="5">
        <f t="shared" si="42"/>
        <v>2.3343760212895094E-4</v>
      </c>
      <c r="K81" s="1"/>
      <c r="L81" s="1">
        <f t="shared" si="43"/>
        <v>0</v>
      </c>
      <c r="M81" s="1"/>
      <c r="N81" s="5">
        <f t="shared" si="44"/>
        <v>0</v>
      </c>
      <c r="O81" s="12"/>
      <c r="P81" s="1">
        <f>SUM(OSRRefP22_9x_0)</f>
        <v>1000</v>
      </c>
      <c r="Q81" s="1"/>
      <c r="R81" s="5">
        <f t="shared" si="45"/>
        <v>1.9670642628092276E-3</v>
      </c>
      <c r="S81" s="1"/>
      <c r="T81" s="1">
        <f>SUM(OSRRefT22_9x_0)</f>
        <v>1000</v>
      </c>
      <c r="U81" s="1"/>
      <c r="V81" s="5">
        <f t="shared" si="46"/>
        <v>6.9452764306835368E-4</v>
      </c>
      <c r="W81" s="1"/>
      <c r="X81" s="1">
        <f t="shared" si="47"/>
        <v>0</v>
      </c>
      <c r="Y81" s="1"/>
      <c r="Z81" s="5">
        <f t="shared" si="48"/>
        <v>0</v>
      </c>
    </row>
    <row r="82" spans="1:26" s="24" customFormat="1" hidden="1" outlineLevel="2" x14ac:dyDescent="0.25">
      <c r="A82" s="26"/>
      <c r="B82" s="11" t="str">
        <f>CONCATENATE("          ", "6408", " - ", "INVENTORY ADJUSTMENT")</f>
        <v xml:space="preserve">          6408 - INVENTORY ADJUSTMENT</v>
      </c>
      <c r="C82" s="11"/>
      <c r="D82" s="7">
        <v>100</v>
      </c>
      <c r="E82" s="2"/>
      <c r="F82" s="6">
        <f t="shared" si="41"/>
        <v>6.0466986537025431E-3</v>
      </c>
      <c r="G82" s="2"/>
      <c r="H82" s="7">
        <v>100</v>
      </c>
      <c r="I82" s="2"/>
      <c r="J82" s="6">
        <f t="shared" si="42"/>
        <v>2.3343760212895094E-4</v>
      </c>
      <c r="K82" s="2"/>
      <c r="L82" s="7">
        <f t="shared" si="43"/>
        <v>0</v>
      </c>
      <c r="M82" s="2"/>
      <c r="N82" s="6">
        <f t="shared" si="44"/>
        <v>0</v>
      </c>
      <c r="O82" s="11"/>
      <c r="P82" s="7">
        <v>1000</v>
      </c>
      <c r="Q82" s="2"/>
      <c r="R82" s="6">
        <f t="shared" si="45"/>
        <v>1.9670642628092276E-3</v>
      </c>
      <c r="S82" s="2"/>
      <c r="T82" s="7">
        <v>1000</v>
      </c>
      <c r="U82" s="2"/>
      <c r="V82" s="6">
        <f t="shared" si="46"/>
        <v>6.9452764306835368E-4</v>
      </c>
      <c r="W82" s="2"/>
      <c r="X82" s="7">
        <f t="shared" si="47"/>
        <v>0</v>
      </c>
      <c r="Y82" s="2"/>
      <c r="Z82" s="6">
        <f t="shared" si="48"/>
        <v>0</v>
      </c>
    </row>
    <row r="83" spans="1:26" s="27" customFormat="1" outlineLevel="1" collapsed="1" x14ac:dyDescent="0.25">
      <c r="A83" s="25"/>
      <c r="B83" s="12" t="str">
        <f>CONCATENATE("     ","Repair and Maintenance                            ")</f>
        <v xml:space="preserve">     Repair and Maintenance                            </v>
      </c>
      <c r="C83" s="12"/>
      <c r="D83" s="1">
        <f>SUM(OSRRefD22_10x_0)</f>
        <v>353.37</v>
      </c>
      <c r="E83" s="1"/>
      <c r="F83" s="5">
        <f t="shared" si="41"/>
        <v>2.1367219032588678E-2</v>
      </c>
      <c r="G83" s="1"/>
      <c r="H83" s="1">
        <f>SUM(OSRRefH22_10x_0)</f>
        <v>7000</v>
      </c>
      <c r="I83" s="1"/>
      <c r="J83" s="5">
        <f t="shared" si="42"/>
        <v>1.6340632149026566E-2</v>
      </c>
      <c r="K83" s="1"/>
      <c r="L83" s="1">
        <f t="shared" si="43"/>
        <v>-6646.63</v>
      </c>
      <c r="M83" s="1"/>
      <c r="N83" s="5">
        <f t="shared" si="44"/>
        <v>-0.94951857142857143</v>
      </c>
      <c r="O83" s="12"/>
      <c r="P83" s="1">
        <f>SUM(OSRRefP22_10x_0)</f>
        <v>66267.679999999993</v>
      </c>
      <c r="Q83" s="1"/>
      <c r="R83" s="5">
        <f t="shared" si="45"/>
        <v>0.13035278510727777</v>
      </c>
      <c r="S83" s="1"/>
      <c r="T83" s="1">
        <f>SUM(OSRRefT22_10x_0)</f>
        <v>77000</v>
      </c>
      <c r="U83" s="1"/>
      <c r="V83" s="5">
        <f t="shared" si="46"/>
        <v>5.3478628516263234E-2</v>
      </c>
      <c r="W83" s="1"/>
      <c r="X83" s="1">
        <f t="shared" si="47"/>
        <v>-10732.320000000007</v>
      </c>
      <c r="Y83" s="1"/>
      <c r="Z83" s="5">
        <f t="shared" si="48"/>
        <v>-0.13938077922077932</v>
      </c>
    </row>
    <row r="84" spans="1:26" s="24" customFormat="1" hidden="1" outlineLevel="2" x14ac:dyDescent="0.25">
      <c r="A84" s="26"/>
      <c r="B84" s="11" t="str">
        <f>CONCATENATE("          ", "6373", " - ", "MAINTENANCE CONTRACTS")</f>
        <v xml:space="preserve">          6373 - MAINTENANCE CONTRACTS</v>
      </c>
      <c r="C84" s="11"/>
      <c r="D84" s="7">
        <v>353.37</v>
      </c>
      <c r="E84" s="2"/>
      <c r="F84" s="6">
        <f t="shared" si="41"/>
        <v>2.1367219032588678E-2</v>
      </c>
      <c r="G84" s="2"/>
      <c r="H84" s="7">
        <v>7000</v>
      </c>
      <c r="I84" s="2"/>
      <c r="J84" s="6">
        <f t="shared" si="42"/>
        <v>1.6340632149026566E-2</v>
      </c>
      <c r="K84" s="2"/>
      <c r="L84" s="7">
        <f t="shared" si="43"/>
        <v>-6646.63</v>
      </c>
      <c r="M84" s="2"/>
      <c r="N84" s="6">
        <f t="shared" si="44"/>
        <v>-0.94951857142857143</v>
      </c>
      <c r="O84" s="11"/>
      <c r="P84" s="7">
        <v>64865.919999999998</v>
      </c>
      <c r="Q84" s="2"/>
      <c r="R84" s="6">
        <f t="shared" si="45"/>
        <v>0.12759543310624233</v>
      </c>
      <c r="S84" s="2"/>
      <c r="T84" s="7">
        <v>77000</v>
      </c>
      <c r="U84" s="2"/>
      <c r="V84" s="6">
        <f t="shared" si="46"/>
        <v>5.3478628516263234E-2</v>
      </c>
      <c r="W84" s="2"/>
      <c r="X84" s="7">
        <f t="shared" si="47"/>
        <v>-12134.080000000002</v>
      </c>
      <c r="Y84" s="2"/>
      <c r="Z84" s="6">
        <f t="shared" si="48"/>
        <v>-0.15758545454545456</v>
      </c>
    </row>
    <row r="85" spans="1:26" s="24" customFormat="1" hidden="1" outlineLevel="2" x14ac:dyDescent="0.25">
      <c r="A85" s="26"/>
      <c r="B85" s="11" t="str">
        <f>CONCATENATE("          ", "6375", " - ", "OUTSIDE REPAIRS &amp; MAINTENANCE")</f>
        <v xml:space="preserve">          6375 - OUTSIDE REPAIRS &amp; MAINTENANCE</v>
      </c>
      <c r="C85" s="11"/>
      <c r="D85" s="7"/>
      <c r="E85" s="2"/>
      <c r="F85" s="6">
        <f t="shared" si="41"/>
        <v>0</v>
      </c>
      <c r="G85" s="2"/>
      <c r="H85" s="7"/>
      <c r="I85" s="2"/>
      <c r="J85" s="6">
        <f t="shared" si="42"/>
        <v>0</v>
      </c>
      <c r="K85" s="2"/>
      <c r="L85" s="7">
        <f t="shared" si="43"/>
        <v>0</v>
      </c>
      <c r="M85" s="2"/>
      <c r="N85" s="6">
        <f t="shared" si="44"/>
        <v>0</v>
      </c>
      <c r="O85" s="11"/>
      <c r="P85" s="7">
        <v>1401.76</v>
      </c>
      <c r="Q85" s="2"/>
      <c r="R85" s="6">
        <f t="shared" si="45"/>
        <v>2.7573520010354628E-3</v>
      </c>
      <c r="S85" s="2"/>
      <c r="T85" s="7"/>
      <c r="U85" s="2"/>
      <c r="V85" s="6">
        <f t="shared" si="46"/>
        <v>0</v>
      </c>
      <c r="W85" s="2"/>
      <c r="X85" s="7">
        <f t="shared" si="47"/>
        <v>1401.76</v>
      </c>
      <c r="Y85" s="2"/>
      <c r="Z85" s="6">
        <f t="shared" si="48"/>
        <v>0</v>
      </c>
    </row>
    <row r="86" spans="1:26" s="27" customFormat="1" outlineLevel="1" collapsed="1" x14ac:dyDescent="0.25">
      <c r="A86" s="25"/>
      <c r="B86" s="12" t="str">
        <f>CONCATENATE("     ","Royalty &amp; Commissions                             ")</f>
        <v xml:space="preserve">     Royalty &amp; Commissions                             </v>
      </c>
      <c r="C86" s="12"/>
      <c r="D86" s="1">
        <f>SUM(OSRRefD22_11x_0)</f>
        <v>0</v>
      </c>
      <c r="E86" s="1"/>
      <c r="F86" s="5">
        <f t="shared" ref="F86:F88" si="49">IF(D$12=0,0,D86/D$12)</f>
        <v>0</v>
      </c>
      <c r="G86" s="1"/>
      <c r="H86" s="1">
        <f>SUM(OSRRefH22_11x_0)</f>
        <v>11000</v>
      </c>
      <c r="I86" s="1"/>
      <c r="J86" s="5">
        <f t="shared" ref="J86:J88" si="50">IF(H$12=0,0,H86/H$12)</f>
        <v>2.5678136234184603E-2</v>
      </c>
      <c r="K86" s="1"/>
      <c r="L86" s="1">
        <f t="shared" ref="L86:L88" si="51">+D86-H86</f>
        <v>-11000</v>
      </c>
      <c r="M86" s="1"/>
      <c r="N86" s="5">
        <f t="shared" ref="N86:N88" si="52">IF(H86=0,0,L86/H86)</f>
        <v>-1</v>
      </c>
      <c r="O86" s="12"/>
      <c r="P86" s="1">
        <f>SUM(OSRRefP22_11x_0)</f>
        <v>82607.740000000005</v>
      </c>
      <c r="Q86" s="1"/>
      <c r="R86" s="5">
        <f t="shared" ref="R86:R88" si="53">IF(P$12=0,0,P86/P$12)</f>
        <v>0.16249473318543634</v>
      </c>
      <c r="S86" s="1"/>
      <c r="T86" s="1">
        <f>SUM(OSRRefT22_11x_0)</f>
        <v>121000</v>
      </c>
      <c r="U86" s="1"/>
      <c r="V86" s="5">
        <f t="shared" ref="V86:V88" si="54">IF(T$12=0,0,T86/T$12)</f>
        <v>8.4037844811270801E-2</v>
      </c>
      <c r="W86" s="1"/>
      <c r="X86" s="1">
        <f t="shared" ref="X86:X88" si="55">+P86-T86</f>
        <v>-38392.259999999995</v>
      </c>
      <c r="Y86" s="1"/>
      <c r="Z86" s="5">
        <f t="shared" ref="Z86:Z88" si="56">IF(T86=0,0,X86/T86)</f>
        <v>-0.31729140495867764</v>
      </c>
    </row>
    <row r="87" spans="1:26" s="24" customFormat="1" hidden="1" outlineLevel="2" x14ac:dyDescent="0.25">
      <c r="A87" s="26"/>
      <c r="B87" s="11" t="str">
        <f>CONCATENATE("          ", "6254", " - ", "ROYALTY &amp; COMMISSIONS")</f>
        <v xml:space="preserve">          6254 - ROYALTY &amp; COMMISSIONS</v>
      </c>
      <c r="C87" s="11"/>
      <c r="D87" s="7"/>
      <c r="E87" s="2"/>
      <c r="F87" s="6">
        <f t="shared" si="49"/>
        <v>0</v>
      </c>
      <c r="G87" s="2"/>
      <c r="H87" s="7">
        <v>11000</v>
      </c>
      <c r="I87" s="2"/>
      <c r="J87" s="6">
        <f t="shared" si="50"/>
        <v>2.5678136234184603E-2</v>
      </c>
      <c r="K87" s="2"/>
      <c r="L87" s="7">
        <f t="shared" si="51"/>
        <v>-11000</v>
      </c>
      <c r="M87" s="2"/>
      <c r="N87" s="6">
        <f t="shared" si="52"/>
        <v>-1</v>
      </c>
      <c r="O87" s="11"/>
      <c r="P87" s="7"/>
      <c r="Q87" s="2"/>
      <c r="R87" s="6">
        <f t="shared" si="53"/>
        <v>0</v>
      </c>
      <c r="S87" s="2"/>
      <c r="T87" s="7">
        <v>121000</v>
      </c>
      <c r="U87" s="2"/>
      <c r="V87" s="6">
        <f t="shared" si="54"/>
        <v>8.4037844811270801E-2</v>
      </c>
      <c r="W87" s="2"/>
      <c r="X87" s="7">
        <f t="shared" si="55"/>
        <v>-121000</v>
      </c>
      <c r="Y87" s="2"/>
      <c r="Z87" s="6">
        <f t="shared" si="56"/>
        <v>-1</v>
      </c>
    </row>
    <row r="88" spans="1:26" s="24" customFormat="1" hidden="1" outlineLevel="2" x14ac:dyDescent="0.25">
      <c r="A88" s="26"/>
      <c r="B88" s="11" t="str">
        <f>CONCATENATE("          ", "6259", " - ", "ROYALTY &amp; COMMISSIONS")</f>
        <v xml:space="preserve">          6259 - ROYALTY &amp; COMMISSIONS</v>
      </c>
      <c r="C88" s="11"/>
      <c r="D88" s="7"/>
      <c r="E88" s="2"/>
      <c r="F88" s="6">
        <f t="shared" si="49"/>
        <v>0</v>
      </c>
      <c r="G88" s="2"/>
      <c r="H88" s="7"/>
      <c r="I88" s="2"/>
      <c r="J88" s="6">
        <f t="shared" si="50"/>
        <v>0</v>
      </c>
      <c r="K88" s="2"/>
      <c r="L88" s="7">
        <f t="shared" si="51"/>
        <v>0</v>
      </c>
      <c r="M88" s="2"/>
      <c r="N88" s="6">
        <f t="shared" si="52"/>
        <v>0</v>
      </c>
      <c r="O88" s="11"/>
      <c r="P88" s="7">
        <v>82607.740000000005</v>
      </c>
      <c r="Q88" s="2"/>
      <c r="R88" s="6">
        <f t="shared" si="53"/>
        <v>0.16249473318543634</v>
      </c>
      <c r="S88" s="2"/>
      <c r="T88" s="7"/>
      <c r="U88" s="2"/>
      <c r="V88" s="6">
        <f t="shared" si="54"/>
        <v>0</v>
      </c>
      <c r="W88" s="2"/>
      <c r="X88" s="7">
        <f t="shared" si="55"/>
        <v>82607.740000000005</v>
      </c>
      <c r="Y88" s="2"/>
      <c r="Z88" s="6">
        <f t="shared" si="56"/>
        <v>0</v>
      </c>
    </row>
    <row r="89" spans="1:26" s="27" customFormat="1" outlineLevel="1" collapsed="1" x14ac:dyDescent="0.25">
      <c r="A89" s="25"/>
      <c r="B89" s="12" t="str">
        <f>CONCATENATE("     ","Supplies                                          ")</f>
        <v xml:space="preserve">     Supplies                                          </v>
      </c>
      <c r="C89" s="12"/>
      <c r="D89" s="1">
        <f>SUM(OSRRefD22_12x_0)</f>
        <v>396.32</v>
      </c>
      <c r="E89" s="1"/>
      <c r="F89" s="5">
        <f t="shared" ref="F89:F94" si="57">IF(D$12=0,0,D89/D$12)</f>
        <v>2.3964276104353918E-2</v>
      </c>
      <c r="G89" s="1"/>
      <c r="H89" s="1">
        <f>SUM(OSRRefH22_12x_0)</f>
        <v>7500</v>
      </c>
      <c r="I89" s="1"/>
      <c r="J89" s="5">
        <f t="shared" ref="J89:J94" si="58">IF(H$12=0,0,H89/H$12)</f>
        <v>1.7507820159671318E-2</v>
      </c>
      <c r="K89" s="1"/>
      <c r="L89" s="1">
        <f t="shared" ref="L89:L94" si="59">+D89-H89</f>
        <v>-7103.68</v>
      </c>
      <c r="M89" s="1"/>
      <c r="N89" s="5">
        <f t="shared" ref="N89:N94" si="60">IF(H89=0,0,L89/H89)</f>
        <v>-0.94715733333333341</v>
      </c>
      <c r="O89" s="12"/>
      <c r="P89" s="1">
        <f>SUM(OSRRefP22_12x_0)</f>
        <v>48993.490000000005</v>
      </c>
      <c r="Q89" s="1"/>
      <c r="R89" s="5">
        <f t="shared" ref="R89:R94" si="61">IF(P$12=0,0,P89/P$12)</f>
        <v>9.6373343289301264E-2</v>
      </c>
      <c r="S89" s="1"/>
      <c r="T89" s="1">
        <f>SUM(OSRRefT22_12x_0)</f>
        <v>96950</v>
      </c>
      <c r="U89" s="1"/>
      <c r="V89" s="5">
        <f t="shared" ref="V89:V94" si="62">IF(T$12=0,0,T89/T$12)</f>
        <v>6.7334454995476883E-2</v>
      </c>
      <c r="W89" s="1"/>
      <c r="X89" s="1">
        <f t="shared" ref="X89:X94" si="63">+P89-T89</f>
        <v>-47956.509999999995</v>
      </c>
      <c r="Y89" s="1"/>
      <c r="Z89" s="5">
        <f t="shared" ref="Z89:Z94" si="64">IF(T89=0,0,X89/T89)</f>
        <v>-0.49465198555956674</v>
      </c>
    </row>
    <row r="90" spans="1:26" s="24" customFormat="1" hidden="1" outlineLevel="2" x14ac:dyDescent="0.25">
      <c r="A90" s="26"/>
      <c r="B90" s="11" t="str">
        <f>CONCATENATE("          ", "6234", " - ", "EXPENDABLE SUPPLIES &amp; EQUIPMEN")</f>
        <v xml:space="preserve">          6234 - EXPENDABLE SUPPLIES &amp; EQUIPMEN</v>
      </c>
      <c r="C90" s="11"/>
      <c r="D90" s="7"/>
      <c r="E90" s="2"/>
      <c r="F90" s="6">
        <f t="shared" si="57"/>
        <v>0</v>
      </c>
      <c r="G90" s="2"/>
      <c r="H90" s="7"/>
      <c r="I90" s="2"/>
      <c r="J90" s="6">
        <f t="shared" si="58"/>
        <v>0</v>
      </c>
      <c r="K90" s="2"/>
      <c r="L90" s="7">
        <f t="shared" si="59"/>
        <v>0</v>
      </c>
      <c r="M90" s="2"/>
      <c r="N90" s="6">
        <f t="shared" si="60"/>
        <v>0</v>
      </c>
      <c r="O90" s="11"/>
      <c r="P90" s="7">
        <v>1017.27</v>
      </c>
      <c r="Q90" s="2"/>
      <c r="R90" s="6">
        <f t="shared" si="61"/>
        <v>2.0010354626279429E-3</v>
      </c>
      <c r="S90" s="2"/>
      <c r="T90" s="7"/>
      <c r="U90" s="2"/>
      <c r="V90" s="6">
        <f t="shared" si="62"/>
        <v>0</v>
      </c>
      <c r="W90" s="2"/>
      <c r="X90" s="7">
        <f t="shared" si="63"/>
        <v>1017.27</v>
      </c>
      <c r="Y90" s="2"/>
      <c r="Z90" s="6">
        <f t="shared" si="64"/>
        <v>0</v>
      </c>
    </row>
    <row r="91" spans="1:26" s="24" customFormat="1" hidden="1" outlineLevel="2" x14ac:dyDescent="0.25">
      <c r="A91" s="26"/>
      <c r="B91" s="11" t="str">
        <f>CONCATENATE("          ", "6241", " - ", "OFFICE EXPENSE")</f>
        <v xml:space="preserve">          6241 - OFFICE EXPENSE</v>
      </c>
      <c r="C91" s="11"/>
      <c r="D91" s="7"/>
      <c r="E91" s="2"/>
      <c r="F91" s="6">
        <f t="shared" si="57"/>
        <v>0</v>
      </c>
      <c r="G91" s="2"/>
      <c r="H91" s="7"/>
      <c r="I91" s="2"/>
      <c r="J91" s="6">
        <f t="shared" si="58"/>
        <v>0</v>
      </c>
      <c r="K91" s="2"/>
      <c r="L91" s="7">
        <f t="shared" si="59"/>
        <v>0</v>
      </c>
      <c r="M91" s="2"/>
      <c r="N91" s="6">
        <f t="shared" si="60"/>
        <v>0</v>
      </c>
      <c r="O91" s="11"/>
      <c r="P91" s="7">
        <v>1713.32</v>
      </c>
      <c r="Q91" s="2"/>
      <c r="R91" s="6">
        <f t="shared" si="61"/>
        <v>3.3702105427563054E-3</v>
      </c>
      <c r="S91" s="2"/>
      <c r="T91" s="7"/>
      <c r="U91" s="2"/>
      <c r="V91" s="6">
        <f t="shared" si="62"/>
        <v>0</v>
      </c>
      <c r="W91" s="2"/>
      <c r="X91" s="7">
        <f t="shared" si="63"/>
        <v>1713.32</v>
      </c>
      <c r="Y91" s="2"/>
      <c r="Z91" s="6">
        <f t="shared" si="64"/>
        <v>0</v>
      </c>
    </row>
    <row r="92" spans="1:26" s="24" customFormat="1" hidden="1" outlineLevel="2" x14ac:dyDescent="0.25">
      <c r="A92" s="26"/>
      <c r="B92" s="11" t="str">
        <f>CONCATENATE("          ", "6243", " - ", "PAPER SUPPLIES")</f>
        <v xml:space="preserve">          6243 - PAPER SUPPLIES</v>
      </c>
      <c r="C92" s="11"/>
      <c r="D92" s="7">
        <v>50.85</v>
      </c>
      <c r="E92" s="2"/>
      <c r="F92" s="6">
        <f t="shared" si="57"/>
        <v>3.0747462654077433E-3</v>
      </c>
      <c r="G92" s="2"/>
      <c r="H92" s="7">
        <v>250</v>
      </c>
      <c r="I92" s="2"/>
      <c r="J92" s="6">
        <f t="shared" si="58"/>
        <v>5.835940053223773E-4</v>
      </c>
      <c r="K92" s="2"/>
      <c r="L92" s="7">
        <f t="shared" si="59"/>
        <v>-199.15</v>
      </c>
      <c r="M92" s="2"/>
      <c r="N92" s="6">
        <f t="shared" si="60"/>
        <v>-0.79659999999999997</v>
      </c>
      <c r="O92" s="11"/>
      <c r="P92" s="7">
        <v>17939.21</v>
      </c>
      <c r="Q92" s="2"/>
      <c r="R92" s="6">
        <f t="shared" si="61"/>
        <v>3.528757889402992E-2</v>
      </c>
      <c r="S92" s="2"/>
      <c r="T92" s="7">
        <v>2750</v>
      </c>
      <c r="U92" s="2"/>
      <c r="V92" s="6">
        <f t="shared" si="62"/>
        <v>1.9099510184379725E-3</v>
      </c>
      <c r="W92" s="2"/>
      <c r="X92" s="7">
        <f t="shared" si="63"/>
        <v>15189.21</v>
      </c>
      <c r="Y92" s="2"/>
      <c r="Z92" s="6">
        <f t="shared" si="64"/>
        <v>5.5233490909090905</v>
      </c>
    </row>
    <row r="93" spans="1:26" s="24" customFormat="1" hidden="1" outlineLevel="2" x14ac:dyDescent="0.25">
      <c r="A93" s="26"/>
      <c r="B93" s="11" t="str">
        <f>CONCATENATE("          ", "6245", " - ", "PRINTING")</f>
        <v xml:space="preserve">          6245 - PRINTING</v>
      </c>
      <c r="C93" s="11"/>
      <c r="D93" s="7">
        <v>66.150000000000006</v>
      </c>
      <c r="E93" s="2"/>
      <c r="F93" s="6">
        <f t="shared" si="57"/>
        <v>3.9998911594242327E-3</v>
      </c>
      <c r="G93" s="2"/>
      <c r="H93" s="7"/>
      <c r="I93" s="2"/>
      <c r="J93" s="6">
        <f t="shared" si="58"/>
        <v>0</v>
      </c>
      <c r="K93" s="2"/>
      <c r="L93" s="7">
        <f t="shared" si="59"/>
        <v>66.150000000000006</v>
      </c>
      <c r="M93" s="2"/>
      <c r="N93" s="6">
        <f t="shared" si="60"/>
        <v>0</v>
      </c>
      <c r="O93" s="11"/>
      <c r="P93" s="7">
        <v>5894.17</v>
      </c>
      <c r="Q93" s="2"/>
      <c r="R93" s="6">
        <f t="shared" si="61"/>
        <v>1.1594211165922264E-2</v>
      </c>
      <c r="S93" s="2"/>
      <c r="T93" s="7"/>
      <c r="U93" s="2"/>
      <c r="V93" s="6">
        <f t="shared" si="62"/>
        <v>0</v>
      </c>
      <c r="W93" s="2"/>
      <c r="X93" s="7">
        <f t="shared" si="63"/>
        <v>5894.17</v>
      </c>
      <c r="Y93" s="2"/>
      <c r="Z93" s="6">
        <f t="shared" si="64"/>
        <v>0</v>
      </c>
    </row>
    <row r="94" spans="1:26" s="24" customFormat="1" hidden="1" outlineLevel="2" x14ac:dyDescent="0.25">
      <c r="A94" s="26"/>
      <c r="B94" s="11" t="str">
        <f>CONCATENATE("          ", "6247", " - ", "STORE SUPPLIES")</f>
        <v xml:space="preserve">          6247 - STORE SUPPLIES</v>
      </c>
      <c r="C94" s="11"/>
      <c r="D94" s="7">
        <v>279.32</v>
      </c>
      <c r="E94" s="2"/>
      <c r="F94" s="6">
        <f t="shared" si="57"/>
        <v>1.6889638679521944E-2</v>
      </c>
      <c r="G94" s="2"/>
      <c r="H94" s="7">
        <v>7250</v>
      </c>
      <c r="I94" s="2"/>
      <c r="J94" s="6">
        <f t="shared" si="58"/>
        <v>1.6924226154348944E-2</v>
      </c>
      <c r="K94" s="2"/>
      <c r="L94" s="7">
        <f t="shared" si="59"/>
        <v>-6970.68</v>
      </c>
      <c r="M94" s="2"/>
      <c r="N94" s="6">
        <f t="shared" si="60"/>
        <v>-0.96147310344827586</v>
      </c>
      <c r="O94" s="11"/>
      <c r="P94" s="7">
        <v>22429.52</v>
      </c>
      <c r="Q94" s="2"/>
      <c r="R94" s="6">
        <f t="shared" si="61"/>
        <v>4.4120307223964823E-2</v>
      </c>
      <c r="S94" s="2"/>
      <c r="T94" s="7">
        <v>94200</v>
      </c>
      <c r="U94" s="2"/>
      <c r="V94" s="6">
        <f t="shared" si="62"/>
        <v>6.5424503977038917E-2</v>
      </c>
      <c r="W94" s="2"/>
      <c r="X94" s="7">
        <f t="shared" si="63"/>
        <v>-71770.48</v>
      </c>
      <c r="Y94" s="2"/>
      <c r="Z94" s="6">
        <f t="shared" si="64"/>
        <v>-0.76189469214437366</v>
      </c>
    </row>
    <row r="95" spans="1:26" s="27" customFormat="1" outlineLevel="1" collapsed="1" x14ac:dyDescent="0.25">
      <c r="A95" s="25"/>
      <c r="B95" s="12" t="str">
        <f>CONCATENATE("     ","Telephone/Data Lines                              ")</f>
        <v xml:space="preserve">     Telephone/Data Lines                              </v>
      </c>
      <c r="C95" s="12"/>
      <c r="D95" s="1">
        <f>SUM(OSRRefD22_13x_0)</f>
        <v>187.6</v>
      </c>
      <c r="E95" s="1"/>
      <c r="F95" s="5">
        <f t="shared" ref="F95:F97" si="65">IF(D$12=0,0,D95/D$12)</f>
        <v>1.1343606674345971E-2</v>
      </c>
      <c r="G95" s="1"/>
      <c r="H95" s="1">
        <f>SUM(OSRRefH22_13x_0)</f>
        <v>200</v>
      </c>
      <c r="I95" s="1"/>
      <c r="J95" s="5">
        <f t="shared" ref="J95:J97" si="66">IF(H$12=0,0,H95/H$12)</f>
        <v>4.6687520425790188E-4</v>
      </c>
      <c r="K95" s="1"/>
      <c r="L95" s="1">
        <f t="shared" ref="L95:L97" si="67">+D95-H95</f>
        <v>-12.400000000000006</v>
      </c>
      <c r="M95" s="1"/>
      <c r="N95" s="5">
        <f t="shared" ref="N95:N97" si="68">IF(H95=0,0,L95/H95)</f>
        <v>-6.2000000000000027E-2</v>
      </c>
      <c r="O95" s="12"/>
      <c r="P95" s="1">
        <f>SUM(OSRRefP22_13x_0)</f>
        <v>2213.6</v>
      </c>
      <c r="Q95" s="1"/>
      <c r="R95" s="5">
        <f t="shared" ref="R95:R97" si="69">IF(P$12=0,0,P95/P$12)</f>
        <v>4.3542934521545061E-3</v>
      </c>
      <c r="S95" s="1"/>
      <c r="T95" s="1">
        <f>SUM(OSRRefT22_13x_0)</f>
        <v>2200</v>
      </c>
      <c r="U95" s="1"/>
      <c r="V95" s="5">
        <f t="shared" ref="V95:V97" si="70">IF(T$12=0,0,T95/T$12)</f>
        <v>1.5279608147503781E-3</v>
      </c>
      <c r="W95" s="1"/>
      <c r="X95" s="1">
        <f t="shared" ref="X95:X97" si="71">+P95-T95</f>
        <v>13.599999999999909</v>
      </c>
      <c r="Y95" s="1"/>
      <c r="Z95" s="5">
        <f t="shared" ref="Z95:Z97" si="72">IF(T95=0,0,X95/T95)</f>
        <v>6.1818181818181408E-3</v>
      </c>
    </row>
    <row r="96" spans="1:26" s="24" customFormat="1" hidden="1" outlineLevel="2" x14ac:dyDescent="0.25">
      <c r="A96" s="26"/>
      <c r="B96" s="11" t="str">
        <f>CONCATENATE("          ", "6303", " - ", "DATA PHONE LINES")</f>
        <v xml:space="preserve">          6303 - DATA PHONE LINES</v>
      </c>
      <c r="C96" s="11"/>
      <c r="D96" s="7"/>
      <c r="E96" s="2"/>
      <c r="F96" s="6">
        <f t="shared" si="65"/>
        <v>0</v>
      </c>
      <c r="G96" s="2"/>
      <c r="H96" s="7">
        <v>200</v>
      </c>
      <c r="I96" s="2"/>
      <c r="J96" s="6">
        <f t="shared" si="66"/>
        <v>4.6687520425790188E-4</v>
      </c>
      <c r="K96" s="2"/>
      <c r="L96" s="7">
        <f t="shared" si="67"/>
        <v>-200</v>
      </c>
      <c r="M96" s="2"/>
      <c r="N96" s="6">
        <f t="shared" si="68"/>
        <v>-1</v>
      </c>
      <c r="O96" s="11"/>
      <c r="P96" s="7"/>
      <c r="Q96" s="2"/>
      <c r="R96" s="6">
        <f t="shared" si="69"/>
        <v>0</v>
      </c>
      <c r="S96" s="2"/>
      <c r="T96" s="7">
        <v>2200</v>
      </c>
      <c r="U96" s="2"/>
      <c r="V96" s="6">
        <f t="shared" si="70"/>
        <v>1.5279608147503781E-3</v>
      </c>
      <c r="W96" s="2"/>
      <c r="X96" s="7">
        <f t="shared" si="71"/>
        <v>-2200</v>
      </c>
      <c r="Y96" s="2"/>
      <c r="Z96" s="6">
        <f t="shared" si="72"/>
        <v>-1</v>
      </c>
    </row>
    <row r="97" spans="1:26" s="24" customFormat="1" hidden="1" outlineLevel="2" x14ac:dyDescent="0.25">
      <c r="A97" s="26"/>
      <c r="B97" s="11" t="str">
        <f>CONCATENATE("          ", "6309", " - ", "TELEPHONE")</f>
        <v xml:space="preserve">          6309 - TELEPHONE</v>
      </c>
      <c r="C97" s="11"/>
      <c r="D97" s="7">
        <v>187.6</v>
      </c>
      <c r="E97" s="2"/>
      <c r="F97" s="6">
        <f t="shared" si="65"/>
        <v>1.1343606674345971E-2</v>
      </c>
      <c r="G97" s="2"/>
      <c r="H97" s="7"/>
      <c r="I97" s="2"/>
      <c r="J97" s="6">
        <f t="shared" si="66"/>
        <v>0</v>
      </c>
      <c r="K97" s="2"/>
      <c r="L97" s="7">
        <f t="shared" si="67"/>
        <v>187.6</v>
      </c>
      <c r="M97" s="2"/>
      <c r="N97" s="6">
        <f t="shared" si="68"/>
        <v>0</v>
      </c>
      <c r="O97" s="11"/>
      <c r="P97" s="7">
        <v>2213.6</v>
      </c>
      <c r="Q97" s="2"/>
      <c r="R97" s="6">
        <f t="shared" si="69"/>
        <v>4.3542934521545061E-3</v>
      </c>
      <c r="S97" s="2"/>
      <c r="T97" s="7"/>
      <c r="U97" s="2"/>
      <c r="V97" s="6">
        <f t="shared" si="70"/>
        <v>0</v>
      </c>
      <c r="W97" s="2"/>
      <c r="X97" s="7">
        <f t="shared" si="71"/>
        <v>2213.6</v>
      </c>
      <c r="Y97" s="2"/>
      <c r="Z97" s="6">
        <f t="shared" si="72"/>
        <v>0</v>
      </c>
    </row>
    <row r="98" spans="1:26" s="27" customFormat="1" outlineLevel="1" collapsed="1" x14ac:dyDescent="0.25">
      <c r="A98" s="25"/>
      <c r="B98" s="12" t="str">
        <f>CONCATENATE("     ","Training                                          ")</f>
        <v xml:space="preserve">     Training                                          </v>
      </c>
      <c r="C98" s="12"/>
      <c r="D98" s="1">
        <f>SUM(OSRRefD22_14x_0)</f>
        <v>0</v>
      </c>
      <c r="E98" s="1"/>
      <c r="F98" s="5">
        <f t="shared" ref="F98:F99" si="73">IF(D$12=0,0,D98/D$12)</f>
        <v>0</v>
      </c>
      <c r="G98" s="1"/>
      <c r="H98" s="1">
        <f>SUM(OSRRefH22_14x_0)</f>
        <v>0</v>
      </c>
      <c r="I98" s="1"/>
      <c r="J98" s="5">
        <f t="shared" ref="J98:J99" si="74">IF(H$12=0,0,H98/H$12)</f>
        <v>0</v>
      </c>
      <c r="K98" s="1"/>
      <c r="L98" s="1">
        <f t="shared" ref="L98:L99" si="75">+D98-H98</f>
        <v>0</v>
      </c>
      <c r="M98" s="1"/>
      <c r="N98" s="5">
        <f t="shared" ref="N98:N99" si="76">IF(H98=0,0,L98/H98)</f>
        <v>0</v>
      </c>
      <c r="O98" s="12"/>
      <c r="P98" s="1">
        <f>SUM(OSRRefP22_14x_0)</f>
        <v>97.71</v>
      </c>
      <c r="Q98" s="1"/>
      <c r="R98" s="5">
        <f t="shared" ref="R98:R99" si="77">IF(P$12=0,0,P98/P$12)</f>
        <v>1.922018491190896E-4</v>
      </c>
      <c r="S98" s="1"/>
      <c r="T98" s="1">
        <f>SUM(OSRRefT22_14x_0)</f>
        <v>0</v>
      </c>
      <c r="U98" s="1"/>
      <c r="V98" s="5">
        <f t="shared" ref="V98:V99" si="78">IF(T$12=0,0,T98/T$12)</f>
        <v>0</v>
      </c>
      <c r="W98" s="1"/>
      <c r="X98" s="1">
        <f t="shared" ref="X98:X99" si="79">+P98-T98</f>
        <v>97.71</v>
      </c>
      <c r="Y98" s="1"/>
      <c r="Z98" s="5">
        <f t="shared" ref="Z98:Z99" si="80">IF(T98=0,0,X98/T98)</f>
        <v>0</v>
      </c>
    </row>
    <row r="99" spans="1:26" s="24" customFormat="1" hidden="1" outlineLevel="2" x14ac:dyDescent="0.25">
      <c r="A99" s="26"/>
      <c r="B99" s="11" t="str">
        <f>CONCATENATE("          ", "6376", " - ", "TRAINING")</f>
        <v xml:space="preserve">          6376 - TRAINING</v>
      </c>
      <c r="C99" s="11"/>
      <c r="D99" s="7"/>
      <c r="E99" s="2"/>
      <c r="F99" s="6">
        <f t="shared" si="73"/>
        <v>0</v>
      </c>
      <c r="G99" s="2"/>
      <c r="H99" s="7"/>
      <c r="I99" s="2"/>
      <c r="J99" s="6">
        <f t="shared" si="74"/>
        <v>0</v>
      </c>
      <c r="K99" s="2"/>
      <c r="L99" s="7">
        <f t="shared" si="75"/>
        <v>0</v>
      </c>
      <c r="M99" s="2"/>
      <c r="N99" s="6">
        <f t="shared" si="76"/>
        <v>0</v>
      </c>
      <c r="O99" s="11"/>
      <c r="P99" s="7">
        <v>97.71</v>
      </c>
      <c r="Q99" s="2"/>
      <c r="R99" s="6">
        <f t="shared" si="77"/>
        <v>1.922018491190896E-4</v>
      </c>
      <c r="S99" s="2"/>
      <c r="T99" s="7"/>
      <c r="U99" s="2"/>
      <c r="V99" s="6">
        <f t="shared" si="78"/>
        <v>0</v>
      </c>
      <c r="W99" s="2"/>
      <c r="X99" s="7">
        <f t="shared" si="79"/>
        <v>97.71</v>
      </c>
      <c r="Y99" s="2"/>
      <c r="Z99" s="6">
        <f t="shared" si="80"/>
        <v>0</v>
      </c>
    </row>
    <row r="100" spans="1:26" s="62" customFormat="1" x14ac:dyDescent="0.25">
      <c r="A100" s="36"/>
      <c r="B100" s="36"/>
      <c r="C100" s="36"/>
      <c r="D100" s="1"/>
      <c r="E100" s="1"/>
      <c r="F100" s="5"/>
      <c r="G100" s="1"/>
      <c r="H100" s="1"/>
      <c r="I100" s="1"/>
      <c r="J100" s="5"/>
      <c r="K100" s="1"/>
      <c r="L100" s="1"/>
      <c r="M100" s="1"/>
      <c r="N100" s="5"/>
      <c r="O100" s="36"/>
      <c r="P100" s="1"/>
      <c r="Q100" s="1"/>
      <c r="R100" s="5"/>
      <c r="S100" s="1"/>
      <c r="T100" s="1"/>
      <c r="U100" s="1"/>
      <c r="V100" s="5"/>
      <c r="W100" s="1"/>
      <c r="X100" s="1"/>
      <c r="Y100" s="1"/>
      <c r="Z100" s="5"/>
    </row>
    <row r="101" spans="1:26" s="23" customFormat="1" collapsed="1" x14ac:dyDescent="0.25">
      <c r="A101" s="10"/>
      <c r="B101" s="28" t="s">
        <v>0</v>
      </c>
      <c r="C101" s="10"/>
      <c r="D101" s="4">
        <f>SUM(OSRRefD25x_0)</f>
        <v>67980.639999999999</v>
      </c>
      <c r="E101" s="4"/>
      <c r="F101" s="13">
        <f t="shared" ref="F101:F108" si="81">IF(D$12=0,0,D101/D$12)</f>
        <v>4.1105844436583725</v>
      </c>
      <c r="G101" s="4"/>
      <c r="H101" s="4">
        <f>SUM(OSRRefH25x_0)</f>
        <v>25750</v>
      </c>
      <c r="I101" s="4"/>
      <c r="J101" s="13">
        <f t="shared" ref="J101:J108" si="82">IF(H$12=0,0,H101/H$12)</f>
        <v>6.0110182548204862E-2</v>
      </c>
      <c r="K101" s="4"/>
      <c r="L101" s="4">
        <f t="shared" ref="L101:L108" si="83">+D101-H101</f>
        <v>42230.64</v>
      </c>
      <c r="M101" s="4"/>
      <c r="N101" s="13">
        <f t="shared" ref="N101:N108" si="84">IF(H101=0,0,L101/H101)</f>
        <v>1.640024854368932</v>
      </c>
      <c r="O101" s="10"/>
      <c r="P101" s="4">
        <f>SUM(OSRRefP25x_0)</f>
        <v>657981.55000000005</v>
      </c>
      <c r="Q101" s="4"/>
      <c r="R101" s="13">
        <f t="shared" ref="R101:R108" si="85">IF(P$12=0,0,P101/P$12)</f>
        <v>1.2942919925928229</v>
      </c>
      <c r="S101" s="4"/>
      <c r="T101" s="4">
        <f>SUM(OSRRefT25x_0)</f>
        <v>285750</v>
      </c>
      <c r="U101" s="4"/>
      <c r="V101" s="13">
        <f t="shared" ref="V101:V108" si="86">IF(T$12=0,0,T101/T$12)</f>
        <v>0.19846127400678207</v>
      </c>
      <c r="W101" s="4"/>
      <c r="X101" s="4">
        <f t="shared" ref="X101:X108" si="87">+P101-T101</f>
        <v>372231.55000000005</v>
      </c>
      <c r="Y101" s="4"/>
      <c r="Z101" s="13">
        <f t="shared" ref="Z101:Z108" si="88">IF(T101=0,0,X101/T101)</f>
        <v>1.3026475940507438</v>
      </c>
    </row>
    <row r="102" spans="1:26" s="24" customFormat="1" hidden="1" outlineLevel="1" x14ac:dyDescent="0.25">
      <c r="A102" s="44"/>
      <c r="B102" s="11" t="str">
        <f>CONCATENATE("          ", "4098", " - ", "TAXABLE SALES-GRAD RENTALS")</f>
        <v xml:space="preserve">          4098 - TAXABLE SALES-GRAD RENTALS</v>
      </c>
      <c r="C102" s="11"/>
      <c r="D102" s="2">
        <f>-152</f>
        <v>-152</v>
      </c>
      <c r="E102" s="2"/>
      <c r="F102" s="19">
        <f t="shared" si="81"/>
        <v>-9.190981953627865E-3</v>
      </c>
      <c r="G102" s="2"/>
      <c r="H102" s="2"/>
      <c r="I102" s="2"/>
      <c r="J102" s="19">
        <f t="shared" si="82"/>
        <v>0</v>
      </c>
      <c r="K102" s="2"/>
      <c r="L102" s="2">
        <f t="shared" si="83"/>
        <v>-152</v>
      </c>
      <c r="M102" s="2"/>
      <c r="N102" s="19">
        <f t="shared" si="84"/>
        <v>0</v>
      </c>
      <c r="O102" s="11"/>
      <c r="P102" s="2">
        <f>--1946.85</f>
        <v>1946.85</v>
      </c>
      <c r="Q102" s="2"/>
      <c r="R102" s="19">
        <f t="shared" si="85"/>
        <v>3.8295790600501442E-3</v>
      </c>
      <c r="S102" s="2"/>
      <c r="T102" s="2"/>
      <c r="U102" s="2"/>
      <c r="V102" s="19">
        <f t="shared" si="86"/>
        <v>0</v>
      </c>
      <c r="W102" s="2"/>
      <c r="X102" s="2">
        <f t="shared" si="87"/>
        <v>1946.85</v>
      </c>
      <c r="Y102" s="2"/>
      <c r="Z102" s="19">
        <f t="shared" si="88"/>
        <v>0</v>
      </c>
    </row>
    <row r="103" spans="1:26" s="24" customFormat="1" hidden="1" outlineLevel="1" x14ac:dyDescent="0.25">
      <c r="A103" s="44"/>
      <c r="B103" s="11" t="str">
        <f>CONCATENATE("          ", "4197", " - ", "NON-TAXABLE SALES-RETURNED CHE")</f>
        <v xml:space="preserve">          4197 - NON-TAXABLE SALES-RETURNED CHE</v>
      </c>
      <c r="C103" s="11"/>
      <c r="D103" s="2">
        <f>0</f>
        <v>0</v>
      </c>
      <c r="E103" s="2"/>
      <c r="F103" s="19">
        <f t="shared" si="81"/>
        <v>0</v>
      </c>
      <c r="G103" s="2"/>
      <c r="H103" s="2"/>
      <c r="I103" s="2"/>
      <c r="J103" s="19">
        <f t="shared" si="82"/>
        <v>0</v>
      </c>
      <c r="K103" s="2"/>
      <c r="L103" s="2">
        <f t="shared" si="83"/>
        <v>0</v>
      </c>
      <c r="M103" s="2"/>
      <c r="N103" s="19">
        <f t="shared" si="84"/>
        <v>0</v>
      </c>
      <c r="O103" s="11"/>
      <c r="P103" s="2">
        <f>--30</f>
        <v>30</v>
      </c>
      <c r="Q103" s="2"/>
      <c r="R103" s="19">
        <f t="shared" si="85"/>
        <v>5.9011927884276827E-5</v>
      </c>
      <c r="S103" s="2"/>
      <c r="T103" s="2"/>
      <c r="U103" s="2"/>
      <c r="V103" s="19">
        <f t="shared" si="86"/>
        <v>0</v>
      </c>
      <c r="W103" s="2"/>
      <c r="X103" s="2">
        <f t="shared" si="87"/>
        <v>30</v>
      </c>
      <c r="Y103" s="2"/>
      <c r="Z103" s="19">
        <f t="shared" si="88"/>
        <v>0</v>
      </c>
    </row>
    <row r="104" spans="1:26" s="24" customFormat="1" hidden="1" outlineLevel="1" x14ac:dyDescent="0.25">
      <c r="A104" s="44"/>
      <c r="B104" s="11" t="str">
        <f>CONCATENATE("          ", "4198", " - ", "NON-TAXABLE SALES-GRAD RENTALS")</f>
        <v xml:space="preserve">          4198 - NON-TAXABLE SALES-GRAD RENTALS</v>
      </c>
      <c r="C104" s="11"/>
      <c r="D104" s="2">
        <f>-3469.7</f>
        <v>-3469.7</v>
      </c>
      <c r="E104" s="2"/>
      <c r="F104" s="19">
        <f t="shared" si="81"/>
        <v>-0.20980230318751714</v>
      </c>
      <c r="G104" s="2"/>
      <c r="H104" s="2"/>
      <c r="I104" s="2"/>
      <c r="J104" s="19">
        <f t="shared" si="82"/>
        <v>0</v>
      </c>
      <c r="K104" s="2"/>
      <c r="L104" s="2">
        <f t="shared" si="83"/>
        <v>-3469.7</v>
      </c>
      <c r="M104" s="2"/>
      <c r="N104" s="19">
        <f t="shared" si="84"/>
        <v>0</v>
      </c>
      <c r="O104" s="11"/>
      <c r="P104" s="2">
        <f>--163.76</f>
        <v>163.76</v>
      </c>
      <c r="Q104" s="2"/>
      <c r="R104" s="19">
        <f t="shared" si="85"/>
        <v>3.2212644367763906E-4</v>
      </c>
      <c r="S104" s="2"/>
      <c r="T104" s="2"/>
      <c r="U104" s="2"/>
      <c r="V104" s="19">
        <f t="shared" si="86"/>
        <v>0</v>
      </c>
      <c r="W104" s="2"/>
      <c r="X104" s="2">
        <f t="shared" si="87"/>
        <v>163.76</v>
      </c>
      <c r="Y104" s="2"/>
      <c r="Z104" s="19">
        <f t="shared" si="88"/>
        <v>0</v>
      </c>
    </row>
    <row r="105" spans="1:26" s="24" customFormat="1" hidden="1" outlineLevel="1" x14ac:dyDescent="0.25">
      <c r="A105" s="44"/>
      <c r="B105" s="11" t="str">
        <f>CONCATENATE("          ", "9150", " - ", "MISC. INCOME")</f>
        <v xml:space="preserve">          9150 - MISC. INCOME</v>
      </c>
      <c r="C105" s="11"/>
      <c r="D105" s="2">
        <f>--13269</f>
        <v>13269</v>
      </c>
      <c r="E105" s="2"/>
      <c r="F105" s="19">
        <f t="shared" si="81"/>
        <v>0.80233644435979046</v>
      </c>
      <c r="G105" s="2"/>
      <c r="H105" s="2"/>
      <c r="I105" s="2"/>
      <c r="J105" s="19">
        <f t="shared" si="82"/>
        <v>0</v>
      </c>
      <c r="K105" s="2"/>
      <c r="L105" s="2">
        <f t="shared" si="83"/>
        <v>13269</v>
      </c>
      <c r="M105" s="2"/>
      <c r="N105" s="19">
        <f t="shared" si="84"/>
        <v>0</v>
      </c>
      <c r="O105" s="11"/>
      <c r="P105" s="2">
        <f>--144632.1</f>
        <v>144632.1</v>
      </c>
      <c r="Q105" s="2"/>
      <c r="R105" s="19">
        <f t="shared" si="85"/>
        <v>0.28450063516505048</v>
      </c>
      <c r="S105" s="2"/>
      <c r="T105" s="2">
        <v>12250</v>
      </c>
      <c r="U105" s="2"/>
      <c r="V105" s="19">
        <f t="shared" si="86"/>
        <v>8.5079636275873331E-3</v>
      </c>
      <c r="W105" s="2"/>
      <c r="X105" s="2">
        <f t="shared" si="87"/>
        <v>132382.1</v>
      </c>
      <c r="Y105" s="2"/>
      <c r="Z105" s="19">
        <f t="shared" si="88"/>
        <v>10.806702040816328</v>
      </c>
    </row>
    <row r="106" spans="1:26" s="24" customFormat="1" hidden="1" outlineLevel="1" x14ac:dyDescent="0.25">
      <c r="A106" s="44"/>
      <c r="B106" s="11" t="str">
        <f>CONCATENATE("          ", "9151", " - ", "MISC. INCOME")</f>
        <v xml:space="preserve">          9151 - MISC. INCOME</v>
      </c>
      <c r="C106" s="11"/>
      <c r="D106" s="2">
        <f t="shared" ref="D106:D107" si="89">0</f>
        <v>0</v>
      </c>
      <c r="E106" s="2"/>
      <c r="F106" s="19">
        <f t="shared" si="81"/>
        <v>0</v>
      </c>
      <c r="G106" s="2"/>
      <c r="H106" s="2">
        <v>12250</v>
      </c>
      <c r="I106" s="2"/>
      <c r="J106" s="19">
        <f t="shared" si="82"/>
        <v>2.8596106260796488E-2</v>
      </c>
      <c r="K106" s="2"/>
      <c r="L106" s="2">
        <f t="shared" si="83"/>
        <v>-12250</v>
      </c>
      <c r="M106" s="2"/>
      <c r="N106" s="19">
        <f t="shared" si="84"/>
        <v>-1</v>
      </c>
      <c r="O106" s="11"/>
      <c r="P106" s="2">
        <f>0</f>
        <v>0</v>
      </c>
      <c r="Q106" s="2"/>
      <c r="R106" s="19">
        <f t="shared" si="85"/>
        <v>0</v>
      </c>
      <c r="S106" s="2"/>
      <c r="T106" s="2">
        <v>122500</v>
      </c>
      <c r="U106" s="2"/>
      <c r="V106" s="19">
        <f t="shared" si="86"/>
        <v>8.5079636275873324E-2</v>
      </c>
      <c r="W106" s="2"/>
      <c r="X106" s="2">
        <f t="shared" si="87"/>
        <v>-122500</v>
      </c>
      <c r="Y106" s="2"/>
      <c r="Z106" s="19">
        <f t="shared" si="88"/>
        <v>-1</v>
      </c>
    </row>
    <row r="107" spans="1:26" s="24" customFormat="1" hidden="1" outlineLevel="1" x14ac:dyDescent="0.25">
      <c r="A107" s="44"/>
      <c r="B107" s="11" t="str">
        <f>CONCATENATE("          ", "9160", " - ", "MISC. INCOME")</f>
        <v xml:space="preserve">          9160 - MISC. INCOME</v>
      </c>
      <c r="C107" s="11"/>
      <c r="D107" s="2">
        <f t="shared" si="89"/>
        <v>0</v>
      </c>
      <c r="E107" s="2"/>
      <c r="F107" s="19">
        <f t="shared" si="81"/>
        <v>0</v>
      </c>
      <c r="G107" s="2"/>
      <c r="H107" s="2">
        <v>13500</v>
      </c>
      <c r="I107" s="2"/>
      <c r="J107" s="19">
        <f t="shared" si="82"/>
        <v>3.1514076287408377E-2</v>
      </c>
      <c r="K107" s="2"/>
      <c r="L107" s="2">
        <f t="shared" si="83"/>
        <v>-13500</v>
      </c>
      <c r="M107" s="2"/>
      <c r="N107" s="19">
        <f t="shared" si="84"/>
        <v>-1</v>
      </c>
      <c r="O107" s="11"/>
      <c r="P107" s="2">
        <f>--22475</f>
        <v>22475</v>
      </c>
      <c r="Q107" s="2"/>
      <c r="R107" s="19">
        <f t="shared" si="85"/>
        <v>4.4209769306637385E-2</v>
      </c>
      <c r="S107" s="2"/>
      <c r="T107" s="2">
        <v>151000</v>
      </c>
      <c r="U107" s="2"/>
      <c r="V107" s="19">
        <f t="shared" si="86"/>
        <v>0.10487367410332141</v>
      </c>
      <c r="W107" s="2"/>
      <c r="X107" s="2">
        <f t="shared" si="87"/>
        <v>-128525</v>
      </c>
      <c r="Y107" s="2"/>
      <c r="Z107" s="19">
        <f t="shared" si="88"/>
        <v>-0.85115894039735096</v>
      </c>
    </row>
    <row r="108" spans="1:26" s="24" customFormat="1" hidden="1" outlineLevel="1" x14ac:dyDescent="0.25">
      <c r="A108" s="44"/>
      <c r="B108" s="11" t="str">
        <f>CONCATENATE("          ", "9163", " - ", "MISC. INCOME")</f>
        <v xml:space="preserve">          9163 - MISC. INCOME</v>
      </c>
      <c r="C108" s="11"/>
      <c r="D108" s="2">
        <f>--58333.34</f>
        <v>58333.34</v>
      </c>
      <c r="E108" s="2"/>
      <c r="F108" s="19">
        <f t="shared" si="81"/>
        <v>3.527241284439727</v>
      </c>
      <c r="G108" s="2"/>
      <c r="H108" s="2"/>
      <c r="I108" s="2"/>
      <c r="J108" s="19">
        <f t="shared" si="82"/>
        <v>0</v>
      </c>
      <c r="K108" s="2"/>
      <c r="L108" s="2">
        <f t="shared" si="83"/>
        <v>58333.34</v>
      </c>
      <c r="M108" s="2"/>
      <c r="N108" s="19">
        <f t="shared" si="84"/>
        <v>0</v>
      </c>
      <c r="O108" s="11"/>
      <c r="P108" s="2">
        <f>--488733.84</f>
        <v>488733.84</v>
      </c>
      <c r="Q108" s="2"/>
      <c r="R108" s="19">
        <f t="shared" si="85"/>
        <v>0.96137087068952298</v>
      </c>
      <c r="S108" s="2"/>
      <c r="T108" s="2"/>
      <c r="U108" s="2"/>
      <c r="V108" s="19">
        <f t="shared" si="86"/>
        <v>0</v>
      </c>
      <c r="W108" s="2"/>
      <c r="X108" s="2">
        <f t="shared" si="87"/>
        <v>488733.84</v>
      </c>
      <c r="Y108" s="2"/>
      <c r="Z108" s="19">
        <f t="shared" si="88"/>
        <v>0</v>
      </c>
    </row>
    <row r="109" spans="1:26" x14ac:dyDescent="0.25">
      <c r="A109" s="9"/>
      <c r="B109" s="10"/>
      <c r="C109" s="10"/>
      <c r="D109" s="3"/>
      <c r="E109" s="3"/>
      <c r="F109" s="8"/>
      <c r="G109" s="3"/>
      <c r="H109" s="3"/>
      <c r="I109" s="3"/>
      <c r="J109" s="8"/>
      <c r="K109" s="3"/>
      <c r="L109" s="3"/>
      <c r="M109" s="3"/>
      <c r="N109" s="8"/>
      <c r="O109" s="10"/>
      <c r="P109" s="3"/>
      <c r="Q109" s="3"/>
      <c r="R109" s="8"/>
      <c r="S109" s="3"/>
      <c r="T109" s="3"/>
      <c r="U109" s="3"/>
      <c r="V109" s="8"/>
      <c r="W109" s="3"/>
      <c r="X109" s="3"/>
      <c r="Y109" s="3"/>
      <c r="Z109" s="8"/>
    </row>
    <row r="110" spans="1:26" s="23" customFormat="1" x14ac:dyDescent="0.25">
      <c r="A110" s="10"/>
      <c r="B110" s="29" t="s">
        <v>3</v>
      </c>
      <c r="C110" s="29"/>
      <c r="D110" s="20">
        <f>+D42-D44+D101</f>
        <v>56335.08</v>
      </c>
      <c r="E110" s="14"/>
      <c r="F110" s="22">
        <f>IF(D$12=0,0,D110/D$12)</f>
        <v>3.4064125239222509</v>
      </c>
      <c r="G110" s="14"/>
      <c r="H110" s="20">
        <f>+H42-H44+H101</f>
        <v>224907.56440933541</v>
      </c>
      <c r="I110" s="14"/>
      <c r="J110" s="22">
        <f>IF(H$12=0,0,H110/H$12)</f>
        <v>0.52501882536377842</v>
      </c>
      <c r="K110" s="16"/>
      <c r="L110" s="20">
        <f>+D110-H110</f>
        <v>-168572.48440933542</v>
      </c>
      <c r="M110" s="16"/>
      <c r="N110" s="22">
        <f>IF(H110=0,0,L110/H110)</f>
        <v>-0.7495189628327964</v>
      </c>
      <c r="O110" s="28"/>
      <c r="P110" s="20">
        <f>+P42-P44+P101</f>
        <v>673633.58999999985</v>
      </c>
      <c r="Q110" s="14"/>
      <c r="R110" s="22">
        <f>IF(P$12=0,0,P110/P$12)</f>
        <v>1.325080561116883</v>
      </c>
      <c r="S110" s="14"/>
      <c r="T110" s="20">
        <f>+T42-T44+T101</f>
        <v>820793.64436237141</v>
      </c>
      <c r="U110" s="14"/>
      <c r="V110" s="22">
        <f>IF(T$12=0,0,T110/T$12)</f>
        <v>0.57006387526448232</v>
      </c>
      <c r="W110" s="16"/>
      <c r="X110" s="20">
        <f>+P110-T110</f>
        <v>-147160.05436237156</v>
      </c>
      <c r="Y110" s="16"/>
      <c r="Z110" s="22">
        <f>IF(T110=0,0,X110/T110)</f>
        <v>-0.17928995353843408</v>
      </c>
    </row>
    <row r="111" spans="1:26" x14ac:dyDescent="0.25">
      <c r="A111" s="9"/>
      <c r="B111" s="10"/>
      <c r="C111" s="9"/>
      <c r="D111" s="3"/>
      <c r="E111" s="3"/>
      <c r="F111" s="8"/>
      <c r="G111" s="3"/>
      <c r="H111" s="3"/>
      <c r="I111" s="3"/>
      <c r="J111" s="8"/>
      <c r="K111" s="3"/>
      <c r="L111" s="3"/>
      <c r="M111" s="3"/>
      <c r="N111" s="8"/>
      <c r="P111" s="3"/>
      <c r="Q111" s="3"/>
      <c r="R111" s="8"/>
      <c r="S111" s="3"/>
      <c r="T111" s="3"/>
      <c r="U111" s="3"/>
      <c r="V111" s="8"/>
      <c r="W111" s="3"/>
      <c r="X111" s="3"/>
      <c r="Y111" s="3"/>
      <c r="Z111" s="8"/>
    </row>
    <row r="112" spans="1:26" s="23" customFormat="1" x14ac:dyDescent="0.25">
      <c r="A112" s="52"/>
      <c r="B112" s="10" t="s">
        <v>14</v>
      </c>
      <c r="C112" s="10"/>
      <c r="D112" s="4">
        <v>4354.9399999999996</v>
      </c>
      <c r="E112" s="4"/>
      <c r="F112" s="13">
        <f>IF(D$12=0,0,D112/D$12)</f>
        <v>0.26333009834955351</v>
      </c>
      <c r="G112" s="4"/>
      <c r="H112" s="4">
        <v>48590</v>
      </c>
      <c r="I112" s="4"/>
      <c r="J112" s="13">
        <f>IF(H$12=0,0,H112/H$12)</f>
        <v>0.11342733087445726</v>
      </c>
      <c r="K112" s="4"/>
      <c r="L112" s="4">
        <f>+D112-H112</f>
        <v>-44235.06</v>
      </c>
      <c r="M112" s="4"/>
      <c r="N112" s="13">
        <f>IF(H112=0,0,L112/H112)</f>
        <v>-0.91037373945256217</v>
      </c>
      <c r="O112" s="10"/>
      <c r="P112" s="4">
        <v>60199.16</v>
      </c>
      <c r="Q112" s="4"/>
      <c r="R112" s="13">
        <f>IF(P$12=0,0,P112/P$12)</f>
        <v>0.11841561628713473</v>
      </c>
      <c r="S112" s="4"/>
      <c r="T112" s="4">
        <v>166769</v>
      </c>
      <c r="U112" s="4"/>
      <c r="V112" s="13">
        <f>IF(T$12=0,0,T112/T$12)</f>
        <v>0.11582568050686627</v>
      </c>
      <c r="W112" s="4"/>
      <c r="X112" s="4">
        <f>+P112-T112</f>
        <v>-106569.84</v>
      </c>
      <c r="Y112" s="4"/>
      <c r="Z112" s="13">
        <f>IF(T112=0,0,X112/T112)</f>
        <v>-0.63902667761994136</v>
      </c>
    </row>
    <row r="113" spans="1:26" x14ac:dyDescent="0.25">
      <c r="A113" s="9"/>
      <c r="B113" s="10"/>
      <c r="C113" s="10"/>
      <c r="D113" s="3"/>
      <c r="E113" s="3"/>
      <c r="F113" s="8"/>
      <c r="G113" s="3"/>
      <c r="H113" s="3"/>
      <c r="I113" s="3"/>
      <c r="J113" s="8"/>
      <c r="K113" s="3"/>
      <c r="L113" s="3"/>
      <c r="M113" s="3"/>
      <c r="N113" s="8"/>
      <c r="O113" s="10"/>
      <c r="P113" s="3"/>
      <c r="Q113" s="3"/>
      <c r="R113" s="8"/>
      <c r="S113" s="3"/>
      <c r="T113" s="3"/>
      <c r="U113" s="3"/>
      <c r="V113" s="8"/>
      <c r="W113" s="3"/>
      <c r="X113" s="3"/>
      <c r="Y113" s="3"/>
      <c r="Z113" s="8"/>
    </row>
    <row r="114" spans="1:26" s="23" customFormat="1" ht="15.75" thickBot="1" x14ac:dyDescent="0.3">
      <c r="A114" s="10"/>
      <c r="B114" s="29" t="s">
        <v>4</v>
      </c>
      <c r="C114" s="29"/>
      <c r="D114" s="35">
        <f>+D110-D112</f>
        <v>51980.14</v>
      </c>
      <c r="E114" s="14"/>
      <c r="F114" s="32">
        <f>IF(D$12=0,0,D114/D$12)</f>
        <v>3.1430824255726972</v>
      </c>
      <c r="G114" s="14"/>
      <c r="H114" s="35">
        <f>+H110-H112</f>
        <v>176317.56440933541</v>
      </c>
      <c r="I114" s="14"/>
      <c r="J114" s="32">
        <f>IF(H$12=0,0,H114/H$12)</f>
        <v>0.4115914944893212</v>
      </c>
      <c r="K114" s="16"/>
      <c r="L114" s="35">
        <f>D114-H114</f>
        <v>-124337.42440933541</v>
      </c>
      <c r="M114" s="16"/>
      <c r="N114" s="32">
        <f>IF(H114=0,0,L114/H114)</f>
        <v>-0.70519023346236842</v>
      </c>
      <c r="O114" s="28"/>
      <c r="P114" s="35">
        <f>+P110-P112</f>
        <v>613434.42999999982</v>
      </c>
      <c r="Q114" s="14"/>
      <c r="R114" s="32">
        <f>IF(P$12=0,0,P114/P$12)</f>
        <v>1.2066649448297484</v>
      </c>
      <c r="S114" s="14"/>
      <c r="T114" s="35">
        <f>+T110-T112</f>
        <v>654024.64436237141</v>
      </c>
      <c r="U114" s="14"/>
      <c r="V114" s="32">
        <f>IF(T$12=0,0,T114/T$12)</f>
        <v>0.45423819475761607</v>
      </c>
      <c r="W114" s="16"/>
      <c r="X114" s="35">
        <f>P114-T114</f>
        <v>-40590.214362371597</v>
      </c>
      <c r="Y114" s="16"/>
      <c r="Z114" s="32">
        <f>IF(T114=0,0,X114/T114)</f>
        <v>-6.2062209294795362E-2</v>
      </c>
    </row>
    <row r="115" spans="1:26" ht="15.75" thickTop="1" x14ac:dyDescent="0.25">
      <c r="A115" s="9"/>
      <c r="B115" s="9"/>
      <c r="C115" s="9"/>
      <c r="D115" s="3"/>
      <c r="E115" s="3"/>
      <c r="F115" s="8"/>
      <c r="G115" s="3"/>
      <c r="H115" s="3"/>
      <c r="I115" s="3"/>
      <c r="J115" s="8"/>
      <c r="K115" s="3"/>
      <c r="L115" s="3"/>
      <c r="M115" s="3"/>
      <c r="N115" s="8"/>
      <c r="P115" s="3"/>
      <c r="Q115" s="3"/>
      <c r="R115" s="8"/>
      <c r="S115" s="3"/>
      <c r="T115" s="3"/>
      <c r="U115" s="3"/>
      <c r="V115" s="8"/>
      <c r="W115" s="3"/>
      <c r="X115" s="3"/>
      <c r="Y115" s="3"/>
      <c r="Z115" s="8"/>
    </row>
    <row r="116" spans="1:26" x14ac:dyDescent="0.25">
      <c r="A116" s="9"/>
      <c r="B116" s="9"/>
      <c r="C116" s="9"/>
      <c r="D116" s="3"/>
      <c r="E116" s="3"/>
      <c r="F116" s="8"/>
      <c r="G116" s="3"/>
      <c r="H116" s="3"/>
      <c r="I116" s="3"/>
      <c r="J116" s="8"/>
      <c r="K116" s="3"/>
      <c r="L116" s="3"/>
      <c r="M116" s="3"/>
      <c r="N116" s="8"/>
      <c r="P116" s="3"/>
      <c r="Q116" s="3"/>
      <c r="R116" s="8"/>
      <c r="S116" s="3"/>
      <c r="T116" s="3"/>
      <c r="U116" s="3"/>
      <c r="V116" s="8"/>
      <c r="W116" s="3"/>
      <c r="X116" s="3"/>
      <c r="Y116" s="3"/>
      <c r="Z116" s="8"/>
    </row>
    <row r="117" spans="1:26" s="23" customFormat="1" ht="15.75" thickBot="1" x14ac:dyDescent="0.3">
      <c r="A117" s="10"/>
      <c r="B117" s="29" t="s">
        <v>5</v>
      </c>
      <c r="C117" s="29"/>
      <c r="D117" s="34">
        <f>SUM(D114:D116)</f>
        <v>51980.14</v>
      </c>
      <c r="E117" s="14"/>
      <c r="F117" s="31">
        <f>IF(D$12=0,0,D117/D$12)</f>
        <v>3.1430824255726972</v>
      </c>
      <c r="G117" s="14"/>
      <c r="H117" s="34">
        <f>SUM(H114:H116)</f>
        <v>176317.56440933541</v>
      </c>
      <c r="I117" s="14"/>
      <c r="J117" s="31">
        <f>IF(H$12=0,0,H117/H$12)</f>
        <v>0.4115914944893212</v>
      </c>
      <c r="K117" s="16"/>
      <c r="L117" s="34">
        <f>+D117-H117</f>
        <v>-124337.42440933541</v>
      </c>
      <c r="M117" s="16"/>
      <c r="N117" s="31">
        <f>IF(H117=0,0,L117/H117)</f>
        <v>-0.70519023346236842</v>
      </c>
      <c r="O117" s="28"/>
      <c r="P117" s="34">
        <f>SUM(P114:P116)</f>
        <v>613434.42999999982</v>
      </c>
      <c r="Q117" s="14"/>
      <c r="R117" s="31">
        <f>IF(P$12=0,0,P117/P$12)</f>
        <v>1.2066649448297484</v>
      </c>
      <c r="S117" s="14"/>
      <c r="T117" s="34">
        <f>SUM(T114:T116)</f>
        <v>654024.64436237141</v>
      </c>
      <c r="U117" s="14"/>
      <c r="V117" s="31">
        <f>IF(T$12=0,0,T117/T$12)</f>
        <v>0.45423819475761607</v>
      </c>
      <c r="W117" s="16"/>
      <c r="X117" s="34">
        <f>+P117-T117</f>
        <v>-40590.214362371597</v>
      </c>
      <c r="Y117" s="16"/>
      <c r="Z117" s="31">
        <f>IF(T117=0,0,X117/T117)</f>
        <v>-6.2062209294795362E-2</v>
      </c>
    </row>
    <row r="118" spans="1:26" ht="15.75" thickTop="1" x14ac:dyDescent="0.25">
      <c r="A118" s="9"/>
      <c r="C118" s="9"/>
      <c r="D118" s="18"/>
      <c r="E118" s="18"/>
      <c r="G118" s="18"/>
      <c r="H118" s="18"/>
      <c r="I118" s="18"/>
      <c r="J118" s="42"/>
      <c r="K118" s="18"/>
      <c r="L118" s="18"/>
      <c r="M118" s="18"/>
      <c r="P118" s="18"/>
      <c r="Q118" s="18"/>
      <c r="R118" s="42"/>
      <c r="S118" s="18"/>
      <c r="T118" s="18"/>
      <c r="U118" s="18"/>
      <c r="V118" s="42"/>
      <c r="W118" s="18"/>
      <c r="X118" s="18"/>
    </row>
    <row r="119" spans="1:26" x14ac:dyDescent="0.25">
      <c r="A119" s="9"/>
      <c r="B119" s="59">
        <v>43992.371141122683</v>
      </c>
      <c r="D119" s="18"/>
      <c r="E119" s="18"/>
      <c r="G119" s="18"/>
      <c r="H119" s="18"/>
      <c r="I119" s="18"/>
      <c r="J119" s="42"/>
      <c r="K119" s="18"/>
      <c r="L119" s="18"/>
      <c r="M119" s="18"/>
      <c r="P119" s="18"/>
      <c r="Q119" s="18"/>
      <c r="R119" s="42"/>
      <c r="S119" s="18"/>
      <c r="T119" s="18"/>
      <c r="U119" s="18"/>
      <c r="V119" s="42"/>
      <c r="W119" s="18"/>
      <c r="X119" s="18"/>
    </row>
    <row r="120" spans="1:26" x14ac:dyDescent="0.25">
      <c r="A120" s="9"/>
      <c r="B120" s="56" t="s">
        <v>314</v>
      </c>
      <c r="D120" s="18"/>
      <c r="E120" s="18"/>
      <c r="G120" s="18"/>
      <c r="H120" s="18"/>
      <c r="I120" s="18"/>
      <c r="J120" s="42"/>
      <c r="K120" s="18"/>
      <c r="L120" s="18"/>
      <c r="M120" s="18"/>
      <c r="P120" s="18"/>
      <c r="Q120" s="18"/>
      <c r="R120" s="42"/>
      <c r="S120" s="18"/>
      <c r="T120" s="18"/>
      <c r="U120" s="18"/>
      <c r="V120" s="42"/>
      <c r="W120" s="18"/>
      <c r="X120" s="18"/>
    </row>
    <row r="121" spans="1:26" x14ac:dyDescent="0.25">
      <c r="A121" s="9"/>
      <c r="B121" s="54"/>
      <c r="D121" s="18"/>
      <c r="E121" s="18"/>
      <c r="G121" s="18"/>
      <c r="H121" s="18"/>
      <c r="I121" s="18"/>
      <c r="J121" s="42"/>
      <c r="K121" s="18"/>
      <c r="L121" s="18"/>
      <c r="M121" s="18"/>
      <c r="P121" s="18"/>
      <c r="Q121" s="18"/>
      <c r="R121" s="42"/>
      <c r="S121" s="18"/>
      <c r="T121" s="18"/>
      <c r="U121" s="18"/>
      <c r="V121" s="42"/>
      <c r="W121" s="18"/>
      <c r="X121" s="18"/>
    </row>
    <row r="122" spans="1:26" x14ac:dyDescent="0.25">
      <c r="D122" s="18"/>
      <c r="E122" s="18"/>
      <c r="G122" s="18"/>
      <c r="H122" s="18"/>
      <c r="I122" s="18"/>
      <c r="J122" s="42"/>
      <c r="K122" s="18"/>
      <c r="L122" s="18"/>
      <c r="M122" s="18"/>
      <c r="P122" s="18"/>
      <c r="Q122" s="18"/>
      <c r="R122" s="42"/>
      <c r="S122" s="18"/>
      <c r="T122" s="18"/>
      <c r="U122" s="18"/>
      <c r="V122" s="42"/>
      <c r="W122" s="18"/>
      <c r="X122" s="18"/>
    </row>
  </sheetData>
  <pageMargins left="0.25" right="0.25" top="0.75" bottom="0.75" header="0.3" footer="0.3"/>
  <pageSetup scale="55" fitToWidth="2" orientation="landscape"/>
  <drawing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104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63" t="s">
        <v>13</v>
      </c>
    </row>
    <row r="3" spans="1:26" x14ac:dyDescent="0.25">
      <c r="D3" s="63" t="s">
        <v>296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61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63" t="str">
        <f>CONCATENATE("Period ",RIGHT(202011,2),", ",2020)</f>
        <v>Period 11, 2020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61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4">
        <v>43981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61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51"/>
      <c r="C6" s="51"/>
      <c r="D6" s="23" t="str">
        <f>CONCATENATE("Department ","316", " - ", "Campus Copy Center")</f>
        <v>Department 316 - Campus Copy Center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57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5" t="s">
        <v>294</v>
      </c>
      <c r="E9" s="15"/>
      <c r="F9" s="38"/>
      <c r="G9" s="15"/>
      <c r="H9" s="15"/>
      <c r="I9" s="15"/>
      <c r="J9" s="46"/>
      <c r="K9" s="15"/>
      <c r="L9" s="15"/>
      <c r="M9" s="15"/>
      <c r="N9" s="38"/>
      <c r="P9" s="15" t="s">
        <v>295</v>
      </c>
      <c r="Q9" s="15"/>
      <c r="R9" s="38"/>
      <c r="S9" s="15"/>
      <c r="T9" s="15"/>
      <c r="U9" s="15"/>
      <c r="V9" s="46"/>
      <c r="W9" s="15"/>
      <c r="X9" s="15"/>
      <c r="Y9" s="15"/>
      <c r="Z9" s="38"/>
    </row>
    <row r="10" spans="1:26" x14ac:dyDescent="0.25">
      <c r="A10" s="10"/>
      <c r="B10" s="55"/>
      <c r="C10" s="10"/>
      <c r="D10" s="43" t="s">
        <v>10</v>
      </c>
      <c r="E10" s="33"/>
      <c r="F10" s="40" t="s">
        <v>15</v>
      </c>
      <c r="G10" s="33"/>
      <c r="H10" s="47" t="s">
        <v>11</v>
      </c>
      <c r="I10" s="33"/>
      <c r="J10" s="45" t="s">
        <v>16</v>
      </c>
      <c r="K10" s="10"/>
      <c r="L10" s="43" t="s">
        <v>12</v>
      </c>
      <c r="M10" s="10"/>
      <c r="N10" s="40" t="s">
        <v>17</v>
      </c>
      <c r="O10" s="10"/>
      <c r="P10" s="53" t="s">
        <v>10</v>
      </c>
      <c r="Q10" s="33"/>
      <c r="R10" s="40" t="s">
        <v>15</v>
      </c>
      <c r="S10" s="33"/>
      <c r="T10" s="47" t="s">
        <v>11</v>
      </c>
      <c r="U10" s="33"/>
      <c r="V10" s="45" t="s">
        <v>16</v>
      </c>
      <c r="W10" s="10"/>
      <c r="X10" s="43" t="s">
        <v>12</v>
      </c>
      <c r="Y10" s="10"/>
      <c r="Z10" s="40" t="s">
        <v>17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2956.15</v>
      </c>
      <c r="E12" s="4"/>
      <c r="F12" s="13"/>
      <c r="G12" s="4"/>
      <c r="H12" s="4">
        <f>SUM(OSRRefH13x_0)</f>
        <v>47880</v>
      </c>
      <c r="I12" s="4"/>
      <c r="J12" s="13"/>
      <c r="K12" s="4"/>
      <c r="L12" s="4">
        <f t="shared" ref="L12:L28" si="0">+D12-H12</f>
        <v>-44923.85</v>
      </c>
      <c r="M12" s="4"/>
      <c r="N12" s="13">
        <f t="shared" ref="N12:N28" si="1">IF(H12=0,0,L12/H12)</f>
        <v>-0.9382591896407686</v>
      </c>
      <c r="O12" s="10"/>
      <c r="P12" s="4">
        <f>SUM(OSRRefP13x_0)</f>
        <v>473158.02</v>
      </c>
      <c r="Q12" s="4"/>
      <c r="R12" s="13"/>
      <c r="S12" s="4"/>
      <c r="T12" s="4">
        <f>SUM(OSRRefT13x_0)</f>
        <v>666852.5</v>
      </c>
      <c r="U12" s="4"/>
      <c r="V12" s="13"/>
      <c r="W12" s="4"/>
      <c r="X12" s="4">
        <f t="shared" ref="X12:X28" si="2">+P12-T12</f>
        <v>-193694.47999999998</v>
      </c>
      <c r="Y12" s="4"/>
      <c r="Z12" s="13">
        <f t="shared" ref="Z12:Z28" si="3">IF(T12=0,0,X12/T12)</f>
        <v>-0.29046075406480443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>0</f>
        <v>0</v>
      </c>
      <c r="E13" s="2"/>
      <c r="F13" s="19"/>
      <c r="G13" s="2"/>
      <c r="H13" s="2">
        <v>45600</v>
      </c>
      <c r="I13" s="2"/>
      <c r="J13" s="19"/>
      <c r="K13" s="2"/>
      <c r="L13" s="2">
        <f t="shared" si="0"/>
        <v>-45600</v>
      </c>
      <c r="M13" s="2"/>
      <c r="N13" s="19">
        <f t="shared" si="1"/>
        <v>-1</v>
      </c>
      <c r="O13" s="11"/>
      <c r="P13" s="2">
        <f>0</f>
        <v>0</v>
      </c>
      <c r="Q13" s="2"/>
      <c r="R13" s="19"/>
      <c r="S13" s="2"/>
      <c r="T13" s="2">
        <v>582207.5</v>
      </c>
      <c r="U13" s="2"/>
      <c r="V13" s="19"/>
      <c r="W13" s="2"/>
      <c r="X13" s="2">
        <f t="shared" si="2"/>
        <v>-582207.5</v>
      </c>
      <c r="Y13" s="2"/>
      <c r="Z13" s="19">
        <f t="shared" si="3"/>
        <v>-1</v>
      </c>
    </row>
    <row r="14" spans="1:26" s="24" customFormat="1" hidden="1" outlineLevel="1" x14ac:dyDescent="0.25">
      <c r="A14" s="44"/>
      <c r="B14" s="11" t="str">
        <f>CONCATENATE("          ", "4041", " - ", "TAXABLE SALES-LOGO GIFTS")</f>
        <v xml:space="preserve">          4041 - TAXABLE SALES-LOGO GIFTS</v>
      </c>
      <c r="C14" s="11"/>
      <c r="D14" s="2">
        <f>--813.1</f>
        <v>813.1</v>
      </c>
      <c r="E14" s="2"/>
      <c r="F14" s="19"/>
      <c r="G14" s="2"/>
      <c r="H14" s="2"/>
      <c r="I14" s="2"/>
      <c r="J14" s="19"/>
      <c r="K14" s="2"/>
      <c r="L14" s="2">
        <f t="shared" si="0"/>
        <v>813.1</v>
      </c>
      <c r="M14" s="2"/>
      <c r="N14" s="19">
        <f t="shared" si="1"/>
        <v>0</v>
      </c>
      <c r="O14" s="11"/>
      <c r="P14" s="2">
        <f>--175020.35</f>
        <v>175020.35</v>
      </c>
      <c r="Q14" s="2"/>
      <c r="R14" s="19"/>
      <c r="S14" s="2"/>
      <c r="T14" s="2"/>
      <c r="U14" s="2"/>
      <c r="V14" s="19"/>
      <c r="W14" s="2"/>
      <c r="X14" s="2">
        <f t="shared" si="2"/>
        <v>175020.35</v>
      </c>
      <c r="Y14" s="2"/>
      <c r="Z14" s="19">
        <f t="shared" si="3"/>
        <v>0</v>
      </c>
    </row>
    <row r="15" spans="1:26" s="24" customFormat="1" hidden="1" outlineLevel="1" x14ac:dyDescent="0.25">
      <c r="A15" s="44"/>
      <c r="B15" s="11" t="str">
        <f>CONCATENATE("          ", "4042", " - ", "TAXABLE SALES-EVERYDAY GIFTS")</f>
        <v xml:space="preserve">          4042 - TAXABLE SALES-EVERYDAY GIFTS</v>
      </c>
      <c r="C15" s="11"/>
      <c r="D15" s="2">
        <f>--2076.05</f>
        <v>2076.0500000000002</v>
      </c>
      <c r="E15" s="2"/>
      <c r="F15" s="19"/>
      <c r="G15" s="2"/>
      <c r="H15" s="2"/>
      <c r="I15" s="2"/>
      <c r="J15" s="19"/>
      <c r="K15" s="2"/>
      <c r="L15" s="2">
        <f t="shared" si="0"/>
        <v>2076.0500000000002</v>
      </c>
      <c r="M15" s="2"/>
      <c r="N15" s="19">
        <f t="shared" si="1"/>
        <v>0</v>
      </c>
      <c r="O15" s="11"/>
      <c r="P15" s="2">
        <f>--76522.66</f>
        <v>76522.66</v>
      </c>
      <c r="Q15" s="2"/>
      <c r="R15" s="19"/>
      <c r="S15" s="2"/>
      <c r="T15" s="2"/>
      <c r="U15" s="2"/>
      <c r="V15" s="19"/>
      <c r="W15" s="2"/>
      <c r="X15" s="2">
        <f t="shared" si="2"/>
        <v>76522.66</v>
      </c>
      <c r="Y15" s="2"/>
      <c r="Z15" s="19">
        <f t="shared" si="3"/>
        <v>0</v>
      </c>
    </row>
    <row r="16" spans="1:26" s="24" customFormat="1" hidden="1" outlineLevel="1" x14ac:dyDescent="0.25">
      <c r="A16" s="44"/>
      <c r="B16" s="11" t="str">
        <f>CONCATENATE("          ", "4043", " - ", "TAXABLE SALES-CARDS")</f>
        <v xml:space="preserve">          4043 - TAXABLE SALES-CARDS</v>
      </c>
      <c r="C16" s="11"/>
      <c r="D16" s="2">
        <f t="shared" ref="D16:D19" si="4">0</f>
        <v>0</v>
      </c>
      <c r="E16" s="2"/>
      <c r="F16" s="19"/>
      <c r="G16" s="2"/>
      <c r="H16" s="2"/>
      <c r="I16" s="2"/>
      <c r="J16" s="19"/>
      <c r="K16" s="2"/>
      <c r="L16" s="2">
        <f t="shared" si="0"/>
        <v>0</v>
      </c>
      <c r="M16" s="2"/>
      <c r="N16" s="19">
        <f t="shared" si="1"/>
        <v>0</v>
      </c>
      <c r="O16" s="11"/>
      <c r="P16" s="2">
        <f>--921.72</f>
        <v>921.72</v>
      </c>
      <c r="Q16" s="2"/>
      <c r="R16" s="19"/>
      <c r="S16" s="2"/>
      <c r="T16" s="2"/>
      <c r="U16" s="2"/>
      <c r="V16" s="19"/>
      <c r="W16" s="2"/>
      <c r="X16" s="2">
        <f t="shared" si="2"/>
        <v>921.72</v>
      </c>
      <c r="Y16" s="2"/>
      <c r="Z16" s="19">
        <f t="shared" si="3"/>
        <v>0</v>
      </c>
    </row>
    <row r="17" spans="1:26" s="24" customFormat="1" hidden="1" outlineLevel="1" x14ac:dyDescent="0.25">
      <c r="A17" s="44"/>
      <c r="B17" s="11" t="str">
        <f>CONCATENATE("          ", "4044", " - ", "TAXABLE SALES-ACCESSORIES")</f>
        <v xml:space="preserve">          4044 - TAXABLE SALES-ACCESSORIES</v>
      </c>
      <c r="C17" s="11"/>
      <c r="D17" s="2">
        <f t="shared" si="4"/>
        <v>0</v>
      </c>
      <c r="E17" s="2"/>
      <c r="F17" s="19"/>
      <c r="G17" s="2"/>
      <c r="H17" s="2"/>
      <c r="I17" s="2"/>
      <c r="J17" s="19"/>
      <c r="K17" s="2"/>
      <c r="L17" s="2">
        <f t="shared" si="0"/>
        <v>0</v>
      </c>
      <c r="M17" s="2"/>
      <c r="N17" s="19">
        <f t="shared" si="1"/>
        <v>0</v>
      </c>
      <c r="O17" s="11"/>
      <c r="P17" s="2">
        <f>--235.18</f>
        <v>235.18</v>
      </c>
      <c r="Q17" s="2"/>
      <c r="R17" s="19"/>
      <c r="S17" s="2"/>
      <c r="T17" s="2"/>
      <c r="U17" s="2"/>
      <c r="V17" s="19"/>
      <c r="W17" s="2"/>
      <c r="X17" s="2">
        <f t="shared" si="2"/>
        <v>235.18</v>
      </c>
      <c r="Y17" s="2"/>
      <c r="Z17" s="19">
        <f t="shared" si="3"/>
        <v>0</v>
      </c>
    </row>
    <row r="18" spans="1:26" s="24" customFormat="1" hidden="1" outlineLevel="1" x14ac:dyDescent="0.25">
      <c r="A18" s="44"/>
      <c r="B18" s="11" t="str">
        <f>CONCATENATE("          ", "4047", " - ", "TAXABLE SALES-MISC")</f>
        <v xml:space="preserve">          4047 - TAXABLE SALES-MISC</v>
      </c>
      <c r="C18" s="11"/>
      <c r="D18" s="2">
        <f t="shared" si="4"/>
        <v>0</v>
      </c>
      <c r="E18" s="2"/>
      <c r="F18" s="19"/>
      <c r="G18" s="2"/>
      <c r="H18" s="2"/>
      <c r="I18" s="2"/>
      <c r="J18" s="19"/>
      <c r="K18" s="2"/>
      <c r="L18" s="2">
        <f t="shared" si="0"/>
        <v>0</v>
      </c>
      <c r="M18" s="2"/>
      <c r="N18" s="19">
        <f t="shared" si="1"/>
        <v>0</v>
      </c>
      <c r="O18" s="11"/>
      <c r="P18" s="2">
        <f>--2676.14</f>
        <v>2676.14</v>
      </c>
      <c r="Q18" s="2"/>
      <c r="R18" s="19"/>
      <c r="S18" s="2"/>
      <c r="T18" s="2"/>
      <c r="U18" s="2"/>
      <c r="V18" s="19"/>
      <c r="W18" s="2"/>
      <c r="X18" s="2">
        <f t="shared" si="2"/>
        <v>2676.14</v>
      </c>
      <c r="Y18" s="2"/>
      <c r="Z18" s="19">
        <f t="shared" si="3"/>
        <v>0</v>
      </c>
    </row>
    <row r="19" spans="1:26" s="24" customFormat="1" hidden="1" outlineLevel="1" x14ac:dyDescent="0.25">
      <c r="A19" s="44"/>
      <c r="B19" s="11" t="str">
        <f>CONCATENATE("          ", "4100", " - ", "NON-TAXABLE SALES")</f>
        <v xml:space="preserve">          4100 - NON-TAXABLE SALES</v>
      </c>
      <c r="C19" s="11"/>
      <c r="D19" s="2">
        <f t="shared" si="4"/>
        <v>0</v>
      </c>
      <c r="E19" s="2"/>
      <c r="F19" s="19"/>
      <c r="G19" s="2"/>
      <c r="H19" s="2">
        <v>2280</v>
      </c>
      <c r="I19" s="2"/>
      <c r="J19" s="19"/>
      <c r="K19" s="2"/>
      <c r="L19" s="2">
        <f t="shared" si="0"/>
        <v>-2280</v>
      </c>
      <c r="M19" s="2"/>
      <c r="N19" s="19">
        <f t="shared" si="1"/>
        <v>-1</v>
      </c>
      <c r="O19" s="11"/>
      <c r="P19" s="2">
        <f>0</f>
        <v>0</v>
      </c>
      <c r="Q19" s="2"/>
      <c r="R19" s="19"/>
      <c r="S19" s="2"/>
      <c r="T19" s="2">
        <v>84645</v>
      </c>
      <c r="U19" s="2"/>
      <c r="V19" s="19"/>
      <c r="W19" s="2"/>
      <c r="X19" s="2">
        <f t="shared" si="2"/>
        <v>-84645</v>
      </c>
      <c r="Y19" s="2"/>
      <c r="Z19" s="19">
        <f t="shared" si="3"/>
        <v>-1</v>
      </c>
    </row>
    <row r="20" spans="1:26" s="24" customFormat="1" hidden="1" outlineLevel="1" x14ac:dyDescent="0.25">
      <c r="A20" s="44"/>
      <c r="B20" s="11" t="str">
        <f>CONCATENATE("          ", "4141", " - ", "NON-TAXABLE SALES-LOGO GIFTS")</f>
        <v xml:space="preserve">          4141 - NON-TAXABLE SALES-LOGO GIFTS</v>
      </c>
      <c r="C20" s="11"/>
      <c r="D20" s="2">
        <f>--57</f>
        <v>57</v>
      </c>
      <c r="E20" s="2"/>
      <c r="F20" s="19"/>
      <c r="G20" s="2"/>
      <c r="H20" s="2"/>
      <c r="I20" s="2"/>
      <c r="J20" s="19"/>
      <c r="K20" s="2"/>
      <c r="L20" s="2">
        <f t="shared" si="0"/>
        <v>57</v>
      </c>
      <c r="M20" s="2"/>
      <c r="N20" s="19">
        <f t="shared" si="1"/>
        <v>0</v>
      </c>
      <c r="O20" s="11"/>
      <c r="P20" s="2">
        <f>--921.6</f>
        <v>921.6</v>
      </c>
      <c r="Q20" s="2"/>
      <c r="R20" s="19"/>
      <c r="S20" s="2"/>
      <c r="T20" s="2"/>
      <c r="U20" s="2"/>
      <c r="V20" s="19"/>
      <c r="W20" s="2"/>
      <c r="X20" s="2">
        <f t="shared" si="2"/>
        <v>921.6</v>
      </c>
      <c r="Y20" s="2"/>
      <c r="Z20" s="19">
        <f t="shared" si="3"/>
        <v>0</v>
      </c>
    </row>
    <row r="21" spans="1:26" s="24" customFormat="1" hidden="1" outlineLevel="1" x14ac:dyDescent="0.25">
      <c r="A21" s="44"/>
      <c r="B21" s="11" t="str">
        <f>CONCATENATE("          ", "4142", " - ", "NON-TAXABLE SALES-EVERYDAY GIF")</f>
        <v xml:space="preserve">          4142 - NON-TAXABLE SALES-EVERYDAY GIF</v>
      </c>
      <c r="C21" s="11"/>
      <c r="D21" s="2">
        <f t="shared" ref="D21:D22" si="5">0</f>
        <v>0</v>
      </c>
      <c r="E21" s="2"/>
      <c r="F21" s="19"/>
      <c r="G21" s="2"/>
      <c r="H21" s="2"/>
      <c r="I21" s="2"/>
      <c r="J21" s="19"/>
      <c r="K21" s="2"/>
      <c r="L21" s="2">
        <f t="shared" si="0"/>
        <v>0</v>
      </c>
      <c r="M21" s="2"/>
      <c r="N21" s="19">
        <f t="shared" si="1"/>
        <v>0</v>
      </c>
      <c r="O21" s="11"/>
      <c r="P21" s="2">
        <f>--8924.02</f>
        <v>8924.02</v>
      </c>
      <c r="Q21" s="2"/>
      <c r="R21" s="19"/>
      <c r="S21" s="2"/>
      <c r="T21" s="2"/>
      <c r="U21" s="2"/>
      <c r="V21" s="19"/>
      <c r="W21" s="2"/>
      <c r="X21" s="2">
        <f t="shared" si="2"/>
        <v>8924.02</v>
      </c>
      <c r="Y21" s="2"/>
      <c r="Z21" s="19">
        <f t="shared" si="3"/>
        <v>0</v>
      </c>
    </row>
    <row r="22" spans="1:26" s="24" customFormat="1" hidden="1" outlineLevel="1" x14ac:dyDescent="0.25">
      <c r="A22" s="44"/>
      <c r="B22" s="11" t="str">
        <f>CONCATENATE("          ", "4146", " - ", "NON-TAXABLE SALES-COIN OP MACH")</f>
        <v xml:space="preserve">          4146 - NON-TAXABLE SALES-COIN OP MACH</v>
      </c>
      <c r="C22" s="11"/>
      <c r="D22" s="2">
        <f t="shared" si="5"/>
        <v>0</v>
      </c>
      <c r="E22" s="2"/>
      <c r="F22" s="19"/>
      <c r="G22" s="2"/>
      <c r="H22" s="2"/>
      <c r="I22" s="2"/>
      <c r="J22" s="19"/>
      <c r="K22" s="2"/>
      <c r="L22" s="2">
        <f t="shared" si="0"/>
        <v>0</v>
      </c>
      <c r="M22" s="2"/>
      <c r="N22" s="19">
        <f t="shared" si="1"/>
        <v>0</v>
      </c>
      <c r="O22" s="11"/>
      <c r="P22" s="2">
        <f>--205908.65</f>
        <v>205908.65</v>
      </c>
      <c r="Q22" s="2"/>
      <c r="R22" s="19"/>
      <c r="S22" s="2"/>
      <c r="T22" s="2"/>
      <c r="U22" s="2"/>
      <c r="V22" s="19"/>
      <c r="W22" s="2"/>
      <c r="X22" s="2">
        <f t="shared" si="2"/>
        <v>205908.65</v>
      </c>
      <c r="Y22" s="2"/>
      <c r="Z22" s="19">
        <f t="shared" si="3"/>
        <v>0</v>
      </c>
    </row>
    <row r="23" spans="1:26" s="24" customFormat="1" hidden="1" outlineLevel="1" x14ac:dyDescent="0.25">
      <c r="A23" s="44"/>
      <c r="B23" s="11" t="str">
        <f>CONCATENATE("          ", "4147", " - ", "NON-TAXABLE SALES-MISC")</f>
        <v xml:space="preserve">          4147 - NON-TAXABLE SALES-MISC</v>
      </c>
      <c r="C23" s="11"/>
      <c r="D23" s="2">
        <f>--10</f>
        <v>10</v>
      </c>
      <c r="E23" s="2"/>
      <c r="F23" s="19"/>
      <c r="G23" s="2"/>
      <c r="H23" s="2"/>
      <c r="I23" s="2"/>
      <c r="J23" s="19"/>
      <c r="K23" s="2"/>
      <c r="L23" s="2">
        <f t="shared" si="0"/>
        <v>10</v>
      </c>
      <c r="M23" s="2"/>
      <c r="N23" s="19">
        <f t="shared" si="1"/>
        <v>0</v>
      </c>
      <c r="O23" s="11"/>
      <c r="P23" s="2">
        <f>--3446.37</f>
        <v>3446.37</v>
      </c>
      <c r="Q23" s="2"/>
      <c r="R23" s="19"/>
      <c r="S23" s="2"/>
      <c r="T23" s="2"/>
      <c r="U23" s="2"/>
      <c r="V23" s="19"/>
      <c r="W23" s="2"/>
      <c r="X23" s="2">
        <f t="shared" si="2"/>
        <v>3446.37</v>
      </c>
      <c r="Y23" s="2"/>
      <c r="Z23" s="19">
        <f t="shared" si="3"/>
        <v>0</v>
      </c>
    </row>
    <row r="24" spans="1:26" s="24" customFormat="1" hidden="1" outlineLevel="1" x14ac:dyDescent="0.25">
      <c r="A24" s="44"/>
      <c r="B24" s="11" t="str">
        <f>CONCATENATE("          ", "4241", " - ", "SALES RETURN TAXABLE-LOGO GIFT")</f>
        <v xml:space="preserve">          4241 - SALES RETURN TAXABLE-LOGO GIFT</v>
      </c>
      <c r="C24" s="11"/>
      <c r="D24" s="2">
        <f t="shared" ref="D24:D28" si="6">0</f>
        <v>0</v>
      </c>
      <c r="E24" s="2"/>
      <c r="F24" s="19"/>
      <c r="G24" s="2"/>
      <c r="H24" s="2"/>
      <c r="I24" s="2"/>
      <c r="J24" s="19"/>
      <c r="K24" s="2"/>
      <c r="L24" s="2">
        <f t="shared" si="0"/>
        <v>0</v>
      </c>
      <c r="M24" s="2"/>
      <c r="N24" s="19">
        <f t="shared" si="1"/>
        <v>0</v>
      </c>
      <c r="O24" s="11"/>
      <c r="P24" s="2">
        <f>-1059.4</f>
        <v>-1059.4000000000001</v>
      </c>
      <c r="Q24" s="2"/>
      <c r="R24" s="19"/>
      <c r="S24" s="2"/>
      <c r="T24" s="2"/>
      <c r="U24" s="2"/>
      <c r="V24" s="19"/>
      <c r="W24" s="2"/>
      <c r="X24" s="2">
        <f t="shared" si="2"/>
        <v>-1059.4000000000001</v>
      </c>
      <c r="Y24" s="2"/>
      <c r="Z24" s="19">
        <f t="shared" si="3"/>
        <v>0</v>
      </c>
    </row>
    <row r="25" spans="1:26" s="24" customFormat="1" hidden="1" outlineLevel="1" x14ac:dyDescent="0.25">
      <c r="A25" s="44"/>
      <c r="B25" s="11" t="str">
        <f>CONCATENATE("          ", "4242", " - ", "SALES RETURN TAXABLE-EVERYDAY")</f>
        <v xml:space="preserve">          4242 - SALES RETURN TAXABLE-EVERYDAY</v>
      </c>
      <c r="C25" s="11"/>
      <c r="D25" s="2">
        <f t="shared" si="6"/>
        <v>0</v>
      </c>
      <c r="E25" s="2"/>
      <c r="F25" s="19"/>
      <c r="G25" s="2"/>
      <c r="H25" s="2"/>
      <c r="I25" s="2"/>
      <c r="J25" s="19"/>
      <c r="K25" s="2"/>
      <c r="L25" s="2">
        <f t="shared" si="0"/>
        <v>0</v>
      </c>
      <c r="M25" s="2"/>
      <c r="N25" s="19">
        <f t="shared" si="1"/>
        <v>0</v>
      </c>
      <c r="O25" s="11"/>
      <c r="P25" s="2">
        <f>-227.7</f>
        <v>-227.7</v>
      </c>
      <c r="Q25" s="2"/>
      <c r="R25" s="19"/>
      <c r="S25" s="2"/>
      <c r="T25" s="2"/>
      <c r="U25" s="2"/>
      <c r="V25" s="19"/>
      <c r="W25" s="2"/>
      <c r="X25" s="2">
        <f t="shared" si="2"/>
        <v>-227.7</v>
      </c>
      <c r="Y25" s="2"/>
      <c r="Z25" s="19">
        <f t="shared" si="3"/>
        <v>0</v>
      </c>
    </row>
    <row r="26" spans="1:26" s="24" customFormat="1" hidden="1" outlineLevel="1" x14ac:dyDescent="0.25">
      <c r="A26" s="44"/>
      <c r="B26" s="11" t="str">
        <f>CONCATENATE("          ", "4342", " - ", "SALES RETURN NON TAXABLE-EVERY")</f>
        <v xml:space="preserve">          4342 - SALES RETURN NON TAXABLE-EVERY</v>
      </c>
      <c r="C26" s="11"/>
      <c r="D26" s="2">
        <f t="shared" si="6"/>
        <v>0</v>
      </c>
      <c r="E26" s="2"/>
      <c r="F26" s="19"/>
      <c r="G26" s="2"/>
      <c r="H26" s="2"/>
      <c r="I26" s="2"/>
      <c r="J26" s="19"/>
      <c r="K26" s="2"/>
      <c r="L26" s="2">
        <f t="shared" si="0"/>
        <v>0</v>
      </c>
      <c r="M26" s="2"/>
      <c r="N26" s="19">
        <f t="shared" si="1"/>
        <v>0</v>
      </c>
      <c r="O26" s="11"/>
      <c r="P26" s="2">
        <f>-39.42</f>
        <v>-39.42</v>
      </c>
      <c r="Q26" s="2"/>
      <c r="R26" s="19"/>
      <c r="S26" s="2"/>
      <c r="T26" s="2"/>
      <c r="U26" s="2"/>
      <c r="V26" s="19"/>
      <c r="W26" s="2"/>
      <c r="X26" s="2">
        <f t="shared" si="2"/>
        <v>-39.42</v>
      </c>
      <c r="Y26" s="2"/>
      <c r="Z26" s="19">
        <f t="shared" si="3"/>
        <v>0</v>
      </c>
    </row>
    <row r="27" spans="1:26" s="24" customFormat="1" hidden="1" outlineLevel="1" x14ac:dyDescent="0.25">
      <c r="A27" s="44"/>
      <c r="B27" s="11" t="str">
        <f>CONCATENATE("          ", "4346", " - ", "SALES RETURN NON TAXABLE-COIN-")</f>
        <v xml:space="preserve">          4346 - SALES RETURN NON TAXABLE-COIN-</v>
      </c>
      <c r="C27" s="11"/>
      <c r="D27" s="2">
        <f t="shared" si="6"/>
        <v>0</v>
      </c>
      <c r="E27" s="2"/>
      <c r="F27" s="19"/>
      <c r="G27" s="2"/>
      <c r="H27" s="2"/>
      <c r="I27" s="2"/>
      <c r="J27" s="19"/>
      <c r="K27" s="2"/>
      <c r="L27" s="2">
        <f t="shared" si="0"/>
        <v>0</v>
      </c>
      <c r="M27" s="2"/>
      <c r="N27" s="19">
        <f t="shared" si="1"/>
        <v>0</v>
      </c>
      <c r="O27" s="11"/>
      <c r="P27" s="2">
        <f>-8.15</f>
        <v>-8.15</v>
      </c>
      <c r="Q27" s="2"/>
      <c r="R27" s="19"/>
      <c r="S27" s="2"/>
      <c r="T27" s="2"/>
      <c r="U27" s="2"/>
      <c r="V27" s="19"/>
      <c r="W27" s="2"/>
      <c r="X27" s="2">
        <f t="shared" si="2"/>
        <v>-8.15</v>
      </c>
      <c r="Y27" s="2"/>
      <c r="Z27" s="19">
        <f t="shared" si="3"/>
        <v>0</v>
      </c>
    </row>
    <row r="28" spans="1:26" s="24" customFormat="1" hidden="1" outlineLevel="1" x14ac:dyDescent="0.25">
      <c r="A28" s="44"/>
      <c r="B28" s="11" t="str">
        <f>CONCATENATE("          ", "4347", " - ", "SALES RETURN NON TAXABLE-MISC")</f>
        <v xml:space="preserve">          4347 - SALES RETURN NON TAXABLE-MISC</v>
      </c>
      <c r="C28" s="11"/>
      <c r="D28" s="2">
        <f t="shared" si="6"/>
        <v>0</v>
      </c>
      <c r="E28" s="2"/>
      <c r="F28" s="19"/>
      <c r="G28" s="2"/>
      <c r="H28" s="2"/>
      <c r="I28" s="2"/>
      <c r="J28" s="19"/>
      <c r="K28" s="2"/>
      <c r="L28" s="2">
        <f t="shared" si="0"/>
        <v>0</v>
      </c>
      <c r="M28" s="2"/>
      <c r="N28" s="19">
        <f t="shared" si="1"/>
        <v>0</v>
      </c>
      <c r="O28" s="11"/>
      <c r="P28" s="2">
        <f>-84</f>
        <v>-84</v>
      </c>
      <c r="Q28" s="2"/>
      <c r="R28" s="19"/>
      <c r="S28" s="2"/>
      <c r="T28" s="2"/>
      <c r="U28" s="2"/>
      <c r="V28" s="19"/>
      <c r="W28" s="2"/>
      <c r="X28" s="2">
        <f t="shared" si="2"/>
        <v>-84</v>
      </c>
      <c r="Y28" s="2"/>
      <c r="Z28" s="19">
        <f t="shared" si="3"/>
        <v>0</v>
      </c>
    </row>
    <row r="29" spans="1:26" x14ac:dyDescent="0.25">
      <c r="A29" s="9"/>
      <c r="B29" s="10"/>
      <c r="C29" s="9"/>
      <c r="D29" s="3"/>
      <c r="E29" s="3"/>
      <c r="F29" s="8"/>
      <c r="G29" s="3"/>
      <c r="H29" s="3"/>
      <c r="I29" s="3"/>
      <c r="J29" s="8"/>
      <c r="K29" s="3"/>
      <c r="L29" s="3"/>
      <c r="M29" s="3"/>
      <c r="N29" s="8"/>
      <c r="P29" s="3"/>
      <c r="Q29" s="3"/>
      <c r="R29" s="8"/>
      <c r="S29" s="3"/>
      <c r="T29" s="3"/>
      <c r="U29" s="3"/>
      <c r="V29" s="8"/>
      <c r="W29" s="3"/>
      <c r="X29" s="3"/>
      <c r="Y29" s="3"/>
      <c r="Z29" s="8"/>
    </row>
    <row r="30" spans="1:26" s="23" customFormat="1" x14ac:dyDescent="0.25">
      <c r="A30" s="10"/>
      <c r="B30" s="28" t="s">
        <v>8</v>
      </c>
      <c r="C30" s="10"/>
      <c r="D30" s="4">
        <f>SUM(0)</f>
        <v>0</v>
      </c>
      <c r="E30" s="4"/>
      <c r="F30" s="13">
        <f>IF(D$12=0,0,D30/D$12)</f>
        <v>0</v>
      </c>
      <c r="G30" s="4"/>
      <c r="H30" s="4">
        <f>SUM(0)</f>
        <v>0</v>
      </c>
      <c r="I30" s="4"/>
      <c r="J30" s="13">
        <f>IF(H$12=0,0,H30/H$12)</f>
        <v>0</v>
      </c>
      <c r="K30" s="4"/>
      <c r="L30" s="4">
        <f>+D30-H30</f>
        <v>0</v>
      </c>
      <c r="M30" s="4"/>
      <c r="N30" s="13">
        <f>IF(H30=0,0,L30/H30)</f>
        <v>0</v>
      </c>
      <c r="O30" s="10"/>
      <c r="P30" s="4">
        <f>SUM(0)</f>
        <v>0</v>
      </c>
      <c r="Q30" s="4"/>
      <c r="R30" s="13">
        <f>IF(P$12=0,0,P30/P$12)</f>
        <v>0</v>
      </c>
      <c r="S30" s="4"/>
      <c r="T30" s="4">
        <f>SUM(0)</f>
        <v>0</v>
      </c>
      <c r="U30" s="4"/>
      <c r="V30" s="13">
        <f>IF(T$12=0,0,T30/T$12)</f>
        <v>0</v>
      </c>
      <c r="W30" s="4"/>
      <c r="X30" s="4">
        <f>+P30-T30</f>
        <v>0</v>
      </c>
      <c r="Y30" s="4"/>
      <c r="Z30" s="13">
        <f>IF(T30=0,0,X30/T30)</f>
        <v>0</v>
      </c>
    </row>
    <row r="31" spans="1:26" x14ac:dyDescent="0.25">
      <c r="A31" s="9"/>
      <c r="B31" s="10"/>
      <c r="C31" s="10"/>
      <c r="D31" s="3"/>
      <c r="E31" s="3"/>
      <c r="F31" s="8"/>
      <c r="G31" s="3"/>
      <c r="H31" s="3"/>
      <c r="I31" s="3"/>
      <c r="J31" s="8"/>
      <c r="K31" s="3"/>
      <c r="L31" s="3"/>
      <c r="M31" s="3"/>
      <c r="N31" s="8"/>
      <c r="O31" s="10"/>
      <c r="P31" s="3"/>
      <c r="Q31" s="3"/>
      <c r="R31" s="8"/>
      <c r="S31" s="3"/>
      <c r="T31" s="3"/>
      <c r="U31" s="3"/>
      <c r="V31" s="8"/>
      <c r="W31" s="3"/>
      <c r="X31" s="3"/>
      <c r="Y31" s="3"/>
      <c r="Z31" s="8"/>
    </row>
    <row r="32" spans="1:26" s="23" customFormat="1" x14ac:dyDescent="0.25">
      <c r="A32" s="10"/>
      <c r="B32" s="29" t="s">
        <v>6</v>
      </c>
      <c r="C32" s="29"/>
      <c r="D32" s="20">
        <f>D12-D30</f>
        <v>2956.15</v>
      </c>
      <c r="E32" s="14"/>
      <c r="F32" s="22">
        <f>IF(D$12=0,0,D32/D$12)</f>
        <v>1</v>
      </c>
      <c r="G32" s="14"/>
      <c r="H32" s="20">
        <f>H12-H30</f>
        <v>47880</v>
      </c>
      <c r="I32" s="14"/>
      <c r="J32" s="22">
        <f>IF(H$12=0,0,H32/H$12)</f>
        <v>1</v>
      </c>
      <c r="K32" s="16"/>
      <c r="L32" s="20">
        <f>+D32-H32</f>
        <v>-44923.85</v>
      </c>
      <c r="M32" s="16"/>
      <c r="N32" s="22">
        <f>IF(H32=0,0,L32/H32)</f>
        <v>-0.9382591896407686</v>
      </c>
      <c r="O32" s="28"/>
      <c r="P32" s="20">
        <f>P12-P30</f>
        <v>473158.02</v>
      </c>
      <c r="Q32" s="14"/>
      <c r="R32" s="22">
        <f>IF(P$12=0,0,P32/P$12)</f>
        <v>1</v>
      </c>
      <c r="S32" s="14"/>
      <c r="T32" s="20">
        <f>T12-T30</f>
        <v>666852.5</v>
      </c>
      <c r="U32" s="14"/>
      <c r="V32" s="22">
        <f>IF(T$12=0,0,T32/T$12)</f>
        <v>1</v>
      </c>
      <c r="W32" s="16"/>
      <c r="X32" s="20">
        <f>+P32-T32</f>
        <v>-193694.47999999998</v>
      </c>
      <c r="Y32" s="16"/>
      <c r="Z32" s="22">
        <f>IF(T32=0,0,X32/T32)</f>
        <v>-0.29046075406480443</v>
      </c>
    </row>
    <row r="33" spans="1:26" x14ac:dyDescent="0.25">
      <c r="A33" s="9"/>
      <c r="B33" s="10"/>
      <c r="C33" s="9"/>
      <c r="D33" s="1"/>
      <c r="E33" s="1"/>
      <c r="F33" s="5"/>
      <c r="G33" s="1"/>
      <c r="H33" s="1"/>
      <c r="I33" s="1"/>
      <c r="J33" s="5"/>
      <c r="K33" s="1"/>
      <c r="L33" s="1"/>
      <c r="M33" s="1"/>
      <c r="N33" s="5"/>
      <c r="O33" s="36"/>
      <c r="P33" s="1"/>
      <c r="Q33" s="1"/>
      <c r="R33" s="5"/>
      <c r="S33" s="1"/>
      <c r="T33" s="1"/>
      <c r="U33" s="1"/>
      <c r="V33" s="5"/>
      <c r="W33" s="1"/>
      <c r="X33" s="1"/>
      <c r="Y33" s="1"/>
      <c r="Z33" s="5"/>
    </row>
    <row r="34" spans="1:26" s="23" customFormat="1" x14ac:dyDescent="0.25">
      <c r="A34" s="10"/>
      <c r="B34" s="28" t="s">
        <v>9</v>
      </c>
      <c r="C34" s="10"/>
      <c r="D34" s="21">
        <f>SUM(OSRRefD22x_0)</f>
        <v>17623.939999999999</v>
      </c>
      <c r="E34" s="21"/>
      <c r="F34" s="30">
        <f t="shared" ref="F34:F44" si="7">IF(D$12=0,0,D34/D$12)</f>
        <v>5.9617881365965859</v>
      </c>
      <c r="G34" s="21"/>
      <c r="H34" s="21">
        <f>SUM(OSRRefH22x_0)</f>
        <v>50455.657814549217</v>
      </c>
      <c r="I34" s="21"/>
      <c r="J34" s="30">
        <f t="shared" ref="J34:J44" si="8">IF(H$12=0,0,H34/H$12)</f>
        <v>1.0537940228602594</v>
      </c>
      <c r="K34" s="4"/>
      <c r="L34" s="21">
        <f t="shared" ref="L34:L44" si="9">+D34-H34</f>
        <v>-32831.717814549222</v>
      </c>
      <c r="M34" s="4"/>
      <c r="N34" s="30">
        <f t="shared" ref="N34:N44" si="10">IF(H34=0,0,L34/H34)</f>
        <v>-0.65070438552645293</v>
      </c>
      <c r="O34" s="10"/>
      <c r="P34" s="21">
        <f>SUM(OSRRefP22x_0)</f>
        <v>471764.14000000007</v>
      </c>
      <c r="Q34" s="21"/>
      <c r="R34" s="30">
        <f t="shared" ref="R34:R44" si="11">IF(P$12=0,0,P34/P$12)</f>
        <v>0.99705409199235395</v>
      </c>
      <c r="S34" s="21"/>
      <c r="T34" s="21">
        <f>SUM(OSRRefT22x_0)</f>
        <v>578827.13502024394</v>
      </c>
      <c r="U34" s="21"/>
      <c r="V34" s="30">
        <f t="shared" ref="V34:V44" si="12">IF(T$12=0,0,T34/T$12)</f>
        <v>0.86799874787939457</v>
      </c>
      <c r="W34" s="4"/>
      <c r="X34" s="21">
        <f t="shared" ref="X34:X44" si="13">+P34-T34</f>
        <v>-107062.99502024386</v>
      </c>
      <c r="Y34" s="4"/>
      <c r="Z34" s="30">
        <f t="shared" ref="Z34:Z44" si="14">IF(T34=0,0,X34/T34)</f>
        <v>-0.1849654042506135</v>
      </c>
    </row>
    <row r="35" spans="1:26" s="27" customFormat="1" outlineLevel="1" collapsed="1" x14ac:dyDescent="0.25">
      <c r="A35" s="25"/>
      <c r="B35" s="12" t="str">
        <f>CONCATENATE("     ","*Benefits                                         ")</f>
        <v xml:space="preserve">     *Benefits                                         </v>
      </c>
      <c r="C35" s="12"/>
      <c r="D35" s="1">
        <f>SUM(OSRRefD22_0x_0)</f>
        <v>6736.43</v>
      </c>
      <c r="E35" s="1"/>
      <c r="F35" s="5">
        <f t="shared" si="7"/>
        <v>2.2787849060433336</v>
      </c>
      <c r="G35" s="1"/>
      <c r="H35" s="1">
        <f>SUM(OSRRefH22_0x_0)</f>
        <v>5454.491119537156</v>
      </c>
      <c r="I35" s="1"/>
      <c r="J35" s="5">
        <f t="shared" si="8"/>
        <v>0.113920031736365</v>
      </c>
      <c r="K35" s="1"/>
      <c r="L35" s="1">
        <f t="shared" si="9"/>
        <v>1281.9388804628443</v>
      </c>
      <c r="M35" s="1"/>
      <c r="N35" s="5">
        <f t="shared" si="10"/>
        <v>0.23502446926187753</v>
      </c>
      <c r="O35" s="12"/>
      <c r="P35" s="1">
        <f>SUM(OSRRefP22_0x_0)</f>
        <v>88967.039999999994</v>
      </c>
      <c r="Q35" s="1"/>
      <c r="R35" s="5">
        <f t="shared" si="11"/>
        <v>0.18802817714048256</v>
      </c>
      <c r="S35" s="1"/>
      <c r="T35" s="1">
        <f>SUM(OSRRefT22_0x_0)</f>
        <v>63165.093173307119</v>
      </c>
      <c r="U35" s="1"/>
      <c r="V35" s="5">
        <f t="shared" si="12"/>
        <v>9.4721236215365642E-2</v>
      </c>
      <c r="W35" s="1"/>
      <c r="X35" s="1">
        <f t="shared" si="13"/>
        <v>25801.946826692874</v>
      </c>
      <c r="Y35" s="1"/>
      <c r="Z35" s="5">
        <f t="shared" si="14"/>
        <v>0.40848426766188156</v>
      </c>
    </row>
    <row r="36" spans="1:26" s="24" customFormat="1" hidden="1" outlineLevel="2" x14ac:dyDescent="0.25">
      <c r="A36" s="26"/>
      <c r="B36" s="11" t="str">
        <f>CONCATENATE("          ", "6111", " - ", "F.I.C.A.")</f>
        <v xml:space="preserve">          6111 - F.I.C.A.</v>
      </c>
      <c r="C36" s="11"/>
      <c r="D36" s="7">
        <v>870.7</v>
      </c>
      <c r="E36" s="2"/>
      <c r="F36" s="6">
        <f t="shared" si="7"/>
        <v>0.29453850447372426</v>
      </c>
      <c r="G36" s="2"/>
      <c r="H36" s="7">
        <v>1040.3454644538499</v>
      </c>
      <c r="I36" s="2"/>
      <c r="J36" s="6">
        <f t="shared" si="8"/>
        <v>2.1728184303547407E-2</v>
      </c>
      <c r="K36" s="2"/>
      <c r="L36" s="7">
        <f t="shared" si="9"/>
        <v>-169.64546445384985</v>
      </c>
      <c r="M36" s="2"/>
      <c r="N36" s="6">
        <f t="shared" si="10"/>
        <v>-0.16306647190787593</v>
      </c>
      <c r="O36" s="11"/>
      <c r="P36" s="7">
        <v>13814.22</v>
      </c>
      <c r="Q36" s="2"/>
      <c r="R36" s="6">
        <f t="shared" si="11"/>
        <v>2.9195785374196974E-2</v>
      </c>
      <c r="S36" s="2"/>
      <c r="T36" s="7">
        <v>12573.38998932188</v>
      </c>
      <c r="U36" s="2"/>
      <c r="V36" s="6">
        <f t="shared" si="12"/>
        <v>1.8854829200343225E-2</v>
      </c>
      <c r="W36" s="2"/>
      <c r="X36" s="7">
        <f t="shared" si="13"/>
        <v>1240.8300106781189</v>
      </c>
      <c r="Y36" s="2"/>
      <c r="Z36" s="6">
        <f t="shared" si="14"/>
        <v>9.8686989883548543E-2</v>
      </c>
    </row>
    <row r="37" spans="1:26" s="24" customFormat="1" hidden="1" outlineLevel="2" x14ac:dyDescent="0.25">
      <c r="A37" s="26"/>
      <c r="B37" s="11" t="str">
        <f>CONCATENATE("          ", "6112", " - ", "COMPENSATION INSURANCE")</f>
        <v xml:space="preserve">          6112 - COMPENSATION INSURANCE</v>
      </c>
      <c r="C37" s="11"/>
      <c r="D37" s="7">
        <v>324.37</v>
      </c>
      <c r="E37" s="2"/>
      <c r="F37" s="6">
        <f t="shared" si="7"/>
        <v>0.1097271789320569</v>
      </c>
      <c r="G37" s="2"/>
      <c r="H37" s="7">
        <v>201.09516692307699</v>
      </c>
      <c r="I37" s="2"/>
      <c r="J37" s="6">
        <f t="shared" si="8"/>
        <v>4.1999826007326022E-3</v>
      </c>
      <c r="K37" s="2"/>
      <c r="L37" s="7">
        <f t="shared" si="9"/>
        <v>123.27483307692302</v>
      </c>
      <c r="M37" s="2"/>
      <c r="N37" s="6">
        <f t="shared" si="10"/>
        <v>0.61301738357579805</v>
      </c>
      <c r="O37" s="11"/>
      <c r="P37" s="7">
        <v>2418.8000000000002</v>
      </c>
      <c r="Q37" s="2"/>
      <c r="R37" s="6">
        <f t="shared" si="11"/>
        <v>5.1120342417528926E-3</v>
      </c>
      <c r="S37" s="2"/>
      <c r="T37" s="7">
        <v>2413.1420030769232</v>
      </c>
      <c r="U37" s="2"/>
      <c r="V37" s="6">
        <f t="shared" si="12"/>
        <v>3.618704290794326E-3</v>
      </c>
      <c r="W37" s="2"/>
      <c r="X37" s="7">
        <f t="shared" si="13"/>
        <v>5.6579969230770075</v>
      </c>
      <c r="Y37" s="2"/>
      <c r="Z37" s="6">
        <f t="shared" si="14"/>
        <v>2.34465974893424E-3</v>
      </c>
    </row>
    <row r="38" spans="1:26" s="24" customFormat="1" hidden="1" outlineLevel="2" x14ac:dyDescent="0.25">
      <c r="A38" s="26"/>
      <c r="B38" s="11" t="str">
        <f>CONCATENATE("          ", "6113", " - ", "GROUP INSURANCE")</f>
        <v xml:space="preserve">          6113 - GROUP INSURANCE</v>
      </c>
      <c r="C38" s="11"/>
      <c r="D38" s="7">
        <v>2724.48</v>
      </c>
      <c r="E38" s="2"/>
      <c r="F38" s="6">
        <f t="shared" si="7"/>
        <v>0.92163117568458974</v>
      </c>
      <c r="G38" s="2"/>
      <c r="H38" s="7">
        <v>2044</v>
      </c>
      <c r="I38" s="2"/>
      <c r="J38" s="6">
        <f t="shared" si="8"/>
        <v>4.2690058479532167E-2</v>
      </c>
      <c r="K38" s="2"/>
      <c r="L38" s="7">
        <f t="shared" si="9"/>
        <v>680.48</v>
      </c>
      <c r="M38" s="2"/>
      <c r="N38" s="6">
        <f t="shared" si="10"/>
        <v>0.33291585127201567</v>
      </c>
      <c r="O38" s="11"/>
      <c r="P38" s="7">
        <v>32486.489999999998</v>
      </c>
      <c r="Q38" s="2"/>
      <c r="R38" s="6">
        <f t="shared" si="11"/>
        <v>6.8658859465174013E-2</v>
      </c>
      <c r="S38" s="2"/>
      <c r="T38" s="7">
        <v>22484</v>
      </c>
      <c r="U38" s="2"/>
      <c r="V38" s="6">
        <f t="shared" si="12"/>
        <v>3.3716601497332618E-2</v>
      </c>
      <c r="W38" s="2"/>
      <c r="X38" s="7">
        <f t="shared" si="13"/>
        <v>10002.489999999998</v>
      </c>
      <c r="Y38" s="2"/>
      <c r="Z38" s="6">
        <f t="shared" si="14"/>
        <v>0.44487146415228596</v>
      </c>
    </row>
    <row r="39" spans="1:26" s="24" customFormat="1" hidden="1" outlineLevel="2" x14ac:dyDescent="0.25">
      <c r="A39" s="26"/>
      <c r="B39" s="11" t="str">
        <f>CONCATENATE("          ", "6114", " - ", "STATE UNEMPLOYMENT INSURANCE")</f>
        <v xml:space="preserve">          6114 - STATE UNEMPLOYMENT INSURANCE</v>
      </c>
      <c r="C39" s="11"/>
      <c r="D39" s="7">
        <v>44.39</v>
      </c>
      <c r="E39" s="2"/>
      <c r="F39" s="6">
        <f t="shared" si="7"/>
        <v>1.5016152766266935E-2</v>
      </c>
      <c r="G39" s="2"/>
      <c r="H39" s="7">
        <v>44.9744962870314</v>
      </c>
      <c r="I39" s="2"/>
      <c r="J39" s="6">
        <f t="shared" si="8"/>
        <v>9.393169650591353E-4</v>
      </c>
      <c r="K39" s="2"/>
      <c r="L39" s="7">
        <f t="shared" si="9"/>
        <v>-0.58449628703139922</v>
      </c>
      <c r="M39" s="2"/>
      <c r="N39" s="6">
        <f t="shared" si="10"/>
        <v>-1.2996171948232389E-2</v>
      </c>
      <c r="O39" s="11"/>
      <c r="P39" s="7">
        <v>523.47</v>
      </c>
      <c r="Q39" s="2"/>
      <c r="R39" s="6">
        <f t="shared" si="11"/>
        <v>1.1063322988797697E-3</v>
      </c>
      <c r="S39" s="2"/>
      <c r="T39" s="7">
        <v>532.66886336203561</v>
      </c>
      <c r="U39" s="2"/>
      <c r="V39" s="6">
        <f t="shared" si="12"/>
        <v>7.9878063494106361E-4</v>
      </c>
      <c r="W39" s="2"/>
      <c r="X39" s="7">
        <f t="shared" si="13"/>
        <v>-9.1988633620355813</v>
      </c>
      <c r="Y39" s="2"/>
      <c r="Z39" s="6">
        <f t="shared" si="14"/>
        <v>-1.726938440511671E-2</v>
      </c>
    </row>
    <row r="40" spans="1:26" s="24" customFormat="1" hidden="1" outlineLevel="2" x14ac:dyDescent="0.25">
      <c r="A40" s="26"/>
      <c r="B40" s="11" t="str">
        <f>CONCATENATE("          ", "6115", " - ", "P.E.R.S.")</f>
        <v xml:space="preserve">          6115 - P.E.R.S.</v>
      </c>
      <c r="C40" s="11"/>
      <c r="D40" s="7">
        <v>1166.77</v>
      </c>
      <c r="E40" s="2"/>
      <c r="F40" s="6">
        <f t="shared" si="7"/>
        <v>0.39469242088527307</v>
      </c>
      <c r="G40" s="2"/>
      <c r="H40" s="7">
        <v>910.22022923076906</v>
      </c>
      <c r="I40" s="2"/>
      <c r="J40" s="6">
        <f t="shared" si="8"/>
        <v>1.9010447561210717E-2</v>
      </c>
      <c r="K40" s="2"/>
      <c r="L40" s="7">
        <f t="shared" si="9"/>
        <v>256.54977076923092</v>
      </c>
      <c r="M40" s="2"/>
      <c r="N40" s="6">
        <f t="shared" si="10"/>
        <v>0.28185461334565393</v>
      </c>
      <c r="O40" s="11"/>
      <c r="P40" s="7">
        <v>14252.53</v>
      </c>
      <c r="Q40" s="2"/>
      <c r="R40" s="6">
        <f t="shared" si="11"/>
        <v>3.0122135518277804E-2</v>
      </c>
      <c r="S40" s="2"/>
      <c r="T40" s="7">
        <v>10922.642750769222</v>
      </c>
      <c r="U40" s="2"/>
      <c r="V40" s="6">
        <f t="shared" si="12"/>
        <v>1.6379398368858513E-2</v>
      </c>
      <c r="W40" s="2"/>
      <c r="X40" s="7">
        <f t="shared" si="13"/>
        <v>3329.8872492307783</v>
      </c>
      <c r="Y40" s="2"/>
      <c r="Z40" s="6">
        <f t="shared" si="14"/>
        <v>0.30486095034063732</v>
      </c>
    </row>
    <row r="41" spans="1:26" s="24" customFormat="1" hidden="1" outlineLevel="2" x14ac:dyDescent="0.25">
      <c r="A41" s="26"/>
      <c r="B41" s="11" t="str">
        <f>CONCATENATE("          ", "6116", " - ", "EDUCATIONAL BENEFITS")</f>
        <v xml:space="preserve">          6116 - EDUCATIONAL BENEFITS</v>
      </c>
      <c r="C41" s="11"/>
      <c r="D41" s="7"/>
      <c r="E41" s="2"/>
      <c r="F41" s="6">
        <f t="shared" si="7"/>
        <v>0</v>
      </c>
      <c r="G41" s="2"/>
      <c r="H41" s="7">
        <v>0</v>
      </c>
      <c r="I41" s="2"/>
      <c r="J41" s="6">
        <f t="shared" si="8"/>
        <v>0</v>
      </c>
      <c r="K41" s="2"/>
      <c r="L41" s="7">
        <f t="shared" si="9"/>
        <v>0</v>
      </c>
      <c r="M41" s="2"/>
      <c r="N41" s="6">
        <f t="shared" si="10"/>
        <v>0</v>
      </c>
      <c r="O41" s="11"/>
      <c r="P41" s="7"/>
      <c r="Q41" s="2"/>
      <c r="R41" s="6">
        <f t="shared" si="11"/>
        <v>0</v>
      </c>
      <c r="S41" s="2"/>
      <c r="T41" s="7">
        <v>0</v>
      </c>
      <c r="U41" s="2"/>
      <c r="V41" s="6">
        <f t="shared" si="12"/>
        <v>0</v>
      </c>
      <c r="W41" s="2"/>
      <c r="X41" s="7">
        <f t="shared" si="13"/>
        <v>0</v>
      </c>
      <c r="Y41" s="2"/>
      <c r="Z41" s="6">
        <f t="shared" si="14"/>
        <v>0</v>
      </c>
    </row>
    <row r="42" spans="1:26" s="24" customFormat="1" hidden="1" outlineLevel="2" x14ac:dyDescent="0.25">
      <c r="A42" s="26"/>
      <c r="B42" s="11" t="str">
        <f>CONCATENATE("          ", "6118", " - ", "VACATION")</f>
        <v xml:space="preserve">          6118 - VACATION</v>
      </c>
      <c r="C42" s="11"/>
      <c r="D42" s="7">
        <v>1039.18</v>
      </c>
      <c r="E42" s="2"/>
      <c r="F42" s="6">
        <f t="shared" si="7"/>
        <v>0.35153155286436749</v>
      </c>
      <c r="G42" s="2"/>
      <c r="H42" s="7">
        <v>529.19780769230795</v>
      </c>
      <c r="I42" s="2"/>
      <c r="J42" s="6">
        <f t="shared" si="8"/>
        <v>1.1052585791401587E-2</v>
      </c>
      <c r="K42" s="2"/>
      <c r="L42" s="7">
        <f t="shared" si="9"/>
        <v>509.98219230769212</v>
      </c>
      <c r="M42" s="2"/>
      <c r="N42" s="6">
        <f t="shared" si="10"/>
        <v>0.96368916290789253</v>
      </c>
      <c r="O42" s="11"/>
      <c r="P42" s="7">
        <v>14382.28</v>
      </c>
      <c r="Q42" s="2"/>
      <c r="R42" s="6">
        <f t="shared" si="11"/>
        <v>3.0396356802744249E-2</v>
      </c>
      <c r="S42" s="2"/>
      <c r="T42" s="7">
        <v>6350.3736923076958</v>
      </c>
      <c r="U42" s="2"/>
      <c r="V42" s="6">
        <f t="shared" si="12"/>
        <v>9.5229060284061258E-3</v>
      </c>
      <c r="W42" s="2"/>
      <c r="X42" s="7">
        <f t="shared" si="13"/>
        <v>8031.9063076923048</v>
      </c>
      <c r="Y42" s="2"/>
      <c r="Z42" s="6">
        <f t="shared" si="14"/>
        <v>1.2647927030532826</v>
      </c>
    </row>
    <row r="43" spans="1:26" s="24" customFormat="1" hidden="1" outlineLevel="2" x14ac:dyDescent="0.25">
      <c r="A43" s="26"/>
      <c r="B43" s="11" t="str">
        <f>CONCATENATE("          ", "6119", " - ", "SICK LEAVE")</f>
        <v xml:space="preserve">          6119 - SICK LEAVE</v>
      </c>
      <c r="C43" s="11"/>
      <c r="D43" s="7">
        <v>526.54</v>
      </c>
      <c r="E43" s="2"/>
      <c r="F43" s="6">
        <f t="shared" si="7"/>
        <v>0.17811680733386329</v>
      </c>
      <c r="G43" s="2"/>
      <c r="H43" s="7">
        <v>384.657954950121</v>
      </c>
      <c r="I43" s="2"/>
      <c r="J43" s="6">
        <f t="shared" si="8"/>
        <v>8.0337918744803876E-3</v>
      </c>
      <c r="K43" s="2"/>
      <c r="L43" s="7">
        <f t="shared" si="9"/>
        <v>141.88204504987897</v>
      </c>
      <c r="M43" s="2"/>
      <c r="N43" s="6">
        <f t="shared" si="10"/>
        <v>0.36885249147720595</v>
      </c>
      <c r="O43" s="11"/>
      <c r="P43" s="7">
        <v>8606.74</v>
      </c>
      <c r="Q43" s="2"/>
      <c r="R43" s="6">
        <f t="shared" si="11"/>
        <v>1.8189990735019135E-2</v>
      </c>
      <c r="S43" s="2"/>
      <c r="T43" s="7">
        <v>4588.8758744693714</v>
      </c>
      <c r="U43" s="2"/>
      <c r="V43" s="6">
        <f t="shared" si="12"/>
        <v>6.881395622674237E-3</v>
      </c>
      <c r="W43" s="2"/>
      <c r="X43" s="7">
        <f t="shared" si="13"/>
        <v>4017.8641255306284</v>
      </c>
      <c r="Y43" s="2"/>
      <c r="Z43" s="6">
        <f t="shared" si="14"/>
        <v>0.87556609405897878</v>
      </c>
    </row>
    <row r="44" spans="1:26" s="24" customFormat="1" hidden="1" outlineLevel="2" x14ac:dyDescent="0.25">
      <c r="A44" s="26"/>
      <c r="B44" s="11" t="str">
        <f>CONCATENATE("          ", "6156", " - ", "EMPLOYEE MEALS")</f>
        <v xml:space="preserve">          6156 - EMPLOYEE MEALS</v>
      </c>
      <c r="C44" s="11"/>
      <c r="D44" s="7">
        <v>40</v>
      </c>
      <c r="E44" s="2"/>
      <c r="F44" s="6">
        <f t="shared" si="7"/>
        <v>1.3531113103191651E-2</v>
      </c>
      <c r="G44" s="2"/>
      <c r="H44" s="7">
        <v>300</v>
      </c>
      <c r="I44" s="2"/>
      <c r="J44" s="6">
        <f t="shared" si="8"/>
        <v>6.2656641604010022E-3</v>
      </c>
      <c r="K44" s="2"/>
      <c r="L44" s="7">
        <f t="shared" si="9"/>
        <v>-260</v>
      </c>
      <c r="M44" s="2"/>
      <c r="N44" s="6">
        <f t="shared" si="10"/>
        <v>-0.8666666666666667</v>
      </c>
      <c r="O44" s="11"/>
      <c r="P44" s="7">
        <v>2482.5100000000002</v>
      </c>
      <c r="Q44" s="2"/>
      <c r="R44" s="6">
        <f t="shared" si="11"/>
        <v>5.2466827044377268E-3</v>
      </c>
      <c r="S44" s="2"/>
      <c r="T44" s="7">
        <v>3300</v>
      </c>
      <c r="U44" s="2"/>
      <c r="V44" s="6">
        <f t="shared" si="12"/>
        <v>4.9486205720155503E-3</v>
      </c>
      <c r="W44" s="2"/>
      <c r="X44" s="7">
        <f t="shared" si="13"/>
        <v>-817.48999999999978</v>
      </c>
      <c r="Y44" s="2"/>
      <c r="Z44" s="6">
        <f t="shared" si="14"/>
        <v>-0.24772424242424235</v>
      </c>
    </row>
    <row r="45" spans="1:26" s="27" customFormat="1" outlineLevel="1" collapsed="1" x14ac:dyDescent="0.25">
      <c r="A45" s="25"/>
      <c r="B45" s="12" t="str">
        <f>CONCATENATE("     ","*Payroll                                          ")</f>
        <v xml:space="preserve">     *Payroll                                          </v>
      </c>
      <c r="C45" s="12"/>
      <c r="D45" s="1">
        <f>SUM(OSRRefD22_1x_0)</f>
        <v>8890.02</v>
      </c>
      <c r="E45" s="1"/>
      <c r="F45" s="5">
        <f t="shared" ref="F45:F55" si="15">IF(D$12=0,0,D45/D$12)</f>
        <v>3.0072966527408962</v>
      </c>
      <c r="G45" s="1"/>
      <c r="H45" s="1">
        <f>SUM(OSRRefH22_1x_0)</f>
        <v>16451.16669501206</v>
      </c>
      <c r="I45" s="1"/>
      <c r="J45" s="5">
        <f t="shared" ref="J45:J55" si="16">IF(H$12=0,0,H45/H$12)</f>
        <v>0.34359161852573222</v>
      </c>
      <c r="K45" s="1"/>
      <c r="L45" s="1">
        <f t="shared" ref="L45:L55" si="17">+D45-H45</f>
        <v>-7561.1466950120594</v>
      </c>
      <c r="M45" s="1"/>
      <c r="N45" s="5">
        <f t="shared" ref="N45:N55" si="18">IF(H45=0,0,L45/H45)</f>
        <v>-0.45961157863074686</v>
      </c>
      <c r="O45" s="12"/>
      <c r="P45" s="1">
        <f>SUM(OSRRefP22_1x_0)</f>
        <v>172775.8</v>
      </c>
      <c r="Q45" s="1"/>
      <c r="R45" s="5">
        <f t="shared" ref="R45:R55" si="19">IF(P$12=0,0,P45/P$12)</f>
        <v>0.36515454181670637</v>
      </c>
      <c r="S45" s="1"/>
      <c r="T45" s="1">
        <f>SUM(OSRRefT22_1x_0)</f>
        <v>194712.04184693674</v>
      </c>
      <c r="U45" s="1"/>
      <c r="V45" s="5">
        <f t="shared" ref="V45:V55" si="20">IF(T$12=0,0,T45/T$12)</f>
        <v>0.29198667148572849</v>
      </c>
      <c r="W45" s="1"/>
      <c r="X45" s="1">
        <f t="shared" ref="X45:X55" si="21">+P45-T45</f>
        <v>-21936.241846936755</v>
      </c>
      <c r="Y45" s="1"/>
      <c r="Z45" s="5">
        <f t="shared" ref="Z45:Z55" si="22">IF(T45=0,0,X45/T45)</f>
        <v>-0.11265991378273794</v>
      </c>
    </row>
    <row r="46" spans="1:26" s="24" customFormat="1" hidden="1" outlineLevel="2" x14ac:dyDescent="0.25">
      <c r="A46" s="26"/>
      <c r="B46" s="11" t="str">
        <f>CONCATENATE("          ", "6001", " - ", "ADMINISTRATIVE SALARIES")</f>
        <v xml:space="preserve">          6001 - ADMINISTRATIVE SALARIES</v>
      </c>
      <c r="C46" s="11"/>
      <c r="D46" s="7"/>
      <c r="E46" s="2"/>
      <c r="F46" s="6">
        <f t="shared" si="15"/>
        <v>0</v>
      </c>
      <c r="G46" s="2"/>
      <c r="H46" s="7">
        <v>5990.5432000000001</v>
      </c>
      <c r="I46" s="2"/>
      <c r="J46" s="6">
        <f t="shared" si="16"/>
        <v>0.12511577276524646</v>
      </c>
      <c r="K46" s="2"/>
      <c r="L46" s="7">
        <f t="shared" si="17"/>
        <v>-5990.5432000000001</v>
      </c>
      <c r="M46" s="2"/>
      <c r="N46" s="6">
        <f t="shared" si="18"/>
        <v>-1</v>
      </c>
      <c r="O46" s="11"/>
      <c r="P46" s="7"/>
      <c r="Q46" s="2"/>
      <c r="R46" s="6">
        <f t="shared" si="19"/>
        <v>0</v>
      </c>
      <c r="S46" s="2"/>
      <c r="T46" s="7">
        <v>71886.518400000001</v>
      </c>
      <c r="U46" s="2"/>
      <c r="V46" s="6">
        <f t="shared" si="20"/>
        <v>0.10779972842570133</v>
      </c>
      <c r="W46" s="2"/>
      <c r="X46" s="7">
        <f t="shared" si="21"/>
        <v>-71886.518400000001</v>
      </c>
      <c r="Y46" s="2"/>
      <c r="Z46" s="6">
        <f t="shared" si="22"/>
        <v>-1</v>
      </c>
    </row>
    <row r="47" spans="1:26" s="24" customFormat="1" hidden="1" outlineLevel="2" x14ac:dyDescent="0.25">
      <c r="A47" s="26"/>
      <c r="B47" s="11" t="str">
        <f>CONCATENATE("          ", "6002", " - ", "STAFF SALARIES")</f>
        <v xml:space="preserve">          6002 - STAFF SALARIES</v>
      </c>
      <c r="C47" s="11"/>
      <c r="D47" s="7">
        <v>8890.02</v>
      </c>
      <c r="E47" s="2"/>
      <c r="F47" s="6">
        <f t="shared" si="15"/>
        <v>3.0072966527408962</v>
      </c>
      <c r="G47" s="2"/>
      <c r="H47" s="7">
        <v>3746.6964615384595</v>
      </c>
      <c r="I47" s="2"/>
      <c r="J47" s="6">
        <f t="shared" si="16"/>
        <v>7.8251805796542589E-2</v>
      </c>
      <c r="K47" s="2"/>
      <c r="L47" s="7">
        <f t="shared" si="17"/>
        <v>5143.3235384615409</v>
      </c>
      <c r="M47" s="2"/>
      <c r="N47" s="6">
        <f t="shared" si="18"/>
        <v>1.3727622697114892</v>
      </c>
      <c r="O47" s="11"/>
      <c r="P47" s="7">
        <v>120345.64</v>
      </c>
      <c r="Q47" s="2"/>
      <c r="R47" s="6">
        <f t="shared" si="19"/>
        <v>0.25434555669161013</v>
      </c>
      <c r="S47" s="2"/>
      <c r="T47" s="7">
        <v>44960.35753846154</v>
      </c>
      <c r="U47" s="2"/>
      <c r="V47" s="6">
        <f t="shared" si="20"/>
        <v>6.7421742496971276E-2</v>
      </c>
      <c r="W47" s="2"/>
      <c r="X47" s="7">
        <f t="shared" si="21"/>
        <v>75385.28246153846</v>
      </c>
      <c r="Y47" s="2"/>
      <c r="Z47" s="6">
        <f t="shared" si="22"/>
        <v>1.6767055821798076</v>
      </c>
    </row>
    <row r="48" spans="1:26" s="24" customFormat="1" hidden="1" outlineLevel="2" x14ac:dyDescent="0.25">
      <c r="A48" s="26"/>
      <c r="B48" s="11" t="str">
        <f>CONCATENATE("          ", "6003", " - ", "STAFF HOURLY-9 MONTH")</f>
        <v xml:space="preserve">          6003 - STAFF HOURLY-9 MONTH</v>
      </c>
      <c r="C48" s="11"/>
      <c r="D48" s="7"/>
      <c r="E48" s="2"/>
      <c r="F48" s="6">
        <f t="shared" si="15"/>
        <v>0</v>
      </c>
      <c r="G48" s="2"/>
      <c r="H48" s="7">
        <v>0</v>
      </c>
      <c r="I48" s="2"/>
      <c r="J48" s="6">
        <f t="shared" si="16"/>
        <v>0</v>
      </c>
      <c r="K48" s="2"/>
      <c r="L48" s="7">
        <f t="shared" si="17"/>
        <v>0</v>
      </c>
      <c r="M48" s="2"/>
      <c r="N48" s="6">
        <f t="shared" si="18"/>
        <v>0</v>
      </c>
      <c r="O48" s="11"/>
      <c r="P48" s="7"/>
      <c r="Q48" s="2"/>
      <c r="R48" s="6">
        <f t="shared" si="19"/>
        <v>0</v>
      </c>
      <c r="S48" s="2"/>
      <c r="T48" s="7">
        <v>0</v>
      </c>
      <c r="U48" s="2"/>
      <c r="V48" s="6">
        <f t="shared" si="20"/>
        <v>0</v>
      </c>
      <c r="W48" s="2"/>
      <c r="X48" s="7">
        <f t="shared" si="21"/>
        <v>0</v>
      </c>
      <c r="Y48" s="2"/>
      <c r="Z48" s="6">
        <f t="shared" si="22"/>
        <v>0</v>
      </c>
    </row>
    <row r="49" spans="1:26" s="24" customFormat="1" hidden="1" outlineLevel="2" x14ac:dyDescent="0.25">
      <c r="A49" s="26"/>
      <c r="B49" s="11" t="str">
        <f>CONCATENATE("          ", "6004", " - ", "STAFF HOURLY")</f>
        <v xml:space="preserve">          6004 - STAFF HOURLY</v>
      </c>
      <c r="C49" s="11"/>
      <c r="D49" s="7"/>
      <c r="E49" s="2"/>
      <c r="F49" s="6">
        <f t="shared" si="15"/>
        <v>0</v>
      </c>
      <c r="G49" s="2"/>
      <c r="H49" s="7">
        <v>3010</v>
      </c>
      <c r="I49" s="2"/>
      <c r="J49" s="6">
        <f t="shared" si="16"/>
        <v>6.2865497076023388E-2</v>
      </c>
      <c r="K49" s="2"/>
      <c r="L49" s="7">
        <f t="shared" si="17"/>
        <v>-3010</v>
      </c>
      <c r="M49" s="2"/>
      <c r="N49" s="6">
        <f t="shared" si="18"/>
        <v>-1</v>
      </c>
      <c r="O49" s="11"/>
      <c r="P49" s="7"/>
      <c r="Q49" s="2"/>
      <c r="R49" s="6">
        <f t="shared" si="19"/>
        <v>0</v>
      </c>
      <c r="S49" s="2"/>
      <c r="T49" s="7">
        <v>33530</v>
      </c>
      <c r="U49" s="2"/>
      <c r="V49" s="6">
        <f t="shared" si="20"/>
        <v>5.0280984175661035E-2</v>
      </c>
      <c r="W49" s="2"/>
      <c r="X49" s="7">
        <f t="shared" si="21"/>
        <v>-33530</v>
      </c>
      <c r="Y49" s="2"/>
      <c r="Z49" s="6">
        <f t="shared" si="22"/>
        <v>-1</v>
      </c>
    </row>
    <row r="50" spans="1:26" s="24" customFormat="1" hidden="1" outlineLevel="2" x14ac:dyDescent="0.25">
      <c r="A50" s="26"/>
      <c r="B50" s="11" t="str">
        <f>CONCATENATE("          ", "6005", " - ", "TEMPORARY WAGES-HOURLY")</f>
        <v xml:space="preserve">          6005 - TEMPORARY WAGES-HOURLY</v>
      </c>
      <c r="C50" s="11"/>
      <c r="D50" s="7"/>
      <c r="E50" s="2"/>
      <c r="F50" s="6">
        <f t="shared" si="15"/>
        <v>0</v>
      </c>
      <c r="G50" s="2"/>
      <c r="H50" s="7">
        <v>0</v>
      </c>
      <c r="I50" s="2"/>
      <c r="J50" s="6">
        <f t="shared" si="16"/>
        <v>0</v>
      </c>
      <c r="K50" s="2"/>
      <c r="L50" s="7">
        <f t="shared" si="17"/>
        <v>0</v>
      </c>
      <c r="M50" s="2"/>
      <c r="N50" s="6">
        <f t="shared" si="18"/>
        <v>0</v>
      </c>
      <c r="O50" s="11"/>
      <c r="P50" s="7">
        <v>18111.36</v>
      </c>
      <c r="Q50" s="2"/>
      <c r="R50" s="6">
        <f t="shared" si="19"/>
        <v>3.8277613893134478E-2</v>
      </c>
      <c r="S50" s="2"/>
      <c r="T50" s="7">
        <v>0</v>
      </c>
      <c r="U50" s="2"/>
      <c r="V50" s="6">
        <f t="shared" si="20"/>
        <v>0</v>
      </c>
      <c r="W50" s="2"/>
      <c r="X50" s="7">
        <f t="shared" si="21"/>
        <v>18111.36</v>
      </c>
      <c r="Y50" s="2"/>
      <c r="Z50" s="6">
        <f t="shared" si="22"/>
        <v>0</v>
      </c>
    </row>
    <row r="51" spans="1:26" s="24" customFormat="1" hidden="1" outlineLevel="2" x14ac:dyDescent="0.25">
      <c r="A51" s="26"/>
      <c r="B51" s="11" t="str">
        <f>CONCATENATE("          ", "6006", " - ", "TEMPORARY PART TIME")</f>
        <v xml:space="preserve">          6006 - TEMPORARY PART TIME</v>
      </c>
      <c r="C51" s="11"/>
      <c r="D51" s="7"/>
      <c r="E51" s="2"/>
      <c r="F51" s="6">
        <f t="shared" si="15"/>
        <v>0</v>
      </c>
      <c r="G51" s="2"/>
      <c r="H51" s="7">
        <v>0</v>
      </c>
      <c r="I51" s="2"/>
      <c r="J51" s="6">
        <f t="shared" si="16"/>
        <v>0</v>
      </c>
      <c r="K51" s="2"/>
      <c r="L51" s="7">
        <f t="shared" si="17"/>
        <v>0</v>
      </c>
      <c r="M51" s="2"/>
      <c r="N51" s="6">
        <f t="shared" si="18"/>
        <v>0</v>
      </c>
      <c r="O51" s="11"/>
      <c r="P51" s="7">
        <v>2451.21</v>
      </c>
      <c r="Q51" s="2"/>
      <c r="R51" s="6">
        <f t="shared" si="19"/>
        <v>5.1805314427514088E-3</v>
      </c>
      <c r="S51" s="2"/>
      <c r="T51" s="7">
        <v>0</v>
      </c>
      <c r="U51" s="2"/>
      <c r="V51" s="6">
        <f t="shared" si="20"/>
        <v>0</v>
      </c>
      <c r="W51" s="2"/>
      <c r="X51" s="7">
        <f t="shared" si="21"/>
        <v>2451.21</v>
      </c>
      <c r="Y51" s="2"/>
      <c r="Z51" s="6">
        <f t="shared" si="22"/>
        <v>0</v>
      </c>
    </row>
    <row r="52" spans="1:26" s="24" customFormat="1" hidden="1" outlineLevel="2" x14ac:dyDescent="0.25">
      <c r="A52" s="26"/>
      <c r="B52" s="11" t="str">
        <f>CONCATENATE("          ", "6007", " - ", "STUDENT HOURLY")</f>
        <v xml:space="preserve">          6007 - STUDENT HOURLY</v>
      </c>
      <c r="C52" s="11"/>
      <c r="D52" s="7"/>
      <c r="E52" s="2"/>
      <c r="F52" s="6">
        <f t="shared" si="15"/>
        <v>0</v>
      </c>
      <c r="G52" s="2"/>
      <c r="H52" s="7">
        <v>0</v>
      </c>
      <c r="I52" s="2"/>
      <c r="J52" s="6">
        <f t="shared" si="16"/>
        <v>0</v>
      </c>
      <c r="K52" s="2"/>
      <c r="L52" s="7">
        <f t="shared" si="17"/>
        <v>0</v>
      </c>
      <c r="M52" s="2"/>
      <c r="N52" s="6">
        <f t="shared" si="18"/>
        <v>0</v>
      </c>
      <c r="O52" s="11"/>
      <c r="P52" s="7">
        <v>31867.59</v>
      </c>
      <c r="Q52" s="2"/>
      <c r="R52" s="6">
        <f t="shared" si="19"/>
        <v>6.7350839789210373E-2</v>
      </c>
      <c r="S52" s="2"/>
      <c r="T52" s="7">
        <v>3756.1363631999998</v>
      </c>
      <c r="U52" s="2"/>
      <c r="V52" s="6">
        <f t="shared" si="20"/>
        <v>5.6326344479476339E-3</v>
      </c>
      <c r="W52" s="2"/>
      <c r="X52" s="7">
        <f t="shared" si="21"/>
        <v>28111.453636800001</v>
      </c>
      <c r="Y52" s="2"/>
      <c r="Z52" s="6">
        <f t="shared" si="22"/>
        <v>7.4841408613958711</v>
      </c>
    </row>
    <row r="53" spans="1:26" s="24" customFormat="1" hidden="1" outlineLevel="2" x14ac:dyDescent="0.25">
      <c r="A53" s="26"/>
      <c r="B53" s="11" t="str">
        <f>CONCATENATE("          ", "6008", " - ", "STUDENT HOURLY-FICA EXEMPT")</f>
        <v xml:space="preserve">          6008 - STUDENT HOURLY-FICA EXEMPT</v>
      </c>
      <c r="C53" s="11"/>
      <c r="D53" s="7"/>
      <c r="E53" s="2"/>
      <c r="F53" s="6">
        <f t="shared" si="15"/>
        <v>0</v>
      </c>
      <c r="G53" s="2"/>
      <c r="H53" s="7">
        <v>3703.9270334735997</v>
      </c>
      <c r="I53" s="2"/>
      <c r="J53" s="6">
        <f t="shared" si="16"/>
        <v>7.7358542887919796E-2</v>
      </c>
      <c r="K53" s="2"/>
      <c r="L53" s="7">
        <f t="shared" si="17"/>
        <v>-3703.9270334735997</v>
      </c>
      <c r="M53" s="2"/>
      <c r="N53" s="6">
        <f t="shared" si="18"/>
        <v>-1</v>
      </c>
      <c r="O53" s="11"/>
      <c r="P53" s="7"/>
      <c r="Q53" s="2"/>
      <c r="R53" s="6">
        <f t="shared" si="19"/>
        <v>0</v>
      </c>
      <c r="S53" s="2"/>
      <c r="T53" s="7">
        <v>40579.029545275203</v>
      </c>
      <c r="U53" s="2"/>
      <c r="V53" s="6">
        <f t="shared" si="20"/>
        <v>6.0851581939447182E-2</v>
      </c>
      <c r="W53" s="2"/>
      <c r="X53" s="7">
        <f t="shared" si="21"/>
        <v>-40579.029545275203</v>
      </c>
      <c r="Y53" s="2"/>
      <c r="Z53" s="6">
        <f t="shared" si="22"/>
        <v>-1</v>
      </c>
    </row>
    <row r="54" spans="1:26" s="24" customFormat="1" hidden="1" outlineLevel="2" x14ac:dyDescent="0.25">
      <c r="A54" s="26"/>
      <c r="B54" s="11" t="str">
        <f>CONCATENATE("          ", "6009", " - ", "TEMPORARY-SEASONAL")</f>
        <v xml:space="preserve">          6009 - TEMPORARY-SEASONAL</v>
      </c>
      <c r="C54" s="11"/>
      <c r="D54" s="7"/>
      <c r="E54" s="2"/>
      <c r="F54" s="6">
        <f t="shared" si="15"/>
        <v>0</v>
      </c>
      <c r="G54" s="2"/>
      <c r="H54" s="7">
        <v>0</v>
      </c>
      <c r="I54" s="2"/>
      <c r="J54" s="6">
        <f t="shared" si="16"/>
        <v>0</v>
      </c>
      <c r="K54" s="2"/>
      <c r="L54" s="7">
        <f t="shared" si="17"/>
        <v>0</v>
      </c>
      <c r="M54" s="2"/>
      <c r="N54" s="6">
        <f t="shared" si="18"/>
        <v>0</v>
      </c>
      <c r="O54" s="11"/>
      <c r="P54" s="7"/>
      <c r="Q54" s="2"/>
      <c r="R54" s="6">
        <f t="shared" si="19"/>
        <v>0</v>
      </c>
      <c r="S54" s="2"/>
      <c r="T54" s="7">
        <v>0</v>
      </c>
      <c r="U54" s="2"/>
      <c r="V54" s="6">
        <f t="shared" si="20"/>
        <v>0</v>
      </c>
      <c r="W54" s="2"/>
      <c r="X54" s="7">
        <f t="shared" si="21"/>
        <v>0</v>
      </c>
      <c r="Y54" s="2"/>
      <c r="Z54" s="6">
        <f t="shared" si="22"/>
        <v>0</v>
      </c>
    </row>
    <row r="55" spans="1:26" s="24" customFormat="1" hidden="1" outlineLevel="2" x14ac:dyDescent="0.25">
      <c r="A55" s="26"/>
      <c r="B55" s="11" t="str">
        <f>CONCATENATE("          ", "6010", " - ", "GRATUITY")</f>
        <v xml:space="preserve">          6010 - GRATUITY</v>
      </c>
      <c r="C55" s="11"/>
      <c r="D55" s="7"/>
      <c r="E55" s="2"/>
      <c r="F55" s="6">
        <f t="shared" si="15"/>
        <v>0</v>
      </c>
      <c r="G55" s="2"/>
      <c r="H55" s="7">
        <v>0</v>
      </c>
      <c r="I55" s="2"/>
      <c r="J55" s="6">
        <f t="shared" si="16"/>
        <v>0</v>
      </c>
      <c r="K55" s="2"/>
      <c r="L55" s="7">
        <f t="shared" si="17"/>
        <v>0</v>
      </c>
      <c r="M55" s="2"/>
      <c r="N55" s="6">
        <f t="shared" si="18"/>
        <v>0</v>
      </c>
      <c r="O55" s="11"/>
      <c r="P55" s="7"/>
      <c r="Q55" s="2"/>
      <c r="R55" s="6">
        <f t="shared" si="19"/>
        <v>0</v>
      </c>
      <c r="S55" s="2"/>
      <c r="T55" s="7">
        <v>0</v>
      </c>
      <c r="U55" s="2"/>
      <c r="V55" s="6">
        <f t="shared" si="20"/>
        <v>0</v>
      </c>
      <c r="W55" s="2"/>
      <c r="X55" s="7">
        <f t="shared" si="21"/>
        <v>0</v>
      </c>
      <c r="Y55" s="2"/>
      <c r="Z55" s="6">
        <f t="shared" si="22"/>
        <v>0</v>
      </c>
    </row>
    <row r="56" spans="1:26" s="27" customFormat="1" outlineLevel="1" collapsed="1" x14ac:dyDescent="0.25">
      <c r="A56" s="25"/>
      <c r="B56" s="12" t="str">
        <f>CONCATENATE("     ","Advertising/Promo                                 ")</f>
        <v xml:space="preserve">     Advertising/Promo                                 </v>
      </c>
      <c r="C56" s="12"/>
      <c r="D56" s="1">
        <f>SUM(OSRRefD22_2x_0)</f>
        <v>0</v>
      </c>
      <c r="E56" s="1"/>
      <c r="F56" s="5">
        <f t="shared" ref="F56:F72" si="23">IF(D$12=0,0,D56/D$12)</f>
        <v>0</v>
      </c>
      <c r="G56" s="1"/>
      <c r="H56" s="1">
        <f>SUM(OSRRefH22_2x_0)</f>
        <v>100</v>
      </c>
      <c r="I56" s="1"/>
      <c r="J56" s="5">
        <f t="shared" ref="J56:J72" si="24">IF(H$12=0,0,H56/H$12)</f>
        <v>2.0885547201336674E-3</v>
      </c>
      <c r="K56" s="1"/>
      <c r="L56" s="1">
        <f t="shared" ref="L56:L72" si="25">+D56-H56</f>
        <v>-100</v>
      </c>
      <c r="M56" s="1"/>
      <c r="N56" s="5">
        <f t="shared" ref="N56:N72" si="26">IF(H56=0,0,L56/H56)</f>
        <v>-1</v>
      </c>
      <c r="O56" s="12"/>
      <c r="P56" s="1">
        <f>SUM(OSRRefP22_2x_0)</f>
        <v>751</v>
      </c>
      <c r="Q56" s="1"/>
      <c r="R56" s="5">
        <f t="shared" ref="R56:R72" si="27">IF(P$12=0,0,P56/P$12)</f>
        <v>1.5872075887036639E-3</v>
      </c>
      <c r="S56" s="1"/>
      <c r="T56" s="1">
        <f>SUM(OSRRefT22_2x_0)</f>
        <v>1100</v>
      </c>
      <c r="U56" s="1"/>
      <c r="V56" s="5">
        <f t="shared" ref="V56:V72" si="28">IF(T$12=0,0,T56/T$12)</f>
        <v>1.6495401906718502E-3</v>
      </c>
      <c r="W56" s="1"/>
      <c r="X56" s="1">
        <f t="shared" ref="X56:X72" si="29">+P56-T56</f>
        <v>-349</v>
      </c>
      <c r="Y56" s="1"/>
      <c r="Z56" s="5">
        <f t="shared" ref="Z56:Z72" si="30">IF(T56=0,0,X56/T56)</f>
        <v>-0.31727272727272726</v>
      </c>
    </row>
    <row r="57" spans="1:26" s="24" customFormat="1" hidden="1" outlineLevel="2" x14ac:dyDescent="0.25">
      <c r="A57" s="26"/>
      <c r="B57" s="11" t="str">
        <f>CONCATENATE("          ", "6362", " - ", "ADVERTISING EXPENSE")</f>
        <v xml:space="preserve">          6362 - ADVERTISING EXPENSE</v>
      </c>
      <c r="C57" s="11"/>
      <c r="D57" s="7"/>
      <c r="E57" s="2"/>
      <c r="F57" s="6">
        <f t="shared" si="23"/>
        <v>0</v>
      </c>
      <c r="G57" s="2"/>
      <c r="H57" s="7">
        <v>100</v>
      </c>
      <c r="I57" s="2"/>
      <c r="J57" s="6">
        <f t="shared" si="24"/>
        <v>2.0885547201336674E-3</v>
      </c>
      <c r="K57" s="2"/>
      <c r="L57" s="7">
        <f t="shared" si="25"/>
        <v>-100</v>
      </c>
      <c r="M57" s="2"/>
      <c r="N57" s="6">
        <f t="shared" si="26"/>
        <v>-1</v>
      </c>
      <c r="O57" s="11"/>
      <c r="P57" s="7">
        <v>751</v>
      </c>
      <c r="Q57" s="2"/>
      <c r="R57" s="6">
        <f t="shared" si="27"/>
        <v>1.5872075887036639E-3</v>
      </c>
      <c r="S57" s="2"/>
      <c r="T57" s="7">
        <v>1100</v>
      </c>
      <c r="U57" s="2"/>
      <c r="V57" s="6">
        <f t="shared" si="28"/>
        <v>1.6495401906718502E-3</v>
      </c>
      <c r="W57" s="2"/>
      <c r="X57" s="7">
        <f t="shared" si="29"/>
        <v>-349</v>
      </c>
      <c r="Y57" s="2"/>
      <c r="Z57" s="6">
        <f t="shared" si="30"/>
        <v>-0.31727272727272726</v>
      </c>
    </row>
    <row r="58" spans="1:26" s="27" customFormat="1" outlineLevel="1" collapsed="1" x14ac:dyDescent="0.25">
      <c r="A58" s="25"/>
      <c r="B58" s="12" t="str">
        <f>CONCATENATE("     ","Depreciation                                      ")</f>
        <v xml:space="preserve">     Depreciation                                      </v>
      </c>
      <c r="C58" s="12"/>
      <c r="D58" s="1">
        <f>SUM(OSRRefD22_3x_0)</f>
        <v>169.88</v>
      </c>
      <c r="E58" s="1"/>
      <c r="F58" s="5">
        <f t="shared" si="23"/>
        <v>5.7466637349254938E-2</v>
      </c>
      <c r="G58" s="1"/>
      <c r="H58" s="1">
        <f>SUM(OSRRefH22_3x_0)</f>
        <v>0</v>
      </c>
      <c r="I58" s="1"/>
      <c r="J58" s="5">
        <f t="shared" si="24"/>
        <v>0</v>
      </c>
      <c r="K58" s="1"/>
      <c r="L58" s="1">
        <f t="shared" si="25"/>
        <v>169.88</v>
      </c>
      <c r="M58" s="1"/>
      <c r="N58" s="5">
        <f t="shared" si="26"/>
        <v>0</v>
      </c>
      <c r="O58" s="12"/>
      <c r="P58" s="1">
        <f>SUM(OSRRefP22_3x_0)</f>
        <v>1019.28</v>
      </c>
      <c r="Q58" s="1"/>
      <c r="R58" s="5">
        <f t="shared" si="27"/>
        <v>2.1542063262501602E-3</v>
      </c>
      <c r="S58" s="1"/>
      <c r="T58" s="1">
        <f>SUM(OSRRefT22_3x_0)</f>
        <v>0</v>
      </c>
      <c r="U58" s="1"/>
      <c r="V58" s="5">
        <f t="shared" si="28"/>
        <v>0</v>
      </c>
      <c r="W58" s="1"/>
      <c r="X58" s="1">
        <f t="shared" si="29"/>
        <v>1019.28</v>
      </c>
      <c r="Y58" s="1"/>
      <c r="Z58" s="5">
        <f t="shared" si="30"/>
        <v>0</v>
      </c>
    </row>
    <row r="59" spans="1:26" s="24" customFormat="1" hidden="1" outlineLevel="2" x14ac:dyDescent="0.25">
      <c r="A59" s="26"/>
      <c r="B59" s="11" t="str">
        <f>CONCATENATE("          ", "6322", " - ", "EQUIPMENT DEPRECIATION EXPENSE")</f>
        <v xml:space="preserve">          6322 - EQUIPMENT DEPRECIATION EXPENSE</v>
      </c>
      <c r="C59" s="11"/>
      <c r="D59" s="7">
        <v>169.88</v>
      </c>
      <c r="E59" s="2"/>
      <c r="F59" s="6">
        <f t="shared" si="23"/>
        <v>5.7466637349254938E-2</v>
      </c>
      <c r="G59" s="2"/>
      <c r="H59" s="7">
        <v>0</v>
      </c>
      <c r="I59" s="2"/>
      <c r="J59" s="6">
        <f t="shared" si="24"/>
        <v>0</v>
      </c>
      <c r="K59" s="2"/>
      <c r="L59" s="7">
        <f t="shared" si="25"/>
        <v>169.88</v>
      </c>
      <c r="M59" s="2"/>
      <c r="N59" s="6">
        <f t="shared" si="26"/>
        <v>0</v>
      </c>
      <c r="O59" s="11"/>
      <c r="P59" s="7">
        <v>1019.28</v>
      </c>
      <c r="Q59" s="2"/>
      <c r="R59" s="6">
        <f t="shared" si="27"/>
        <v>2.1542063262501602E-3</v>
      </c>
      <c r="S59" s="2"/>
      <c r="T59" s="7">
        <v>0</v>
      </c>
      <c r="U59" s="2"/>
      <c r="V59" s="6">
        <f t="shared" si="28"/>
        <v>0</v>
      </c>
      <c r="W59" s="2"/>
      <c r="X59" s="7">
        <f t="shared" si="29"/>
        <v>1019.28</v>
      </c>
      <c r="Y59" s="2"/>
      <c r="Z59" s="6">
        <f t="shared" si="30"/>
        <v>0</v>
      </c>
    </row>
    <row r="60" spans="1:26" s="27" customFormat="1" outlineLevel="1" collapsed="1" x14ac:dyDescent="0.25">
      <c r="A60" s="25"/>
      <c r="B60" s="12" t="str">
        <f>CONCATENATE("     ","Discounts and Markdowns                           ")</f>
        <v xml:space="preserve">     Discounts and Markdowns                           </v>
      </c>
      <c r="C60" s="12"/>
      <c r="D60" s="1">
        <f>SUM(OSRRefD22_4x_0)</f>
        <v>0</v>
      </c>
      <c r="E60" s="1"/>
      <c r="F60" s="5">
        <f t="shared" si="23"/>
        <v>0</v>
      </c>
      <c r="G60" s="1"/>
      <c r="H60" s="1">
        <f>SUM(OSRRefH22_4x_0)</f>
        <v>500</v>
      </c>
      <c r="I60" s="1"/>
      <c r="J60" s="5">
        <f t="shared" si="24"/>
        <v>1.0442773600668337E-2</v>
      </c>
      <c r="K60" s="1"/>
      <c r="L60" s="1">
        <f t="shared" si="25"/>
        <v>-500</v>
      </c>
      <c r="M60" s="1"/>
      <c r="N60" s="5">
        <f t="shared" si="26"/>
        <v>-1</v>
      </c>
      <c r="O60" s="12"/>
      <c r="P60" s="1">
        <f>SUM(OSRRefP22_4x_0)</f>
        <v>726.07</v>
      </c>
      <c r="Q60" s="1"/>
      <c r="R60" s="5">
        <f t="shared" si="27"/>
        <v>1.5345190598269897E-3</v>
      </c>
      <c r="S60" s="1"/>
      <c r="T60" s="1">
        <f>SUM(OSRRefT22_4x_0)</f>
        <v>6700</v>
      </c>
      <c r="U60" s="1"/>
      <c r="V60" s="5">
        <f t="shared" si="28"/>
        <v>1.0047199343183088E-2</v>
      </c>
      <c r="W60" s="1"/>
      <c r="X60" s="1">
        <f t="shared" si="29"/>
        <v>-5973.93</v>
      </c>
      <c r="Y60" s="1"/>
      <c r="Z60" s="5">
        <f t="shared" si="30"/>
        <v>-0.89163134328358218</v>
      </c>
    </row>
    <row r="61" spans="1:26" s="24" customFormat="1" hidden="1" outlineLevel="2" x14ac:dyDescent="0.25">
      <c r="A61" s="26"/>
      <c r="B61" s="11" t="str">
        <f>CONCATENATE("          ", "6382", " - ", "DISCOUNTS/MARK DOWNS")</f>
        <v xml:space="preserve">          6382 - DISCOUNTS/MARK DOWNS</v>
      </c>
      <c r="C61" s="11"/>
      <c r="D61" s="7"/>
      <c r="E61" s="2"/>
      <c r="F61" s="6">
        <f t="shared" si="23"/>
        <v>0</v>
      </c>
      <c r="G61" s="2"/>
      <c r="H61" s="7">
        <v>500</v>
      </c>
      <c r="I61" s="2"/>
      <c r="J61" s="6">
        <f t="shared" si="24"/>
        <v>1.0442773600668337E-2</v>
      </c>
      <c r="K61" s="2"/>
      <c r="L61" s="7">
        <f t="shared" si="25"/>
        <v>-500</v>
      </c>
      <c r="M61" s="2"/>
      <c r="N61" s="6">
        <f t="shared" si="26"/>
        <v>-1</v>
      </c>
      <c r="O61" s="11"/>
      <c r="P61" s="7">
        <v>726.07</v>
      </c>
      <c r="Q61" s="2"/>
      <c r="R61" s="6">
        <f t="shared" si="27"/>
        <v>1.5345190598269897E-3</v>
      </c>
      <c r="S61" s="2"/>
      <c r="T61" s="7">
        <v>6700</v>
      </c>
      <c r="U61" s="2"/>
      <c r="V61" s="6">
        <f t="shared" si="28"/>
        <v>1.0047199343183088E-2</v>
      </c>
      <c r="W61" s="2"/>
      <c r="X61" s="7">
        <f t="shared" si="29"/>
        <v>-5973.93</v>
      </c>
      <c r="Y61" s="2"/>
      <c r="Z61" s="6">
        <f t="shared" si="30"/>
        <v>-0.89163134328358218</v>
      </c>
    </row>
    <row r="62" spans="1:26" s="27" customFormat="1" outlineLevel="1" collapsed="1" x14ac:dyDescent="0.25">
      <c r="A62" s="25"/>
      <c r="B62" s="12" t="str">
        <f>CONCATENATE("     ","Employees' Appreciation                           ")</f>
        <v xml:space="preserve">     Employees' Appreciation                           </v>
      </c>
      <c r="C62" s="12"/>
      <c r="D62" s="1">
        <f>SUM(OSRRefD22_5x_0)</f>
        <v>0</v>
      </c>
      <c r="E62" s="1"/>
      <c r="F62" s="5">
        <f t="shared" si="23"/>
        <v>0</v>
      </c>
      <c r="G62" s="1"/>
      <c r="H62" s="1">
        <f>SUM(OSRRefH22_5x_0)</f>
        <v>100</v>
      </c>
      <c r="I62" s="1"/>
      <c r="J62" s="5">
        <f t="shared" si="24"/>
        <v>2.0885547201336674E-3</v>
      </c>
      <c r="K62" s="1"/>
      <c r="L62" s="1">
        <f t="shared" si="25"/>
        <v>-100</v>
      </c>
      <c r="M62" s="1"/>
      <c r="N62" s="5">
        <f t="shared" si="26"/>
        <v>-1</v>
      </c>
      <c r="O62" s="12"/>
      <c r="P62" s="1">
        <f>SUM(OSRRefP22_5x_0)</f>
        <v>0</v>
      </c>
      <c r="Q62" s="1"/>
      <c r="R62" s="5">
        <f t="shared" si="27"/>
        <v>0</v>
      </c>
      <c r="S62" s="1"/>
      <c r="T62" s="1">
        <f>SUM(OSRRefT22_5x_0)</f>
        <v>1100</v>
      </c>
      <c r="U62" s="1"/>
      <c r="V62" s="5">
        <f t="shared" si="28"/>
        <v>1.6495401906718502E-3</v>
      </c>
      <c r="W62" s="1"/>
      <c r="X62" s="1">
        <f t="shared" si="29"/>
        <v>-1100</v>
      </c>
      <c r="Y62" s="1"/>
      <c r="Z62" s="5">
        <f t="shared" si="30"/>
        <v>-1</v>
      </c>
    </row>
    <row r="63" spans="1:26" s="24" customFormat="1" hidden="1" outlineLevel="2" x14ac:dyDescent="0.25">
      <c r="A63" s="26"/>
      <c r="B63" s="11" t="str">
        <f>CONCATENATE("          ", "6277", " - ", "EMPLOYEE APPRECIATION")</f>
        <v xml:space="preserve">          6277 - EMPLOYEE APPRECIATION</v>
      </c>
      <c r="C63" s="11"/>
      <c r="D63" s="7"/>
      <c r="E63" s="2"/>
      <c r="F63" s="6">
        <f t="shared" si="23"/>
        <v>0</v>
      </c>
      <c r="G63" s="2"/>
      <c r="H63" s="7">
        <v>100</v>
      </c>
      <c r="I63" s="2"/>
      <c r="J63" s="6">
        <f t="shared" si="24"/>
        <v>2.0885547201336674E-3</v>
      </c>
      <c r="K63" s="2"/>
      <c r="L63" s="7">
        <f t="shared" si="25"/>
        <v>-100</v>
      </c>
      <c r="M63" s="2"/>
      <c r="N63" s="6">
        <f t="shared" si="26"/>
        <v>-1</v>
      </c>
      <c r="O63" s="11"/>
      <c r="P63" s="7"/>
      <c r="Q63" s="2"/>
      <c r="R63" s="6">
        <f t="shared" si="27"/>
        <v>0</v>
      </c>
      <c r="S63" s="2"/>
      <c r="T63" s="7">
        <v>1100</v>
      </c>
      <c r="U63" s="2"/>
      <c r="V63" s="6">
        <f t="shared" si="28"/>
        <v>1.6495401906718502E-3</v>
      </c>
      <c r="W63" s="2"/>
      <c r="X63" s="7">
        <f t="shared" si="29"/>
        <v>-1100</v>
      </c>
      <c r="Y63" s="2"/>
      <c r="Z63" s="6">
        <f t="shared" si="30"/>
        <v>-1</v>
      </c>
    </row>
    <row r="64" spans="1:26" s="27" customFormat="1" outlineLevel="1" collapsed="1" x14ac:dyDescent="0.25">
      <c r="A64" s="25"/>
      <c r="B64" s="12" t="str">
        <f>CONCATENATE("     ","Equipment Rental                                  ")</f>
        <v xml:space="preserve">     Equipment Rental                                  </v>
      </c>
      <c r="C64" s="12"/>
      <c r="D64" s="1">
        <f>SUM(OSRRefD22_6x_0)</f>
        <v>1205.6400000000001</v>
      </c>
      <c r="E64" s="1"/>
      <c r="F64" s="5">
        <f t="shared" si="23"/>
        <v>0.40784128004329956</v>
      </c>
      <c r="G64" s="1"/>
      <c r="H64" s="1">
        <f>SUM(OSRRefH22_6x_0)</f>
        <v>3000</v>
      </c>
      <c r="I64" s="1"/>
      <c r="J64" s="5">
        <f t="shared" si="24"/>
        <v>6.2656641604010022E-2</v>
      </c>
      <c r="K64" s="1"/>
      <c r="L64" s="1">
        <f t="shared" si="25"/>
        <v>-1794.36</v>
      </c>
      <c r="M64" s="1"/>
      <c r="N64" s="5">
        <f t="shared" si="26"/>
        <v>-0.59811999999999999</v>
      </c>
      <c r="O64" s="12"/>
      <c r="P64" s="1">
        <f>SUM(OSRRefP22_6x_0)</f>
        <v>16081.710000000001</v>
      </c>
      <c r="Q64" s="1"/>
      <c r="R64" s="5">
        <f t="shared" si="27"/>
        <v>3.3988032158896939E-2</v>
      </c>
      <c r="S64" s="1"/>
      <c r="T64" s="1">
        <f>SUM(OSRRefT22_6x_0)</f>
        <v>33000</v>
      </c>
      <c r="U64" s="1"/>
      <c r="V64" s="5">
        <f t="shared" si="28"/>
        <v>4.948620572015551E-2</v>
      </c>
      <c r="W64" s="1"/>
      <c r="X64" s="1">
        <f t="shared" si="29"/>
        <v>-16918.29</v>
      </c>
      <c r="Y64" s="1"/>
      <c r="Z64" s="5">
        <f t="shared" si="30"/>
        <v>-0.5126754545454546</v>
      </c>
    </row>
    <row r="65" spans="1:26" s="24" customFormat="1" hidden="1" outlineLevel="2" x14ac:dyDescent="0.25">
      <c r="A65" s="26"/>
      <c r="B65" s="11" t="str">
        <f>CONCATENATE("          ", "6351", " - ", "EQUIPMENT RENTAL")</f>
        <v xml:space="preserve">          6351 - EQUIPMENT RENTAL</v>
      </c>
      <c r="C65" s="11"/>
      <c r="D65" s="7">
        <v>1205.6400000000001</v>
      </c>
      <c r="E65" s="2"/>
      <c r="F65" s="6">
        <f t="shared" si="23"/>
        <v>0.40784128004329956</v>
      </c>
      <c r="G65" s="2"/>
      <c r="H65" s="7">
        <v>3000</v>
      </c>
      <c r="I65" s="2"/>
      <c r="J65" s="6">
        <f t="shared" si="24"/>
        <v>6.2656641604010022E-2</v>
      </c>
      <c r="K65" s="2"/>
      <c r="L65" s="7">
        <f t="shared" si="25"/>
        <v>-1794.36</v>
      </c>
      <c r="M65" s="2"/>
      <c r="N65" s="6">
        <f t="shared" si="26"/>
        <v>-0.59811999999999999</v>
      </c>
      <c r="O65" s="11"/>
      <c r="P65" s="7">
        <v>16081.710000000001</v>
      </c>
      <c r="Q65" s="2"/>
      <c r="R65" s="6">
        <f t="shared" si="27"/>
        <v>3.3988032158896939E-2</v>
      </c>
      <c r="S65" s="2"/>
      <c r="T65" s="7">
        <v>33000</v>
      </c>
      <c r="U65" s="2"/>
      <c r="V65" s="6">
        <f t="shared" si="28"/>
        <v>4.948620572015551E-2</v>
      </c>
      <c r="W65" s="2"/>
      <c r="X65" s="7">
        <f t="shared" si="29"/>
        <v>-16918.29</v>
      </c>
      <c r="Y65" s="2"/>
      <c r="Z65" s="6">
        <f t="shared" si="30"/>
        <v>-0.5126754545454546</v>
      </c>
    </row>
    <row r="66" spans="1:26" s="27" customFormat="1" outlineLevel="1" collapsed="1" x14ac:dyDescent="0.25">
      <c r="A66" s="25"/>
      <c r="B66" s="12" t="str">
        <f>CONCATENATE("     ","Freight out/Postage                               ")</f>
        <v xml:space="preserve">     Freight out/Postage                               </v>
      </c>
      <c r="C66" s="12"/>
      <c r="D66" s="1">
        <f>SUM(OSRRefD22_7x_0)</f>
        <v>0</v>
      </c>
      <c r="E66" s="1"/>
      <c r="F66" s="5">
        <f t="shared" si="23"/>
        <v>0</v>
      </c>
      <c r="G66" s="1"/>
      <c r="H66" s="1">
        <f>SUM(OSRRefH22_7x_0)</f>
        <v>-300</v>
      </c>
      <c r="I66" s="1"/>
      <c r="J66" s="5">
        <f t="shared" si="24"/>
        <v>-6.2656641604010022E-3</v>
      </c>
      <c r="K66" s="1"/>
      <c r="L66" s="1">
        <f t="shared" si="25"/>
        <v>300</v>
      </c>
      <c r="M66" s="1"/>
      <c r="N66" s="5">
        <f t="shared" si="26"/>
        <v>-1</v>
      </c>
      <c r="O66" s="12"/>
      <c r="P66" s="1">
        <f>SUM(OSRRefP22_7x_0)</f>
        <v>15.02</v>
      </c>
      <c r="Q66" s="1"/>
      <c r="R66" s="5">
        <f t="shared" si="27"/>
        <v>3.1744151774073276E-5</v>
      </c>
      <c r="S66" s="1"/>
      <c r="T66" s="1">
        <f>SUM(OSRRefT22_7x_0)</f>
        <v>-3300</v>
      </c>
      <c r="U66" s="1"/>
      <c r="V66" s="5">
        <f t="shared" si="28"/>
        <v>-4.9486205720155503E-3</v>
      </c>
      <c r="W66" s="1"/>
      <c r="X66" s="1">
        <f t="shared" si="29"/>
        <v>3315.02</v>
      </c>
      <c r="Y66" s="1"/>
      <c r="Z66" s="5">
        <f t="shared" si="30"/>
        <v>-1.0045515151515152</v>
      </c>
    </row>
    <row r="67" spans="1:26" s="24" customFormat="1" hidden="1" outlineLevel="2" x14ac:dyDescent="0.25">
      <c r="A67" s="26"/>
      <c r="B67" s="11" t="str">
        <f>CONCATENATE("          ", "6305", " - ", "FREIGHT OUT")</f>
        <v xml:space="preserve">          6305 - FREIGHT OUT</v>
      </c>
      <c r="C67" s="11"/>
      <c r="D67" s="7"/>
      <c r="E67" s="2"/>
      <c r="F67" s="6">
        <f t="shared" si="23"/>
        <v>0</v>
      </c>
      <c r="G67" s="2"/>
      <c r="H67" s="7">
        <v>-300</v>
      </c>
      <c r="I67" s="2"/>
      <c r="J67" s="6">
        <f t="shared" si="24"/>
        <v>-6.2656641604010022E-3</v>
      </c>
      <c r="K67" s="2"/>
      <c r="L67" s="7">
        <f t="shared" si="25"/>
        <v>300</v>
      </c>
      <c r="M67" s="2"/>
      <c r="N67" s="6">
        <f t="shared" si="26"/>
        <v>-1</v>
      </c>
      <c r="O67" s="11"/>
      <c r="P67" s="7">
        <v>15.02</v>
      </c>
      <c r="Q67" s="2"/>
      <c r="R67" s="6">
        <f t="shared" si="27"/>
        <v>3.1744151774073276E-5</v>
      </c>
      <c r="S67" s="2"/>
      <c r="T67" s="7">
        <v>-3300</v>
      </c>
      <c r="U67" s="2"/>
      <c r="V67" s="6">
        <f t="shared" si="28"/>
        <v>-4.9486205720155503E-3</v>
      </c>
      <c r="W67" s="2"/>
      <c r="X67" s="7">
        <f t="shared" si="29"/>
        <v>3315.02</v>
      </c>
      <c r="Y67" s="2"/>
      <c r="Z67" s="6">
        <f t="shared" si="30"/>
        <v>-1.0045515151515152</v>
      </c>
    </row>
    <row r="68" spans="1:26" s="27" customFormat="1" outlineLevel="1" collapsed="1" x14ac:dyDescent="0.25">
      <c r="A68" s="25"/>
      <c r="B68" s="12" t="str">
        <f>CONCATENATE("     ","General                                           ")</f>
        <v xml:space="preserve">     General                                           </v>
      </c>
      <c r="C68" s="12"/>
      <c r="D68" s="1">
        <f>SUM(OSRRefD22_8x_0)</f>
        <v>0</v>
      </c>
      <c r="E68" s="1"/>
      <c r="F68" s="5">
        <f t="shared" si="23"/>
        <v>0</v>
      </c>
      <c r="G68" s="1"/>
      <c r="H68" s="1">
        <f>SUM(OSRRefH22_8x_0)</f>
        <v>200</v>
      </c>
      <c r="I68" s="1"/>
      <c r="J68" s="5">
        <f t="shared" si="24"/>
        <v>4.1771094402673348E-3</v>
      </c>
      <c r="K68" s="1"/>
      <c r="L68" s="1">
        <f t="shared" si="25"/>
        <v>-200</v>
      </c>
      <c r="M68" s="1"/>
      <c r="N68" s="5">
        <f t="shared" si="26"/>
        <v>-1</v>
      </c>
      <c r="O68" s="12"/>
      <c r="P68" s="1">
        <f>SUM(OSRRefP22_8x_0)</f>
        <v>75</v>
      </c>
      <c r="Q68" s="1"/>
      <c r="R68" s="5">
        <f t="shared" si="27"/>
        <v>1.5850941298638455E-4</v>
      </c>
      <c r="S68" s="1"/>
      <c r="T68" s="1">
        <f>SUM(OSRRefT22_8x_0)</f>
        <v>2200</v>
      </c>
      <c r="U68" s="1"/>
      <c r="V68" s="5">
        <f t="shared" si="28"/>
        <v>3.2990803813437003E-3</v>
      </c>
      <c r="W68" s="1"/>
      <c r="X68" s="1">
        <f t="shared" si="29"/>
        <v>-2125</v>
      </c>
      <c r="Y68" s="1"/>
      <c r="Z68" s="5">
        <f t="shared" si="30"/>
        <v>-0.96590909090909094</v>
      </c>
    </row>
    <row r="69" spans="1:26" s="24" customFormat="1" hidden="1" outlineLevel="2" x14ac:dyDescent="0.25">
      <c r="A69" s="26"/>
      <c r="B69" s="11" t="str">
        <f>CONCATENATE("          ", "6279", " - ", "GENERAL EXPENSE")</f>
        <v xml:space="preserve">          6279 - GENERAL EXPENSE</v>
      </c>
      <c r="C69" s="11"/>
      <c r="D69" s="7"/>
      <c r="E69" s="2"/>
      <c r="F69" s="6">
        <f t="shared" si="23"/>
        <v>0</v>
      </c>
      <c r="G69" s="2"/>
      <c r="H69" s="7">
        <v>200</v>
      </c>
      <c r="I69" s="2"/>
      <c r="J69" s="6">
        <f t="shared" si="24"/>
        <v>4.1771094402673348E-3</v>
      </c>
      <c r="K69" s="2"/>
      <c r="L69" s="7">
        <f t="shared" si="25"/>
        <v>-200</v>
      </c>
      <c r="M69" s="2"/>
      <c r="N69" s="6">
        <f t="shared" si="26"/>
        <v>-1</v>
      </c>
      <c r="O69" s="11"/>
      <c r="P69" s="7">
        <v>75</v>
      </c>
      <c r="Q69" s="2"/>
      <c r="R69" s="6">
        <f t="shared" si="27"/>
        <v>1.5850941298638455E-4</v>
      </c>
      <c r="S69" s="2"/>
      <c r="T69" s="7">
        <v>2200</v>
      </c>
      <c r="U69" s="2"/>
      <c r="V69" s="6">
        <f t="shared" si="28"/>
        <v>3.2990803813437003E-3</v>
      </c>
      <c r="W69" s="2"/>
      <c r="X69" s="7">
        <f t="shared" si="29"/>
        <v>-2125</v>
      </c>
      <c r="Y69" s="2"/>
      <c r="Z69" s="6">
        <f t="shared" si="30"/>
        <v>-0.96590909090909094</v>
      </c>
    </row>
    <row r="70" spans="1:26" s="27" customFormat="1" outlineLevel="1" collapsed="1" x14ac:dyDescent="0.25">
      <c r="A70" s="25"/>
      <c r="B70" s="12" t="str">
        <f>CONCATENATE("     ","Repair and Maintenance                            ")</f>
        <v xml:space="preserve">     Repair and Maintenance                            </v>
      </c>
      <c r="C70" s="12"/>
      <c r="D70" s="1">
        <f>SUM(OSRRefD22_9x_0)</f>
        <v>353.37</v>
      </c>
      <c r="E70" s="1"/>
      <c r="F70" s="5">
        <f t="shared" si="23"/>
        <v>0.11953723593187085</v>
      </c>
      <c r="G70" s="1"/>
      <c r="H70" s="1">
        <f>SUM(OSRRefH22_9x_0)</f>
        <v>7000</v>
      </c>
      <c r="I70" s="1"/>
      <c r="J70" s="5">
        <f t="shared" si="24"/>
        <v>0.14619883040935672</v>
      </c>
      <c r="K70" s="1"/>
      <c r="L70" s="1">
        <f t="shared" si="25"/>
        <v>-6646.63</v>
      </c>
      <c r="M70" s="1"/>
      <c r="N70" s="5">
        <f t="shared" si="26"/>
        <v>-0.94951857142857143</v>
      </c>
      <c r="O70" s="12"/>
      <c r="P70" s="1">
        <f>SUM(OSRRefP22_9x_0)</f>
        <v>66267.679999999993</v>
      </c>
      <c r="Q70" s="1"/>
      <c r="R70" s="5">
        <f t="shared" si="27"/>
        <v>0.140054014090261</v>
      </c>
      <c r="S70" s="1"/>
      <c r="T70" s="1">
        <f>SUM(OSRRefT22_9x_0)</f>
        <v>77000</v>
      </c>
      <c r="U70" s="1"/>
      <c r="V70" s="5">
        <f t="shared" si="28"/>
        <v>0.11546781334702952</v>
      </c>
      <c r="W70" s="1"/>
      <c r="X70" s="1">
        <f t="shared" si="29"/>
        <v>-10732.320000000007</v>
      </c>
      <c r="Y70" s="1"/>
      <c r="Z70" s="5">
        <f t="shared" si="30"/>
        <v>-0.13938077922077932</v>
      </c>
    </row>
    <row r="71" spans="1:26" s="24" customFormat="1" hidden="1" outlineLevel="2" x14ac:dyDescent="0.25">
      <c r="A71" s="26"/>
      <c r="B71" s="11" t="str">
        <f>CONCATENATE("          ", "6373", " - ", "MAINTENANCE CONTRACTS")</f>
        <v xml:space="preserve">          6373 - MAINTENANCE CONTRACTS</v>
      </c>
      <c r="C71" s="11"/>
      <c r="D71" s="7">
        <v>353.37</v>
      </c>
      <c r="E71" s="2"/>
      <c r="F71" s="6">
        <f t="shared" si="23"/>
        <v>0.11953723593187085</v>
      </c>
      <c r="G71" s="2"/>
      <c r="H71" s="7">
        <v>7000</v>
      </c>
      <c r="I71" s="2"/>
      <c r="J71" s="6">
        <f t="shared" si="24"/>
        <v>0.14619883040935672</v>
      </c>
      <c r="K71" s="2"/>
      <c r="L71" s="7">
        <f t="shared" si="25"/>
        <v>-6646.63</v>
      </c>
      <c r="M71" s="2"/>
      <c r="N71" s="6">
        <f t="shared" si="26"/>
        <v>-0.94951857142857143</v>
      </c>
      <c r="O71" s="11"/>
      <c r="P71" s="7">
        <v>64865.919999999998</v>
      </c>
      <c r="Q71" s="2"/>
      <c r="R71" s="6">
        <f t="shared" si="27"/>
        <v>0.13709145202695708</v>
      </c>
      <c r="S71" s="2"/>
      <c r="T71" s="7">
        <v>77000</v>
      </c>
      <c r="U71" s="2"/>
      <c r="V71" s="6">
        <f t="shared" si="28"/>
        <v>0.11546781334702952</v>
      </c>
      <c r="W71" s="2"/>
      <c r="X71" s="7">
        <f t="shared" si="29"/>
        <v>-12134.080000000002</v>
      </c>
      <c r="Y71" s="2"/>
      <c r="Z71" s="6">
        <f t="shared" si="30"/>
        <v>-0.15758545454545456</v>
      </c>
    </row>
    <row r="72" spans="1:26" s="24" customFormat="1" hidden="1" outlineLevel="2" x14ac:dyDescent="0.25">
      <c r="A72" s="26"/>
      <c r="B72" s="11" t="str">
        <f>CONCATENATE("          ", "6375", " - ", "OUTSIDE REPAIRS &amp; MAINTENANCE")</f>
        <v xml:space="preserve">          6375 - OUTSIDE REPAIRS &amp; MAINTENANCE</v>
      </c>
      <c r="C72" s="11"/>
      <c r="D72" s="7"/>
      <c r="E72" s="2"/>
      <c r="F72" s="6">
        <f t="shared" si="23"/>
        <v>0</v>
      </c>
      <c r="G72" s="2"/>
      <c r="H72" s="7"/>
      <c r="I72" s="2"/>
      <c r="J72" s="6">
        <f t="shared" si="24"/>
        <v>0</v>
      </c>
      <c r="K72" s="2"/>
      <c r="L72" s="7">
        <f t="shared" si="25"/>
        <v>0</v>
      </c>
      <c r="M72" s="2"/>
      <c r="N72" s="6">
        <f t="shared" si="26"/>
        <v>0</v>
      </c>
      <c r="O72" s="11"/>
      <c r="P72" s="7">
        <v>1401.76</v>
      </c>
      <c r="Q72" s="2"/>
      <c r="R72" s="6">
        <f t="shared" si="27"/>
        <v>2.9625620633039252E-3</v>
      </c>
      <c r="S72" s="2"/>
      <c r="T72" s="7"/>
      <c r="U72" s="2"/>
      <c r="V72" s="6">
        <f t="shared" si="28"/>
        <v>0</v>
      </c>
      <c r="W72" s="2"/>
      <c r="X72" s="7">
        <f t="shared" si="29"/>
        <v>1401.76</v>
      </c>
      <c r="Y72" s="2"/>
      <c r="Z72" s="6">
        <f t="shared" si="30"/>
        <v>0</v>
      </c>
    </row>
    <row r="73" spans="1:26" s="27" customFormat="1" outlineLevel="1" collapsed="1" x14ac:dyDescent="0.25">
      <c r="A73" s="25"/>
      <c r="B73" s="12" t="str">
        <f>CONCATENATE("     ","Royalty &amp; Commissions                             ")</f>
        <v xml:space="preserve">     Royalty &amp; Commissions                             </v>
      </c>
      <c r="C73" s="12"/>
      <c r="D73" s="1">
        <f>SUM(OSRRefD22_10x_0)</f>
        <v>0</v>
      </c>
      <c r="E73" s="1"/>
      <c r="F73" s="5">
        <f t="shared" ref="F73:F75" si="31">IF(D$12=0,0,D73/D$12)</f>
        <v>0</v>
      </c>
      <c r="G73" s="1"/>
      <c r="H73" s="1">
        <f>SUM(OSRRefH22_10x_0)</f>
        <v>11000</v>
      </c>
      <c r="I73" s="1"/>
      <c r="J73" s="5">
        <f t="shared" ref="J73:J75" si="32">IF(H$12=0,0,H73/H$12)</f>
        <v>0.22974101921470341</v>
      </c>
      <c r="K73" s="1"/>
      <c r="L73" s="1">
        <f t="shared" ref="L73:L75" si="33">+D73-H73</f>
        <v>-11000</v>
      </c>
      <c r="M73" s="1"/>
      <c r="N73" s="5">
        <f t="shared" ref="N73:N75" si="34">IF(H73=0,0,L73/H73)</f>
        <v>-1</v>
      </c>
      <c r="O73" s="12"/>
      <c r="P73" s="1">
        <f>SUM(OSRRefP22_10x_0)</f>
        <v>82607.740000000005</v>
      </c>
      <c r="Q73" s="1"/>
      <c r="R73" s="5">
        <f t="shared" ref="R73:R75" si="35">IF(P$12=0,0,P73/P$12)</f>
        <v>0.17458805834042504</v>
      </c>
      <c r="S73" s="1"/>
      <c r="T73" s="1">
        <f>SUM(OSRRefT22_10x_0)</f>
        <v>121000</v>
      </c>
      <c r="U73" s="1"/>
      <c r="V73" s="5">
        <f t="shared" ref="V73:V75" si="36">IF(T$12=0,0,T73/T$12)</f>
        <v>0.18144942097390351</v>
      </c>
      <c r="W73" s="1"/>
      <c r="X73" s="1">
        <f t="shared" ref="X73:X75" si="37">+P73-T73</f>
        <v>-38392.259999999995</v>
      </c>
      <c r="Y73" s="1"/>
      <c r="Z73" s="5">
        <f t="shared" ref="Z73:Z75" si="38">IF(T73=0,0,X73/T73)</f>
        <v>-0.31729140495867764</v>
      </c>
    </row>
    <row r="74" spans="1:26" s="24" customFormat="1" hidden="1" outlineLevel="2" x14ac:dyDescent="0.25">
      <c r="A74" s="26"/>
      <c r="B74" s="11" t="str">
        <f>CONCATENATE("          ", "6254", " - ", "ROYALTY &amp; COMMISSIONS")</f>
        <v xml:space="preserve">          6254 - ROYALTY &amp; COMMISSIONS</v>
      </c>
      <c r="C74" s="11"/>
      <c r="D74" s="7"/>
      <c r="E74" s="2"/>
      <c r="F74" s="6">
        <f t="shared" si="31"/>
        <v>0</v>
      </c>
      <c r="G74" s="2"/>
      <c r="H74" s="7">
        <v>11000</v>
      </c>
      <c r="I74" s="2"/>
      <c r="J74" s="6">
        <f t="shared" si="32"/>
        <v>0.22974101921470341</v>
      </c>
      <c r="K74" s="2"/>
      <c r="L74" s="7">
        <f t="shared" si="33"/>
        <v>-11000</v>
      </c>
      <c r="M74" s="2"/>
      <c r="N74" s="6">
        <f t="shared" si="34"/>
        <v>-1</v>
      </c>
      <c r="O74" s="11"/>
      <c r="P74" s="7"/>
      <c r="Q74" s="2"/>
      <c r="R74" s="6">
        <f t="shared" si="35"/>
        <v>0</v>
      </c>
      <c r="S74" s="2"/>
      <c r="T74" s="7">
        <v>121000</v>
      </c>
      <c r="U74" s="2"/>
      <c r="V74" s="6">
        <f t="shared" si="36"/>
        <v>0.18144942097390351</v>
      </c>
      <c r="W74" s="2"/>
      <c r="X74" s="7">
        <f t="shared" si="37"/>
        <v>-121000</v>
      </c>
      <c r="Y74" s="2"/>
      <c r="Z74" s="6">
        <f t="shared" si="38"/>
        <v>-1</v>
      </c>
    </row>
    <row r="75" spans="1:26" s="24" customFormat="1" hidden="1" outlineLevel="2" x14ac:dyDescent="0.25">
      <c r="A75" s="26"/>
      <c r="B75" s="11" t="str">
        <f>CONCATENATE("          ", "6259", " - ", "ROYALTY &amp; COMMISSIONS")</f>
        <v xml:space="preserve">          6259 - ROYALTY &amp; COMMISSIONS</v>
      </c>
      <c r="C75" s="11"/>
      <c r="D75" s="7"/>
      <c r="E75" s="2"/>
      <c r="F75" s="6">
        <f t="shared" si="31"/>
        <v>0</v>
      </c>
      <c r="G75" s="2"/>
      <c r="H75" s="7"/>
      <c r="I75" s="2"/>
      <c r="J75" s="6">
        <f t="shared" si="32"/>
        <v>0</v>
      </c>
      <c r="K75" s="2"/>
      <c r="L75" s="7">
        <f t="shared" si="33"/>
        <v>0</v>
      </c>
      <c r="M75" s="2"/>
      <c r="N75" s="6">
        <f t="shared" si="34"/>
        <v>0</v>
      </c>
      <c r="O75" s="11"/>
      <c r="P75" s="7">
        <v>82607.740000000005</v>
      </c>
      <c r="Q75" s="2"/>
      <c r="R75" s="6">
        <f t="shared" si="35"/>
        <v>0.17458805834042504</v>
      </c>
      <c r="S75" s="2"/>
      <c r="T75" s="7"/>
      <c r="U75" s="2"/>
      <c r="V75" s="6">
        <f t="shared" si="36"/>
        <v>0</v>
      </c>
      <c r="W75" s="2"/>
      <c r="X75" s="7">
        <f t="shared" si="37"/>
        <v>82607.740000000005</v>
      </c>
      <c r="Y75" s="2"/>
      <c r="Z75" s="6">
        <f t="shared" si="38"/>
        <v>0</v>
      </c>
    </row>
    <row r="76" spans="1:26" s="27" customFormat="1" outlineLevel="1" collapsed="1" x14ac:dyDescent="0.25">
      <c r="A76" s="25"/>
      <c r="B76" s="12" t="str">
        <f>CONCATENATE("     ","Supplies                                          ")</f>
        <v xml:space="preserve">     Supplies                                          </v>
      </c>
      <c r="C76" s="12"/>
      <c r="D76" s="1">
        <f>SUM(OSRRefD22_11x_0)</f>
        <v>117</v>
      </c>
      <c r="E76" s="1"/>
      <c r="F76" s="5">
        <f t="shared" ref="F76:F81" si="39">IF(D$12=0,0,D76/D$12)</f>
        <v>3.9578505826835579E-2</v>
      </c>
      <c r="G76" s="1"/>
      <c r="H76" s="1">
        <f>SUM(OSRRefH22_11x_0)</f>
        <v>6750</v>
      </c>
      <c r="I76" s="1"/>
      <c r="J76" s="5">
        <f t="shared" ref="J76:J81" si="40">IF(H$12=0,0,H76/H$12)</f>
        <v>0.14097744360902256</v>
      </c>
      <c r="K76" s="1"/>
      <c r="L76" s="1">
        <f t="shared" ref="L76:L81" si="41">+D76-H76</f>
        <v>-6633</v>
      </c>
      <c r="M76" s="1"/>
      <c r="N76" s="5">
        <f t="shared" ref="N76:N81" si="42">IF(H76=0,0,L76/H76)</f>
        <v>-0.98266666666666669</v>
      </c>
      <c r="O76" s="12"/>
      <c r="P76" s="1">
        <f>SUM(OSRRefP22_11x_0)</f>
        <v>40780.39</v>
      </c>
      <c r="Q76" s="1"/>
      <c r="R76" s="5">
        <f t="shared" ref="R76:R81" si="43">IF(P$12=0,0,P76/P$12)</f>
        <v>8.6187675736744351E-2</v>
      </c>
      <c r="S76" s="1"/>
      <c r="T76" s="1">
        <f>SUM(OSRRefT22_11x_0)</f>
        <v>79950</v>
      </c>
      <c r="U76" s="1"/>
      <c r="V76" s="5">
        <f t="shared" ref="V76:V81" si="44">IF(T$12=0,0,T76/T$12)</f>
        <v>0.11989158022201311</v>
      </c>
      <c r="W76" s="1"/>
      <c r="X76" s="1">
        <f t="shared" ref="X76:X81" si="45">+P76-T76</f>
        <v>-39169.61</v>
      </c>
      <c r="Y76" s="1"/>
      <c r="Z76" s="5">
        <f t="shared" ref="Z76:Z81" si="46">IF(T76=0,0,X76/T76)</f>
        <v>-0.48992632895559723</v>
      </c>
    </row>
    <row r="77" spans="1:26" s="24" customFormat="1" hidden="1" outlineLevel="2" x14ac:dyDescent="0.25">
      <c r="A77" s="26"/>
      <c r="B77" s="11" t="str">
        <f>CONCATENATE("          ", "6234", " - ", "EXPENDABLE SUPPLIES &amp; EQUIPMEN")</f>
        <v xml:space="preserve">          6234 - EXPENDABLE SUPPLIES &amp; EQUIPMEN</v>
      </c>
      <c r="C77" s="11"/>
      <c r="D77" s="7"/>
      <c r="E77" s="2"/>
      <c r="F77" s="6">
        <f t="shared" si="39"/>
        <v>0</v>
      </c>
      <c r="G77" s="2"/>
      <c r="H77" s="7"/>
      <c r="I77" s="2"/>
      <c r="J77" s="6">
        <f t="shared" si="40"/>
        <v>0</v>
      </c>
      <c r="K77" s="2"/>
      <c r="L77" s="7">
        <f t="shared" si="41"/>
        <v>0</v>
      </c>
      <c r="M77" s="2"/>
      <c r="N77" s="6">
        <f t="shared" si="42"/>
        <v>0</v>
      </c>
      <c r="O77" s="11"/>
      <c r="P77" s="7">
        <v>1017.27</v>
      </c>
      <c r="Q77" s="2"/>
      <c r="R77" s="6">
        <f t="shared" si="43"/>
        <v>2.1499582739821252E-3</v>
      </c>
      <c r="S77" s="2"/>
      <c r="T77" s="7"/>
      <c r="U77" s="2"/>
      <c r="V77" s="6">
        <f t="shared" si="44"/>
        <v>0</v>
      </c>
      <c r="W77" s="2"/>
      <c r="X77" s="7">
        <f t="shared" si="45"/>
        <v>1017.27</v>
      </c>
      <c r="Y77" s="2"/>
      <c r="Z77" s="6">
        <f t="shared" si="46"/>
        <v>0</v>
      </c>
    </row>
    <row r="78" spans="1:26" s="24" customFormat="1" hidden="1" outlineLevel="2" x14ac:dyDescent="0.25">
      <c r="A78" s="26"/>
      <c r="B78" s="11" t="str">
        <f>CONCATENATE("          ", "6241", " - ", "OFFICE EXPENSE")</f>
        <v xml:space="preserve">          6241 - OFFICE EXPENSE</v>
      </c>
      <c r="C78" s="11"/>
      <c r="D78" s="7"/>
      <c r="E78" s="2"/>
      <c r="F78" s="6">
        <f t="shared" si="39"/>
        <v>0</v>
      </c>
      <c r="G78" s="2"/>
      <c r="H78" s="7"/>
      <c r="I78" s="2"/>
      <c r="J78" s="6">
        <f t="shared" si="40"/>
        <v>0</v>
      </c>
      <c r="K78" s="2"/>
      <c r="L78" s="7">
        <f t="shared" si="41"/>
        <v>0</v>
      </c>
      <c r="M78" s="2"/>
      <c r="N78" s="6">
        <f t="shared" si="42"/>
        <v>0</v>
      </c>
      <c r="O78" s="11"/>
      <c r="P78" s="7">
        <v>1578.06</v>
      </c>
      <c r="Q78" s="2"/>
      <c r="R78" s="6">
        <f t="shared" si="43"/>
        <v>3.3351648567639196E-3</v>
      </c>
      <c r="S78" s="2"/>
      <c r="T78" s="7"/>
      <c r="U78" s="2"/>
      <c r="V78" s="6">
        <f t="shared" si="44"/>
        <v>0</v>
      </c>
      <c r="W78" s="2"/>
      <c r="X78" s="7">
        <f t="shared" si="45"/>
        <v>1578.06</v>
      </c>
      <c r="Y78" s="2"/>
      <c r="Z78" s="6">
        <f t="shared" si="46"/>
        <v>0</v>
      </c>
    </row>
    <row r="79" spans="1:26" s="24" customFormat="1" hidden="1" outlineLevel="2" x14ac:dyDescent="0.25">
      <c r="A79" s="26"/>
      <c r="B79" s="11" t="str">
        <f>CONCATENATE("          ", "6243", " - ", "PAPER SUPPLIES")</f>
        <v xml:space="preserve">          6243 - PAPER SUPPLIES</v>
      </c>
      <c r="C79" s="11"/>
      <c r="D79" s="7">
        <v>50.85</v>
      </c>
      <c r="E79" s="2"/>
      <c r="F79" s="6">
        <f t="shared" si="39"/>
        <v>1.7201427532432388E-2</v>
      </c>
      <c r="G79" s="2"/>
      <c r="H79" s="7">
        <v>250</v>
      </c>
      <c r="I79" s="2"/>
      <c r="J79" s="6">
        <f t="shared" si="40"/>
        <v>5.2213868003341685E-3</v>
      </c>
      <c r="K79" s="2"/>
      <c r="L79" s="7">
        <f t="shared" si="41"/>
        <v>-199.15</v>
      </c>
      <c r="M79" s="2"/>
      <c r="N79" s="6">
        <f t="shared" si="42"/>
        <v>-0.79659999999999997</v>
      </c>
      <c r="O79" s="11"/>
      <c r="P79" s="7">
        <v>17939.21</v>
      </c>
      <c r="Q79" s="2"/>
      <c r="R79" s="6">
        <f t="shared" si="43"/>
        <v>3.7913781953859721E-2</v>
      </c>
      <c r="S79" s="2"/>
      <c r="T79" s="7">
        <v>2750</v>
      </c>
      <c r="U79" s="2"/>
      <c r="V79" s="6">
        <f t="shared" si="44"/>
        <v>4.1238504766796255E-3</v>
      </c>
      <c r="W79" s="2"/>
      <c r="X79" s="7">
        <f t="shared" si="45"/>
        <v>15189.21</v>
      </c>
      <c r="Y79" s="2"/>
      <c r="Z79" s="6">
        <f t="shared" si="46"/>
        <v>5.5233490909090905</v>
      </c>
    </row>
    <row r="80" spans="1:26" s="24" customFormat="1" hidden="1" outlineLevel="2" x14ac:dyDescent="0.25">
      <c r="A80" s="26"/>
      <c r="B80" s="11" t="str">
        <f>CONCATENATE("          ", "6245", " - ", "PRINTING")</f>
        <v xml:space="preserve">          6245 - PRINTING</v>
      </c>
      <c r="C80" s="11"/>
      <c r="D80" s="7">
        <v>66.150000000000006</v>
      </c>
      <c r="E80" s="2"/>
      <c r="F80" s="6">
        <f t="shared" si="39"/>
        <v>2.2377078294403194E-2</v>
      </c>
      <c r="G80" s="2"/>
      <c r="H80" s="7"/>
      <c r="I80" s="2"/>
      <c r="J80" s="6">
        <f t="shared" si="40"/>
        <v>0</v>
      </c>
      <c r="K80" s="2"/>
      <c r="L80" s="7">
        <f t="shared" si="41"/>
        <v>66.150000000000006</v>
      </c>
      <c r="M80" s="2"/>
      <c r="N80" s="6">
        <f t="shared" si="42"/>
        <v>0</v>
      </c>
      <c r="O80" s="11"/>
      <c r="P80" s="7">
        <v>5894.17</v>
      </c>
      <c r="Q80" s="2"/>
      <c r="R80" s="6">
        <f t="shared" si="43"/>
        <v>1.2457085689892776E-2</v>
      </c>
      <c r="S80" s="2"/>
      <c r="T80" s="7"/>
      <c r="U80" s="2"/>
      <c r="V80" s="6">
        <f t="shared" si="44"/>
        <v>0</v>
      </c>
      <c r="W80" s="2"/>
      <c r="X80" s="7">
        <f t="shared" si="45"/>
        <v>5894.17</v>
      </c>
      <c r="Y80" s="2"/>
      <c r="Z80" s="6">
        <f t="shared" si="46"/>
        <v>0</v>
      </c>
    </row>
    <row r="81" spans="1:26" s="24" customFormat="1" hidden="1" outlineLevel="2" x14ac:dyDescent="0.25">
      <c r="A81" s="26"/>
      <c r="B81" s="11" t="str">
        <f>CONCATENATE("          ", "6247", " - ", "STORE SUPPLIES")</f>
        <v xml:space="preserve">          6247 - STORE SUPPLIES</v>
      </c>
      <c r="C81" s="11"/>
      <c r="D81" s="7"/>
      <c r="E81" s="2"/>
      <c r="F81" s="6">
        <f t="shared" si="39"/>
        <v>0</v>
      </c>
      <c r="G81" s="2"/>
      <c r="H81" s="7">
        <v>6500</v>
      </c>
      <c r="I81" s="2"/>
      <c r="J81" s="6">
        <f t="shared" si="40"/>
        <v>0.13575605680868838</v>
      </c>
      <c r="K81" s="2"/>
      <c r="L81" s="7">
        <f t="shared" si="41"/>
        <v>-6500</v>
      </c>
      <c r="M81" s="2"/>
      <c r="N81" s="6">
        <f t="shared" si="42"/>
        <v>-1</v>
      </c>
      <c r="O81" s="11"/>
      <c r="P81" s="7">
        <v>14351.68</v>
      </c>
      <c r="Q81" s="2"/>
      <c r="R81" s="6">
        <f t="shared" si="43"/>
        <v>3.0331684962245805E-2</v>
      </c>
      <c r="S81" s="2"/>
      <c r="T81" s="7">
        <v>77200</v>
      </c>
      <c r="U81" s="2"/>
      <c r="V81" s="6">
        <f t="shared" si="44"/>
        <v>0.11576772974533349</v>
      </c>
      <c r="W81" s="2"/>
      <c r="X81" s="7">
        <f t="shared" si="45"/>
        <v>-62848.32</v>
      </c>
      <c r="Y81" s="2"/>
      <c r="Z81" s="6">
        <f t="shared" si="46"/>
        <v>-0.81409740932642483</v>
      </c>
    </row>
    <row r="82" spans="1:26" s="27" customFormat="1" outlineLevel="1" collapsed="1" x14ac:dyDescent="0.25">
      <c r="A82" s="25"/>
      <c r="B82" s="12" t="str">
        <f>CONCATENATE("     ","Telephone/Data Lines                              ")</f>
        <v xml:space="preserve">     Telephone/Data Lines                              </v>
      </c>
      <c r="C82" s="12"/>
      <c r="D82" s="1">
        <f>SUM(OSRRefD22_12x_0)</f>
        <v>151.6</v>
      </c>
      <c r="E82" s="1"/>
      <c r="F82" s="5">
        <f t="shared" ref="F82:F84" si="47">IF(D$12=0,0,D82/D$12)</f>
        <v>5.1282918661096355E-2</v>
      </c>
      <c r="G82" s="1"/>
      <c r="H82" s="1">
        <f>SUM(OSRRefH22_12x_0)</f>
        <v>200</v>
      </c>
      <c r="I82" s="1"/>
      <c r="J82" s="5">
        <f t="shared" ref="J82:J84" si="48">IF(H$12=0,0,H82/H$12)</f>
        <v>4.1771094402673348E-3</v>
      </c>
      <c r="K82" s="1"/>
      <c r="L82" s="1">
        <f t="shared" ref="L82:L84" si="49">+D82-H82</f>
        <v>-48.400000000000006</v>
      </c>
      <c r="M82" s="1"/>
      <c r="N82" s="5">
        <f t="shared" ref="N82:N84" si="50">IF(H82=0,0,L82/H82)</f>
        <v>-0.24200000000000002</v>
      </c>
      <c r="O82" s="12"/>
      <c r="P82" s="1">
        <f>SUM(OSRRefP22_12x_0)</f>
        <v>1599.7</v>
      </c>
      <c r="Q82" s="1"/>
      <c r="R82" s="5">
        <f t="shared" ref="R82:R84" si="51">IF(P$12=0,0,P82/P$12)</f>
        <v>3.3809001060575916E-3</v>
      </c>
      <c r="S82" s="1"/>
      <c r="T82" s="1">
        <f>SUM(OSRRefT22_12x_0)</f>
        <v>2200</v>
      </c>
      <c r="U82" s="1"/>
      <c r="V82" s="5">
        <f t="shared" ref="V82:V84" si="52">IF(T$12=0,0,T82/T$12)</f>
        <v>3.2990803813437003E-3</v>
      </c>
      <c r="W82" s="1"/>
      <c r="X82" s="1">
        <f t="shared" ref="X82:X84" si="53">+P82-T82</f>
        <v>-600.29999999999995</v>
      </c>
      <c r="Y82" s="1"/>
      <c r="Z82" s="5">
        <f t="shared" ref="Z82:Z84" si="54">IF(T82=0,0,X82/T82)</f>
        <v>-0.27286363636363636</v>
      </c>
    </row>
    <row r="83" spans="1:26" s="24" customFormat="1" hidden="1" outlineLevel="2" x14ac:dyDescent="0.25">
      <c r="A83" s="26"/>
      <c r="B83" s="11" t="str">
        <f>CONCATENATE("          ", "6303", " - ", "DATA PHONE LINES")</f>
        <v xml:space="preserve">          6303 - DATA PHONE LINES</v>
      </c>
      <c r="C83" s="11"/>
      <c r="D83" s="7"/>
      <c r="E83" s="2"/>
      <c r="F83" s="6">
        <f t="shared" si="47"/>
        <v>0</v>
      </c>
      <c r="G83" s="2"/>
      <c r="H83" s="7">
        <v>200</v>
      </c>
      <c r="I83" s="2"/>
      <c r="J83" s="6">
        <f t="shared" si="48"/>
        <v>4.1771094402673348E-3</v>
      </c>
      <c r="K83" s="2"/>
      <c r="L83" s="7">
        <f t="shared" si="49"/>
        <v>-200</v>
      </c>
      <c r="M83" s="2"/>
      <c r="N83" s="6">
        <f t="shared" si="50"/>
        <v>-1</v>
      </c>
      <c r="O83" s="11"/>
      <c r="P83" s="7"/>
      <c r="Q83" s="2"/>
      <c r="R83" s="6">
        <f t="shared" si="51"/>
        <v>0</v>
      </c>
      <c r="S83" s="2"/>
      <c r="T83" s="7">
        <v>2200</v>
      </c>
      <c r="U83" s="2"/>
      <c r="V83" s="6">
        <f t="shared" si="52"/>
        <v>3.2990803813437003E-3</v>
      </c>
      <c r="W83" s="2"/>
      <c r="X83" s="7">
        <f t="shared" si="53"/>
        <v>-2200</v>
      </c>
      <c r="Y83" s="2"/>
      <c r="Z83" s="6">
        <f t="shared" si="54"/>
        <v>-1</v>
      </c>
    </row>
    <row r="84" spans="1:26" s="24" customFormat="1" hidden="1" outlineLevel="2" x14ac:dyDescent="0.25">
      <c r="A84" s="26"/>
      <c r="B84" s="11" t="str">
        <f>CONCATENATE("          ", "6309", " - ", "TELEPHONE")</f>
        <v xml:space="preserve">          6309 - TELEPHONE</v>
      </c>
      <c r="C84" s="11"/>
      <c r="D84" s="7">
        <v>151.6</v>
      </c>
      <c r="E84" s="2"/>
      <c r="F84" s="6">
        <f t="shared" si="47"/>
        <v>5.1282918661096355E-2</v>
      </c>
      <c r="G84" s="2"/>
      <c r="H84" s="7"/>
      <c r="I84" s="2"/>
      <c r="J84" s="6">
        <f t="shared" si="48"/>
        <v>0</v>
      </c>
      <c r="K84" s="2"/>
      <c r="L84" s="7">
        <f t="shared" si="49"/>
        <v>151.6</v>
      </c>
      <c r="M84" s="2"/>
      <c r="N84" s="6">
        <f t="shared" si="50"/>
        <v>0</v>
      </c>
      <c r="O84" s="11"/>
      <c r="P84" s="7">
        <v>1599.7</v>
      </c>
      <c r="Q84" s="2"/>
      <c r="R84" s="6">
        <f t="shared" si="51"/>
        <v>3.3809001060575916E-3</v>
      </c>
      <c r="S84" s="2"/>
      <c r="T84" s="7"/>
      <c r="U84" s="2"/>
      <c r="V84" s="6">
        <f t="shared" si="52"/>
        <v>0</v>
      </c>
      <c r="W84" s="2"/>
      <c r="X84" s="7">
        <f t="shared" si="53"/>
        <v>1599.7</v>
      </c>
      <c r="Y84" s="2"/>
      <c r="Z84" s="6">
        <f t="shared" si="54"/>
        <v>0</v>
      </c>
    </row>
    <row r="85" spans="1:26" s="27" customFormat="1" outlineLevel="1" collapsed="1" x14ac:dyDescent="0.25">
      <c r="A85" s="25"/>
      <c r="B85" s="12" t="str">
        <f>CONCATENATE("     ","Training                                          ")</f>
        <v xml:space="preserve">     Training                                          </v>
      </c>
      <c r="C85" s="12"/>
      <c r="D85" s="1">
        <f>SUM(OSRRefD22_13x_0)</f>
        <v>0</v>
      </c>
      <c r="E85" s="1"/>
      <c r="F85" s="5">
        <f t="shared" ref="F85:F86" si="55">IF(D$12=0,0,D85/D$12)</f>
        <v>0</v>
      </c>
      <c r="G85" s="1"/>
      <c r="H85" s="1">
        <f>SUM(OSRRefH22_13x_0)</f>
        <v>0</v>
      </c>
      <c r="I85" s="1"/>
      <c r="J85" s="5">
        <f t="shared" ref="J85:J86" si="56">IF(H$12=0,0,H85/H$12)</f>
        <v>0</v>
      </c>
      <c r="K85" s="1"/>
      <c r="L85" s="1">
        <f t="shared" ref="L85:L86" si="57">+D85-H85</f>
        <v>0</v>
      </c>
      <c r="M85" s="1"/>
      <c r="N85" s="5">
        <f t="shared" ref="N85:N86" si="58">IF(H85=0,0,L85/H85)</f>
        <v>0</v>
      </c>
      <c r="O85" s="12"/>
      <c r="P85" s="1">
        <f>SUM(OSRRefP22_13x_0)</f>
        <v>97.71</v>
      </c>
      <c r="Q85" s="1"/>
      <c r="R85" s="5">
        <f t="shared" ref="R85:R86" si="59">IF(P$12=0,0,P85/P$12)</f>
        <v>2.0650606323866178E-4</v>
      </c>
      <c r="S85" s="1"/>
      <c r="T85" s="1">
        <f>SUM(OSRRefT22_13x_0)</f>
        <v>0</v>
      </c>
      <c r="U85" s="1"/>
      <c r="V85" s="5">
        <f t="shared" ref="V85:V86" si="60">IF(T$12=0,0,T85/T$12)</f>
        <v>0</v>
      </c>
      <c r="W85" s="1"/>
      <c r="X85" s="1">
        <f t="shared" ref="X85:X86" si="61">+P85-T85</f>
        <v>97.71</v>
      </c>
      <c r="Y85" s="1"/>
      <c r="Z85" s="5">
        <f t="shared" ref="Z85:Z86" si="62">IF(T85=0,0,X85/T85)</f>
        <v>0</v>
      </c>
    </row>
    <row r="86" spans="1:26" s="24" customFormat="1" hidden="1" outlineLevel="2" x14ac:dyDescent="0.25">
      <c r="A86" s="26"/>
      <c r="B86" s="11" t="str">
        <f>CONCATENATE("          ", "6376", " - ", "TRAINING")</f>
        <v xml:space="preserve">          6376 - TRAINING</v>
      </c>
      <c r="C86" s="11"/>
      <c r="D86" s="7"/>
      <c r="E86" s="2"/>
      <c r="F86" s="6">
        <f t="shared" si="55"/>
        <v>0</v>
      </c>
      <c r="G86" s="2"/>
      <c r="H86" s="7"/>
      <c r="I86" s="2"/>
      <c r="J86" s="6">
        <f t="shared" si="56"/>
        <v>0</v>
      </c>
      <c r="K86" s="2"/>
      <c r="L86" s="7">
        <f t="shared" si="57"/>
        <v>0</v>
      </c>
      <c r="M86" s="2"/>
      <c r="N86" s="6">
        <f t="shared" si="58"/>
        <v>0</v>
      </c>
      <c r="O86" s="11"/>
      <c r="P86" s="7">
        <v>97.71</v>
      </c>
      <c r="Q86" s="2"/>
      <c r="R86" s="6">
        <f t="shared" si="59"/>
        <v>2.0650606323866178E-4</v>
      </c>
      <c r="S86" s="2"/>
      <c r="T86" s="7"/>
      <c r="U86" s="2"/>
      <c r="V86" s="6">
        <f t="shared" si="60"/>
        <v>0</v>
      </c>
      <c r="W86" s="2"/>
      <c r="X86" s="7">
        <f t="shared" si="61"/>
        <v>97.71</v>
      </c>
      <c r="Y86" s="2"/>
      <c r="Z86" s="6">
        <f t="shared" si="62"/>
        <v>0</v>
      </c>
    </row>
    <row r="87" spans="1:26" s="62" customFormat="1" x14ac:dyDescent="0.25">
      <c r="A87" s="36"/>
      <c r="B87" s="36"/>
      <c r="C87" s="36"/>
      <c r="D87" s="1"/>
      <c r="E87" s="1"/>
      <c r="F87" s="5"/>
      <c r="G87" s="1"/>
      <c r="H87" s="1"/>
      <c r="I87" s="1"/>
      <c r="J87" s="5"/>
      <c r="K87" s="1"/>
      <c r="L87" s="1"/>
      <c r="M87" s="1"/>
      <c r="N87" s="5"/>
      <c r="O87" s="36"/>
      <c r="P87" s="1"/>
      <c r="Q87" s="1"/>
      <c r="R87" s="5"/>
      <c r="S87" s="1"/>
      <c r="T87" s="1"/>
      <c r="U87" s="1"/>
      <c r="V87" s="5"/>
      <c r="W87" s="1"/>
      <c r="X87" s="1"/>
      <c r="Y87" s="1"/>
      <c r="Z87" s="5"/>
    </row>
    <row r="88" spans="1:26" s="23" customFormat="1" collapsed="1" x14ac:dyDescent="0.25">
      <c r="A88" s="10"/>
      <c r="B88" s="28" t="s">
        <v>0</v>
      </c>
      <c r="C88" s="10"/>
      <c r="D88" s="4">
        <f>SUM(OSRRefD25x_0)</f>
        <v>13269</v>
      </c>
      <c r="E88" s="4"/>
      <c r="F88" s="13">
        <f t="shared" ref="F88:F90" si="63">IF(D$12=0,0,D88/D$12)</f>
        <v>4.4886084941562503</v>
      </c>
      <c r="G88" s="4"/>
      <c r="H88" s="4">
        <f>SUM(OSRRefH25x_0)</f>
        <v>12250</v>
      </c>
      <c r="I88" s="4"/>
      <c r="J88" s="13">
        <f t="shared" ref="J88:J90" si="64">IF(H$12=0,0,H88/H$12)</f>
        <v>0.25584795321637427</v>
      </c>
      <c r="K88" s="4"/>
      <c r="L88" s="4">
        <f t="shared" ref="L88:L90" si="65">+D88-H88</f>
        <v>1019</v>
      </c>
      <c r="M88" s="4"/>
      <c r="N88" s="13">
        <f t="shared" ref="N88:N90" si="66">IF(H88=0,0,L88/H88)</f>
        <v>8.3183673469387751E-2</v>
      </c>
      <c r="O88" s="10"/>
      <c r="P88" s="4">
        <f>SUM(OSRRefP25x_0)</f>
        <v>144632.1</v>
      </c>
      <c r="Q88" s="4"/>
      <c r="R88" s="13">
        <f t="shared" ref="R88:R90" si="67">IF(P$12=0,0,P88/P$12)</f>
        <v>0.3056739902665076</v>
      </c>
      <c r="S88" s="4"/>
      <c r="T88" s="4">
        <f>SUM(OSRRefT25x_0)</f>
        <v>134750</v>
      </c>
      <c r="U88" s="4"/>
      <c r="V88" s="13">
        <f t="shared" ref="V88:V90" si="68">IF(T$12=0,0,T88/T$12)</f>
        <v>0.20206867335730166</v>
      </c>
      <c r="W88" s="4"/>
      <c r="X88" s="4">
        <f t="shared" ref="X88:X90" si="69">+P88-T88</f>
        <v>9882.1000000000058</v>
      </c>
      <c r="Y88" s="4"/>
      <c r="Z88" s="13">
        <f t="shared" ref="Z88:Z90" si="70">IF(T88=0,0,X88/T88)</f>
        <v>7.333654916512064E-2</v>
      </c>
    </row>
    <row r="89" spans="1:26" s="24" customFormat="1" hidden="1" outlineLevel="1" x14ac:dyDescent="0.25">
      <c r="A89" s="44"/>
      <c r="B89" s="11" t="str">
        <f>CONCATENATE("          ", "9150", " - ", "MISC. INCOME")</f>
        <v xml:space="preserve">          9150 - MISC. INCOME</v>
      </c>
      <c r="C89" s="11"/>
      <c r="D89" s="2">
        <f>--13269</f>
        <v>13269</v>
      </c>
      <c r="E89" s="2"/>
      <c r="F89" s="19">
        <f t="shared" si="63"/>
        <v>4.4886084941562503</v>
      </c>
      <c r="G89" s="2"/>
      <c r="H89" s="2"/>
      <c r="I89" s="2"/>
      <c r="J89" s="19">
        <f t="shared" si="64"/>
        <v>0</v>
      </c>
      <c r="K89" s="2"/>
      <c r="L89" s="2">
        <f t="shared" si="65"/>
        <v>13269</v>
      </c>
      <c r="M89" s="2"/>
      <c r="N89" s="19">
        <f t="shared" si="66"/>
        <v>0</v>
      </c>
      <c r="O89" s="11"/>
      <c r="P89" s="2">
        <f>--144632.1</f>
        <v>144632.1</v>
      </c>
      <c r="Q89" s="2"/>
      <c r="R89" s="19">
        <f t="shared" si="67"/>
        <v>0.3056739902665076</v>
      </c>
      <c r="S89" s="2"/>
      <c r="T89" s="2">
        <v>12250</v>
      </c>
      <c r="U89" s="2"/>
      <c r="V89" s="19">
        <f t="shared" si="68"/>
        <v>1.8369879396118331E-2</v>
      </c>
      <c r="W89" s="2"/>
      <c r="X89" s="2">
        <f t="shared" si="69"/>
        <v>132382.1</v>
      </c>
      <c r="Y89" s="2"/>
      <c r="Z89" s="19">
        <f t="shared" si="70"/>
        <v>10.806702040816328</v>
      </c>
    </row>
    <row r="90" spans="1:26" s="24" customFormat="1" hidden="1" outlineLevel="1" x14ac:dyDescent="0.25">
      <c r="A90" s="44"/>
      <c r="B90" s="11" t="str">
        <f>CONCATENATE("          ", "9151", " - ", "MISC. INCOME")</f>
        <v xml:space="preserve">          9151 - MISC. INCOME</v>
      </c>
      <c r="C90" s="11"/>
      <c r="D90" s="2">
        <f>0</f>
        <v>0</v>
      </c>
      <c r="E90" s="2"/>
      <c r="F90" s="19">
        <f t="shared" si="63"/>
        <v>0</v>
      </c>
      <c r="G90" s="2"/>
      <c r="H90" s="2">
        <v>12250</v>
      </c>
      <c r="I90" s="2"/>
      <c r="J90" s="19">
        <f t="shared" si="64"/>
        <v>0.25584795321637427</v>
      </c>
      <c r="K90" s="2"/>
      <c r="L90" s="2">
        <f t="shared" si="65"/>
        <v>-12250</v>
      </c>
      <c r="M90" s="2"/>
      <c r="N90" s="19">
        <f t="shared" si="66"/>
        <v>-1</v>
      </c>
      <c r="O90" s="11"/>
      <c r="P90" s="2">
        <f>0</f>
        <v>0</v>
      </c>
      <c r="Q90" s="2"/>
      <c r="R90" s="19">
        <f t="shared" si="67"/>
        <v>0</v>
      </c>
      <c r="S90" s="2"/>
      <c r="T90" s="2">
        <v>122500</v>
      </c>
      <c r="U90" s="2"/>
      <c r="V90" s="19">
        <f t="shared" si="68"/>
        <v>0.18369879396118333</v>
      </c>
      <c r="W90" s="2"/>
      <c r="X90" s="2">
        <f t="shared" si="69"/>
        <v>-122500</v>
      </c>
      <c r="Y90" s="2"/>
      <c r="Z90" s="19">
        <f t="shared" si="70"/>
        <v>-1</v>
      </c>
    </row>
    <row r="91" spans="1:26" x14ac:dyDescent="0.25">
      <c r="A91" s="9"/>
      <c r="B91" s="10"/>
      <c r="C91" s="10"/>
      <c r="D91" s="3"/>
      <c r="E91" s="3"/>
      <c r="F91" s="8"/>
      <c r="G91" s="3"/>
      <c r="H91" s="3"/>
      <c r="I91" s="3"/>
      <c r="J91" s="8"/>
      <c r="K91" s="3"/>
      <c r="L91" s="3"/>
      <c r="M91" s="3"/>
      <c r="N91" s="8"/>
      <c r="O91" s="10"/>
      <c r="P91" s="3"/>
      <c r="Q91" s="3"/>
      <c r="R91" s="8"/>
      <c r="S91" s="3"/>
      <c r="T91" s="3"/>
      <c r="U91" s="3"/>
      <c r="V91" s="8"/>
      <c r="W91" s="3"/>
      <c r="X91" s="3"/>
      <c r="Y91" s="3"/>
      <c r="Z91" s="8"/>
    </row>
    <row r="92" spans="1:26" s="23" customFormat="1" x14ac:dyDescent="0.25">
      <c r="A92" s="10"/>
      <c r="B92" s="29" t="s">
        <v>3</v>
      </c>
      <c r="C92" s="29"/>
      <c r="D92" s="20">
        <f>+D32-D34+D88</f>
        <v>-1398.7899999999991</v>
      </c>
      <c r="E92" s="14"/>
      <c r="F92" s="22">
        <f>IF(D$12=0,0,D92/D$12)</f>
        <v>-0.47317964244033589</v>
      </c>
      <c r="G92" s="14"/>
      <c r="H92" s="20">
        <f>+H32-H34+H88</f>
        <v>9674.3421854507833</v>
      </c>
      <c r="I92" s="14"/>
      <c r="J92" s="22">
        <f>IF(H$12=0,0,H92/H$12)</f>
        <v>0.20205393035611494</v>
      </c>
      <c r="K92" s="16"/>
      <c r="L92" s="20">
        <f>+D92-H92</f>
        <v>-11073.132185450782</v>
      </c>
      <c r="M92" s="16"/>
      <c r="N92" s="22">
        <f>IF(H92=0,0,L92/H92)</f>
        <v>-1.1445876084581375</v>
      </c>
      <c r="O92" s="28"/>
      <c r="P92" s="20">
        <f>+P32-P34+P88</f>
        <v>146025.97999999995</v>
      </c>
      <c r="Q92" s="14"/>
      <c r="R92" s="22">
        <f>IF(P$12=0,0,P92/P$12)</f>
        <v>0.30861989827415365</v>
      </c>
      <c r="S92" s="14"/>
      <c r="T92" s="20">
        <f>+T32-T34+T88</f>
        <v>222775.36497975606</v>
      </c>
      <c r="U92" s="14"/>
      <c r="V92" s="22">
        <f>IF(T$12=0,0,T92/T$12)</f>
        <v>0.33406992547790715</v>
      </c>
      <c r="W92" s="16"/>
      <c r="X92" s="20">
        <f>+P92-T92</f>
        <v>-76749.384979756112</v>
      </c>
      <c r="Y92" s="16"/>
      <c r="Z92" s="22">
        <f>IF(T92=0,0,X92/T92)</f>
        <v>-0.34451468629276155</v>
      </c>
    </row>
    <row r="93" spans="1:26" x14ac:dyDescent="0.25">
      <c r="A93" s="9"/>
      <c r="B93" s="10"/>
      <c r="C93" s="9"/>
      <c r="D93" s="3"/>
      <c r="E93" s="3"/>
      <c r="F93" s="8"/>
      <c r="G93" s="3"/>
      <c r="H93" s="3"/>
      <c r="I93" s="3"/>
      <c r="J93" s="8"/>
      <c r="K93" s="3"/>
      <c r="L93" s="3"/>
      <c r="M93" s="3"/>
      <c r="N93" s="8"/>
      <c r="P93" s="3"/>
      <c r="Q93" s="3"/>
      <c r="R93" s="8"/>
      <c r="S93" s="3"/>
      <c r="T93" s="3"/>
      <c r="U93" s="3"/>
      <c r="V93" s="8"/>
      <c r="W93" s="3"/>
      <c r="X93" s="3"/>
      <c r="Y93" s="3"/>
      <c r="Z93" s="8"/>
    </row>
    <row r="94" spans="1:26" s="23" customFormat="1" x14ac:dyDescent="0.25">
      <c r="A94" s="52"/>
      <c r="B94" s="10" t="s">
        <v>14</v>
      </c>
      <c r="C94" s="10"/>
      <c r="D94" s="4">
        <v>2641.24</v>
      </c>
      <c r="E94" s="4"/>
      <c r="F94" s="13">
        <f>IF(D$12=0,0,D94/D$12)</f>
        <v>0.89347292931684785</v>
      </c>
      <c r="G94" s="4"/>
      <c r="H94" s="4">
        <v>4917</v>
      </c>
      <c r="I94" s="4"/>
      <c r="J94" s="13">
        <f>IF(H$12=0,0,H94/H$12)</f>
        <v>0.10269423558897244</v>
      </c>
      <c r="K94" s="4"/>
      <c r="L94" s="4">
        <f>+D94-H94</f>
        <v>-2275.7600000000002</v>
      </c>
      <c r="M94" s="4"/>
      <c r="N94" s="13">
        <f>IF(H94=0,0,L94/H94)</f>
        <v>-0.46283506202969293</v>
      </c>
      <c r="O94" s="10"/>
      <c r="P94" s="4">
        <v>56029.299999999996</v>
      </c>
      <c r="Q94" s="4"/>
      <c r="R94" s="13">
        <f>IF(P$12=0,0,P94/P$12)</f>
        <v>0.11841561937384046</v>
      </c>
      <c r="S94" s="4"/>
      <c r="T94" s="4">
        <v>77238</v>
      </c>
      <c r="U94" s="4"/>
      <c r="V94" s="13">
        <f>IF(T$12=0,0,T94/T$12)</f>
        <v>0.11582471386101124</v>
      </c>
      <c r="W94" s="4"/>
      <c r="X94" s="4">
        <f>+P94-T94</f>
        <v>-21208.700000000004</v>
      </c>
      <c r="Y94" s="4"/>
      <c r="Z94" s="13">
        <f>IF(T94=0,0,X94/T94)</f>
        <v>-0.27458893290867198</v>
      </c>
    </row>
    <row r="95" spans="1:26" x14ac:dyDescent="0.25">
      <c r="A95" s="9"/>
      <c r="B95" s="10"/>
      <c r="C95" s="10"/>
      <c r="D95" s="3"/>
      <c r="E95" s="3"/>
      <c r="F95" s="8"/>
      <c r="G95" s="3"/>
      <c r="H95" s="3"/>
      <c r="I95" s="3"/>
      <c r="J95" s="8"/>
      <c r="K95" s="3"/>
      <c r="L95" s="3"/>
      <c r="M95" s="3"/>
      <c r="N95" s="8"/>
      <c r="O95" s="10"/>
      <c r="P95" s="3"/>
      <c r="Q95" s="3"/>
      <c r="R95" s="8"/>
      <c r="S95" s="3"/>
      <c r="T95" s="3"/>
      <c r="U95" s="3"/>
      <c r="V95" s="8"/>
      <c r="W95" s="3"/>
      <c r="X95" s="3"/>
      <c r="Y95" s="3"/>
      <c r="Z95" s="8"/>
    </row>
    <row r="96" spans="1:26" s="23" customFormat="1" ht="15.75" thickBot="1" x14ac:dyDescent="0.3">
      <c r="A96" s="10"/>
      <c r="B96" s="29" t="s">
        <v>4</v>
      </c>
      <c r="C96" s="29"/>
      <c r="D96" s="35">
        <f>+D92-D94</f>
        <v>-4040.0299999999988</v>
      </c>
      <c r="E96" s="14"/>
      <c r="F96" s="32">
        <f>IF(D$12=0,0,D96/D$12)</f>
        <v>-1.3666525717571838</v>
      </c>
      <c r="G96" s="14"/>
      <c r="H96" s="35">
        <f>+H92-H94</f>
        <v>4757.3421854507833</v>
      </c>
      <c r="I96" s="14"/>
      <c r="J96" s="32">
        <f>IF(H$12=0,0,H96/H$12)</f>
        <v>9.9359694767142515E-2</v>
      </c>
      <c r="K96" s="16"/>
      <c r="L96" s="35">
        <f>D96-H96</f>
        <v>-8797.3721854507821</v>
      </c>
      <c r="M96" s="16"/>
      <c r="N96" s="32">
        <f>IF(H96=0,0,L96/H96)</f>
        <v>-1.8492199725206828</v>
      </c>
      <c r="O96" s="28"/>
      <c r="P96" s="35">
        <f>+P92-P94</f>
        <v>89996.679999999964</v>
      </c>
      <c r="Q96" s="14"/>
      <c r="R96" s="32">
        <f>IF(P$12=0,0,P96/P$12)</f>
        <v>0.19020427890031319</v>
      </c>
      <c r="S96" s="14"/>
      <c r="T96" s="35">
        <f>+T92-T94</f>
        <v>145537.36497975606</v>
      </c>
      <c r="U96" s="14"/>
      <c r="V96" s="32">
        <f>IF(T$12=0,0,T96/T$12)</f>
        <v>0.21824521161689589</v>
      </c>
      <c r="W96" s="16"/>
      <c r="X96" s="35">
        <f>P96-T96</f>
        <v>-55540.684979756101</v>
      </c>
      <c r="Y96" s="16"/>
      <c r="Z96" s="32">
        <f>IF(T96=0,0,X96/T96)</f>
        <v>-0.3816249180235034</v>
      </c>
    </row>
    <row r="97" spans="1:26" ht="15.75" thickTop="1" x14ac:dyDescent="0.25">
      <c r="A97" s="9"/>
      <c r="B97" s="9"/>
      <c r="C97" s="9"/>
      <c r="D97" s="3"/>
      <c r="E97" s="3"/>
      <c r="F97" s="8"/>
      <c r="G97" s="3"/>
      <c r="H97" s="3"/>
      <c r="I97" s="3"/>
      <c r="J97" s="8"/>
      <c r="K97" s="3"/>
      <c r="L97" s="3"/>
      <c r="M97" s="3"/>
      <c r="N97" s="8"/>
      <c r="P97" s="3"/>
      <c r="Q97" s="3"/>
      <c r="R97" s="8"/>
      <c r="S97" s="3"/>
      <c r="T97" s="3"/>
      <c r="U97" s="3"/>
      <c r="V97" s="8"/>
      <c r="W97" s="3"/>
      <c r="X97" s="3"/>
      <c r="Y97" s="3"/>
      <c r="Z97" s="8"/>
    </row>
    <row r="98" spans="1:26" x14ac:dyDescent="0.25">
      <c r="A98" s="9"/>
      <c r="B98" s="9"/>
      <c r="C98" s="9"/>
      <c r="D98" s="3"/>
      <c r="E98" s="3"/>
      <c r="F98" s="8"/>
      <c r="G98" s="3"/>
      <c r="H98" s="3"/>
      <c r="I98" s="3"/>
      <c r="J98" s="8"/>
      <c r="K98" s="3"/>
      <c r="L98" s="3"/>
      <c r="M98" s="3"/>
      <c r="N98" s="8"/>
      <c r="P98" s="3"/>
      <c r="Q98" s="3"/>
      <c r="R98" s="8"/>
      <c r="S98" s="3"/>
      <c r="T98" s="3"/>
      <c r="U98" s="3"/>
      <c r="V98" s="8"/>
      <c r="W98" s="3"/>
      <c r="X98" s="3"/>
      <c r="Y98" s="3"/>
      <c r="Z98" s="8"/>
    </row>
    <row r="99" spans="1:26" s="23" customFormat="1" ht="15.75" thickBot="1" x14ac:dyDescent="0.3">
      <c r="A99" s="10"/>
      <c r="B99" s="29" t="s">
        <v>5</v>
      </c>
      <c r="C99" s="29"/>
      <c r="D99" s="34">
        <f>SUM(D96:D98)</f>
        <v>-4040.0299999999988</v>
      </c>
      <c r="E99" s="14"/>
      <c r="F99" s="31">
        <f>IF(D$12=0,0,D99/D$12)</f>
        <v>-1.3666525717571838</v>
      </c>
      <c r="G99" s="14"/>
      <c r="H99" s="34">
        <f>SUM(H96:H98)</f>
        <v>4757.3421854507833</v>
      </c>
      <c r="I99" s="14"/>
      <c r="J99" s="31">
        <f>IF(H$12=0,0,H99/H$12)</f>
        <v>9.9359694767142515E-2</v>
      </c>
      <c r="K99" s="16"/>
      <c r="L99" s="34">
        <f>+D99-H99</f>
        <v>-8797.3721854507821</v>
      </c>
      <c r="M99" s="16"/>
      <c r="N99" s="31">
        <f>IF(H99=0,0,L99/H99)</f>
        <v>-1.8492199725206828</v>
      </c>
      <c r="O99" s="28"/>
      <c r="P99" s="34">
        <f>SUM(P96:P98)</f>
        <v>89996.679999999964</v>
      </c>
      <c r="Q99" s="14"/>
      <c r="R99" s="31">
        <f>IF(P$12=0,0,P99/P$12)</f>
        <v>0.19020427890031319</v>
      </c>
      <c r="S99" s="14"/>
      <c r="T99" s="34">
        <f>SUM(T96:T98)</f>
        <v>145537.36497975606</v>
      </c>
      <c r="U99" s="14"/>
      <c r="V99" s="31">
        <f>IF(T$12=0,0,T99/T$12)</f>
        <v>0.21824521161689589</v>
      </c>
      <c r="W99" s="16"/>
      <c r="X99" s="34">
        <f>+P99-T99</f>
        <v>-55540.684979756101</v>
      </c>
      <c r="Y99" s="16"/>
      <c r="Z99" s="31">
        <f>IF(T99=0,0,X99/T99)</f>
        <v>-0.3816249180235034</v>
      </c>
    </row>
    <row r="100" spans="1:26" ht="15.75" thickTop="1" x14ac:dyDescent="0.25">
      <c r="A100" s="9"/>
      <c r="C100" s="9"/>
      <c r="D100" s="18"/>
      <c r="E100" s="18"/>
      <c r="G100" s="18"/>
      <c r="H100" s="18"/>
      <c r="I100" s="18"/>
      <c r="J100" s="42"/>
      <c r="K100" s="18"/>
      <c r="L100" s="18"/>
      <c r="M100" s="18"/>
      <c r="P100" s="18"/>
      <c r="Q100" s="18"/>
      <c r="R100" s="42"/>
      <c r="S100" s="18"/>
      <c r="T100" s="18"/>
      <c r="U100" s="18"/>
      <c r="V100" s="42"/>
      <c r="W100" s="18"/>
      <c r="X100" s="18"/>
    </row>
    <row r="101" spans="1:26" x14ac:dyDescent="0.25">
      <c r="A101" s="9"/>
      <c r="B101" s="59">
        <v>43992.371674456015</v>
      </c>
      <c r="D101" s="18"/>
      <c r="E101" s="18"/>
      <c r="G101" s="18"/>
      <c r="H101" s="18"/>
      <c r="I101" s="18"/>
      <c r="J101" s="42"/>
      <c r="K101" s="18"/>
      <c r="L101" s="18"/>
      <c r="M101" s="18"/>
      <c r="P101" s="18"/>
      <c r="Q101" s="18"/>
      <c r="R101" s="42"/>
      <c r="S101" s="18"/>
      <c r="T101" s="18"/>
      <c r="U101" s="18"/>
      <c r="V101" s="42"/>
      <c r="W101" s="18"/>
      <c r="X101" s="18"/>
    </row>
    <row r="102" spans="1:26" x14ac:dyDescent="0.25">
      <c r="A102" s="9"/>
      <c r="B102" s="56" t="s">
        <v>314</v>
      </c>
      <c r="D102" s="18"/>
      <c r="E102" s="18"/>
      <c r="G102" s="18"/>
      <c r="H102" s="18"/>
      <c r="I102" s="18"/>
      <c r="J102" s="42"/>
      <c r="K102" s="18"/>
      <c r="L102" s="18"/>
      <c r="M102" s="18"/>
      <c r="P102" s="18"/>
      <c r="Q102" s="18"/>
      <c r="R102" s="42"/>
      <c r="S102" s="18"/>
      <c r="T102" s="18"/>
      <c r="U102" s="18"/>
      <c r="V102" s="42"/>
      <c r="W102" s="18"/>
      <c r="X102" s="18"/>
    </row>
    <row r="103" spans="1:26" x14ac:dyDescent="0.25">
      <c r="A103" s="9"/>
      <c r="B103" s="54"/>
      <c r="D103" s="18"/>
      <c r="E103" s="18"/>
      <c r="G103" s="18"/>
      <c r="H103" s="18"/>
      <c r="I103" s="18"/>
      <c r="J103" s="42"/>
      <c r="K103" s="18"/>
      <c r="L103" s="18"/>
      <c r="M103" s="18"/>
      <c r="P103" s="18"/>
      <c r="Q103" s="18"/>
      <c r="R103" s="42"/>
      <c r="S103" s="18"/>
      <c r="T103" s="18"/>
      <c r="U103" s="18"/>
      <c r="V103" s="42"/>
      <c r="W103" s="18"/>
      <c r="X103" s="18"/>
    </row>
    <row r="104" spans="1:26" x14ac:dyDescent="0.25">
      <c r="D104" s="18"/>
      <c r="E104" s="18"/>
      <c r="G104" s="18"/>
      <c r="H104" s="18"/>
      <c r="I104" s="18"/>
      <c r="J104" s="42"/>
      <c r="K104" s="18"/>
      <c r="L104" s="18"/>
      <c r="M104" s="18"/>
      <c r="P104" s="18"/>
      <c r="Q104" s="18"/>
      <c r="R104" s="42"/>
      <c r="S104" s="18"/>
      <c r="T104" s="18"/>
      <c r="U104" s="18"/>
      <c r="V104" s="42"/>
      <c r="W104" s="18"/>
      <c r="X104" s="18"/>
    </row>
  </sheetData>
  <pageMargins left="0.25" right="0.25" top="0.75" bottom="0.75" header="0.3" footer="0.3"/>
  <pageSetup scale="55" fitToWidth="2" orientation="landscape"/>
  <drawing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87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63" t="s">
        <v>13</v>
      </c>
    </row>
    <row r="3" spans="1:26" x14ac:dyDescent="0.25">
      <c r="D3" s="63" t="s">
        <v>296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61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63" t="str">
        <f>CONCATENATE("Period ",RIGHT(202011,2),", ",2020)</f>
        <v>Period 11, 2020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61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4">
        <v>43981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61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51"/>
      <c r="C6" s="51"/>
      <c r="D6" s="23" t="str">
        <f>CONCATENATE("Department ","320", " - ", "Customer Service (old)")</f>
        <v>Department 320 - Customer Service (old)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57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5" t="s">
        <v>294</v>
      </c>
      <c r="E9" s="15"/>
      <c r="F9" s="38"/>
      <c r="G9" s="15"/>
      <c r="H9" s="15"/>
      <c r="I9" s="15"/>
      <c r="J9" s="46"/>
      <c r="K9" s="15"/>
      <c r="L9" s="15"/>
      <c r="M9" s="15"/>
      <c r="N9" s="38"/>
      <c r="P9" s="15" t="s">
        <v>295</v>
      </c>
      <c r="Q9" s="15"/>
      <c r="R9" s="38"/>
      <c r="S9" s="15"/>
      <c r="T9" s="15"/>
      <c r="U9" s="15"/>
      <c r="V9" s="46"/>
      <c r="W9" s="15"/>
      <c r="X9" s="15"/>
      <c r="Y9" s="15"/>
      <c r="Z9" s="38"/>
    </row>
    <row r="10" spans="1:26" x14ac:dyDescent="0.25">
      <c r="A10" s="10"/>
      <c r="B10" s="55"/>
      <c r="C10" s="10"/>
      <c r="D10" s="43" t="s">
        <v>10</v>
      </c>
      <c r="E10" s="33"/>
      <c r="F10" s="40" t="s">
        <v>15</v>
      </c>
      <c r="G10" s="33"/>
      <c r="H10" s="47" t="s">
        <v>11</v>
      </c>
      <c r="I10" s="33"/>
      <c r="J10" s="45" t="s">
        <v>16</v>
      </c>
      <c r="K10" s="10"/>
      <c r="L10" s="43" t="s">
        <v>12</v>
      </c>
      <c r="M10" s="10"/>
      <c r="N10" s="40" t="s">
        <v>17</v>
      </c>
      <c r="O10" s="10"/>
      <c r="P10" s="53" t="s">
        <v>10</v>
      </c>
      <c r="Q10" s="33"/>
      <c r="R10" s="40" t="s">
        <v>15</v>
      </c>
      <c r="S10" s="33"/>
      <c r="T10" s="47" t="s">
        <v>11</v>
      </c>
      <c r="U10" s="33"/>
      <c r="V10" s="45" t="s">
        <v>16</v>
      </c>
      <c r="W10" s="10"/>
      <c r="X10" s="43" t="s">
        <v>12</v>
      </c>
      <c r="Y10" s="10"/>
      <c r="Z10" s="40" t="s">
        <v>17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13581.800000000001</v>
      </c>
      <c r="E12" s="4"/>
      <c r="F12" s="13"/>
      <c r="G12" s="4"/>
      <c r="H12" s="4">
        <f>SUM(OSRRefH13x_0)</f>
        <v>380500</v>
      </c>
      <c r="I12" s="4"/>
      <c r="J12" s="13"/>
      <c r="K12" s="4"/>
      <c r="L12" s="4">
        <f t="shared" ref="L12:L18" si="0">+D12-H12</f>
        <v>-366918.2</v>
      </c>
      <c r="M12" s="4"/>
      <c r="N12" s="13">
        <f t="shared" ref="N12:N18" si="1">IF(H12=0,0,L12/H12)</f>
        <v>-0.9643053876478318</v>
      </c>
      <c r="O12" s="10"/>
      <c r="P12" s="4">
        <f>SUM(OSRRefP13x_0)</f>
        <v>35213.780000000006</v>
      </c>
      <c r="Q12" s="4"/>
      <c r="R12" s="13"/>
      <c r="S12" s="4"/>
      <c r="T12" s="4">
        <f>SUM(OSRRefT13x_0)</f>
        <v>772975</v>
      </c>
      <c r="U12" s="4"/>
      <c r="V12" s="13"/>
      <c r="W12" s="4"/>
      <c r="X12" s="4">
        <f t="shared" ref="X12:X18" si="2">+P12-T12</f>
        <v>-737761.22</v>
      </c>
      <c r="Y12" s="4"/>
      <c r="Z12" s="13">
        <f t="shared" ref="Z12:Z18" si="3">IF(T12=0,0,X12/T12)</f>
        <v>-0.95444383065429017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>0</f>
        <v>0</v>
      </c>
      <c r="E13" s="2"/>
      <c r="F13" s="19"/>
      <c r="G13" s="2"/>
      <c r="H13" s="2">
        <v>130500</v>
      </c>
      <c r="I13" s="2"/>
      <c r="J13" s="19"/>
      <c r="K13" s="2"/>
      <c r="L13" s="2">
        <f t="shared" si="0"/>
        <v>-130500</v>
      </c>
      <c r="M13" s="2"/>
      <c r="N13" s="19">
        <f t="shared" si="1"/>
        <v>-1</v>
      </c>
      <c r="O13" s="11"/>
      <c r="P13" s="2">
        <f>0</f>
        <v>0</v>
      </c>
      <c r="Q13" s="2"/>
      <c r="R13" s="19"/>
      <c r="S13" s="2"/>
      <c r="T13" s="2">
        <v>264500</v>
      </c>
      <c r="U13" s="2"/>
      <c r="V13" s="19"/>
      <c r="W13" s="2"/>
      <c r="X13" s="2">
        <f t="shared" si="2"/>
        <v>-264500</v>
      </c>
      <c r="Y13" s="2"/>
      <c r="Z13" s="19">
        <f t="shared" si="3"/>
        <v>-1</v>
      </c>
    </row>
    <row r="14" spans="1:26" s="24" customFormat="1" hidden="1" outlineLevel="1" x14ac:dyDescent="0.25">
      <c r="A14" s="44"/>
      <c r="B14" s="11" t="str">
        <f>CONCATENATE("          ", "4092", " - ", "TAXABLE SALES-GRAD MERCH")</f>
        <v xml:space="preserve">          4092 - TAXABLE SALES-GRAD MERCH</v>
      </c>
      <c r="C14" s="11"/>
      <c r="D14" s="2">
        <f>--13527.29</f>
        <v>13527.29</v>
      </c>
      <c r="E14" s="2"/>
      <c r="F14" s="19"/>
      <c r="G14" s="2"/>
      <c r="H14" s="2"/>
      <c r="I14" s="2"/>
      <c r="J14" s="19"/>
      <c r="K14" s="2"/>
      <c r="L14" s="2">
        <f t="shared" si="0"/>
        <v>13527.29</v>
      </c>
      <c r="M14" s="2"/>
      <c r="N14" s="19">
        <f t="shared" si="1"/>
        <v>0</v>
      </c>
      <c r="O14" s="11"/>
      <c r="P14" s="2">
        <f>--35393.66</f>
        <v>35393.660000000003</v>
      </c>
      <c r="Q14" s="2"/>
      <c r="R14" s="19"/>
      <c r="S14" s="2"/>
      <c r="T14" s="2"/>
      <c r="U14" s="2"/>
      <c r="V14" s="19"/>
      <c r="W14" s="2"/>
      <c r="X14" s="2">
        <f t="shared" si="2"/>
        <v>35393.660000000003</v>
      </c>
      <c r="Y14" s="2"/>
      <c r="Z14" s="19">
        <f t="shared" si="3"/>
        <v>0</v>
      </c>
    </row>
    <row r="15" spans="1:26" s="24" customFormat="1" hidden="1" outlineLevel="1" x14ac:dyDescent="0.25">
      <c r="A15" s="44"/>
      <c r="B15" s="11" t="str">
        <f>CONCATENATE("          ", "4095", " - ", "TAXABLE SALES-CUSTOMER SERVICE")</f>
        <v xml:space="preserve">          4095 - TAXABLE SALES-CUSTOMER SERVICE</v>
      </c>
      <c r="C15" s="11"/>
      <c r="D15" s="2">
        <f t="shared" ref="D15:D16" si="4">0</f>
        <v>0</v>
      </c>
      <c r="E15" s="2"/>
      <c r="F15" s="19"/>
      <c r="G15" s="2"/>
      <c r="H15" s="2"/>
      <c r="I15" s="2"/>
      <c r="J15" s="19"/>
      <c r="K15" s="2"/>
      <c r="L15" s="2">
        <f t="shared" si="0"/>
        <v>0</v>
      </c>
      <c r="M15" s="2"/>
      <c r="N15" s="19">
        <f t="shared" si="1"/>
        <v>0</v>
      </c>
      <c r="O15" s="11"/>
      <c r="P15" s="2">
        <f>--279.56</f>
        <v>279.56</v>
      </c>
      <c r="Q15" s="2"/>
      <c r="R15" s="19"/>
      <c r="S15" s="2"/>
      <c r="T15" s="2"/>
      <c r="U15" s="2"/>
      <c r="V15" s="19"/>
      <c r="W15" s="2"/>
      <c r="X15" s="2">
        <f t="shared" si="2"/>
        <v>279.56</v>
      </c>
      <c r="Y15" s="2"/>
      <c r="Z15" s="19">
        <f t="shared" si="3"/>
        <v>0</v>
      </c>
    </row>
    <row r="16" spans="1:26" s="24" customFormat="1" hidden="1" outlineLevel="1" x14ac:dyDescent="0.25">
      <c r="A16" s="44"/>
      <c r="B16" s="11" t="str">
        <f>CONCATENATE("          ", "4100", " - ", "NON-TAXABLE SALES")</f>
        <v xml:space="preserve">          4100 - NON-TAXABLE SALES</v>
      </c>
      <c r="C16" s="11"/>
      <c r="D16" s="2">
        <f t="shared" si="4"/>
        <v>0</v>
      </c>
      <c r="E16" s="2"/>
      <c r="F16" s="19"/>
      <c r="G16" s="2"/>
      <c r="H16" s="2">
        <v>250000</v>
      </c>
      <c r="I16" s="2"/>
      <c r="J16" s="19"/>
      <c r="K16" s="2"/>
      <c r="L16" s="2">
        <f t="shared" si="0"/>
        <v>-250000</v>
      </c>
      <c r="M16" s="2"/>
      <c r="N16" s="19">
        <f t="shared" si="1"/>
        <v>-1</v>
      </c>
      <c r="O16" s="11"/>
      <c r="P16" s="2">
        <f>0</f>
        <v>0</v>
      </c>
      <c r="Q16" s="2"/>
      <c r="R16" s="19"/>
      <c r="S16" s="2"/>
      <c r="T16" s="2">
        <v>508475.00000000006</v>
      </c>
      <c r="U16" s="2"/>
      <c r="V16" s="19"/>
      <c r="W16" s="2"/>
      <c r="X16" s="2">
        <f t="shared" si="2"/>
        <v>-508475.00000000006</v>
      </c>
      <c r="Y16" s="2"/>
      <c r="Z16" s="19">
        <f t="shared" si="3"/>
        <v>-1</v>
      </c>
    </row>
    <row r="17" spans="1:26" s="24" customFormat="1" hidden="1" outlineLevel="1" x14ac:dyDescent="0.25">
      <c r="A17" s="44"/>
      <c r="B17" s="11" t="str">
        <f>CONCATENATE("          ", "4192", " - ", "NON-TAXABLE SALES-GRAD MERCH")</f>
        <v xml:space="preserve">          4192 - NON-TAXABLE SALES-GRAD MERCH</v>
      </c>
      <c r="C17" s="11"/>
      <c r="D17" s="2">
        <f>--119.4</f>
        <v>119.4</v>
      </c>
      <c r="E17" s="2"/>
      <c r="F17" s="19"/>
      <c r="G17" s="2"/>
      <c r="H17" s="2"/>
      <c r="I17" s="2"/>
      <c r="J17" s="19"/>
      <c r="K17" s="2"/>
      <c r="L17" s="2">
        <f t="shared" si="0"/>
        <v>119.4</v>
      </c>
      <c r="M17" s="2"/>
      <c r="N17" s="19">
        <f t="shared" si="1"/>
        <v>0</v>
      </c>
      <c r="O17" s="11"/>
      <c r="P17" s="2">
        <f>--119.4</f>
        <v>119.4</v>
      </c>
      <c r="Q17" s="2"/>
      <c r="R17" s="19"/>
      <c r="S17" s="2"/>
      <c r="T17" s="2"/>
      <c r="U17" s="2"/>
      <c r="V17" s="19"/>
      <c r="W17" s="2"/>
      <c r="X17" s="2">
        <f t="shared" si="2"/>
        <v>119.4</v>
      </c>
      <c r="Y17" s="2"/>
      <c r="Z17" s="19">
        <f t="shared" si="3"/>
        <v>0</v>
      </c>
    </row>
    <row r="18" spans="1:26" s="24" customFormat="1" hidden="1" outlineLevel="1" x14ac:dyDescent="0.25">
      <c r="A18" s="44"/>
      <c r="B18" s="11" t="str">
        <f>CONCATENATE("          ", "4292", " - ", "SALES RETURN TAXABLE-GRAD MERC")</f>
        <v xml:space="preserve">          4292 - SALES RETURN TAXABLE-GRAD MERC</v>
      </c>
      <c r="C18" s="11"/>
      <c r="D18" s="2">
        <f>-64.89</f>
        <v>-64.89</v>
      </c>
      <c r="E18" s="2"/>
      <c r="F18" s="19"/>
      <c r="G18" s="2"/>
      <c r="H18" s="2"/>
      <c r="I18" s="2"/>
      <c r="J18" s="19"/>
      <c r="K18" s="2"/>
      <c r="L18" s="2">
        <f t="shared" si="0"/>
        <v>-64.89</v>
      </c>
      <c r="M18" s="2"/>
      <c r="N18" s="19">
        <f t="shared" si="1"/>
        <v>0</v>
      </c>
      <c r="O18" s="11"/>
      <c r="P18" s="2">
        <f>-578.84</f>
        <v>-578.84</v>
      </c>
      <c r="Q18" s="2"/>
      <c r="R18" s="19"/>
      <c r="S18" s="2"/>
      <c r="T18" s="2"/>
      <c r="U18" s="2"/>
      <c r="V18" s="19"/>
      <c r="W18" s="2"/>
      <c r="X18" s="2">
        <f t="shared" si="2"/>
        <v>-578.84</v>
      </c>
      <c r="Y18" s="2"/>
      <c r="Z18" s="19">
        <f t="shared" si="3"/>
        <v>0</v>
      </c>
    </row>
    <row r="19" spans="1:26" x14ac:dyDescent="0.25">
      <c r="A19" s="9"/>
      <c r="B19" s="10"/>
      <c r="C19" s="9"/>
      <c r="D19" s="3"/>
      <c r="E19" s="3"/>
      <c r="F19" s="8"/>
      <c r="G19" s="3"/>
      <c r="H19" s="3"/>
      <c r="I19" s="3"/>
      <c r="J19" s="8"/>
      <c r="K19" s="3"/>
      <c r="L19" s="3"/>
      <c r="M19" s="3"/>
      <c r="N19" s="8"/>
      <c r="P19" s="3"/>
      <c r="Q19" s="3"/>
      <c r="R19" s="8"/>
      <c r="S19" s="3"/>
      <c r="T19" s="3"/>
      <c r="U19" s="3"/>
      <c r="V19" s="8"/>
      <c r="W19" s="3"/>
      <c r="X19" s="3"/>
      <c r="Y19" s="3"/>
      <c r="Z19" s="8"/>
    </row>
    <row r="20" spans="1:26" s="23" customFormat="1" collapsed="1" x14ac:dyDescent="0.25">
      <c r="A20" s="10"/>
      <c r="B20" s="28" t="s">
        <v>8</v>
      </c>
      <c r="C20" s="10"/>
      <c r="D20" s="4">
        <f>SUM(OSRRefD16x_0)</f>
        <v>5155.7199999999993</v>
      </c>
      <c r="E20" s="4"/>
      <c r="F20" s="13">
        <f t="shared" ref="F20:F26" si="5">IF(D$12=0,0,D20/D$12)</f>
        <v>0.37960505971226194</v>
      </c>
      <c r="G20" s="4"/>
      <c r="H20" s="4">
        <f>SUM(OSRRefH16x_0)</f>
        <v>152580.5</v>
      </c>
      <c r="I20" s="4"/>
      <c r="J20" s="13">
        <f t="shared" ref="J20:J26" si="6">IF(H$12=0,0,H20/H$12)</f>
        <v>0.40100000000000002</v>
      </c>
      <c r="K20" s="4"/>
      <c r="L20" s="4">
        <f t="shared" ref="L20:L26" si="7">+D20-H20</f>
        <v>-147424.78</v>
      </c>
      <c r="M20" s="4"/>
      <c r="N20" s="13">
        <f t="shared" ref="N20:N26" si="8">IF(H20=0,0,L20/H20)</f>
        <v>-0.96620983677468619</v>
      </c>
      <c r="O20" s="10"/>
      <c r="P20" s="4">
        <f>SUM(OSRRefP16x_0)</f>
        <v>14627.13</v>
      </c>
      <c r="Q20" s="4"/>
      <c r="R20" s="13">
        <f t="shared" ref="R20:R26" si="9">IF(P$12=0,0,P20/P$12)</f>
        <v>0.41538085374532346</v>
      </c>
      <c r="S20" s="4"/>
      <c r="T20" s="4">
        <f>SUM(OSRRefT16x_0)</f>
        <v>309962.97499999998</v>
      </c>
      <c r="U20" s="4"/>
      <c r="V20" s="13">
        <f t="shared" ref="V20:V26" si="10">IF(T$12=0,0,T20/T$12)</f>
        <v>0.40099999999999997</v>
      </c>
      <c r="W20" s="4"/>
      <c r="X20" s="4">
        <f t="shared" ref="X20:X26" si="11">+P20-T20</f>
        <v>-295335.84499999997</v>
      </c>
      <c r="Y20" s="4"/>
      <c r="Z20" s="13">
        <f t="shared" ref="Z20:Z26" si="12">IF(T20=0,0,X20/T20)</f>
        <v>-0.95281007352571701</v>
      </c>
    </row>
    <row r="21" spans="1:26" s="24" customFormat="1" hidden="1" outlineLevel="1" x14ac:dyDescent="0.25">
      <c r="A21" s="44"/>
      <c r="B21" s="11" t="str">
        <f>CONCATENATE("          ", "5000", " - ", "PURCHASES @ COST")</f>
        <v xml:space="preserve">          5000 - PURCHASES @ COST</v>
      </c>
      <c r="C21" s="11"/>
      <c r="D21" s="2"/>
      <c r="E21" s="2"/>
      <c r="F21" s="19">
        <f t="shared" si="5"/>
        <v>0</v>
      </c>
      <c r="G21" s="2"/>
      <c r="H21" s="2">
        <v>152580.5</v>
      </c>
      <c r="I21" s="2"/>
      <c r="J21" s="19">
        <f t="shared" si="6"/>
        <v>0.40100000000000002</v>
      </c>
      <c r="K21" s="2"/>
      <c r="L21" s="2">
        <f t="shared" si="7"/>
        <v>-152580.5</v>
      </c>
      <c r="M21" s="2"/>
      <c r="N21" s="19">
        <f t="shared" si="8"/>
        <v>-1</v>
      </c>
      <c r="O21" s="11"/>
      <c r="P21" s="2"/>
      <c r="Q21" s="2"/>
      <c r="R21" s="19">
        <f t="shared" si="9"/>
        <v>0</v>
      </c>
      <c r="S21" s="2"/>
      <c r="T21" s="2">
        <v>309962.97499999998</v>
      </c>
      <c r="U21" s="2"/>
      <c r="V21" s="19">
        <f t="shared" si="10"/>
        <v>0.40099999999999997</v>
      </c>
      <c r="W21" s="2"/>
      <c r="X21" s="2">
        <f t="shared" si="11"/>
        <v>-309962.97499999998</v>
      </c>
      <c r="Y21" s="2"/>
      <c r="Z21" s="19">
        <f t="shared" si="12"/>
        <v>-1</v>
      </c>
    </row>
    <row r="22" spans="1:26" s="24" customFormat="1" hidden="1" outlineLevel="1" x14ac:dyDescent="0.25">
      <c r="A22" s="44"/>
      <c r="B22" s="11" t="str">
        <f>CONCATENATE("          ", "5092", " - ", "PURCHASES @ COST-GRAD MERCH")</f>
        <v xml:space="preserve">          5092 - PURCHASES @ COST-GRAD MERCH</v>
      </c>
      <c r="C22" s="11"/>
      <c r="D22" s="2">
        <v>-3999.6</v>
      </c>
      <c r="E22" s="2"/>
      <c r="F22" s="19">
        <f t="shared" si="5"/>
        <v>-0.29448232193081914</v>
      </c>
      <c r="G22" s="2"/>
      <c r="H22" s="2"/>
      <c r="I22" s="2"/>
      <c r="J22" s="19">
        <f t="shared" si="6"/>
        <v>0</v>
      </c>
      <c r="K22" s="2"/>
      <c r="L22" s="2">
        <f t="shared" si="7"/>
        <v>-3999.6</v>
      </c>
      <c r="M22" s="2"/>
      <c r="N22" s="19">
        <f t="shared" si="8"/>
        <v>0</v>
      </c>
      <c r="O22" s="11"/>
      <c r="P22" s="2">
        <v>4546.2299999999996</v>
      </c>
      <c r="Q22" s="2"/>
      <c r="R22" s="19">
        <f t="shared" si="9"/>
        <v>0.12910372019135688</v>
      </c>
      <c r="S22" s="2"/>
      <c r="T22" s="2"/>
      <c r="U22" s="2"/>
      <c r="V22" s="19">
        <f t="shared" si="10"/>
        <v>0</v>
      </c>
      <c r="W22" s="2"/>
      <c r="X22" s="2">
        <f t="shared" si="11"/>
        <v>4546.2299999999996</v>
      </c>
      <c r="Y22" s="2"/>
      <c r="Z22" s="19">
        <f t="shared" si="12"/>
        <v>0</v>
      </c>
    </row>
    <row r="23" spans="1:26" s="24" customFormat="1" hidden="1" outlineLevel="1" x14ac:dyDescent="0.25">
      <c r="A23" s="44"/>
      <c r="B23" s="11" t="str">
        <f>CONCATENATE("          ", "5095", " - ", "PURCHASES @ COST-CUSTOMER SERV")</f>
        <v xml:space="preserve">          5095 - PURCHASES @ COST-CUSTOMER SERV</v>
      </c>
      <c r="C23" s="11"/>
      <c r="D23" s="2"/>
      <c r="E23" s="2"/>
      <c r="F23" s="19">
        <f t="shared" si="5"/>
        <v>0</v>
      </c>
      <c r="G23" s="2"/>
      <c r="H23" s="2"/>
      <c r="I23" s="2"/>
      <c r="J23" s="19">
        <f t="shared" si="6"/>
        <v>0</v>
      </c>
      <c r="K23" s="2"/>
      <c r="L23" s="2">
        <f t="shared" si="7"/>
        <v>0</v>
      </c>
      <c r="M23" s="2"/>
      <c r="N23" s="19">
        <f t="shared" si="8"/>
        <v>0</v>
      </c>
      <c r="O23" s="11"/>
      <c r="P23" s="2">
        <v>11.85</v>
      </c>
      <c r="Q23" s="2"/>
      <c r="R23" s="19">
        <f t="shared" si="9"/>
        <v>3.3651598891115914E-4</v>
      </c>
      <c r="S23" s="2"/>
      <c r="T23" s="2"/>
      <c r="U23" s="2"/>
      <c r="V23" s="19">
        <f t="shared" si="10"/>
        <v>0</v>
      </c>
      <c r="W23" s="2"/>
      <c r="X23" s="2">
        <f t="shared" si="11"/>
        <v>11.85</v>
      </c>
      <c r="Y23" s="2"/>
      <c r="Z23" s="19">
        <f t="shared" si="12"/>
        <v>0</v>
      </c>
    </row>
    <row r="24" spans="1:26" s="24" customFormat="1" hidden="1" outlineLevel="1" x14ac:dyDescent="0.25">
      <c r="A24" s="44"/>
      <c r="B24" s="11" t="str">
        <f>CONCATENATE("          ", "5200", " - ", "PURCHASES OFFSET")</f>
        <v xml:space="preserve">          5200 - PURCHASES OFFSET</v>
      </c>
      <c r="C24" s="11"/>
      <c r="D24" s="2">
        <v>3958</v>
      </c>
      <c r="E24" s="2"/>
      <c r="F24" s="19">
        <f t="shared" si="5"/>
        <v>0.29141939949049461</v>
      </c>
      <c r="G24" s="2"/>
      <c r="H24" s="2"/>
      <c r="I24" s="2"/>
      <c r="J24" s="19">
        <f t="shared" si="6"/>
        <v>0</v>
      </c>
      <c r="K24" s="2"/>
      <c r="L24" s="2">
        <f t="shared" si="7"/>
        <v>3958</v>
      </c>
      <c r="M24" s="2"/>
      <c r="N24" s="19">
        <f t="shared" si="8"/>
        <v>0</v>
      </c>
      <c r="O24" s="11"/>
      <c r="P24" s="2">
        <v>-4719</v>
      </c>
      <c r="Q24" s="2"/>
      <c r="R24" s="19">
        <f t="shared" si="9"/>
        <v>-0.13401003811576034</v>
      </c>
      <c r="S24" s="2"/>
      <c r="T24" s="2"/>
      <c r="U24" s="2"/>
      <c r="V24" s="19">
        <f t="shared" si="10"/>
        <v>0</v>
      </c>
      <c r="W24" s="2"/>
      <c r="X24" s="2">
        <f t="shared" si="11"/>
        <v>-4719</v>
      </c>
      <c r="Y24" s="2"/>
      <c r="Z24" s="19">
        <f t="shared" si="12"/>
        <v>0</v>
      </c>
    </row>
    <row r="25" spans="1:26" s="24" customFormat="1" hidden="1" outlineLevel="1" x14ac:dyDescent="0.25">
      <c r="A25" s="44"/>
      <c r="B25" s="11" t="str">
        <f>CONCATENATE("          ", "5300", " - ", "COG$ OFFSET")</f>
        <v xml:space="preserve">          5300 - COG$ OFFSET</v>
      </c>
      <c r="C25" s="11"/>
      <c r="D25" s="2">
        <v>5156</v>
      </c>
      <c r="E25" s="2"/>
      <c r="F25" s="19">
        <f t="shared" si="5"/>
        <v>0.37962567553637955</v>
      </c>
      <c r="G25" s="2"/>
      <c r="H25" s="2"/>
      <c r="I25" s="2"/>
      <c r="J25" s="19">
        <f t="shared" si="6"/>
        <v>0</v>
      </c>
      <c r="K25" s="2"/>
      <c r="L25" s="2">
        <f t="shared" si="7"/>
        <v>5156</v>
      </c>
      <c r="M25" s="2"/>
      <c r="N25" s="19">
        <f t="shared" si="8"/>
        <v>0</v>
      </c>
      <c r="O25" s="11"/>
      <c r="P25" s="2">
        <v>14628</v>
      </c>
      <c r="Q25" s="2"/>
      <c r="R25" s="19">
        <f t="shared" si="9"/>
        <v>0.41540555998248407</v>
      </c>
      <c r="S25" s="2"/>
      <c r="T25" s="2"/>
      <c r="U25" s="2"/>
      <c r="V25" s="19">
        <f t="shared" si="10"/>
        <v>0</v>
      </c>
      <c r="W25" s="2"/>
      <c r="X25" s="2">
        <f t="shared" si="11"/>
        <v>14628</v>
      </c>
      <c r="Y25" s="2"/>
      <c r="Z25" s="19">
        <f t="shared" si="12"/>
        <v>0</v>
      </c>
    </row>
    <row r="26" spans="1:26" s="24" customFormat="1" hidden="1" outlineLevel="1" x14ac:dyDescent="0.25">
      <c r="A26" s="44"/>
      <c r="B26" s="11" t="str">
        <f>CONCATENATE("          ", "5592", " - ", "FREIGHT-IN-GRAD MERCH")</f>
        <v xml:space="preserve">          5592 - FREIGHT-IN-GRAD MERCH</v>
      </c>
      <c r="C26" s="11"/>
      <c r="D26" s="2">
        <v>41.32</v>
      </c>
      <c r="E26" s="2"/>
      <c r="F26" s="19">
        <f t="shared" si="5"/>
        <v>3.0423066162069828E-3</v>
      </c>
      <c r="G26" s="2"/>
      <c r="H26" s="2"/>
      <c r="I26" s="2"/>
      <c r="J26" s="19">
        <f t="shared" si="6"/>
        <v>0</v>
      </c>
      <c r="K26" s="2"/>
      <c r="L26" s="2">
        <f t="shared" si="7"/>
        <v>41.32</v>
      </c>
      <c r="M26" s="2"/>
      <c r="N26" s="19">
        <f t="shared" si="8"/>
        <v>0</v>
      </c>
      <c r="O26" s="11"/>
      <c r="P26" s="2">
        <v>160.05000000000001</v>
      </c>
      <c r="Q26" s="2"/>
      <c r="R26" s="19">
        <f t="shared" si="9"/>
        <v>4.5450956983317326E-3</v>
      </c>
      <c r="S26" s="2"/>
      <c r="T26" s="2"/>
      <c r="U26" s="2"/>
      <c r="V26" s="19">
        <f t="shared" si="10"/>
        <v>0</v>
      </c>
      <c r="W26" s="2"/>
      <c r="X26" s="2">
        <f t="shared" si="11"/>
        <v>160.05000000000001</v>
      </c>
      <c r="Y26" s="2"/>
      <c r="Z26" s="19">
        <f t="shared" si="12"/>
        <v>0</v>
      </c>
    </row>
    <row r="27" spans="1:26" x14ac:dyDescent="0.25">
      <c r="A27" s="9"/>
      <c r="B27" s="10"/>
      <c r="C27" s="10"/>
      <c r="D27" s="3"/>
      <c r="E27" s="3"/>
      <c r="F27" s="8"/>
      <c r="G27" s="3"/>
      <c r="H27" s="3"/>
      <c r="I27" s="3"/>
      <c r="J27" s="8"/>
      <c r="K27" s="3"/>
      <c r="L27" s="3"/>
      <c r="M27" s="3"/>
      <c r="N27" s="8"/>
      <c r="O27" s="10"/>
      <c r="P27" s="3"/>
      <c r="Q27" s="3"/>
      <c r="R27" s="8"/>
      <c r="S27" s="3"/>
      <c r="T27" s="3"/>
      <c r="U27" s="3"/>
      <c r="V27" s="8"/>
      <c r="W27" s="3"/>
      <c r="X27" s="3"/>
      <c r="Y27" s="3"/>
      <c r="Z27" s="8"/>
    </row>
    <row r="28" spans="1:26" s="23" customFormat="1" x14ac:dyDescent="0.25">
      <c r="A28" s="10"/>
      <c r="B28" s="29" t="s">
        <v>6</v>
      </c>
      <c r="C28" s="29"/>
      <c r="D28" s="20">
        <f>D12-D20</f>
        <v>8426.0800000000017</v>
      </c>
      <c r="E28" s="14"/>
      <c r="F28" s="22">
        <f>IF(D$12=0,0,D28/D$12)</f>
        <v>0.62039494028773812</v>
      </c>
      <c r="G28" s="14"/>
      <c r="H28" s="20">
        <f>H12-H20</f>
        <v>227919.5</v>
      </c>
      <c r="I28" s="14"/>
      <c r="J28" s="22">
        <f>IF(H$12=0,0,H28/H$12)</f>
        <v>0.59899999999999998</v>
      </c>
      <c r="K28" s="16"/>
      <c r="L28" s="20">
        <f>+D28-H28</f>
        <v>-219493.41999999998</v>
      </c>
      <c r="M28" s="16"/>
      <c r="N28" s="22">
        <f>IF(H28=0,0,L28/H28)</f>
        <v>-0.96303045592851855</v>
      </c>
      <c r="O28" s="28"/>
      <c r="P28" s="20">
        <f>P12-P20</f>
        <v>20586.650000000009</v>
      </c>
      <c r="Q28" s="14"/>
      <c r="R28" s="22">
        <f>IF(P$12=0,0,P28/P$12)</f>
        <v>0.58461914625467659</v>
      </c>
      <c r="S28" s="14"/>
      <c r="T28" s="20">
        <f>T12-T20</f>
        <v>463012.02500000002</v>
      </c>
      <c r="U28" s="14"/>
      <c r="V28" s="22">
        <f>IF(T$12=0,0,T28/T$12)</f>
        <v>0.59899999999999998</v>
      </c>
      <c r="W28" s="16"/>
      <c r="X28" s="20">
        <f>+P28-T28</f>
        <v>-442425.375</v>
      </c>
      <c r="Y28" s="16"/>
      <c r="Z28" s="22">
        <f>IF(T28=0,0,X28/T28)</f>
        <v>-0.95553754786390266</v>
      </c>
    </row>
    <row r="29" spans="1:26" x14ac:dyDescent="0.25">
      <c r="A29" s="9"/>
      <c r="B29" s="10"/>
      <c r="C29" s="9"/>
      <c r="D29" s="1"/>
      <c r="E29" s="1"/>
      <c r="F29" s="5"/>
      <c r="G29" s="1"/>
      <c r="H29" s="1"/>
      <c r="I29" s="1"/>
      <c r="J29" s="5"/>
      <c r="K29" s="1"/>
      <c r="L29" s="1"/>
      <c r="M29" s="1"/>
      <c r="N29" s="5"/>
      <c r="O29" s="36"/>
      <c r="P29" s="1"/>
      <c r="Q29" s="1"/>
      <c r="R29" s="5"/>
      <c r="S29" s="1"/>
      <c r="T29" s="1"/>
      <c r="U29" s="1"/>
      <c r="V29" s="5"/>
      <c r="W29" s="1"/>
      <c r="X29" s="1"/>
      <c r="Y29" s="1"/>
      <c r="Z29" s="5"/>
    </row>
    <row r="30" spans="1:26" s="23" customFormat="1" x14ac:dyDescent="0.25">
      <c r="A30" s="10"/>
      <c r="B30" s="28" t="s">
        <v>9</v>
      </c>
      <c r="C30" s="10"/>
      <c r="D30" s="21">
        <f>SUM(OSRRefD22x_0)</f>
        <v>5403.85</v>
      </c>
      <c r="E30" s="21"/>
      <c r="F30" s="30">
        <f t="shared" ref="F30:F39" si="13">IF(D$12=0,0,D30/D$12)</f>
        <v>0.39787436127759207</v>
      </c>
      <c r="G30" s="21"/>
      <c r="H30" s="21">
        <f>SUM(OSRRefH22x_0)</f>
        <v>26186.277776115385</v>
      </c>
      <c r="I30" s="21"/>
      <c r="J30" s="30">
        <f t="shared" ref="J30:J39" si="14">IF(H$12=0,0,H30/H$12)</f>
        <v>6.8820703748003642E-2</v>
      </c>
      <c r="K30" s="4"/>
      <c r="L30" s="21">
        <f t="shared" ref="L30:L39" si="15">+D30-H30</f>
        <v>-20782.427776115386</v>
      </c>
      <c r="M30" s="4"/>
      <c r="N30" s="30">
        <f t="shared" ref="N30:N39" si="16">IF(H30=0,0,L30/H30)</f>
        <v>-0.79363810136739354</v>
      </c>
      <c r="O30" s="10"/>
      <c r="P30" s="21">
        <f>SUM(OSRRefP22x_0)</f>
        <v>6328.49</v>
      </c>
      <c r="Q30" s="21"/>
      <c r="R30" s="30">
        <f t="shared" ref="R30:R39" si="17">IF(P$12=0,0,P30/P$12)</f>
        <v>0.17971629288307017</v>
      </c>
      <c r="S30" s="21"/>
      <c r="T30" s="21">
        <f>SUM(OSRRefT22x_0)</f>
        <v>15993.745617384644</v>
      </c>
      <c r="U30" s="21"/>
      <c r="V30" s="30">
        <f t="shared" ref="V30:V39" si="18">IF(T$12=0,0,T30/T$12)</f>
        <v>2.0691155105125838E-2</v>
      </c>
      <c r="W30" s="4"/>
      <c r="X30" s="21">
        <f t="shared" ref="X30:X39" si="19">+P30-T30</f>
        <v>-9665.2556173846442</v>
      </c>
      <c r="Y30" s="4"/>
      <c r="Z30" s="30">
        <f t="shared" ref="Z30:Z39" si="20">IF(T30=0,0,X30/T30)</f>
        <v>-0.60431470204695814</v>
      </c>
    </row>
    <row r="31" spans="1:26" s="27" customFormat="1" outlineLevel="1" collapsed="1" x14ac:dyDescent="0.25">
      <c r="A31" s="25"/>
      <c r="B31" s="12" t="str">
        <f>CONCATENATE("     ","*Benefits                                         ")</f>
        <v xml:space="preserve">     *Benefits                                         </v>
      </c>
      <c r="C31" s="12"/>
      <c r="D31" s="1">
        <f>SUM(OSRRefD22_0x_0)</f>
        <v>0</v>
      </c>
      <c r="E31" s="1"/>
      <c r="F31" s="5">
        <f t="shared" si="13"/>
        <v>0</v>
      </c>
      <c r="G31" s="1"/>
      <c r="H31" s="1">
        <f>SUM(OSRRefH22_0x_0)</f>
        <v>3469.5379299615338</v>
      </c>
      <c r="I31" s="1"/>
      <c r="J31" s="5">
        <f t="shared" si="14"/>
        <v>9.1183651247346478E-3</v>
      </c>
      <c r="K31" s="1"/>
      <c r="L31" s="1">
        <f t="shared" si="15"/>
        <v>-3469.5379299615338</v>
      </c>
      <c r="M31" s="1"/>
      <c r="N31" s="5">
        <f t="shared" si="16"/>
        <v>-1</v>
      </c>
      <c r="O31" s="12"/>
      <c r="P31" s="1">
        <f>SUM(OSRRefP22_0x_0)</f>
        <v>874.44</v>
      </c>
      <c r="Q31" s="1"/>
      <c r="R31" s="5">
        <f t="shared" si="17"/>
        <v>2.4832324164006245E-2</v>
      </c>
      <c r="S31" s="1"/>
      <c r="T31" s="1">
        <f>SUM(OSRRefT22_0x_0)</f>
        <v>17162.131463538451</v>
      </c>
      <c r="U31" s="1"/>
      <c r="V31" s="5">
        <f t="shared" si="18"/>
        <v>2.2202699263932795E-2</v>
      </c>
      <c r="W31" s="1"/>
      <c r="X31" s="1">
        <f t="shared" si="19"/>
        <v>-16287.691463538451</v>
      </c>
      <c r="Y31" s="1"/>
      <c r="Z31" s="5">
        <f t="shared" si="20"/>
        <v>-0.94904828681345443</v>
      </c>
    </row>
    <row r="32" spans="1:26" s="24" customFormat="1" hidden="1" outlineLevel="2" x14ac:dyDescent="0.25">
      <c r="A32" s="26"/>
      <c r="B32" s="11" t="str">
        <f>CONCATENATE("          ", "6111", " - ", "F.I.C.A.")</f>
        <v xml:space="preserve">          6111 - F.I.C.A.</v>
      </c>
      <c r="C32" s="11"/>
      <c r="D32" s="7"/>
      <c r="E32" s="2"/>
      <c r="F32" s="6">
        <f t="shared" si="13"/>
        <v>0</v>
      </c>
      <c r="G32" s="2"/>
      <c r="H32" s="7">
        <v>1763.2461961153799</v>
      </c>
      <c r="I32" s="2"/>
      <c r="J32" s="6">
        <f t="shared" si="14"/>
        <v>4.6340241685029699E-3</v>
      </c>
      <c r="K32" s="2"/>
      <c r="L32" s="7">
        <f t="shared" si="15"/>
        <v>-1763.2461961153799</v>
      </c>
      <c r="M32" s="2"/>
      <c r="N32" s="6">
        <f t="shared" si="16"/>
        <v>-1</v>
      </c>
      <c r="O32" s="11"/>
      <c r="P32" s="7">
        <v>208.81</v>
      </c>
      <c r="Q32" s="2"/>
      <c r="R32" s="6">
        <f t="shared" si="17"/>
        <v>5.9297808982733454E-3</v>
      </c>
      <c r="S32" s="2"/>
      <c r="T32" s="7">
        <v>4360.6805773846081</v>
      </c>
      <c r="U32" s="2"/>
      <c r="V32" s="6">
        <f t="shared" si="18"/>
        <v>5.641425113858285E-3</v>
      </c>
      <c r="W32" s="2"/>
      <c r="X32" s="7">
        <f t="shared" si="19"/>
        <v>-4151.8705773846077</v>
      </c>
      <c r="Y32" s="2"/>
      <c r="Z32" s="6">
        <f t="shared" si="20"/>
        <v>-0.95211527276661068</v>
      </c>
    </row>
    <row r="33" spans="1:26" s="24" customFormat="1" hidden="1" outlineLevel="2" x14ac:dyDescent="0.25">
      <c r="A33" s="26"/>
      <c r="B33" s="11" t="str">
        <f>CONCATENATE("          ", "6112", " - ", "COMPENSATION INSURANCE")</f>
        <v xml:space="preserve">          6112 - COMPENSATION INSURANCE</v>
      </c>
      <c r="C33" s="11"/>
      <c r="D33" s="7"/>
      <c r="E33" s="2"/>
      <c r="F33" s="6">
        <f t="shared" si="13"/>
        <v>0</v>
      </c>
      <c r="G33" s="2"/>
      <c r="H33" s="7">
        <v>437.758757692308</v>
      </c>
      <c r="I33" s="2"/>
      <c r="J33" s="6">
        <f t="shared" si="14"/>
        <v>1.1504829374305071E-3</v>
      </c>
      <c r="K33" s="2"/>
      <c r="L33" s="7">
        <f t="shared" si="15"/>
        <v>-437.758757692308</v>
      </c>
      <c r="M33" s="2"/>
      <c r="N33" s="6">
        <f t="shared" si="16"/>
        <v>-1</v>
      </c>
      <c r="O33" s="11"/>
      <c r="P33" s="7">
        <v>22.05</v>
      </c>
      <c r="Q33" s="2"/>
      <c r="R33" s="6">
        <f t="shared" si="17"/>
        <v>6.26175321138486E-4</v>
      </c>
      <c r="S33" s="2"/>
      <c r="T33" s="7">
        <v>1082.6202923076928</v>
      </c>
      <c r="U33" s="2"/>
      <c r="V33" s="6">
        <f t="shared" si="18"/>
        <v>1.4005890129793238E-3</v>
      </c>
      <c r="W33" s="2"/>
      <c r="X33" s="7">
        <f t="shared" si="19"/>
        <v>-1060.5702923076929</v>
      </c>
      <c r="Y33" s="2"/>
      <c r="Z33" s="6">
        <f t="shared" si="20"/>
        <v>-0.97963274828980107</v>
      </c>
    </row>
    <row r="34" spans="1:26" s="24" customFormat="1" hidden="1" outlineLevel="2" x14ac:dyDescent="0.25">
      <c r="A34" s="26"/>
      <c r="B34" s="11" t="str">
        <f>CONCATENATE("          ", "6113", " - ", "GROUP INSURANCE")</f>
        <v xml:space="preserve">          6113 - GROUP INSURANCE</v>
      </c>
      <c r="C34" s="11"/>
      <c r="D34" s="7"/>
      <c r="E34" s="2"/>
      <c r="F34" s="6">
        <f t="shared" si="13"/>
        <v>0</v>
      </c>
      <c r="G34" s="2"/>
      <c r="H34" s="7">
        <v>660</v>
      </c>
      <c r="I34" s="2"/>
      <c r="J34" s="6">
        <f t="shared" si="14"/>
        <v>1.7345597897503286E-3</v>
      </c>
      <c r="K34" s="2"/>
      <c r="L34" s="7">
        <f t="shared" si="15"/>
        <v>-660</v>
      </c>
      <c r="M34" s="2"/>
      <c r="N34" s="6">
        <f t="shared" si="16"/>
        <v>-1</v>
      </c>
      <c r="O34" s="11"/>
      <c r="P34" s="7">
        <v>305.26</v>
      </c>
      <c r="Q34" s="2"/>
      <c r="R34" s="6">
        <f t="shared" si="17"/>
        <v>8.6687654662464513E-3</v>
      </c>
      <c r="S34" s="2"/>
      <c r="T34" s="7">
        <v>7260</v>
      </c>
      <c r="U34" s="2"/>
      <c r="V34" s="6">
        <f t="shared" si="18"/>
        <v>9.3922830621947662E-3</v>
      </c>
      <c r="W34" s="2"/>
      <c r="X34" s="7">
        <f t="shared" si="19"/>
        <v>-6954.74</v>
      </c>
      <c r="Y34" s="2"/>
      <c r="Z34" s="6">
        <f t="shared" si="20"/>
        <v>-0.95795316804407715</v>
      </c>
    </row>
    <row r="35" spans="1:26" s="24" customFormat="1" hidden="1" outlineLevel="2" x14ac:dyDescent="0.25">
      <c r="A35" s="26"/>
      <c r="B35" s="11" t="str">
        <f>CONCATENATE("          ", "6114", " - ", "STATE UNEMPLOYMENT INSURANCE")</f>
        <v xml:space="preserve">          6114 - STATE UNEMPLOYMENT INSURANCE</v>
      </c>
      <c r="C35" s="11"/>
      <c r="D35" s="7"/>
      <c r="E35" s="2"/>
      <c r="F35" s="6">
        <f t="shared" si="13"/>
        <v>0</v>
      </c>
      <c r="G35" s="2"/>
      <c r="H35" s="7">
        <v>59.903829999999999</v>
      </c>
      <c r="I35" s="2"/>
      <c r="J35" s="6">
        <f t="shared" si="14"/>
        <v>1.5743450722733245E-4</v>
      </c>
      <c r="K35" s="2"/>
      <c r="L35" s="7">
        <f t="shared" si="15"/>
        <v>-59.903829999999999</v>
      </c>
      <c r="M35" s="2"/>
      <c r="N35" s="6">
        <f t="shared" si="16"/>
        <v>-1</v>
      </c>
      <c r="O35" s="11"/>
      <c r="P35" s="7">
        <v>5</v>
      </c>
      <c r="Q35" s="2"/>
      <c r="R35" s="6">
        <f t="shared" si="17"/>
        <v>1.4198986873888573E-4</v>
      </c>
      <c r="S35" s="2"/>
      <c r="T35" s="7">
        <v>148.14804000000001</v>
      </c>
      <c r="U35" s="2"/>
      <c r="V35" s="6">
        <f t="shared" si="18"/>
        <v>1.9165954914453898E-4</v>
      </c>
      <c r="W35" s="2"/>
      <c r="X35" s="7">
        <f t="shared" si="19"/>
        <v>-143.14804000000001</v>
      </c>
      <c r="Y35" s="2"/>
      <c r="Z35" s="6">
        <f t="shared" si="20"/>
        <v>-0.96624997536248203</v>
      </c>
    </row>
    <row r="36" spans="1:26" s="24" customFormat="1" hidden="1" outlineLevel="2" x14ac:dyDescent="0.25">
      <c r="A36" s="26"/>
      <c r="B36" s="11" t="str">
        <f>CONCATENATE("          ", "6115", " - ", "P.E.R.S.")</f>
        <v xml:space="preserve">          6115 - P.E.R.S.</v>
      </c>
      <c r="C36" s="11"/>
      <c r="D36" s="7"/>
      <c r="E36" s="2"/>
      <c r="F36" s="6">
        <f t="shared" si="13"/>
        <v>0</v>
      </c>
      <c r="G36" s="2"/>
      <c r="H36" s="7">
        <v>175.434376923077</v>
      </c>
      <c r="I36" s="2"/>
      <c r="J36" s="6">
        <f t="shared" si="14"/>
        <v>4.6106275144041259E-4</v>
      </c>
      <c r="K36" s="2"/>
      <c r="L36" s="7">
        <f t="shared" si="15"/>
        <v>-175.434376923077</v>
      </c>
      <c r="M36" s="2"/>
      <c r="N36" s="6">
        <f t="shared" si="16"/>
        <v>-1</v>
      </c>
      <c r="O36" s="11"/>
      <c r="P36" s="7">
        <v>134.12</v>
      </c>
      <c r="Q36" s="2"/>
      <c r="R36" s="6">
        <f t="shared" si="17"/>
        <v>3.8087362390518708E-3</v>
      </c>
      <c r="S36" s="2"/>
      <c r="T36" s="7">
        <v>2062.2813230769229</v>
      </c>
      <c r="U36" s="2"/>
      <c r="V36" s="6">
        <f t="shared" si="18"/>
        <v>2.6679793306082643E-3</v>
      </c>
      <c r="W36" s="2"/>
      <c r="X36" s="7">
        <f t="shared" si="19"/>
        <v>-1928.1613230769231</v>
      </c>
      <c r="Y36" s="2"/>
      <c r="Z36" s="6">
        <f t="shared" si="20"/>
        <v>-0.93496522588882636</v>
      </c>
    </row>
    <row r="37" spans="1:26" s="24" customFormat="1" hidden="1" outlineLevel="2" x14ac:dyDescent="0.25">
      <c r="A37" s="26"/>
      <c r="B37" s="11" t="str">
        <f>CONCATENATE("          ", "6116", " - ", "EDUCATIONAL BENEFITS")</f>
        <v xml:space="preserve">          6116 - EDUCATIONAL BENEFITS</v>
      </c>
      <c r="C37" s="11"/>
      <c r="D37" s="7"/>
      <c r="E37" s="2"/>
      <c r="F37" s="6">
        <f t="shared" si="13"/>
        <v>0</v>
      </c>
      <c r="G37" s="2"/>
      <c r="H37" s="7">
        <v>0</v>
      </c>
      <c r="I37" s="2"/>
      <c r="J37" s="6">
        <f t="shared" si="14"/>
        <v>0</v>
      </c>
      <c r="K37" s="2"/>
      <c r="L37" s="7">
        <f t="shared" si="15"/>
        <v>0</v>
      </c>
      <c r="M37" s="2"/>
      <c r="N37" s="6">
        <f t="shared" si="16"/>
        <v>0</v>
      </c>
      <c r="O37" s="11"/>
      <c r="P37" s="7"/>
      <c r="Q37" s="2"/>
      <c r="R37" s="6">
        <f t="shared" si="17"/>
        <v>0</v>
      </c>
      <c r="S37" s="2"/>
      <c r="T37" s="7">
        <v>0</v>
      </c>
      <c r="U37" s="2"/>
      <c r="V37" s="6">
        <f t="shared" si="18"/>
        <v>0</v>
      </c>
      <c r="W37" s="2"/>
      <c r="X37" s="7">
        <f t="shared" si="19"/>
        <v>0</v>
      </c>
      <c r="Y37" s="2"/>
      <c r="Z37" s="6">
        <f t="shared" si="20"/>
        <v>0</v>
      </c>
    </row>
    <row r="38" spans="1:26" s="24" customFormat="1" hidden="1" outlineLevel="2" x14ac:dyDescent="0.25">
      <c r="A38" s="26"/>
      <c r="B38" s="11" t="str">
        <f>CONCATENATE("          ", "6118", " - ", "VACATION")</f>
        <v xml:space="preserve">          6118 - VACATION</v>
      </c>
      <c r="C38" s="11"/>
      <c r="D38" s="7"/>
      <c r="E38" s="2"/>
      <c r="F38" s="6">
        <f t="shared" si="13"/>
        <v>0</v>
      </c>
      <c r="G38" s="2"/>
      <c r="H38" s="7">
        <v>101.99673076923101</v>
      </c>
      <c r="I38" s="2"/>
      <c r="J38" s="6">
        <f t="shared" si="14"/>
        <v>2.6805973920954271E-4</v>
      </c>
      <c r="K38" s="2"/>
      <c r="L38" s="7">
        <f t="shared" si="15"/>
        <v>-101.99673076923101</v>
      </c>
      <c r="M38" s="2"/>
      <c r="N38" s="6">
        <f t="shared" si="16"/>
        <v>-1</v>
      </c>
      <c r="O38" s="11"/>
      <c r="P38" s="7">
        <v>110.64</v>
      </c>
      <c r="Q38" s="2"/>
      <c r="R38" s="6">
        <f t="shared" si="17"/>
        <v>3.1419518154540632E-3</v>
      </c>
      <c r="S38" s="2"/>
      <c r="T38" s="7">
        <v>1199.0007692307681</v>
      </c>
      <c r="U38" s="2"/>
      <c r="V38" s="6">
        <f t="shared" si="18"/>
        <v>1.5511507736094545E-3</v>
      </c>
      <c r="W38" s="2"/>
      <c r="X38" s="7">
        <f t="shared" si="19"/>
        <v>-1088.360769230768</v>
      </c>
      <c r="Y38" s="2"/>
      <c r="Z38" s="6">
        <f t="shared" si="20"/>
        <v>-0.90772316178664136</v>
      </c>
    </row>
    <row r="39" spans="1:26" s="24" customFormat="1" hidden="1" outlineLevel="2" x14ac:dyDescent="0.25">
      <c r="A39" s="26"/>
      <c r="B39" s="11" t="str">
        <f>CONCATENATE("          ", "6119", " - ", "SICK LEAVE")</f>
        <v xml:space="preserve">          6119 - SICK LEAVE</v>
      </c>
      <c r="C39" s="11"/>
      <c r="D39" s="7"/>
      <c r="E39" s="2"/>
      <c r="F39" s="6">
        <f t="shared" si="13"/>
        <v>0</v>
      </c>
      <c r="G39" s="2"/>
      <c r="H39" s="7">
        <v>271.19803846153798</v>
      </c>
      <c r="I39" s="2"/>
      <c r="J39" s="6">
        <f t="shared" si="14"/>
        <v>7.127412311735558E-4</v>
      </c>
      <c r="K39" s="2"/>
      <c r="L39" s="7">
        <f t="shared" si="15"/>
        <v>-271.19803846153798</v>
      </c>
      <c r="M39" s="2"/>
      <c r="N39" s="6">
        <f t="shared" si="16"/>
        <v>-1</v>
      </c>
      <c r="O39" s="11"/>
      <c r="P39" s="7">
        <v>88.56</v>
      </c>
      <c r="Q39" s="2"/>
      <c r="R39" s="6">
        <f t="shared" si="17"/>
        <v>2.514924555103144E-3</v>
      </c>
      <c r="S39" s="2"/>
      <c r="T39" s="7">
        <v>1049.4004615384608</v>
      </c>
      <c r="U39" s="2"/>
      <c r="V39" s="6">
        <f t="shared" si="18"/>
        <v>1.357612421538162E-3</v>
      </c>
      <c r="W39" s="2"/>
      <c r="X39" s="7">
        <f t="shared" si="19"/>
        <v>-960.84046153846089</v>
      </c>
      <c r="Y39" s="2"/>
      <c r="Z39" s="6">
        <f t="shared" si="20"/>
        <v>-0.91560895649867768</v>
      </c>
    </row>
    <row r="40" spans="1:26" s="27" customFormat="1" outlineLevel="1" collapsed="1" x14ac:dyDescent="0.25">
      <c r="A40" s="25"/>
      <c r="B40" s="12" t="str">
        <f>CONCATENATE("     ","*Payroll                                          ")</f>
        <v xml:space="preserve">     *Payroll                                          </v>
      </c>
      <c r="C40" s="12"/>
      <c r="D40" s="1">
        <f>SUM(OSRRefD22_1x_0)</f>
        <v>0</v>
      </c>
      <c r="E40" s="1"/>
      <c r="F40" s="5">
        <f t="shared" ref="F40:F50" si="21">IF(D$12=0,0,D40/D$12)</f>
        <v>0</v>
      </c>
      <c r="G40" s="1"/>
      <c r="H40" s="1">
        <f>SUM(OSRRefH22_1x_0)</f>
        <v>22666.739846153851</v>
      </c>
      <c r="I40" s="1"/>
      <c r="J40" s="5">
        <f t="shared" ref="J40:J50" si="22">IF(H$12=0,0,H40/H$12)</f>
        <v>5.9570932578590932E-2</v>
      </c>
      <c r="K40" s="1"/>
      <c r="L40" s="1">
        <f t="shared" ref="L40:L50" si="23">+D40-H40</f>
        <v>-22666.739846153851</v>
      </c>
      <c r="M40" s="1"/>
      <c r="N40" s="5">
        <f t="shared" ref="N40:N50" si="24">IF(H40=0,0,L40/H40)</f>
        <v>-1</v>
      </c>
      <c r="O40" s="12"/>
      <c r="P40" s="1">
        <f>SUM(OSRRefP22_1x_0)</f>
        <v>6103</v>
      </c>
      <c r="Q40" s="1"/>
      <c r="R40" s="5">
        <f t="shared" ref="R40:R50" si="25">IF(P$12=0,0,P40/P$12)</f>
        <v>0.17331283378268392</v>
      </c>
      <c r="S40" s="1"/>
      <c r="T40" s="1">
        <f>SUM(OSRRefT22_1x_0)</f>
        <v>54731.614153846196</v>
      </c>
      <c r="U40" s="1"/>
      <c r="V40" s="5">
        <f t="shared" ref="V40:V50" si="26">IF(T$12=0,0,T40/T$12)</f>
        <v>7.0806448014290493E-2</v>
      </c>
      <c r="W40" s="1"/>
      <c r="X40" s="1">
        <f t="shared" ref="X40:X50" si="27">+P40-T40</f>
        <v>-48628.614153846196</v>
      </c>
      <c r="Y40" s="1"/>
      <c r="Z40" s="5">
        <f t="shared" ref="Z40:Z50" si="28">IF(T40=0,0,X40/T40)</f>
        <v>-0.88849223443611669</v>
      </c>
    </row>
    <row r="41" spans="1:26" s="24" customFormat="1" hidden="1" outlineLevel="2" x14ac:dyDescent="0.25">
      <c r="A41" s="26"/>
      <c r="B41" s="11" t="str">
        <f>CONCATENATE("          ", "6001", " - ", "ADMINISTRATIVE SALARIES")</f>
        <v xml:space="preserve">          6001 - ADMINISTRATIVE SALARIES</v>
      </c>
      <c r="C41" s="11"/>
      <c r="D41" s="7"/>
      <c r="E41" s="2"/>
      <c r="F41" s="6">
        <f t="shared" si="21"/>
        <v>0</v>
      </c>
      <c r="G41" s="2"/>
      <c r="H41" s="7">
        <v>0</v>
      </c>
      <c r="I41" s="2"/>
      <c r="J41" s="6">
        <f t="shared" si="22"/>
        <v>0</v>
      </c>
      <c r="K41" s="2"/>
      <c r="L41" s="7">
        <f t="shared" si="23"/>
        <v>0</v>
      </c>
      <c r="M41" s="2"/>
      <c r="N41" s="6">
        <f t="shared" si="24"/>
        <v>0</v>
      </c>
      <c r="O41" s="11"/>
      <c r="P41" s="7"/>
      <c r="Q41" s="2"/>
      <c r="R41" s="6">
        <f t="shared" si="25"/>
        <v>0</v>
      </c>
      <c r="S41" s="2"/>
      <c r="T41" s="7">
        <v>0</v>
      </c>
      <c r="U41" s="2"/>
      <c r="V41" s="6">
        <f t="shared" si="26"/>
        <v>0</v>
      </c>
      <c r="W41" s="2"/>
      <c r="X41" s="7">
        <f t="shared" si="27"/>
        <v>0</v>
      </c>
      <c r="Y41" s="2"/>
      <c r="Z41" s="6">
        <f t="shared" si="28"/>
        <v>0</v>
      </c>
    </row>
    <row r="42" spans="1:26" s="24" customFormat="1" hidden="1" outlineLevel="2" x14ac:dyDescent="0.25">
      <c r="A42" s="26"/>
      <c r="B42" s="11" t="str">
        <f>CONCATENATE("          ", "6002", " - ", "STAFF SALARIES")</f>
        <v xml:space="preserve">          6002 - STAFF SALARIES</v>
      </c>
      <c r="C42" s="11"/>
      <c r="D42" s="7"/>
      <c r="E42" s="2"/>
      <c r="F42" s="6">
        <f t="shared" si="21"/>
        <v>0</v>
      </c>
      <c r="G42" s="2"/>
      <c r="H42" s="7">
        <v>1876.7398461538501</v>
      </c>
      <c r="I42" s="2"/>
      <c r="J42" s="6">
        <f t="shared" si="22"/>
        <v>4.9322992014555851E-3</v>
      </c>
      <c r="K42" s="2"/>
      <c r="L42" s="7">
        <f t="shared" si="23"/>
        <v>-1876.7398461538501</v>
      </c>
      <c r="M42" s="2"/>
      <c r="N42" s="6">
        <f t="shared" si="24"/>
        <v>-1</v>
      </c>
      <c r="O42" s="11"/>
      <c r="P42" s="7">
        <v>1872</v>
      </c>
      <c r="Q42" s="2"/>
      <c r="R42" s="6">
        <f t="shared" si="25"/>
        <v>5.3161006855838813E-2</v>
      </c>
      <c r="S42" s="2"/>
      <c r="T42" s="7">
        <v>22061.614153846192</v>
      </c>
      <c r="U42" s="2"/>
      <c r="V42" s="6">
        <f t="shared" si="26"/>
        <v>2.8541174234414039E-2</v>
      </c>
      <c r="W42" s="2"/>
      <c r="X42" s="7">
        <f t="shared" si="27"/>
        <v>-20189.614153846192</v>
      </c>
      <c r="Y42" s="2"/>
      <c r="Z42" s="6">
        <f t="shared" si="28"/>
        <v>-0.91514673464300267</v>
      </c>
    </row>
    <row r="43" spans="1:26" s="24" customFormat="1" hidden="1" outlineLevel="2" x14ac:dyDescent="0.25">
      <c r="A43" s="26"/>
      <c r="B43" s="11" t="str">
        <f>CONCATENATE("          ", "6003", " - ", "STAFF HOURLY-9 MONTH")</f>
        <v xml:space="preserve">          6003 - STAFF HOURLY-9 MONTH</v>
      </c>
      <c r="C43" s="11"/>
      <c r="D43" s="7"/>
      <c r="E43" s="2"/>
      <c r="F43" s="6">
        <f t="shared" si="21"/>
        <v>0</v>
      </c>
      <c r="G43" s="2"/>
      <c r="H43" s="7">
        <v>0</v>
      </c>
      <c r="I43" s="2"/>
      <c r="J43" s="6">
        <f t="shared" si="22"/>
        <v>0</v>
      </c>
      <c r="K43" s="2"/>
      <c r="L43" s="7">
        <f t="shared" si="23"/>
        <v>0</v>
      </c>
      <c r="M43" s="2"/>
      <c r="N43" s="6">
        <f t="shared" si="24"/>
        <v>0</v>
      </c>
      <c r="O43" s="11"/>
      <c r="P43" s="7"/>
      <c r="Q43" s="2"/>
      <c r="R43" s="6">
        <f t="shared" si="25"/>
        <v>0</v>
      </c>
      <c r="S43" s="2"/>
      <c r="T43" s="7">
        <v>0</v>
      </c>
      <c r="U43" s="2"/>
      <c r="V43" s="6">
        <f t="shared" si="26"/>
        <v>0</v>
      </c>
      <c r="W43" s="2"/>
      <c r="X43" s="7">
        <f t="shared" si="27"/>
        <v>0</v>
      </c>
      <c r="Y43" s="2"/>
      <c r="Z43" s="6">
        <f t="shared" si="28"/>
        <v>0</v>
      </c>
    </row>
    <row r="44" spans="1:26" s="24" customFormat="1" hidden="1" outlineLevel="2" x14ac:dyDescent="0.25">
      <c r="A44" s="26"/>
      <c r="B44" s="11" t="str">
        <f>CONCATENATE("          ", "6004", " - ", "STAFF HOURLY")</f>
        <v xml:space="preserve">          6004 - STAFF HOURLY</v>
      </c>
      <c r="C44" s="11"/>
      <c r="D44" s="7"/>
      <c r="E44" s="2"/>
      <c r="F44" s="6">
        <f t="shared" si="21"/>
        <v>0</v>
      </c>
      <c r="G44" s="2"/>
      <c r="H44" s="7">
        <v>0</v>
      </c>
      <c r="I44" s="2"/>
      <c r="J44" s="6">
        <f t="shared" si="22"/>
        <v>0</v>
      </c>
      <c r="K44" s="2"/>
      <c r="L44" s="7">
        <f t="shared" si="23"/>
        <v>0</v>
      </c>
      <c r="M44" s="2"/>
      <c r="N44" s="6">
        <f t="shared" si="24"/>
        <v>0</v>
      </c>
      <c r="O44" s="11"/>
      <c r="P44" s="7">
        <v>491.67</v>
      </c>
      <c r="Q44" s="2"/>
      <c r="R44" s="6">
        <f t="shared" si="25"/>
        <v>1.3962431752569589E-2</v>
      </c>
      <c r="S44" s="2"/>
      <c r="T44" s="7">
        <v>0</v>
      </c>
      <c r="U44" s="2"/>
      <c r="V44" s="6">
        <f t="shared" si="26"/>
        <v>0</v>
      </c>
      <c r="W44" s="2"/>
      <c r="X44" s="7">
        <f t="shared" si="27"/>
        <v>491.67</v>
      </c>
      <c r="Y44" s="2"/>
      <c r="Z44" s="6">
        <f t="shared" si="28"/>
        <v>0</v>
      </c>
    </row>
    <row r="45" spans="1:26" s="24" customFormat="1" hidden="1" outlineLevel="2" x14ac:dyDescent="0.25">
      <c r="A45" s="26"/>
      <c r="B45" s="11" t="str">
        <f>CONCATENATE("          ", "6005", " - ", "TEMPORARY WAGES-HOURLY")</f>
        <v xml:space="preserve">          6005 - TEMPORARY WAGES-HOURLY</v>
      </c>
      <c r="C45" s="11"/>
      <c r="D45" s="7"/>
      <c r="E45" s="2"/>
      <c r="F45" s="6">
        <f t="shared" si="21"/>
        <v>0</v>
      </c>
      <c r="G45" s="2"/>
      <c r="H45" s="7">
        <v>0</v>
      </c>
      <c r="I45" s="2"/>
      <c r="J45" s="6">
        <f t="shared" si="22"/>
        <v>0</v>
      </c>
      <c r="K45" s="2"/>
      <c r="L45" s="7">
        <f t="shared" si="23"/>
        <v>0</v>
      </c>
      <c r="M45" s="2"/>
      <c r="N45" s="6">
        <f t="shared" si="24"/>
        <v>0</v>
      </c>
      <c r="O45" s="11"/>
      <c r="P45" s="7">
        <v>140.61000000000001</v>
      </c>
      <c r="Q45" s="2"/>
      <c r="R45" s="6">
        <f t="shared" si="25"/>
        <v>3.9930390886749444E-3</v>
      </c>
      <c r="S45" s="2"/>
      <c r="T45" s="7">
        <v>0</v>
      </c>
      <c r="U45" s="2"/>
      <c r="V45" s="6">
        <f t="shared" si="26"/>
        <v>0</v>
      </c>
      <c r="W45" s="2"/>
      <c r="X45" s="7">
        <f t="shared" si="27"/>
        <v>140.61000000000001</v>
      </c>
      <c r="Y45" s="2"/>
      <c r="Z45" s="6">
        <f t="shared" si="28"/>
        <v>0</v>
      </c>
    </row>
    <row r="46" spans="1:26" s="24" customFormat="1" hidden="1" outlineLevel="2" x14ac:dyDescent="0.25">
      <c r="A46" s="26"/>
      <c r="B46" s="11" t="str">
        <f>CONCATENATE("          ", "6006", " - ", "TEMPORARY PART TIME")</f>
        <v xml:space="preserve">          6006 - TEMPORARY PART TIME</v>
      </c>
      <c r="C46" s="11"/>
      <c r="D46" s="7"/>
      <c r="E46" s="2"/>
      <c r="F46" s="6">
        <f t="shared" si="21"/>
        <v>0</v>
      </c>
      <c r="G46" s="2"/>
      <c r="H46" s="7">
        <v>0</v>
      </c>
      <c r="I46" s="2"/>
      <c r="J46" s="6">
        <f t="shared" si="22"/>
        <v>0</v>
      </c>
      <c r="K46" s="2"/>
      <c r="L46" s="7">
        <f t="shared" si="23"/>
        <v>0</v>
      </c>
      <c r="M46" s="2"/>
      <c r="N46" s="6">
        <f t="shared" si="24"/>
        <v>0</v>
      </c>
      <c r="O46" s="11"/>
      <c r="P46" s="7">
        <v>120.35</v>
      </c>
      <c r="Q46" s="2"/>
      <c r="R46" s="6">
        <f t="shared" si="25"/>
        <v>3.4176961405449789E-3</v>
      </c>
      <c r="S46" s="2"/>
      <c r="T46" s="7">
        <v>0</v>
      </c>
      <c r="U46" s="2"/>
      <c r="V46" s="6">
        <f t="shared" si="26"/>
        <v>0</v>
      </c>
      <c r="W46" s="2"/>
      <c r="X46" s="7">
        <f t="shared" si="27"/>
        <v>120.35</v>
      </c>
      <c r="Y46" s="2"/>
      <c r="Z46" s="6">
        <f t="shared" si="28"/>
        <v>0</v>
      </c>
    </row>
    <row r="47" spans="1:26" s="24" customFormat="1" hidden="1" outlineLevel="2" x14ac:dyDescent="0.25">
      <c r="A47" s="26"/>
      <c r="B47" s="11" t="str">
        <f>CONCATENATE("          ", "6007", " - ", "STUDENT HOURLY")</f>
        <v xml:space="preserve">          6007 - STUDENT HOURLY</v>
      </c>
      <c r="C47" s="11"/>
      <c r="D47" s="7"/>
      <c r="E47" s="2"/>
      <c r="F47" s="6">
        <f t="shared" si="21"/>
        <v>0</v>
      </c>
      <c r="G47" s="2"/>
      <c r="H47" s="7">
        <v>20790</v>
      </c>
      <c r="I47" s="2"/>
      <c r="J47" s="6">
        <f t="shared" si="22"/>
        <v>5.463863337713535E-2</v>
      </c>
      <c r="K47" s="2"/>
      <c r="L47" s="7">
        <f t="shared" si="23"/>
        <v>-20790</v>
      </c>
      <c r="M47" s="2"/>
      <c r="N47" s="6">
        <f t="shared" si="24"/>
        <v>-1</v>
      </c>
      <c r="O47" s="11"/>
      <c r="P47" s="7">
        <v>3478.37</v>
      </c>
      <c r="Q47" s="2"/>
      <c r="R47" s="6">
        <f t="shared" si="25"/>
        <v>9.877865994505558E-2</v>
      </c>
      <c r="S47" s="2"/>
      <c r="T47" s="7">
        <v>32670</v>
      </c>
      <c r="U47" s="2"/>
      <c r="V47" s="6">
        <f t="shared" si="26"/>
        <v>4.2265273779876454E-2</v>
      </c>
      <c r="W47" s="2"/>
      <c r="X47" s="7">
        <f t="shared" si="27"/>
        <v>-29191.63</v>
      </c>
      <c r="Y47" s="2"/>
      <c r="Z47" s="6">
        <f t="shared" si="28"/>
        <v>-0.89353014998469549</v>
      </c>
    </row>
    <row r="48" spans="1:26" s="24" customFormat="1" hidden="1" outlineLevel="2" x14ac:dyDescent="0.25">
      <c r="A48" s="26"/>
      <c r="B48" s="11" t="str">
        <f>CONCATENATE("          ", "6008", " - ", "STUDENT HOURLY-FICA EXEMPT")</f>
        <v xml:space="preserve">          6008 - STUDENT HOURLY-FICA EXEMPT</v>
      </c>
      <c r="C48" s="11"/>
      <c r="D48" s="7"/>
      <c r="E48" s="2"/>
      <c r="F48" s="6">
        <f t="shared" si="21"/>
        <v>0</v>
      </c>
      <c r="G48" s="2"/>
      <c r="H48" s="7">
        <v>0</v>
      </c>
      <c r="I48" s="2"/>
      <c r="J48" s="6">
        <f t="shared" si="22"/>
        <v>0</v>
      </c>
      <c r="K48" s="2"/>
      <c r="L48" s="7">
        <f t="shared" si="23"/>
        <v>0</v>
      </c>
      <c r="M48" s="2"/>
      <c r="N48" s="6">
        <f t="shared" si="24"/>
        <v>0</v>
      </c>
      <c r="O48" s="11"/>
      <c r="P48" s="7"/>
      <c r="Q48" s="2"/>
      <c r="R48" s="6">
        <f t="shared" si="25"/>
        <v>0</v>
      </c>
      <c r="S48" s="2"/>
      <c r="T48" s="7">
        <v>0</v>
      </c>
      <c r="U48" s="2"/>
      <c r="V48" s="6">
        <f t="shared" si="26"/>
        <v>0</v>
      </c>
      <c r="W48" s="2"/>
      <c r="X48" s="7">
        <f t="shared" si="27"/>
        <v>0</v>
      </c>
      <c r="Y48" s="2"/>
      <c r="Z48" s="6">
        <f t="shared" si="28"/>
        <v>0</v>
      </c>
    </row>
    <row r="49" spans="1:26" s="24" customFormat="1" hidden="1" outlineLevel="2" x14ac:dyDescent="0.25">
      <c r="A49" s="26"/>
      <c r="B49" s="11" t="str">
        <f>CONCATENATE("          ", "6009", " - ", "TEMPORARY-SEASONAL")</f>
        <v xml:space="preserve">          6009 - TEMPORARY-SEASONAL</v>
      </c>
      <c r="C49" s="11"/>
      <c r="D49" s="7"/>
      <c r="E49" s="2"/>
      <c r="F49" s="6">
        <f t="shared" si="21"/>
        <v>0</v>
      </c>
      <c r="G49" s="2"/>
      <c r="H49" s="7">
        <v>0</v>
      </c>
      <c r="I49" s="2"/>
      <c r="J49" s="6">
        <f t="shared" si="22"/>
        <v>0</v>
      </c>
      <c r="K49" s="2"/>
      <c r="L49" s="7">
        <f t="shared" si="23"/>
        <v>0</v>
      </c>
      <c r="M49" s="2"/>
      <c r="N49" s="6">
        <f t="shared" si="24"/>
        <v>0</v>
      </c>
      <c r="O49" s="11"/>
      <c r="P49" s="7"/>
      <c r="Q49" s="2"/>
      <c r="R49" s="6">
        <f t="shared" si="25"/>
        <v>0</v>
      </c>
      <c r="S49" s="2"/>
      <c r="T49" s="7">
        <v>0</v>
      </c>
      <c r="U49" s="2"/>
      <c r="V49" s="6">
        <f t="shared" si="26"/>
        <v>0</v>
      </c>
      <c r="W49" s="2"/>
      <c r="X49" s="7">
        <f t="shared" si="27"/>
        <v>0</v>
      </c>
      <c r="Y49" s="2"/>
      <c r="Z49" s="6">
        <f t="shared" si="28"/>
        <v>0</v>
      </c>
    </row>
    <row r="50" spans="1:26" s="24" customFormat="1" hidden="1" outlineLevel="2" x14ac:dyDescent="0.25">
      <c r="A50" s="26"/>
      <c r="B50" s="11" t="str">
        <f>CONCATENATE("          ", "6010", " - ", "GRATUITY")</f>
        <v xml:space="preserve">          6010 - GRATUITY</v>
      </c>
      <c r="C50" s="11"/>
      <c r="D50" s="7"/>
      <c r="E50" s="2"/>
      <c r="F50" s="6">
        <f t="shared" si="21"/>
        <v>0</v>
      </c>
      <c r="G50" s="2"/>
      <c r="H50" s="7">
        <v>0</v>
      </c>
      <c r="I50" s="2"/>
      <c r="J50" s="6">
        <f t="shared" si="22"/>
        <v>0</v>
      </c>
      <c r="K50" s="2"/>
      <c r="L50" s="7">
        <f t="shared" si="23"/>
        <v>0</v>
      </c>
      <c r="M50" s="2"/>
      <c r="N50" s="6">
        <f t="shared" si="24"/>
        <v>0</v>
      </c>
      <c r="O50" s="11"/>
      <c r="P50" s="7"/>
      <c r="Q50" s="2"/>
      <c r="R50" s="6">
        <f t="shared" si="25"/>
        <v>0</v>
      </c>
      <c r="S50" s="2"/>
      <c r="T50" s="7">
        <v>0</v>
      </c>
      <c r="U50" s="2"/>
      <c r="V50" s="6">
        <f t="shared" si="26"/>
        <v>0</v>
      </c>
      <c r="W50" s="2"/>
      <c r="X50" s="7">
        <f t="shared" si="27"/>
        <v>0</v>
      </c>
      <c r="Y50" s="2"/>
      <c r="Z50" s="6">
        <f t="shared" si="28"/>
        <v>0</v>
      </c>
    </row>
    <row r="51" spans="1:26" s="27" customFormat="1" outlineLevel="1" collapsed="1" x14ac:dyDescent="0.25">
      <c r="A51" s="25"/>
      <c r="B51" s="12" t="str">
        <f>CONCATENATE("     ","Advertising/Promo                                 ")</f>
        <v xml:space="preserve">     Advertising/Promo                                 </v>
      </c>
      <c r="C51" s="12"/>
      <c r="D51" s="1">
        <f>SUM(OSRRefD22_2x_0)</f>
        <v>0</v>
      </c>
      <c r="E51" s="1"/>
      <c r="F51" s="5">
        <f t="shared" ref="F51:F57" si="29">IF(D$12=0,0,D51/D$12)</f>
        <v>0</v>
      </c>
      <c r="G51" s="1"/>
      <c r="H51" s="1">
        <f>SUM(OSRRefH22_2x_0)</f>
        <v>0</v>
      </c>
      <c r="I51" s="1"/>
      <c r="J51" s="5">
        <f t="shared" ref="J51:J57" si="30">IF(H$12=0,0,H51/H$12)</f>
        <v>0</v>
      </c>
      <c r="K51" s="1"/>
      <c r="L51" s="1">
        <f t="shared" ref="L51:L57" si="31">+D51-H51</f>
        <v>0</v>
      </c>
      <c r="M51" s="1"/>
      <c r="N51" s="5">
        <f t="shared" ref="N51:N57" si="32">IF(H51=0,0,L51/H51)</f>
        <v>0</v>
      </c>
      <c r="O51" s="12"/>
      <c r="P51" s="1">
        <f>SUM(OSRRefP22_2x_0)</f>
        <v>1164.77</v>
      </c>
      <c r="Q51" s="1"/>
      <c r="R51" s="5">
        <f t="shared" ref="R51:R57" si="33">IF(P$12=0,0,P51/P$12)</f>
        <v>3.3077107882198385E-2</v>
      </c>
      <c r="S51" s="1"/>
      <c r="T51" s="1">
        <f>SUM(OSRRefT22_2x_0)</f>
        <v>4000</v>
      </c>
      <c r="U51" s="1"/>
      <c r="V51" s="5">
        <f t="shared" ref="V51:V57" si="34">IF(T$12=0,0,T51/T$12)</f>
        <v>5.1748116045150228E-3</v>
      </c>
      <c r="W51" s="1"/>
      <c r="X51" s="1">
        <f t="shared" ref="X51:X57" si="35">+P51-T51</f>
        <v>-2835.23</v>
      </c>
      <c r="Y51" s="1"/>
      <c r="Z51" s="5">
        <f t="shared" ref="Z51:Z57" si="36">IF(T51=0,0,X51/T51)</f>
        <v>-0.70880750000000003</v>
      </c>
    </row>
    <row r="52" spans="1:26" s="24" customFormat="1" hidden="1" outlineLevel="2" x14ac:dyDescent="0.25">
      <c r="A52" s="26"/>
      <c r="B52" s="11" t="str">
        <f>CONCATENATE("          ", "6362", " - ", "ADVERTISING EXPENSE")</f>
        <v xml:space="preserve">          6362 - ADVERTISING EXPENSE</v>
      </c>
      <c r="C52" s="11"/>
      <c r="D52" s="7"/>
      <c r="E52" s="2"/>
      <c r="F52" s="6">
        <f t="shared" si="29"/>
        <v>0</v>
      </c>
      <c r="G52" s="2"/>
      <c r="H52" s="7"/>
      <c r="I52" s="2"/>
      <c r="J52" s="6">
        <f t="shared" si="30"/>
        <v>0</v>
      </c>
      <c r="K52" s="2"/>
      <c r="L52" s="7">
        <f t="shared" si="31"/>
        <v>0</v>
      </c>
      <c r="M52" s="2"/>
      <c r="N52" s="6">
        <f t="shared" si="32"/>
        <v>0</v>
      </c>
      <c r="O52" s="11"/>
      <c r="P52" s="7">
        <v>1164.77</v>
      </c>
      <c r="Q52" s="2"/>
      <c r="R52" s="6">
        <f t="shared" si="33"/>
        <v>3.3077107882198385E-2</v>
      </c>
      <c r="S52" s="2"/>
      <c r="T52" s="7">
        <v>4000</v>
      </c>
      <c r="U52" s="2"/>
      <c r="V52" s="6">
        <f t="shared" si="34"/>
        <v>5.1748116045150228E-3</v>
      </c>
      <c r="W52" s="2"/>
      <c r="X52" s="7">
        <f t="shared" si="35"/>
        <v>-2835.23</v>
      </c>
      <c r="Y52" s="2"/>
      <c r="Z52" s="6">
        <f t="shared" si="36"/>
        <v>-0.70880750000000003</v>
      </c>
    </row>
    <row r="53" spans="1:26" s="27" customFormat="1" outlineLevel="1" collapsed="1" x14ac:dyDescent="0.25">
      <c r="A53" s="25"/>
      <c r="B53" s="12" t="str">
        <f>CONCATENATE("     ","Discounts and Markdowns                           ")</f>
        <v xml:space="preserve">     Discounts and Markdowns                           </v>
      </c>
      <c r="C53" s="12"/>
      <c r="D53" s="1">
        <f>SUM(OSRRefD22_3x_0)</f>
        <v>0</v>
      </c>
      <c r="E53" s="1"/>
      <c r="F53" s="5">
        <f t="shared" si="29"/>
        <v>0</v>
      </c>
      <c r="G53" s="1"/>
      <c r="H53" s="1">
        <f>SUM(OSRRefH22_3x_0)</f>
        <v>100</v>
      </c>
      <c r="I53" s="1"/>
      <c r="J53" s="5">
        <f t="shared" si="30"/>
        <v>2.6281208935611036E-4</v>
      </c>
      <c r="K53" s="1"/>
      <c r="L53" s="1">
        <f t="shared" si="31"/>
        <v>-100</v>
      </c>
      <c r="M53" s="1"/>
      <c r="N53" s="5">
        <f t="shared" si="32"/>
        <v>-1</v>
      </c>
      <c r="O53" s="12"/>
      <c r="P53" s="1">
        <f>SUM(OSRRefP22_3x_0)</f>
        <v>555.12</v>
      </c>
      <c r="Q53" s="1"/>
      <c r="R53" s="5">
        <f t="shared" si="33"/>
        <v>1.5764283186866047E-2</v>
      </c>
      <c r="S53" s="1"/>
      <c r="T53" s="1">
        <f>SUM(OSRRefT22_3x_0)</f>
        <v>1100</v>
      </c>
      <c r="U53" s="1"/>
      <c r="V53" s="5">
        <f t="shared" si="34"/>
        <v>1.4230731912416314E-3</v>
      </c>
      <c r="W53" s="1"/>
      <c r="X53" s="1">
        <f t="shared" si="35"/>
        <v>-544.88</v>
      </c>
      <c r="Y53" s="1"/>
      <c r="Z53" s="5">
        <f t="shared" si="36"/>
        <v>-0.49534545454545453</v>
      </c>
    </row>
    <row r="54" spans="1:26" s="24" customFormat="1" hidden="1" outlineLevel="2" x14ac:dyDescent="0.25">
      <c r="A54" s="26"/>
      <c r="B54" s="11" t="str">
        <f>CONCATENATE("          ", "6382", " - ", "DISCOUNTS/MARK DOWNS")</f>
        <v xml:space="preserve">          6382 - DISCOUNTS/MARK DOWNS</v>
      </c>
      <c r="C54" s="11"/>
      <c r="D54" s="7"/>
      <c r="E54" s="2"/>
      <c r="F54" s="6">
        <f t="shared" si="29"/>
        <v>0</v>
      </c>
      <c r="G54" s="2"/>
      <c r="H54" s="7">
        <v>100</v>
      </c>
      <c r="I54" s="2"/>
      <c r="J54" s="6">
        <f t="shared" si="30"/>
        <v>2.6281208935611036E-4</v>
      </c>
      <c r="K54" s="2"/>
      <c r="L54" s="7">
        <f t="shared" si="31"/>
        <v>-100</v>
      </c>
      <c r="M54" s="2"/>
      <c r="N54" s="6">
        <f t="shared" si="32"/>
        <v>-1</v>
      </c>
      <c r="O54" s="11"/>
      <c r="P54" s="7">
        <v>555.12</v>
      </c>
      <c r="Q54" s="2"/>
      <c r="R54" s="6">
        <f t="shared" si="33"/>
        <v>1.5764283186866047E-2</v>
      </c>
      <c r="S54" s="2"/>
      <c r="T54" s="7">
        <v>1100</v>
      </c>
      <c r="U54" s="2"/>
      <c r="V54" s="6">
        <f t="shared" si="34"/>
        <v>1.4230731912416314E-3</v>
      </c>
      <c r="W54" s="2"/>
      <c r="X54" s="7">
        <f t="shared" si="35"/>
        <v>-544.88</v>
      </c>
      <c r="Y54" s="2"/>
      <c r="Z54" s="6">
        <f t="shared" si="36"/>
        <v>-0.49534545454545453</v>
      </c>
    </row>
    <row r="55" spans="1:26" s="27" customFormat="1" outlineLevel="1" collapsed="1" x14ac:dyDescent="0.25">
      <c r="A55" s="25"/>
      <c r="B55" s="12" t="str">
        <f>CONCATENATE("     ","Freight out/Postage                               ")</f>
        <v xml:space="preserve">     Freight out/Postage                               </v>
      </c>
      <c r="C55" s="12"/>
      <c r="D55" s="1">
        <f>SUM(OSRRefD22_4x_0)</f>
        <v>4988.5300000000007</v>
      </c>
      <c r="E55" s="1"/>
      <c r="F55" s="5">
        <f t="shared" si="29"/>
        <v>0.36729520387577497</v>
      </c>
      <c r="G55" s="1"/>
      <c r="H55" s="1">
        <f>SUM(OSRRefH22_4x_0)</f>
        <v>-1000</v>
      </c>
      <c r="I55" s="1"/>
      <c r="J55" s="5">
        <f t="shared" si="30"/>
        <v>-2.6281208935611039E-3</v>
      </c>
      <c r="K55" s="1"/>
      <c r="L55" s="1">
        <f t="shared" si="31"/>
        <v>5988.5300000000007</v>
      </c>
      <c r="M55" s="1"/>
      <c r="N55" s="5">
        <f t="shared" si="32"/>
        <v>-5.9885300000000008</v>
      </c>
      <c r="O55" s="12"/>
      <c r="P55" s="1">
        <f>SUM(OSRRefP22_4x_0)</f>
        <v>-12276.010000000002</v>
      </c>
      <c r="Q55" s="1"/>
      <c r="R55" s="5">
        <f t="shared" si="33"/>
        <v>-0.34861380970744976</v>
      </c>
      <c r="S55" s="1"/>
      <c r="T55" s="1">
        <f>SUM(OSRRefT22_4x_0)</f>
        <v>-80000</v>
      </c>
      <c r="U55" s="1"/>
      <c r="V55" s="5">
        <f t="shared" si="34"/>
        <v>-0.10349623209030047</v>
      </c>
      <c r="W55" s="1"/>
      <c r="X55" s="1">
        <f t="shared" si="35"/>
        <v>67723.989999999991</v>
      </c>
      <c r="Y55" s="1"/>
      <c r="Z55" s="5">
        <f t="shared" si="36"/>
        <v>-0.8465498749999999</v>
      </c>
    </row>
    <row r="56" spans="1:26" s="24" customFormat="1" hidden="1" outlineLevel="2" x14ac:dyDescent="0.25">
      <c r="A56" s="26"/>
      <c r="B56" s="11" t="str">
        <f>CONCATENATE("          ", "6305", " - ", "FREIGHT OUT")</f>
        <v xml:space="preserve">          6305 - FREIGHT OUT</v>
      </c>
      <c r="C56" s="11"/>
      <c r="D56" s="7">
        <v>6492.31</v>
      </c>
      <c r="E56" s="2"/>
      <c r="F56" s="6">
        <f t="shared" si="29"/>
        <v>0.47801543241691086</v>
      </c>
      <c r="G56" s="2"/>
      <c r="H56" s="7">
        <v>-1000</v>
      </c>
      <c r="I56" s="2"/>
      <c r="J56" s="6">
        <f t="shared" si="30"/>
        <v>-2.6281208935611039E-3</v>
      </c>
      <c r="K56" s="2"/>
      <c r="L56" s="7">
        <f t="shared" si="31"/>
        <v>7492.31</v>
      </c>
      <c r="M56" s="2"/>
      <c r="N56" s="6">
        <f t="shared" si="32"/>
        <v>-7.4923100000000007</v>
      </c>
      <c r="O56" s="11"/>
      <c r="P56" s="7">
        <v>45904.009999999995</v>
      </c>
      <c r="Q56" s="2"/>
      <c r="R56" s="6">
        <f t="shared" si="33"/>
        <v>1.3035808708976993</v>
      </c>
      <c r="S56" s="2"/>
      <c r="T56" s="7">
        <v>-80000</v>
      </c>
      <c r="U56" s="2"/>
      <c r="V56" s="6">
        <f t="shared" si="34"/>
        <v>-0.10349623209030047</v>
      </c>
      <c r="W56" s="2"/>
      <c r="X56" s="7">
        <f t="shared" si="35"/>
        <v>125904.01</v>
      </c>
      <c r="Y56" s="2"/>
      <c r="Z56" s="6">
        <f t="shared" si="36"/>
        <v>-1.573800125</v>
      </c>
    </row>
    <row r="57" spans="1:26" s="24" customFormat="1" hidden="1" outlineLevel="2" x14ac:dyDescent="0.25">
      <c r="A57" s="26"/>
      <c r="B57" s="11" t="str">
        <f>CONCATENATE("          ", "6307", " - ", "POSTAGE")</f>
        <v xml:space="preserve">          6307 - POSTAGE</v>
      </c>
      <c r="C57" s="11"/>
      <c r="D57" s="7">
        <v>-1503.78</v>
      </c>
      <c r="E57" s="2"/>
      <c r="F57" s="6">
        <f t="shared" si="29"/>
        <v>-0.11072022854113592</v>
      </c>
      <c r="G57" s="2"/>
      <c r="H57" s="7"/>
      <c r="I57" s="2"/>
      <c r="J57" s="6">
        <f t="shared" si="30"/>
        <v>0</v>
      </c>
      <c r="K57" s="2"/>
      <c r="L57" s="7">
        <f t="shared" si="31"/>
        <v>-1503.78</v>
      </c>
      <c r="M57" s="2"/>
      <c r="N57" s="6">
        <f t="shared" si="32"/>
        <v>0</v>
      </c>
      <c r="O57" s="11"/>
      <c r="P57" s="7">
        <v>-58180.02</v>
      </c>
      <c r="Q57" s="2"/>
      <c r="R57" s="6">
        <f t="shared" si="33"/>
        <v>-1.6521946806051491</v>
      </c>
      <c r="S57" s="2"/>
      <c r="T57" s="7"/>
      <c r="U57" s="2"/>
      <c r="V57" s="6">
        <f t="shared" si="34"/>
        <v>0</v>
      </c>
      <c r="W57" s="2"/>
      <c r="X57" s="7">
        <f t="shared" si="35"/>
        <v>-58180.02</v>
      </c>
      <c r="Y57" s="2"/>
      <c r="Z57" s="6">
        <f t="shared" si="36"/>
        <v>0</v>
      </c>
    </row>
    <row r="58" spans="1:26" s="27" customFormat="1" outlineLevel="1" collapsed="1" x14ac:dyDescent="0.25">
      <c r="A58" s="25"/>
      <c r="B58" s="12" t="str">
        <f>CONCATENATE("     ","General                                           ")</f>
        <v xml:space="preserve">     General                                           </v>
      </c>
      <c r="C58" s="12"/>
      <c r="D58" s="1">
        <f>SUM(OSRRefD22_5x_0)</f>
        <v>0</v>
      </c>
      <c r="E58" s="1"/>
      <c r="F58" s="5">
        <f t="shared" ref="F58:F64" si="37">IF(D$12=0,0,D58/D$12)</f>
        <v>0</v>
      </c>
      <c r="G58" s="1"/>
      <c r="H58" s="1">
        <f>SUM(OSRRefH22_5x_0)</f>
        <v>100</v>
      </c>
      <c r="I58" s="1"/>
      <c r="J58" s="5">
        <f t="shared" ref="J58:J64" si="38">IF(H$12=0,0,H58/H$12)</f>
        <v>2.6281208935611036E-4</v>
      </c>
      <c r="K58" s="1"/>
      <c r="L58" s="1">
        <f t="shared" ref="L58:L64" si="39">+D58-H58</f>
        <v>-100</v>
      </c>
      <c r="M58" s="1"/>
      <c r="N58" s="5">
        <f t="shared" ref="N58:N64" si="40">IF(H58=0,0,L58/H58)</f>
        <v>-1</v>
      </c>
      <c r="O58" s="12"/>
      <c r="P58" s="1">
        <f>SUM(OSRRefP22_5x_0)</f>
        <v>80.17</v>
      </c>
      <c r="Q58" s="1"/>
      <c r="R58" s="5">
        <f t="shared" ref="R58:R64" si="41">IF(P$12=0,0,P58/P$12)</f>
        <v>2.2766655553592935E-3</v>
      </c>
      <c r="S58" s="1"/>
      <c r="T58" s="1">
        <f>SUM(OSRRefT22_5x_0)</f>
        <v>1000</v>
      </c>
      <c r="U58" s="1"/>
      <c r="V58" s="5">
        <f t="shared" ref="V58:V64" si="42">IF(T$12=0,0,T58/T$12)</f>
        <v>1.2937029011287557E-3</v>
      </c>
      <c r="W58" s="1"/>
      <c r="X58" s="1">
        <f t="shared" ref="X58:X64" si="43">+P58-T58</f>
        <v>-919.83</v>
      </c>
      <c r="Y58" s="1"/>
      <c r="Z58" s="5">
        <f t="shared" ref="Z58:Z64" si="44">IF(T58=0,0,X58/T58)</f>
        <v>-0.91983000000000004</v>
      </c>
    </row>
    <row r="59" spans="1:26" s="24" customFormat="1" hidden="1" outlineLevel="2" x14ac:dyDescent="0.25">
      <c r="A59" s="26"/>
      <c r="B59" s="11" t="str">
        <f>CONCATENATE("          ", "6279", " - ", "GENERAL EXPENSE")</f>
        <v xml:space="preserve">          6279 - GENERAL EXPENSE</v>
      </c>
      <c r="C59" s="11"/>
      <c r="D59" s="7"/>
      <c r="E59" s="2"/>
      <c r="F59" s="6">
        <f t="shared" si="37"/>
        <v>0</v>
      </c>
      <c r="G59" s="2"/>
      <c r="H59" s="7">
        <v>100</v>
      </c>
      <c r="I59" s="2"/>
      <c r="J59" s="6">
        <f t="shared" si="38"/>
        <v>2.6281208935611036E-4</v>
      </c>
      <c r="K59" s="2"/>
      <c r="L59" s="7">
        <f t="shared" si="39"/>
        <v>-100</v>
      </c>
      <c r="M59" s="2"/>
      <c r="N59" s="6">
        <f t="shared" si="40"/>
        <v>-1</v>
      </c>
      <c r="O59" s="11"/>
      <c r="P59" s="7">
        <v>80.17</v>
      </c>
      <c r="Q59" s="2"/>
      <c r="R59" s="6">
        <f t="shared" si="41"/>
        <v>2.2766655553592935E-3</v>
      </c>
      <c r="S59" s="2"/>
      <c r="T59" s="7">
        <v>1000</v>
      </c>
      <c r="U59" s="2"/>
      <c r="V59" s="6">
        <f t="shared" si="42"/>
        <v>1.2937029011287557E-3</v>
      </c>
      <c r="W59" s="2"/>
      <c r="X59" s="7">
        <f t="shared" si="43"/>
        <v>-919.83</v>
      </c>
      <c r="Y59" s="2"/>
      <c r="Z59" s="6">
        <f t="shared" si="44"/>
        <v>-0.91983000000000004</v>
      </c>
    </row>
    <row r="60" spans="1:26" s="27" customFormat="1" outlineLevel="1" collapsed="1" x14ac:dyDescent="0.25">
      <c r="A60" s="25"/>
      <c r="B60" s="12" t="str">
        <f>CONCATENATE("     ","Inventory Adjustment                              ")</f>
        <v xml:space="preserve">     Inventory Adjustment                              </v>
      </c>
      <c r="C60" s="12"/>
      <c r="D60" s="1">
        <f>SUM(OSRRefD22_6x_0)</f>
        <v>100</v>
      </c>
      <c r="E60" s="1"/>
      <c r="F60" s="5">
        <f t="shared" si="37"/>
        <v>7.3627943277032497E-3</v>
      </c>
      <c r="G60" s="1"/>
      <c r="H60" s="1">
        <f>SUM(OSRRefH22_6x_0)</f>
        <v>100</v>
      </c>
      <c r="I60" s="1"/>
      <c r="J60" s="5">
        <f t="shared" si="38"/>
        <v>2.6281208935611036E-4</v>
      </c>
      <c r="K60" s="1"/>
      <c r="L60" s="1">
        <f t="shared" si="39"/>
        <v>0</v>
      </c>
      <c r="M60" s="1"/>
      <c r="N60" s="5">
        <f t="shared" si="40"/>
        <v>0</v>
      </c>
      <c r="O60" s="12"/>
      <c r="P60" s="1">
        <f>SUM(OSRRefP22_6x_0)</f>
        <v>1000</v>
      </c>
      <c r="Q60" s="1"/>
      <c r="R60" s="5">
        <f t="shared" si="41"/>
        <v>2.8397973747777142E-2</v>
      </c>
      <c r="S60" s="1"/>
      <c r="T60" s="1">
        <f>SUM(OSRRefT22_6x_0)</f>
        <v>1000</v>
      </c>
      <c r="U60" s="1"/>
      <c r="V60" s="5">
        <f t="shared" si="42"/>
        <v>1.2937029011287557E-3</v>
      </c>
      <c r="W60" s="1"/>
      <c r="X60" s="1">
        <f t="shared" si="43"/>
        <v>0</v>
      </c>
      <c r="Y60" s="1"/>
      <c r="Z60" s="5">
        <f t="shared" si="44"/>
        <v>0</v>
      </c>
    </row>
    <row r="61" spans="1:26" s="24" customFormat="1" hidden="1" outlineLevel="2" x14ac:dyDescent="0.25">
      <c r="A61" s="26"/>
      <c r="B61" s="11" t="str">
        <f>CONCATENATE("          ", "6408", " - ", "INVENTORY ADJUSTMENT")</f>
        <v xml:space="preserve">          6408 - INVENTORY ADJUSTMENT</v>
      </c>
      <c r="C61" s="11"/>
      <c r="D61" s="7">
        <v>100</v>
      </c>
      <c r="E61" s="2"/>
      <c r="F61" s="6">
        <f t="shared" si="37"/>
        <v>7.3627943277032497E-3</v>
      </c>
      <c r="G61" s="2"/>
      <c r="H61" s="7">
        <v>100</v>
      </c>
      <c r="I61" s="2"/>
      <c r="J61" s="6">
        <f t="shared" si="38"/>
        <v>2.6281208935611036E-4</v>
      </c>
      <c r="K61" s="2"/>
      <c r="L61" s="7">
        <f t="shared" si="39"/>
        <v>0</v>
      </c>
      <c r="M61" s="2"/>
      <c r="N61" s="6">
        <f t="shared" si="40"/>
        <v>0</v>
      </c>
      <c r="O61" s="11"/>
      <c r="P61" s="7">
        <v>1000</v>
      </c>
      <c r="Q61" s="2"/>
      <c r="R61" s="6">
        <f t="shared" si="41"/>
        <v>2.8397973747777142E-2</v>
      </c>
      <c r="S61" s="2"/>
      <c r="T61" s="7">
        <v>1000</v>
      </c>
      <c r="U61" s="2"/>
      <c r="V61" s="6">
        <f t="shared" si="42"/>
        <v>1.2937029011287557E-3</v>
      </c>
      <c r="W61" s="2"/>
      <c r="X61" s="7">
        <f t="shared" si="43"/>
        <v>0</v>
      </c>
      <c r="Y61" s="2"/>
      <c r="Z61" s="6">
        <f t="shared" si="44"/>
        <v>0</v>
      </c>
    </row>
    <row r="62" spans="1:26" s="27" customFormat="1" outlineLevel="1" collapsed="1" x14ac:dyDescent="0.25">
      <c r="A62" s="25"/>
      <c r="B62" s="12" t="str">
        <f>CONCATENATE("     ","Supplies                                          ")</f>
        <v xml:space="preserve">     Supplies                                          </v>
      </c>
      <c r="C62" s="12"/>
      <c r="D62" s="1">
        <f>SUM(OSRRefD22_7x_0)</f>
        <v>279.32</v>
      </c>
      <c r="E62" s="1"/>
      <c r="F62" s="5">
        <f t="shared" si="37"/>
        <v>2.0565757116140716E-2</v>
      </c>
      <c r="G62" s="1"/>
      <c r="H62" s="1">
        <f>SUM(OSRRefH22_7x_0)</f>
        <v>750</v>
      </c>
      <c r="I62" s="1"/>
      <c r="J62" s="5">
        <f t="shared" si="38"/>
        <v>1.9710906701708277E-3</v>
      </c>
      <c r="K62" s="1"/>
      <c r="L62" s="1">
        <f t="shared" si="39"/>
        <v>-470.68</v>
      </c>
      <c r="M62" s="1"/>
      <c r="N62" s="5">
        <f t="shared" si="40"/>
        <v>-0.62757333333333332</v>
      </c>
      <c r="O62" s="12"/>
      <c r="P62" s="1">
        <f>SUM(OSRRefP22_7x_0)</f>
        <v>8213.1</v>
      </c>
      <c r="Q62" s="1"/>
      <c r="R62" s="5">
        <f t="shared" si="41"/>
        <v>0.23323539818786848</v>
      </c>
      <c r="S62" s="1"/>
      <c r="T62" s="1">
        <f>SUM(OSRRefT22_7x_0)</f>
        <v>17000</v>
      </c>
      <c r="U62" s="1"/>
      <c r="V62" s="5">
        <f t="shared" si="42"/>
        <v>2.1992949319188847E-2</v>
      </c>
      <c r="W62" s="1"/>
      <c r="X62" s="1">
        <f t="shared" si="43"/>
        <v>-8786.9</v>
      </c>
      <c r="Y62" s="1"/>
      <c r="Z62" s="5">
        <f t="shared" si="44"/>
        <v>-0.51687647058823527</v>
      </c>
    </row>
    <row r="63" spans="1:26" s="24" customFormat="1" hidden="1" outlineLevel="2" x14ac:dyDescent="0.25">
      <c r="A63" s="26"/>
      <c r="B63" s="11" t="str">
        <f>CONCATENATE("          ", "6241", " - ", "OFFICE EXPENSE")</f>
        <v xml:space="preserve">          6241 - OFFICE EXPENSE</v>
      </c>
      <c r="C63" s="11"/>
      <c r="D63" s="7"/>
      <c r="E63" s="2"/>
      <c r="F63" s="6">
        <f t="shared" si="37"/>
        <v>0</v>
      </c>
      <c r="G63" s="2"/>
      <c r="H63" s="7"/>
      <c r="I63" s="2"/>
      <c r="J63" s="6">
        <f t="shared" si="38"/>
        <v>0</v>
      </c>
      <c r="K63" s="2"/>
      <c r="L63" s="7">
        <f t="shared" si="39"/>
        <v>0</v>
      </c>
      <c r="M63" s="2"/>
      <c r="N63" s="6">
        <f t="shared" si="40"/>
        <v>0</v>
      </c>
      <c r="O63" s="11"/>
      <c r="P63" s="7">
        <v>135.26</v>
      </c>
      <c r="Q63" s="2"/>
      <c r="R63" s="6">
        <f t="shared" si="41"/>
        <v>3.8411099291243362E-3</v>
      </c>
      <c r="S63" s="2"/>
      <c r="T63" s="7"/>
      <c r="U63" s="2"/>
      <c r="V63" s="6">
        <f t="shared" si="42"/>
        <v>0</v>
      </c>
      <c r="W63" s="2"/>
      <c r="X63" s="7">
        <f t="shared" si="43"/>
        <v>135.26</v>
      </c>
      <c r="Y63" s="2"/>
      <c r="Z63" s="6">
        <f t="shared" si="44"/>
        <v>0</v>
      </c>
    </row>
    <row r="64" spans="1:26" s="24" customFormat="1" hidden="1" outlineLevel="2" x14ac:dyDescent="0.25">
      <c r="A64" s="26"/>
      <c r="B64" s="11" t="str">
        <f>CONCATENATE("          ", "6247", " - ", "STORE SUPPLIES")</f>
        <v xml:space="preserve">          6247 - STORE SUPPLIES</v>
      </c>
      <c r="C64" s="11"/>
      <c r="D64" s="7">
        <v>279.32</v>
      </c>
      <c r="E64" s="2"/>
      <c r="F64" s="6">
        <f t="shared" si="37"/>
        <v>2.0565757116140716E-2</v>
      </c>
      <c r="G64" s="2"/>
      <c r="H64" s="7">
        <v>750</v>
      </c>
      <c r="I64" s="2"/>
      <c r="J64" s="6">
        <f t="shared" si="38"/>
        <v>1.9710906701708277E-3</v>
      </c>
      <c r="K64" s="2"/>
      <c r="L64" s="7">
        <f t="shared" si="39"/>
        <v>-470.68</v>
      </c>
      <c r="M64" s="2"/>
      <c r="N64" s="6">
        <f t="shared" si="40"/>
        <v>-0.62757333333333332</v>
      </c>
      <c r="O64" s="11"/>
      <c r="P64" s="7">
        <v>8077.84</v>
      </c>
      <c r="Q64" s="2"/>
      <c r="R64" s="6">
        <f t="shared" si="41"/>
        <v>0.22939428825874414</v>
      </c>
      <c r="S64" s="2"/>
      <c r="T64" s="7">
        <v>17000</v>
      </c>
      <c r="U64" s="2"/>
      <c r="V64" s="6">
        <f t="shared" si="42"/>
        <v>2.1992949319188847E-2</v>
      </c>
      <c r="W64" s="2"/>
      <c r="X64" s="7">
        <f t="shared" si="43"/>
        <v>-8922.16</v>
      </c>
      <c r="Y64" s="2"/>
      <c r="Z64" s="6">
        <f t="shared" si="44"/>
        <v>-0.52483294117647061</v>
      </c>
    </row>
    <row r="65" spans="1:26" s="27" customFormat="1" outlineLevel="1" collapsed="1" x14ac:dyDescent="0.25">
      <c r="A65" s="25"/>
      <c r="B65" s="12" t="str">
        <f>CONCATENATE("     ","Telephone/Data Lines                              ")</f>
        <v xml:space="preserve">     Telephone/Data Lines                              </v>
      </c>
      <c r="C65" s="12"/>
      <c r="D65" s="1">
        <f>SUM(OSRRefD22_8x_0)</f>
        <v>36</v>
      </c>
      <c r="E65" s="1"/>
      <c r="F65" s="5">
        <f t="shared" ref="F65:F66" si="45">IF(D$12=0,0,D65/D$12)</f>
        <v>2.6506059579731699E-3</v>
      </c>
      <c r="G65" s="1"/>
      <c r="H65" s="1">
        <f>SUM(OSRRefH22_8x_0)</f>
        <v>0</v>
      </c>
      <c r="I65" s="1"/>
      <c r="J65" s="5">
        <f t="shared" ref="J65:J66" si="46">IF(H$12=0,0,H65/H$12)</f>
        <v>0</v>
      </c>
      <c r="K65" s="1"/>
      <c r="L65" s="1">
        <f t="shared" ref="L65:L66" si="47">+D65-H65</f>
        <v>36</v>
      </c>
      <c r="M65" s="1"/>
      <c r="N65" s="5">
        <f t="shared" ref="N65:N66" si="48">IF(H65=0,0,L65/H65)</f>
        <v>0</v>
      </c>
      <c r="O65" s="12"/>
      <c r="P65" s="1">
        <f>SUM(OSRRefP22_8x_0)</f>
        <v>613.9</v>
      </c>
      <c r="Q65" s="1"/>
      <c r="R65" s="5">
        <f t="shared" ref="R65:R66" si="49">IF(P$12=0,0,P65/P$12)</f>
        <v>1.7433516083760387E-2</v>
      </c>
      <c r="S65" s="1"/>
      <c r="T65" s="1">
        <f>SUM(OSRRefT22_8x_0)</f>
        <v>0</v>
      </c>
      <c r="U65" s="1"/>
      <c r="V65" s="5">
        <f t="shared" ref="V65:V66" si="50">IF(T$12=0,0,T65/T$12)</f>
        <v>0</v>
      </c>
      <c r="W65" s="1"/>
      <c r="X65" s="1">
        <f t="shared" ref="X65:X66" si="51">+P65-T65</f>
        <v>613.9</v>
      </c>
      <c r="Y65" s="1"/>
      <c r="Z65" s="5">
        <f t="shared" ref="Z65:Z66" si="52">IF(T65=0,0,X65/T65)</f>
        <v>0</v>
      </c>
    </row>
    <row r="66" spans="1:26" s="24" customFormat="1" hidden="1" outlineLevel="2" x14ac:dyDescent="0.25">
      <c r="A66" s="26"/>
      <c r="B66" s="11" t="str">
        <f>CONCATENATE("          ", "6309", " - ", "TELEPHONE")</f>
        <v xml:space="preserve">          6309 - TELEPHONE</v>
      </c>
      <c r="C66" s="11"/>
      <c r="D66" s="7">
        <v>36</v>
      </c>
      <c r="E66" s="2"/>
      <c r="F66" s="6">
        <f t="shared" si="45"/>
        <v>2.6506059579731699E-3</v>
      </c>
      <c r="G66" s="2"/>
      <c r="H66" s="7"/>
      <c r="I66" s="2"/>
      <c r="J66" s="6">
        <f t="shared" si="46"/>
        <v>0</v>
      </c>
      <c r="K66" s="2"/>
      <c r="L66" s="7">
        <f t="shared" si="47"/>
        <v>36</v>
      </c>
      <c r="M66" s="2"/>
      <c r="N66" s="6">
        <f t="shared" si="48"/>
        <v>0</v>
      </c>
      <c r="O66" s="11"/>
      <c r="P66" s="7">
        <v>613.9</v>
      </c>
      <c r="Q66" s="2"/>
      <c r="R66" s="6">
        <f t="shared" si="49"/>
        <v>1.7433516083760387E-2</v>
      </c>
      <c r="S66" s="2"/>
      <c r="T66" s="7"/>
      <c r="U66" s="2"/>
      <c r="V66" s="6">
        <f t="shared" si="50"/>
        <v>0</v>
      </c>
      <c r="W66" s="2"/>
      <c r="X66" s="7">
        <f t="shared" si="51"/>
        <v>613.9</v>
      </c>
      <c r="Y66" s="2"/>
      <c r="Z66" s="6">
        <f t="shared" si="52"/>
        <v>0</v>
      </c>
    </row>
    <row r="67" spans="1:26" s="62" customFormat="1" x14ac:dyDescent="0.25">
      <c r="A67" s="36"/>
      <c r="B67" s="36"/>
      <c r="C67" s="36"/>
      <c r="D67" s="1"/>
      <c r="E67" s="1"/>
      <c r="F67" s="5"/>
      <c r="G67" s="1"/>
      <c r="H67" s="1"/>
      <c r="I67" s="1"/>
      <c r="J67" s="5"/>
      <c r="K67" s="1"/>
      <c r="L67" s="1"/>
      <c r="M67" s="1"/>
      <c r="N67" s="5"/>
      <c r="O67" s="36"/>
      <c r="P67" s="1"/>
      <c r="Q67" s="1"/>
      <c r="R67" s="5"/>
      <c r="S67" s="1"/>
      <c r="T67" s="1"/>
      <c r="U67" s="1"/>
      <c r="V67" s="5"/>
      <c r="W67" s="1"/>
      <c r="X67" s="1"/>
      <c r="Y67" s="1"/>
      <c r="Z67" s="5"/>
    </row>
    <row r="68" spans="1:26" s="23" customFormat="1" collapsed="1" x14ac:dyDescent="0.25">
      <c r="A68" s="10"/>
      <c r="B68" s="28" t="s">
        <v>0</v>
      </c>
      <c r="C68" s="10"/>
      <c r="D68" s="4">
        <f>SUM(OSRRefD25x_0)</f>
        <v>54711.64</v>
      </c>
      <c r="E68" s="4"/>
      <c r="F68" s="13">
        <f t="shared" ref="F68:F73" si="53">IF(D$12=0,0,D68/D$12)</f>
        <v>4.0283055265134218</v>
      </c>
      <c r="G68" s="4"/>
      <c r="H68" s="4">
        <f>SUM(OSRRefH25x_0)</f>
        <v>13500</v>
      </c>
      <c r="I68" s="4"/>
      <c r="J68" s="13">
        <f t="shared" ref="J68:J73" si="54">IF(H$12=0,0,H68/H$12)</f>
        <v>3.5479632063074903E-2</v>
      </c>
      <c r="K68" s="4"/>
      <c r="L68" s="4">
        <f t="shared" ref="L68:L73" si="55">+D68-H68</f>
        <v>41211.64</v>
      </c>
      <c r="M68" s="4"/>
      <c r="N68" s="13">
        <f t="shared" ref="N68:N73" si="56">IF(H68=0,0,L68/H68)</f>
        <v>3.0527140740740739</v>
      </c>
      <c r="O68" s="10"/>
      <c r="P68" s="4">
        <f>SUM(OSRRefP25x_0)</f>
        <v>513349.45</v>
      </c>
      <c r="Q68" s="4"/>
      <c r="R68" s="13">
        <f t="shared" ref="R68:R73" si="57">IF(P$12=0,0,P68/P$12)</f>
        <v>14.578084204535836</v>
      </c>
      <c r="S68" s="4"/>
      <c r="T68" s="4">
        <f>SUM(OSRRefT25x_0)</f>
        <v>151000</v>
      </c>
      <c r="U68" s="4"/>
      <c r="V68" s="13">
        <f t="shared" ref="V68:V73" si="58">IF(T$12=0,0,T68/T$12)</f>
        <v>0.19534913807044213</v>
      </c>
      <c r="W68" s="4"/>
      <c r="X68" s="4">
        <f t="shared" ref="X68:X73" si="59">+P68-T68</f>
        <v>362349.45</v>
      </c>
      <c r="Y68" s="4"/>
      <c r="Z68" s="13">
        <f t="shared" ref="Z68:Z73" si="60">IF(T68=0,0,X68/T68)</f>
        <v>2.3996652317880796</v>
      </c>
    </row>
    <row r="69" spans="1:26" s="24" customFormat="1" hidden="1" outlineLevel="1" x14ac:dyDescent="0.25">
      <c r="A69" s="44"/>
      <c r="B69" s="11" t="str">
        <f>CONCATENATE("          ", "4098", " - ", "TAXABLE SALES-GRAD RENTALS")</f>
        <v xml:space="preserve">          4098 - TAXABLE SALES-GRAD RENTALS</v>
      </c>
      <c r="C69" s="11"/>
      <c r="D69" s="2">
        <f>-152</f>
        <v>-152</v>
      </c>
      <c r="E69" s="2"/>
      <c r="F69" s="19">
        <f t="shared" si="53"/>
        <v>-1.1191447378108938E-2</v>
      </c>
      <c r="G69" s="2"/>
      <c r="H69" s="2"/>
      <c r="I69" s="2"/>
      <c r="J69" s="19">
        <f t="shared" si="54"/>
        <v>0</v>
      </c>
      <c r="K69" s="2"/>
      <c r="L69" s="2">
        <f t="shared" si="55"/>
        <v>-152</v>
      </c>
      <c r="M69" s="2"/>
      <c r="N69" s="19">
        <f t="shared" si="56"/>
        <v>0</v>
      </c>
      <c r="O69" s="11"/>
      <c r="P69" s="2">
        <f>--1946.85</f>
        <v>1946.85</v>
      </c>
      <c r="Q69" s="2"/>
      <c r="R69" s="19">
        <f t="shared" si="57"/>
        <v>5.5286595190859933E-2</v>
      </c>
      <c r="S69" s="2"/>
      <c r="T69" s="2"/>
      <c r="U69" s="2"/>
      <c r="V69" s="19">
        <f t="shared" si="58"/>
        <v>0</v>
      </c>
      <c r="W69" s="2"/>
      <c r="X69" s="2">
        <f t="shared" si="59"/>
        <v>1946.85</v>
      </c>
      <c r="Y69" s="2"/>
      <c r="Z69" s="19">
        <f t="shared" si="60"/>
        <v>0</v>
      </c>
    </row>
    <row r="70" spans="1:26" s="24" customFormat="1" hidden="1" outlineLevel="1" x14ac:dyDescent="0.25">
      <c r="A70" s="44"/>
      <c r="B70" s="11" t="str">
        <f>CONCATENATE("          ", "4197", " - ", "NON-TAXABLE SALES-RETURNED CHE")</f>
        <v xml:space="preserve">          4197 - NON-TAXABLE SALES-RETURNED CHE</v>
      </c>
      <c r="C70" s="11"/>
      <c r="D70" s="2">
        <f>0</f>
        <v>0</v>
      </c>
      <c r="E70" s="2"/>
      <c r="F70" s="19">
        <f t="shared" si="53"/>
        <v>0</v>
      </c>
      <c r="G70" s="2"/>
      <c r="H70" s="2"/>
      <c r="I70" s="2"/>
      <c r="J70" s="19">
        <f t="shared" si="54"/>
        <v>0</v>
      </c>
      <c r="K70" s="2"/>
      <c r="L70" s="2">
        <f t="shared" si="55"/>
        <v>0</v>
      </c>
      <c r="M70" s="2"/>
      <c r="N70" s="19">
        <f t="shared" si="56"/>
        <v>0</v>
      </c>
      <c r="O70" s="11"/>
      <c r="P70" s="2">
        <f>--30</f>
        <v>30</v>
      </c>
      <c r="Q70" s="2"/>
      <c r="R70" s="19">
        <f t="shared" si="57"/>
        <v>8.5193921243331434E-4</v>
      </c>
      <c r="S70" s="2"/>
      <c r="T70" s="2"/>
      <c r="U70" s="2"/>
      <c r="V70" s="19">
        <f t="shared" si="58"/>
        <v>0</v>
      </c>
      <c r="W70" s="2"/>
      <c r="X70" s="2">
        <f t="shared" si="59"/>
        <v>30</v>
      </c>
      <c r="Y70" s="2"/>
      <c r="Z70" s="19">
        <f t="shared" si="60"/>
        <v>0</v>
      </c>
    </row>
    <row r="71" spans="1:26" s="24" customFormat="1" hidden="1" outlineLevel="1" x14ac:dyDescent="0.25">
      <c r="A71" s="44"/>
      <c r="B71" s="11" t="str">
        <f>CONCATENATE("          ", "4198", " - ", "NON-TAXABLE SALES-GRAD RENTALS")</f>
        <v xml:space="preserve">          4198 - NON-TAXABLE SALES-GRAD RENTALS</v>
      </c>
      <c r="C71" s="11"/>
      <c r="D71" s="2">
        <f>-3469.7</f>
        <v>-3469.7</v>
      </c>
      <c r="E71" s="2"/>
      <c r="F71" s="19">
        <f t="shared" si="53"/>
        <v>-0.25546687478831964</v>
      </c>
      <c r="G71" s="2"/>
      <c r="H71" s="2"/>
      <c r="I71" s="2"/>
      <c r="J71" s="19">
        <f t="shared" si="54"/>
        <v>0</v>
      </c>
      <c r="K71" s="2"/>
      <c r="L71" s="2">
        <f t="shared" si="55"/>
        <v>-3469.7</v>
      </c>
      <c r="M71" s="2"/>
      <c r="N71" s="19">
        <f t="shared" si="56"/>
        <v>0</v>
      </c>
      <c r="O71" s="11"/>
      <c r="P71" s="2">
        <f>--163.76</f>
        <v>163.76</v>
      </c>
      <c r="Q71" s="2"/>
      <c r="R71" s="19">
        <f t="shared" si="57"/>
        <v>4.6504521809359852E-3</v>
      </c>
      <c r="S71" s="2"/>
      <c r="T71" s="2"/>
      <c r="U71" s="2"/>
      <c r="V71" s="19">
        <f t="shared" si="58"/>
        <v>0</v>
      </c>
      <c r="W71" s="2"/>
      <c r="X71" s="2">
        <f t="shared" si="59"/>
        <v>163.76</v>
      </c>
      <c r="Y71" s="2"/>
      <c r="Z71" s="19">
        <f t="shared" si="60"/>
        <v>0</v>
      </c>
    </row>
    <row r="72" spans="1:26" s="24" customFormat="1" hidden="1" outlineLevel="1" x14ac:dyDescent="0.25">
      <c r="A72" s="44"/>
      <c r="B72" s="11" t="str">
        <f>CONCATENATE("          ", "9160", " - ", "MISC. INCOME")</f>
        <v xml:space="preserve">          9160 - MISC. INCOME</v>
      </c>
      <c r="C72" s="11"/>
      <c r="D72" s="2">
        <f>0</f>
        <v>0</v>
      </c>
      <c r="E72" s="2"/>
      <c r="F72" s="19">
        <f t="shared" si="53"/>
        <v>0</v>
      </c>
      <c r="G72" s="2"/>
      <c r="H72" s="2">
        <v>13500</v>
      </c>
      <c r="I72" s="2"/>
      <c r="J72" s="19">
        <f t="shared" si="54"/>
        <v>3.5479632063074903E-2</v>
      </c>
      <c r="K72" s="2"/>
      <c r="L72" s="2">
        <f t="shared" si="55"/>
        <v>-13500</v>
      </c>
      <c r="M72" s="2"/>
      <c r="N72" s="19">
        <f t="shared" si="56"/>
        <v>-1</v>
      </c>
      <c r="O72" s="11"/>
      <c r="P72" s="2">
        <f>--22475</f>
        <v>22475</v>
      </c>
      <c r="Q72" s="2"/>
      <c r="R72" s="19">
        <f t="shared" si="57"/>
        <v>0.63824445998129131</v>
      </c>
      <c r="S72" s="2"/>
      <c r="T72" s="2">
        <v>151000</v>
      </c>
      <c r="U72" s="2"/>
      <c r="V72" s="19">
        <f t="shared" si="58"/>
        <v>0.19534913807044213</v>
      </c>
      <c r="W72" s="2"/>
      <c r="X72" s="2">
        <f t="shared" si="59"/>
        <v>-128525</v>
      </c>
      <c r="Y72" s="2"/>
      <c r="Z72" s="19">
        <f t="shared" si="60"/>
        <v>-0.85115894039735096</v>
      </c>
    </row>
    <row r="73" spans="1:26" s="24" customFormat="1" hidden="1" outlineLevel="1" x14ac:dyDescent="0.25">
      <c r="A73" s="44"/>
      <c r="B73" s="11" t="str">
        <f>CONCATENATE("          ", "9163", " - ", "MISC. INCOME")</f>
        <v xml:space="preserve">          9163 - MISC. INCOME</v>
      </c>
      <c r="C73" s="11"/>
      <c r="D73" s="2">
        <f>--58333.34</f>
        <v>58333.34</v>
      </c>
      <c r="E73" s="2"/>
      <c r="F73" s="19">
        <f t="shared" si="53"/>
        <v>4.29496384867985</v>
      </c>
      <c r="G73" s="2"/>
      <c r="H73" s="2"/>
      <c r="I73" s="2"/>
      <c r="J73" s="19">
        <f t="shared" si="54"/>
        <v>0</v>
      </c>
      <c r="K73" s="2"/>
      <c r="L73" s="2">
        <f t="shared" si="55"/>
        <v>58333.34</v>
      </c>
      <c r="M73" s="2"/>
      <c r="N73" s="19">
        <f t="shared" si="56"/>
        <v>0</v>
      </c>
      <c r="O73" s="11"/>
      <c r="P73" s="2">
        <f>--488733.84</f>
        <v>488733.84</v>
      </c>
      <c r="Q73" s="2"/>
      <c r="R73" s="19">
        <f t="shared" si="57"/>
        <v>13.879050757970315</v>
      </c>
      <c r="S73" s="2"/>
      <c r="T73" s="2"/>
      <c r="U73" s="2"/>
      <c r="V73" s="19">
        <f t="shared" si="58"/>
        <v>0</v>
      </c>
      <c r="W73" s="2"/>
      <c r="X73" s="2">
        <f t="shared" si="59"/>
        <v>488733.84</v>
      </c>
      <c r="Y73" s="2"/>
      <c r="Z73" s="19">
        <f t="shared" si="60"/>
        <v>0</v>
      </c>
    </row>
    <row r="74" spans="1:26" x14ac:dyDescent="0.25">
      <c r="A74" s="9"/>
      <c r="B74" s="10"/>
      <c r="C74" s="10"/>
      <c r="D74" s="3"/>
      <c r="E74" s="3"/>
      <c r="F74" s="8"/>
      <c r="G74" s="3"/>
      <c r="H74" s="3"/>
      <c r="I74" s="3"/>
      <c r="J74" s="8"/>
      <c r="K74" s="3"/>
      <c r="L74" s="3"/>
      <c r="M74" s="3"/>
      <c r="N74" s="8"/>
      <c r="O74" s="10"/>
      <c r="P74" s="3"/>
      <c r="Q74" s="3"/>
      <c r="R74" s="8"/>
      <c r="S74" s="3"/>
      <c r="T74" s="3"/>
      <c r="U74" s="3"/>
      <c r="V74" s="8"/>
      <c r="W74" s="3"/>
      <c r="X74" s="3"/>
      <c r="Y74" s="3"/>
      <c r="Z74" s="8"/>
    </row>
    <row r="75" spans="1:26" s="23" customFormat="1" x14ac:dyDescent="0.25">
      <c r="A75" s="10"/>
      <c r="B75" s="29" t="s">
        <v>3</v>
      </c>
      <c r="C75" s="29"/>
      <c r="D75" s="20">
        <f>+D28-D30+D68</f>
        <v>57733.87</v>
      </c>
      <c r="E75" s="14"/>
      <c r="F75" s="22">
        <f>IF(D$12=0,0,D75/D$12)</f>
        <v>4.2508261055235685</v>
      </c>
      <c r="G75" s="14"/>
      <c r="H75" s="20">
        <f>+H28-H30+H68</f>
        <v>215233.2222238846</v>
      </c>
      <c r="I75" s="14"/>
      <c r="J75" s="22">
        <f>IF(H$12=0,0,H75/H$12)</f>
        <v>0.56565892831507125</v>
      </c>
      <c r="K75" s="16"/>
      <c r="L75" s="20">
        <f>+D75-H75</f>
        <v>-157499.35222388461</v>
      </c>
      <c r="M75" s="16"/>
      <c r="N75" s="22">
        <f>IF(H75=0,0,L75/H75)</f>
        <v>-0.73176134518886915</v>
      </c>
      <c r="O75" s="28"/>
      <c r="P75" s="20">
        <f>+P28-P30+P68</f>
        <v>527607.61</v>
      </c>
      <c r="Q75" s="14"/>
      <c r="R75" s="22">
        <f>IF(P$12=0,0,P75/P$12)</f>
        <v>14.982987057907442</v>
      </c>
      <c r="S75" s="14"/>
      <c r="T75" s="20">
        <f>+T28-T30+T68</f>
        <v>598018.27938261535</v>
      </c>
      <c r="U75" s="14"/>
      <c r="V75" s="22">
        <f>IF(T$12=0,0,T75/T$12)</f>
        <v>0.77365798296531629</v>
      </c>
      <c r="W75" s="16"/>
      <c r="X75" s="20">
        <f>+P75-T75</f>
        <v>-70410.669382615364</v>
      </c>
      <c r="Y75" s="16"/>
      <c r="Z75" s="22">
        <f>IF(T75=0,0,X75/T75)</f>
        <v>-0.11773999526453645</v>
      </c>
    </row>
    <row r="76" spans="1:26" x14ac:dyDescent="0.25">
      <c r="A76" s="9"/>
      <c r="B76" s="10"/>
      <c r="C76" s="9"/>
      <c r="D76" s="3"/>
      <c r="E76" s="3"/>
      <c r="F76" s="8"/>
      <c r="G76" s="3"/>
      <c r="H76" s="3"/>
      <c r="I76" s="3"/>
      <c r="J76" s="8"/>
      <c r="K76" s="3"/>
      <c r="L76" s="3"/>
      <c r="M76" s="3"/>
      <c r="N76" s="8"/>
      <c r="P76" s="3"/>
      <c r="Q76" s="3"/>
      <c r="R76" s="8"/>
      <c r="S76" s="3"/>
      <c r="T76" s="3"/>
      <c r="U76" s="3"/>
      <c r="V76" s="8"/>
      <c r="W76" s="3"/>
      <c r="X76" s="3"/>
      <c r="Y76" s="3"/>
      <c r="Z76" s="8"/>
    </row>
    <row r="77" spans="1:26" s="23" customFormat="1" x14ac:dyDescent="0.25">
      <c r="A77" s="52"/>
      <c r="B77" s="10" t="s">
        <v>14</v>
      </c>
      <c r="C77" s="10"/>
      <c r="D77" s="4">
        <v>1713.7</v>
      </c>
      <c r="E77" s="4"/>
      <c r="F77" s="13">
        <f>IF(D$12=0,0,D77/D$12)</f>
        <v>0.12617620639385058</v>
      </c>
      <c r="G77" s="4"/>
      <c r="H77" s="4">
        <v>43673</v>
      </c>
      <c r="I77" s="4"/>
      <c r="J77" s="13">
        <f>IF(H$12=0,0,H77/H$12)</f>
        <v>0.11477792378449408</v>
      </c>
      <c r="K77" s="4"/>
      <c r="L77" s="4">
        <f>+D77-H77</f>
        <v>-41959.3</v>
      </c>
      <c r="M77" s="4"/>
      <c r="N77" s="13">
        <f>IF(H77=0,0,L77/H77)</f>
        <v>-0.96076065303505609</v>
      </c>
      <c r="O77" s="10"/>
      <c r="P77" s="4">
        <v>4169.8599999999997</v>
      </c>
      <c r="Q77" s="4"/>
      <c r="R77" s="13">
        <f>IF(P$12=0,0,P77/P$12)</f>
        <v>0.118415574811906</v>
      </c>
      <c r="S77" s="4"/>
      <c r="T77" s="4">
        <v>89531</v>
      </c>
      <c r="U77" s="4"/>
      <c r="V77" s="13">
        <f>IF(T$12=0,0,T77/T$12)</f>
        <v>0.11582651444095864</v>
      </c>
      <c r="W77" s="4"/>
      <c r="X77" s="4">
        <f>+P77-T77</f>
        <v>-85361.14</v>
      </c>
      <c r="Y77" s="4"/>
      <c r="Z77" s="13">
        <f>IF(T77=0,0,X77/T77)</f>
        <v>-0.95342551741854775</v>
      </c>
    </row>
    <row r="78" spans="1:26" x14ac:dyDescent="0.25">
      <c r="A78" s="9"/>
      <c r="B78" s="10"/>
      <c r="C78" s="10"/>
      <c r="D78" s="3"/>
      <c r="E78" s="3"/>
      <c r="F78" s="8"/>
      <c r="G78" s="3"/>
      <c r="H78" s="3"/>
      <c r="I78" s="3"/>
      <c r="J78" s="8"/>
      <c r="K78" s="3"/>
      <c r="L78" s="3"/>
      <c r="M78" s="3"/>
      <c r="N78" s="8"/>
      <c r="O78" s="10"/>
      <c r="P78" s="3"/>
      <c r="Q78" s="3"/>
      <c r="R78" s="8"/>
      <c r="S78" s="3"/>
      <c r="T78" s="3"/>
      <c r="U78" s="3"/>
      <c r="V78" s="8"/>
      <c r="W78" s="3"/>
      <c r="X78" s="3"/>
      <c r="Y78" s="3"/>
      <c r="Z78" s="8"/>
    </row>
    <row r="79" spans="1:26" s="23" customFormat="1" ht="15.75" thickBot="1" x14ac:dyDescent="0.3">
      <c r="A79" s="10"/>
      <c r="B79" s="29" t="s">
        <v>4</v>
      </c>
      <c r="C79" s="29"/>
      <c r="D79" s="35">
        <f>+D75-D77</f>
        <v>56020.170000000006</v>
      </c>
      <c r="E79" s="14"/>
      <c r="F79" s="32">
        <f>IF(D$12=0,0,D79/D$12)</f>
        <v>4.124649899129718</v>
      </c>
      <c r="G79" s="14"/>
      <c r="H79" s="35">
        <f>+H75-H77</f>
        <v>171560.2222238846</v>
      </c>
      <c r="I79" s="14"/>
      <c r="J79" s="32">
        <f>IF(H$12=0,0,H79/H$12)</f>
        <v>0.45088100453057711</v>
      </c>
      <c r="K79" s="16"/>
      <c r="L79" s="35">
        <f>D79-H79</f>
        <v>-115540.05222388459</v>
      </c>
      <c r="M79" s="16"/>
      <c r="N79" s="32">
        <f>IF(H79=0,0,L79/H79)</f>
        <v>-0.67346644068288641</v>
      </c>
      <c r="O79" s="28"/>
      <c r="P79" s="35">
        <f>+P75-P77</f>
        <v>523437.75</v>
      </c>
      <c r="Q79" s="14"/>
      <c r="R79" s="32">
        <f>IF(P$12=0,0,P79/P$12)</f>
        <v>14.864571483095535</v>
      </c>
      <c r="S79" s="14"/>
      <c r="T79" s="35">
        <f>+T75-T77</f>
        <v>508487.27938261535</v>
      </c>
      <c r="U79" s="14"/>
      <c r="V79" s="32">
        <f>IF(T$12=0,0,T79/T$12)</f>
        <v>0.6578314685243577</v>
      </c>
      <c r="W79" s="16"/>
      <c r="X79" s="35">
        <f>P79-T79</f>
        <v>14950.47061738465</v>
      </c>
      <c r="Y79" s="16"/>
      <c r="Z79" s="32">
        <f>IF(T79=0,0,X79/T79)</f>
        <v>2.9401857673877124E-2</v>
      </c>
    </row>
    <row r="80" spans="1:26" ht="15.75" thickTop="1" x14ac:dyDescent="0.25">
      <c r="A80" s="9"/>
      <c r="B80" s="9"/>
      <c r="C80" s="9"/>
      <c r="D80" s="3"/>
      <c r="E80" s="3"/>
      <c r="F80" s="8"/>
      <c r="G80" s="3"/>
      <c r="H80" s="3"/>
      <c r="I80" s="3"/>
      <c r="J80" s="8"/>
      <c r="K80" s="3"/>
      <c r="L80" s="3"/>
      <c r="M80" s="3"/>
      <c r="N80" s="8"/>
      <c r="P80" s="3"/>
      <c r="Q80" s="3"/>
      <c r="R80" s="8"/>
      <c r="S80" s="3"/>
      <c r="T80" s="3"/>
      <c r="U80" s="3"/>
      <c r="V80" s="8"/>
      <c r="W80" s="3"/>
      <c r="X80" s="3"/>
      <c r="Y80" s="3"/>
      <c r="Z80" s="8"/>
    </row>
    <row r="81" spans="1:26" x14ac:dyDescent="0.25">
      <c r="A81" s="9"/>
      <c r="B81" s="9"/>
      <c r="C81" s="9"/>
      <c r="D81" s="3"/>
      <c r="E81" s="3"/>
      <c r="F81" s="8"/>
      <c r="G81" s="3"/>
      <c r="H81" s="3"/>
      <c r="I81" s="3"/>
      <c r="J81" s="8"/>
      <c r="K81" s="3"/>
      <c r="L81" s="3"/>
      <c r="M81" s="3"/>
      <c r="N81" s="8"/>
      <c r="P81" s="3"/>
      <c r="Q81" s="3"/>
      <c r="R81" s="8"/>
      <c r="S81" s="3"/>
      <c r="T81" s="3"/>
      <c r="U81" s="3"/>
      <c r="V81" s="8"/>
      <c r="W81" s="3"/>
      <c r="X81" s="3"/>
      <c r="Y81" s="3"/>
      <c r="Z81" s="8"/>
    </row>
    <row r="82" spans="1:26" s="23" customFormat="1" ht="15.75" thickBot="1" x14ac:dyDescent="0.3">
      <c r="A82" s="10"/>
      <c r="B82" s="29" t="s">
        <v>5</v>
      </c>
      <c r="C82" s="29"/>
      <c r="D82" s="34">
        <f>SUM(D79:D81)</f>
        <v>56020.170000000006</v>
      </c>
      <c r="E82" s="14"/>
      <c r="F82" s="31">
        <f>IF(D$12=0,0,D82/D$12)</f>
        <v>4.124649899129718</v>
      </c>
      <c r="G82" s="14"/>
      <c r="H82" s="34">
        <f>SUM(H79:H81)</f>
        <v>171560.2222238846</v>
      </c>
      <c r="I82" s="14"/>
      <c r="J82" s="31">
        <f>IF(H$12=0,0,H82/H$12)</f>
        <v>0.45088100453057711</v>
      </c>
      <c r="K82" s="16"/>
      <c r="L82" s="34">
        <f>+D82-H82</f>
        <v>-115540.05222388459</v>
      </c>
      <c r="M82" s="16"/>
      <c r="N82" s="31">
        <f>IF(H82=0,0,L82/H82)</f>
        <v>-0.67346644068288641</v>
      </c>
      <c r="O82" s="28"/>
      <c r="P82" s="34">
        <f>SUM(P79:P81)</f>
        <v>523437.75</v>
      </c>
      <c r="Q82" s="14"/>
      <c r="R82" s="31">
        <f>IF(P$12=0,0,P82/P$12)</f>
        <v>14.864571483095535</v>
      </c>
      <c r="S82" s="14"/>
      <c r="T82" s="34">
        <f>SUM(T79:T81)</f>
        <v>508487.27938261535</v>
      </c>
      <c r="U82" s="14"/>
      <c r="V82" s="31">
        <f>IF(T$12=0,0,T82/T$12)</f>
        <v>0.6578314685243577</v>
      </c>
      <c r="W82" s="16"/>
      <c r="X82" s="34">
        <f>+P82-T82</f>
        <v>14950.47061738465</v>
      </c>
      <c r="Y82" s="16"/>
      <c r="Z82" s="31">
        <f>IF(T82=0,0,X82/T82)</f>
        <v>2.9401857673877124E-2</v>
      </c>
    </row>
    <row r="83" spans="1:26" ht="15.75" thickTop="1" x14ac:dyDescent="0.25">
      <c r="A83" s="9"/>
      <c r="C83" s="9"/>
      <c r="D83" s="18"/>
      <c r="E83" s="18"/>
      <c r="G83" s="18"/>
      <c r="H83" s="18"/>
      <c r="I83" s="18"/>
      <c r="J83" s="42"/>
      <c r="K83" s="18"/>
      <c r="L83" s="18"/>
      <c r="M83" s="18"/>
      <c r="P83" s="18"/>
      <c r="Q83" s="18"/>
      <c r="R83" s="42"/>
      <c r="S83" s="18"/>
      <c r="T83" s="18"/>
      <c r="U83" s="18"/>
      <c r="V83" s="42"/>
      <c r="W83" s="18"/>
      <c r="X83" s="18"/>
    </row>
    <row r="84" spans="1:26" x14ac:dyDescent="0.25">
      <c r="A84" s="9"/>
      <c r="B84" s="59">
        <v>43992.37173136574</v>
      </c>
      <c r="D84" s="18"/>
      <c r="E84" s="18"/>
      <c r="G84" s="18"/>
      <c r="H84" s="18"/>
      <c r="I84" s="18"/>
      <c r="J84" s="42"/>
      <c r="K84" s="18"/>
      <c r="L84" s="18"/>
      <c r="M84" s="18"/>
      <c r="P84" s="18"/>
      <c r="Q84" s="18"/>
      <c r="R84" s="42"/>
      <c r="S84" s="18"/>
      <c r="T84" s="18"/>
      <c r="U84" s="18"/>
      <c r="V84" s="42"/>
      <c r="W84" s="18"/>
      <c r="X84" s="18"/>
    </row>
    <row r="85" spans="1:26" x14ac:dyDescent="0.25">
      <c r="A85" s="9"/>
      <c r="B85" s="56" t="s">
        <v>314</v>
      </c>
      <c r="D85" s="18"/>
      <c r="E85" s="18"/>
      <c r="G85" s="18"/>
      <c r="H85" s="18"/>
      <c r="I85" s="18"/>
      <c r="J85" s="42"/>
      <c r="K85" s="18"/>
      <c r="L85" s="18"/>
      <c r="M85" s="18"/>
      <c r="P85" s="18"/>
      <c r="Q85" s="18"/>
      <c r="R85" s="42"/>
      <c r="S85" s="18"/>
      <c r="T85" s="18"/>
      <c r="U85" s="18"/>
      <c r="V85" s="42"/>
      <c r="W85" s="18"/>
      <c r="X85" s="18"/>
    </row>
    <row r="86" spans="1:26" x14ac:dyDescent="0.25">
      <c r="A86" s="9"/>
      <c r="B86" s="54"/>
      <c r="D86" s="18"/>
      <c r="E86" s="18"/>
      <c r="G86" s="18"/>
      <c r="H86" s="18"/>
      <c r="I86" s="18"/>
      <c r="J86" s="42"/>
      <c r="K86" s="18"/>
      <c r="L86" s="18"/>
      <c r="M86" s="18"/>
      <c r="P86" s="18"/>
      <c r="Q86" s="18"/>
      <c r="R86" s="42"/>
      <c r="S86" s="18"/>
      <c r="T86" s="18"/>
      <c r="U86" s="18"/>
      <c r="V86" s="42"/>
      <c r="W86" s="18"/>
      <c r="X86" s="18"/>
    </row>
    <row r="87" spans="1:26" x14ac:dyDescent="0.25">
      <c r="D87" s="18"/>
      <c r="E87" s="18"/>
      <c r="G87" s="18"/>
      <c r="H87" s="18"/>
      <c r="I87" s="18"/>
      <c r="J87" s="42"/>
      <c r="K87" s="18"/>
      <c r="L87" s="18"/>
      <c r="M87" s="18"/>
      <c r="P87" s="18"/>
      <c r="Q87" s="18"/>
      <c r="R87" s="42"/>
      <c r="S87" s="18"/>
      <c r="T87" s="18"/>
      <c r="U87" s="18"/>
      <c r="V87" s="42"/>
      <c r="W87" s="18"/>
      <c r="X87" s="18"/>
    </row>
  </sheetData>
  <pageMargins left="0.25" right="0.25" top="0.75" bottom="0.75" header="0.3" footer="0.3"/>
  <pageSetup scale="55" fitToWidth="2" orientation="landscape"/>
  <drawing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127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63" t="s">
        <v>13</v>
      </c>
    </row>
    <row r="3" spans="1:26" x14ac:dyDescent="0.25">
      <c r="D3" s="63" t="s">
        <v>296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61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63" t="str">
        <f>CONCATENATE("Period ",RIGHT(202011,2),", ",2020)</f>
        <v>Period 11, 2020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61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4">
        <v>43981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61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51"/>
      <c r="C6" s="51"/>
      <c r="D6" s="23" t="s">
        <v>311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57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5" t="s">
        <v>294</v>
      </c>
      <c r="E9" s="15"/>
      <c r="F9" s="38"/>
      <c r="G9" s="15"/>
      <c r="H9" s="15"/>
      <c r="I9" s="15"/>
      <c r="J9" s="46"/>
      <c r="K9" s="15"/>
      <c r="L9" s="15"/>
      <c r="M9" s="15"/>
      <c r="N9" s="38"/>
      <c r="P9" s="15" t="s">
        <v>295</v>
      </c>
      <c r="Q9" s="15"/>
      <c r="R9" s="38"/>
      <c r="S9" s="15"/>
      <c r="T9" s="15"/>
      <c r="U9" s="15"/>
      <c r="V9" s="46"/>
      <c r="W9" s="15"/>
      <c r="X9" s="15"/>
      <c r="Y9" s="15"/>
      <c r="Z9" s="38"/>
    </row>
    <row r="10" spans="1:26" x14ac:dyDescent="0.25">
      <c r="A10" s="10"/>
      <c r="B10" s="55"/>
      <c r="C10" s="10"/>
      <c r="D10" s="43" t="s">
        <v>10</v>
      </c>
      <c r="E10" s="33"/>
      <c r="F10" s="40" t="s">
        <v>15</v>
      </c>
      <c r="G10" s="33"/>
      <c r="H10" s="47" t="s">
        <v>11</v>
      </c>
      <c r="I10" s="33"/>
      <c r="J10" s="45" t="s">
        <v>16</v>
      </c>
      <c r="K10" s="10"/>
      <c r="L10" s="43" t="s">
        <v>12</v>
      </c>
      <c r="M10" s="10"/>
      <c r="N10" s="40" t="s">
        <v>17</v>
      </c>
      <c r="O10" s="10"/>
      <c r="P10" s="53" t="s">
        <v>10</v>
      </c>
      <c r="Q10" s="33"/>
      <c r="R10" s="40" t="s">
        <v>15</v>
      </c>
      <c r="S10" s="33"/>
      <c r="T10" s="47" t="s">
        <v>11</v>
      </c>
      <c r="U10" s="33"/>
      <c r="V10" s="45" t="s">
        <v>16</v>
      </c>
      <c r="W10" s="10"/>
      <c r="X10" s="43" t="s">
        <v>12</v>
      </c>
      <c r="Y10" s="10"/>
      <c r="Z10" s="40" t="s">
        <v>17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95555.69</v>
      </c>
      <c r="E12" s="4"/>
      <c r="F12" s="13"/>
      <c r="G12" s="4"/>
      <c r="H12" s="4">
        <f>SUM(OSRRefH13x_0)</f>
        <v>154576</v>
      </c>
      <c r="I12" s="4"/>
      <c r="J12" s="13"/>
      <c r="K12" s="4"/>
      <c r="L12" s="4">
        <f t="shared" ref="L12:L38" si="0">+D12-H12</f>
        <v>-59020.31</v>
      </c>
      <c r="M12" s="4"/>
      <c r="N12" s="13">
        <f t="shared" ref="N12:N38" si="1">IF(H12=0,0,L12/H12)</f>
        <v>-0.38182065779939961</v>
      </c>
      <c r="O12" s="10"/>
      <c r="P12" s="4">
        <f>SUM(OSRRefP13x_0)</f>
        <v>2437479.4200000004</v>
      </c>
      <c r="Q12" s="4"/>
      <c r="R12" s="13"/>
      <c r="S12" s="4"/>
      <c r="T12" s="4">
        <f>SUM(OSRRefT13x_0)</f>
        <v>2452765</v>
      </c>
      <c r="U12" s="4"/>
      <c r="V12" s="13"/>
      <c r="W12" s="4"/>
      <c r="X12" s="4">
        <f t="shared" ref="X12:X38" si="2">+P12-T12</f>
        <v>-15285.579999999609</v>
      </c>
      <c r="Y12" s="4"/>
      <c r="Z12" s="13">
        <f t="shared" ref="Z12:Z38" si="3">IF(T12=0,0,X12/T12)</f>
        <v>-6.2319790114420291E-3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>0</f>
        <v>0</v>
      </c>
      <c r="E13" s="2"/>
      <c r="F13" s="19"/>
      <c r="G13" s="2"/>
      <c r="H13" s="2">
        <v>136027</v>
      </c>
      <c r="I13" s="2"/>
      <c r="J13" s="19"/>
      <c r="K13" s="2"/>
      <c r="L13" s="2">
        <f t="shared" si="0"/>
        <v>-136027</v>
      </c>
      <c r="M13" s="2"/>
      <c r="N13" s="19">
        <f t="shared" si="1"/>
        <v>-1</v>
      </c>
      <c r="O13" s="11"/>
      <c r="P13" s="2">
        <f>0</f>
        <v>0</v>
      </c>
      <c r="Q13" s="2"/>
      <c r="R13" s="19"/>
      <c r="S13" s="2"/>
      <c r="T13" s="2">
        <v>2158432</v>
      </c>
      <c r="U13" s="2"/>
      <c r="V13" s="19"/>
      <c r="W13" s="2"/>
      <c r="X13" s="2">
        <f t="shared" si="2"/>
        <v>-2158432</v>
      </c>
      <c r="Y13" s="2"/>
      <c r="Z13" s="19">
        <f t="shared" si="3"/>
        <v>-1</v>
      </c>
    </row>
    <row r="14" spans="1:26" s="24" customFormat="1" hidden="1" outlineLevel="1" x14ac:dyDescent="0.25">
      <c r="A14" s="44"/>
      <c r="B14" s="11" t="str">
        <f>CONCATENATE("          ", "4081", " - ", "TAXABLE SALES-ELECTRONICS")</f>
        <v xml:space="preserve">          4081 - TAXABLE SALES-ELECTRONICS</v>
      </c>
      <c r="C14" s="11"/>
      <c r="D14" s="2">
        <f>--1256.94</f>
        <v>1256.94</v>
      </c>
      <c r="E14" s="2"/>
      <c r="F14" s="19"/>
      <c r="G14" s="2"/>
      <c r="H14" s="2"/>
      <c r="I14" s="2"/>
      <c r="J14" s="19"/>
      <c r="K14" s="2"/>
      <c r="L14" s="2">
        <f t="shared" si="0"/>
        <v>1256.94</v>
      </c>
      <c r="M14" s="2"/>
      <c r="N14" s="19">
        <f t="shared" si="1"/>
        <v>0</v>
      </c>
      <c r="O14" s="11"/>
      <c r="P14" s="2">
        <f>--313160.03</f>
        <v>313160.03000000003</v>
      </c>
      <c r="Q14" s="2"/>
      <c r="R14" s="19"/>
      <c r="S14" s="2"/>
      <c r="T14" s="2"/>
      <c r="U14" s="2"/>
      <c r="V14" s="19"/>
      <c r="W14" s="2"/>
      <c r="X14" s="2">
        <f t="shared" si="2"/>
        <v>313160.03000000003</v>
      </c>
      <c r="Y14" s="2"/>
      <c r="Z14" s="19">
        <f t="shared" si="3"/>
        <v>0</v>
      </c>
    </row>
    <row r="15" spans="1:26" s="24" customFormat="1" hidden="1" outlineLevel="1" x14ac:dyDescent="0.25">
      <c r="A15" s="44"/>
      <c r="B15" s="11" t="str">
        <f>CONCATENATE("          ", "4082", " - ", "TAXABLE SALES-COMPUTER HARDWAR")</f>
        <v xml:space="preserve">          4082 - TAXABLE SALES-COMPUTER HARDWAR</v>
      </c>
      <c r="C15" s="11"/>
      <c r="D15" s="2">
        <f>--55929.1</f>
        <v>55929.1</v>
      </c>
      <c r="E15" s="2"/>
      <c r="F15" s="19"/>
      <c r="G15" s="2"/>
      <c r="H15" s="2"/>
      <c r="I15" s="2"/>
      <c r="J15" s="19"/>
      <c r="K15" s="2"/>
      <c r="L15" s="2">
        <f t="shared" si="0"/>
        <v>55929.1</v>
      </c>
      <c r="M15" s="2"/>
      <c r="N15" s="19">
        <f t="shared" si="1"/>
        <v>0</v>
      </c>
      <c r="O15" s="11"/>
      <c r="P15" s="2">
        <f>--1982238.78</f>
        <v>1982238.78</v>
      </c>
      <c r="Q15" s="2"/>
      <c r="R15" s="19"/>
      <c r="S15" s="2"/>
      <c r="T15" s="2"/>
      <c r="U15" s="2"/>
      <c r="V15" s="19"/>
      <c r="W15" s="2"/>
      <c r="X15" s="2">
        <f t="shared" si="2"/>
        <v>1982238.78</v>
      </c>
      <c r="Y15" s="2"/>
      <c r="Z15" s="19">
        <f t="shared" si="3"/>
        <v>0</v>
      </c>
    </row>
    <row r="16" spans="1:26" s="24" customFormat="1" hidden="1" outlineLevel="1" x14ac:dyDescent="0.25">
      <c r="A16" s="44"/>
      <c r="B16" s="11" t="str">
        <f>CONCATENATE("          ", "4083", " - ", "TAXABLE SALES-COMPUTER EQUIPME")</f>
        <v xml:space="preserve">          4083 - TAXABLE SALES-COMPUTER EQUIPME</v>
      </c>
      <c r="C16" s="11"/>
      <c r="D16" s="2">
        <f>--2640</f>
        <v>2640</v>
      </c>
      <c r="E16" s="2"/>
      <c r="F16" s="19"/>
      <c r="G16" s="2"/>
      <c r="H16" s="2"/>
      <c r="I16" s="2"/>
      <c r="J16" s="19"/>
      <c r="K16" s="2"/>
      <c r="L16" s="2">
        <f t="shared" si="0"/>
        <v>2640</v>
      </c>
      <c r="M16" s="2"/>
      <c r="N16" s="19">
        <f t="shared" si="1"/>
        <v>0</v>
      </c>
      <c r="O16" s="11"/>
      <c r="P16" s="2">
        <f>--105504.07</f>
        <v>105504.07</v>
      </c>
      <c r="Q16" s="2"/>
      <c r="R16" s="19"/>
      <c r="S16" s="2"/>
      <c r="T16" s="2"/>
      <c r="U16" s="2"/>
      <c r="V16" s="19"/>
      <c r="W16" s="2"/>
      <c r="X16" s="2">
        <f t="shared" si="2"/>
        <v>105504.07</v>
      </c>
      <c r="Y16" s="2"/>
      <c r="Z16" s="19">
        <f t="shared" si="3"/>
        <v>0</v>
      </c>
    </row>
    <row r="17" spans="1:26" s="24" customFormat="1" hidden="1" outlineLevel="1" x14ac:dyDescent="0.25">
      <c r="A17" s="44"/>
      <c r="B17" s="11" t="str">
        <f>CONCATENATE("          ", "4084", " - ", "TAXABLE SALES-SOFTWARE LICENSE")</f>
        <v xml:space="preserve">          4084 - TAXABLE SALES-SOFTWARE LICENSE</v>
      </c>
      <c r="C17" s="11"/>
      <c r="D17" s="2">
        <f>0</f>
        <v>0</v>
      </c>
      <c r="E17" s="2"/>
      <c r="F17" s="19"/>
      <c r="G17" s="2"/>
      <c r="H17" s="2"/>
      <c r="I17" s="2"/>
      <c r="J17" s="19"/>
      <c r="K17" s="2"/>
      <c r="L17" s="2">
        <f t="shared" si="0"/>
        <v>0</v>
      </c>
      <c r="M17" s="2"/>
      <c r="N17" s="19">
        <f t="shared" si="1"/>
        <v>0</v>
      </c>
      <c r="O17" s="11"/>
      <c r="P17" s="2">
        <f>--129</f>
        <v>129</v>
      </c>
      <c r="Q17" s="2"/>
      <c r="R17" s="19"/>
      <c r="S17" s="2"/>
      <c r="T17" s="2"/>
      <c r="U17" s="2"/>
      <c r="V17" s="19"/>
      <c r="W17" s="2"/>
      <c r="X17" s="2">
        <f t="shared" si="2"/>
        <v>129</v>
      </c>
      <c r="Y17" s="2"/>
      <c r="Z17" s="19">
        <f t="shared" si="3"/>
        <v>0</v>
      </c>
    </row>
    <row r="18" spans="1:26" s="24" customFormat="1" hidden="1" outlineLevel="1" x14ac:dyDescent="0.25">
      <c r="A18" s="44"/>
      <c r="B18" s="11" t="str">
        <f>CONCATENATE("          ", "4085", " - ", "TAXABLE SALES-SOFTWARE")</f>
        <v xml:space="preserve">          4085 - TAXABLE SALES-SOFTWARE</v>
      </c>
      <c r="C18" s="11"/>
      <c r="D18" s="2">
        <f>--20</f>
        <v>20</v>
      </c>
      <c r="E18" s="2"/>
      <c r="F18" s="19"/>
      <c r="G18" s="2"/>
      <c r="H18" s="2"/>
      <c r="I18" s="2"/>
      <c r="J18" s="19"/>
      <c r="K18" s="2"/>
      <c r="L18" s="2">
        <f t="shared" si="0"/>
        <v>20</v>
      </c>
      <c r="M18" s="2"/>
      <c r="N18" s="19">
        <f t="shared" si="1"/>
        <v>0</v>
      </c>
      <c r="O18" s="11"/>
      <c r="P18" s="2">
        <f>--4587.93</f>
        <v>4587.93</v>
      </c>
      <c r="Q18" s="2"/>
      <c r="R18" s="19"/>
      <c r="S18" s="2"/>
      <c r="T18" s="2"/>
      <c r="U18" s="2"/>
      <c r="V18" s="19"/>
      <c r="W18" s="2"/>
      <c r="X18" s="2">
        <f t="shared" si="2"/>
        <v>4587.93</v>
      </c>
      <c r="Y18" s="2"/>
      <c r="Z18" s="19">
        <f t="shared" si="3"/>
        <v>0</v>
      </c>
    </row>
    <row r="19" spans="1:26" s="24" customFormat="1" hidden="1" outlineLevel="1" x14ac:dyDescent="0.25">
      <c r="A19" s="44"/>
      <c r="B19" s="11" t="str">
        <f>CONCATENATE("          ", "4086", " - ", "TAXABLE SALES-COMPUTER SUPPLIE")</f>
        <v xml:space="preserve">          4086 - TAXABLE SALES-COMPUTER SUPPLIE</v>
      </c>
      <c r="C19" s="11"/>
      <c r="D19" s="2">
        <f>--357.44</f>
        <v>357.44</v>
      </c>
      <c r="E19" s="2"/>
      <c r="F19" s="19"/>
      <c r="G19" s="2"/>
      <c r="H19" s="2"/>
      <c r="I19" s="2"/>
      <c r="J19" s="19"/>
      <c r="K19" s="2"/>
      <c r="L19" s="2">
        <f t="shared" si="0"/>
        <v>357.44</v>
      </c>
      <c r="M19" s="2"/>
      <c r="N19" s="19">
        <f t="shared" si="1"/>
        <v>0</v>
      </c>
      <c r="O19" s="11"/>
      <c r="P19" s="2">
        <f>--48715.72</f>
        <v>48715.72</v>
      </c>
      <c r="Q19" s="2"/>
      <c r="R19" s="19"/>
      <c r="S19" s="2"/>
      <c r="T19" s="2"/>
      <c r="U19" s="2"/>
      <c r="V19" s="19"/>
      <c r="W19" s="2"/>
      <c r="X19" s="2">
        <f t="shared" si="2"/>
        <v>48715.72</v>
      </c>
      <c r="Y19" s="2"/>
      <c r="Z19" s="19">
        <f t="shared" si="3"/>
        <v>0</v>
      </c>
    </row>
    <row r="20" spans="1:26" s="24" customFormat="1" hidden="1" outlineLevel="1" x14ac:dyDescent="0.25">
      <c r="A20" s="44"/>
      <c r="B20" s="11" t="str">
        <f>CONCATENATE("          ", "4088", " - ", "TAXABLE SALES-MUSIC")</f>
        <v xml:space="preserve">          4088 - TAXABLE SALES-MUSIC</v>
      </c>
      <c r="C20" s="11"/>
      <c r="D20" s="2">
        <f>--1120.94</f>
        <v>1120.94</v>
      </c>
      <c r="E20" s="2"/>
      <c r="F20" s="19"/>
      <c r="G20" s="2"/>
      <c r="H20" s="2"/>
      <c r="I20" s="2"/>
      <c r="J20" s="19"/>
      <c r="K20" s="2"/>
      <c r="L20" s="2">
        <f t="shared" si="0"/>
        <v>1120.94</v>
      </c>
      <c r="M20" s="2"/>
      <c r="N20" s="19">
        <f t="shared" si="1"/>
        <v>0</v>
      </c>
      <c r="O20" s="11"/>
      <c r="P20" s="2">
        <f>--2795.75</f>
        <v>2795.75</v>
      </c>
      <c r="Q20" s="2"/>
      <c r="R20" s="19"/>
      <c r="S20" s="2"/>
      <c r="T20" s="2"/>
      <c r="U20" s="2"/>
      <c r="V20" s="19"/>
      <c r="W20" s="2"/>
      <c r="X20" s="2">
        <f t="shared" si="2"/>
        <v>2795.75</v>
      </c>
      <c r="Y20" s="2"/>
      <c r="Z20" s="19">
        <f t="shared" si="3"/>
        <v>0</v>
      </c>
    </row>
    <row r="21" spans="1:26" s="24" customFormat="1" hidden="1" outlineLevel="1" x14ac:dyDescent="0.25">
      <c r="A21" s="44"/>
      <c r="B21" s="11" t="str">
        <f>CONCATENATE("          ", "4100", " - ", "NON-TAXABLE SALES")</f>
        <v xml:space="preserve">          4100 - NON-TAXABLE SALES</v>
      </c>
      <c r="C21" s="11"/>
      <c r="D21" s="2">
        <f>0</f>
        <v>0</v>
      </c>
      <c r="E21" s="2"/>
      <c r="F21" s="19"/>
      <c r="G21" s="2"/>
      <c r="H21" s="2">
        <v>18549</v>
      </c>
      <c r="I21" s="2"/>
      <c r="J21" s="19"/>
      <c r="K21" s="2"/>
      <c r="L21" s="2">
        <f t="shared" si="0"/>
        <v>-18549</v>
      </c>
      <c r="M21" s="2"/>
      <c r="N21" s="19">
        <f t="shared" si="1"/>
        <v>-1</v>
      </c>
      <c r="O21" s="11"/>
      <c r="P21" s="2">
        <f>0</f>
        <v>0</v>
      </c>
      <c r="Q21" s="2"/>
      <c r="R21" s="19"/>
      <c r="S21" s="2"/>
      <c r="T21" s="2">
        <v>294333</v>
      </c>
      <c r="U21" s="2"/>
      <c r="V21" s="19"/>
      <c r="W21" s="2"/>
      <c r="X21" s="2">
        <f t="shared" si="2"/>
        <v>-294333</v>
      </c>
      <c r="Y21" s="2"/>
      <c r="Z21" s="19">
        <f t="shared" si="3"/>
        <v>-1</v>
      </c>
    </row>
    <row r="22" spans="1:26" s="24" customFormat="1" hidden="1" outlineLevel="1" x14ac:dyDescent="0.25">
      <c r="A22" s="44"/>
      <c r="B22" s="11" t="str">
        <f>CONCATENATE("          ", "4181", " - ", "NON-TAXABLE SALES-ELECTRONICS")</f>
        <v xml:space="preserve">          4181 - NON-TAXABLE SALES-ELECTRONICS</v>
      </c>
      <c r="C22" s="11"/>
      <c r="D22" s="2">
        <f>--424.46</f>
        <v>424.46</v>
      </c>
      <c r="E22" s="2"/>
      <c r="F22" s="19"/>
      <c r="G22" s="2"/>
      <c r="H22" s="2"/>
      <c r="I22" s="2"/>
      <c r="J22" s="19"/>
      <c r="K22" s="2"/>
      <c r="L22" s="2">
        <f t="shared" si="0"/>
        <v>424.46</v>
      </c>
      <c r="M22" s="2"/>
      <c r="N22" s="19">
        <f t="shared" si="1"/>
        <v>0</v>
      </c>
      <c r="O22" s="11"/>
      <c r="P22" s="2">
        <f>--2657.79</f>
        <v>2657.79</v>
      </c>
      <c r="Q22" s="2"/>
      <c r="R22" s="19"/>
      <c r="S22" s="2"/>
      <c r="T22" s="2"/>
      <c r="U22" s="2"/>
      <c r="V22" s="19"/>
      <c r="W22" s="2"/>
      <c r="X22" s="2">
        <f t="shared" si="2"/>
        <v>2657.79</v>
      </c>
      <c r="Y22" s="2"/>
      <c r="Z22" s="19">
        <f t="shared" si="3"/>
        <v>0</v>
      </c>
    </row>
    <row r="23" spans="1:26" s="24" customFormat="1" hidden="1" outlineLevel="1" x14ac:dyDescent="0.25">
      <c r="A23" s="44"/>
      <c r="B23" s="11" t="str">
        <f>CONCATENATE("          ", "4182", " - ", "NON-TAXABLE SALES-COMPUTER HAR")</f>
        <v xml:space="preserve">          4182 - NON-TAXABLE SALES-COMPUTER HAR</v>
      </c>
      <c r="C23" s="11"/>
      <c r="D23" s="2">
        <f>--28134.6</f>
        <v>28134.6</v>
      </c>
      <c r="E23" s="2"/>
      <c r="F23" s="19"/>
      <c r="G23" s="2"/>
      <c r="H23" s="2"/>
      <c r="I23" s="2"/>
      <c r="J23" s="19"/>
      <c r="K23" s="2"/>
      <c r="L23" s="2">
        <f t="shared" si="0"/>
        <v>28134.6</v>
      </c>
      <c r="M23" s="2"/>
      <c r="N23" s="19">
        <f t="shared" si="1"/>
        <v>0</v>
      </c>
      <c r="O23" s="11"/>
      <c r="P23" s="2">
        <f>--176201.54</f>
        <v>176201.54</v>
      </c>
      <c r="Q23" s="2"/>
      <c r="R23" s="19"/>
      <c r="S23" s="2"/>
      <c r="T23" s="2"/>
      <c r="U23" s="2"/>
      <c r="V23" s="19"/>
      <c r="W23" s="2"/>
      <c r="X23" s="2">
        <f t="shared" si="2"/>
        <v>176201.54</v>
      </c>
      <c r="Y23" s="2"/>
      <c r="Z23" s="19">
        <f t="shared" si="3"/>
        <v>0</v>
      </c>
    </row>
    <row r="24" spans="1:26" s="24" customFormat="1" hidden="1" outlineLevel="1" x14ac:dyDescent="0.25">
      <c r="A24" s="44"/>
      <c r="B24" s="11" t="str">
        <f>CONCATENATE("          ", "4183", " - ", "NON-TAXABLE SALES-COMPUTER EQU")</f>
        <v xml:space="preserve">          4183 - NON-TAXABLE SALES-COMPUTER EQU</v>
      </c>
      <c r="C24" s="11"/>
      <c r="D24" s="2">
        <f>--1895.54</f>
        <v>1895.54</v>
      </c>
      <c r="E24" s="2"/>
      <c r="F24" s="19"/>
      <c r="G24" s="2"/>
      <c r="H24" s="2"/>
      <c r="I24" s="2"/>
      <c r="J24" s="19"/>
      <c r="K24" s="2"/>
      <c r="L24" s="2">
        <f t="shared" si="0"/>
        <v>1895.54</v>
      </c>
      <c r="M24" s="2"/>
      <c r="N24" s="19">
        <f t="shared" si="1"/>
        <v>0</v>
      </c>
      <c r="O24" s="11"/>
      <c r="P24" s="2">
        <f>--11427.56</f>
        <v>11427.56</v>
      </c>
      <c r="Q24" s="2"/>
      <c r="R24" s="19"/>
      <c r="S24" s="2"/>
      <c r="T24" s="2"/>
      <c r="U24" s="2"/>
      <c r="V24" s="19"/>
      <c r="W24" s="2"/>
      <c r="X24" s="2">
        <f t="shared" si="2"/>
        <v>11427.56</v>
      </c>
      <c r="Y24" s="2"/>
      <c r="Z24" s="19">
        <f t="shared" si="3"/>
        <v>0</v>
      </c>
    </row>
    <row r="25" spans="1:26" s="24" customFormat="1" hidden="1" outlineLevel="1" x14ac:dyDescent="0.25">
      <c r="A25" s="44"/>
      <c r="B25" s="11" t="str">
        <f>CONCATENATE("          ", "4184", " - ", "NON-TAXABLE SALES-SOFTWARE LIC")</f>
        <v xml:space="preserve">          4184 - NON-TAXABLE SALES-SOFTWARE LIC</v>
      </c>
      <c r="C25" s="11"/>
      <c r="D25" s="2">
        <f>0</f>
        <v>0</v>
      </c>
      <c r="E25" s="2"/>
      <c r="F25" s="19"/>
      <c r="G25" s="2"/>
      <c r="H25" s="2"/>
      <c r="I25" s="2"/>
      <c r="J25" s="19"/>
      <c r="K25" s="2"/>
      <c r="L25" s="2">
        <f t="shared" si="0"/>
        <v>0</v>
      </c>
      <c r="M25" s="2"/>
      <c r="N25" s="19">
        <f t="shared" si="1"/>
        <v>0</v>
      </c>
      <c r="O25" s="11"/>
      <c r="P25" s="2">
        <f>--2728</f>
        <v>2728</v>
      </c>
      <c r="Q25" s="2"/>
      <c r="R25" s="19"/>
      <c r="S25" s="2"/>
      <c r="T25" s="2"/>
      <c r="U25" s="2"/>
      <c r="V25" s="19"/>
      <c r="W25" s="2"/>
      <c r="X25" s="2">
        <f t="shared" si="2"/>
        <v>2728</v>
      </c>
      <c r="Y25" s="2"/>
      <c r="Z25" s="19">
        <f t="shared" si="3"/>
        <v>0</v>
      </c>
    </row>
    <row r="26" spans="1:26" s="24" customFormat="1" hidden="1" outlineLevel="1" x14ac:dyDescent="0.25">
      <c r="A26" s="44"/>
      <c r="B26" s="11" t="str">
        <f>CONCATENATE("          ", "4185", " - ", "NON-TAXABLE SALES-SOFTWARE")</f>
        <v xml:space="preserve">          4185 - NON-TAXABLE SALES-SOFTWARE</v>
      </c>
      <c r="C26" s="11"/>
      <c r="D26" s="2">
        <f>--4176.74</f>
        <v>4176.74</v>
      </c>
      <c r="E26" s="2"/>
      <c r="F26" s="19"/>
      <c r="G26" s="2"/>
      <c r="H26" s="2"/>
      <c r="I26" s="2"/>
      <c r="J26" s="19"/>
      <c r="K26" s="2"/>
      <c r="L26" s="2">
        <f t="shared" si="0"/>
        <v>4176.74</v>
      </c>
      <c r="M26" s="2"/>
      <c r="N26" s="19">
        <f t="shared" si="1"/>
        <v>0</v>
      </c>
      <c r="O26" s="11"/>
      <c r="P26" s="2">
        <f>--20524.35</f>
        <v>20524.349999999999</v>
      </c>
      <c r="Q26" s="2"/>
      <c r="R26" s="19"/>
      <c r="S26" s="2"/>
      <c r="T26" s="2"/>
      <c r="U26" s="2"/>
      <c r="V26" s="19"/>
      <c r="W26" s="2"/>
      <c r="X26" s="2">
        <f t="shared" si="2"/>
        <v>20524.349999999999</v>
      </c>
      <c r="Y26" s="2"/>
      <c r="Z26" s="19">
        <f t="shared" si="3"/>
        <v>0</v>
      </c>
    </row>
    <row r="27" spans="1:26" s="24" customFormat="1" hidden="1" outlineLevel="1" x14ac:dyDescent="0.25">
      <c r="A27" s="44"/>
      <c r="B27" s="11" t="str">
        <f>CONCATENATE("          ", "4186", " - ", "NON-TAXABLE SALES-COMPUTER SUP")</f>
        <v xml:space="preserve">          4186 - NON-TAXABLE SALES-COMPUTER SUP</v>
      </c>
      <c r="C27" s="11"/>
      <c r="D27" s="2">
        <f>--85.95</f>
        <v>85.95</v>
      </c>
      <c r="E27" s="2"/>
      <c r="F27" s="19"/>
      <c r="G27" s="2"/>
      <c r="H27" s="2"/>
      <c r="I27" s="2"/>
      <c r="J27" s="19"/>
      <c r="K27" s="2"/>
      <c r="L27" s="2">
        <f t="shared" si="0"/>
        <v>85.95</v>
      </c>
      <c r="M27" s="2"/>
      <c r="N27" s="19">
        <f t="shared" si="1"/>
        <v>0</v>
      </c>
      <c r="O27" s="11"/>
      <c r="P27" s="2">
        <f>--2926.08</f>
        <v>2926.08</v>
      </c>
      <c r="Q27" s="2"/>
      <c r="R27" s="19"/>
      <c r="S27" s="2"/>
      <c r="T27" s="2"/>
      <c r="U27" s="2"/>
      <c r="V27" s="19"/>
      <c r="W27" s="2"/>
      <c r="X27" s="2">
        <f t="shared" si="2"/>
        <v>2926.08</v>
      </c>
      <c r="Y27" s="2"/>
      <c r="Z27" s="19">
        <f t="shared" si="3"/>
        <v>0</v>
      </c>
    </row>
    <row r="28" spans="1:26" s="24" customFormat="1" hidden="1" outlineLevel="1" x14ac:dyDescent="0.25">
      <c r="A28" s="44"/>
      <c r="B28" s="11" t="str">
        <f>CONCATENATE("          ", "4188", " - ", "NON-TAXABLE SALES-MUSIC")</f>
        <v xml:space="preserve">          4188 - NON-TAXABLE SALES-MUSIC</v>
      </c>
      <c r="C28" s="11"/>
      <c r="D28" s="2">
        <f>--123.98</f>
        <v>123.98</v>
      </c>
      <c r="E28" s="2"/>
      <c r="F28" s="19"/>
      <c r="G28" s="2"/>
      <c r="H28" s="2"/>
      <c r="I28" s="2"/>
      <c r="J28" s="19"/>
      <c r="K28" s="2"/>
      <c r="L28" s="2">
        <f t="shared" si="0"/>
        <v>123.98</v>
      </c>
      <c r="M28" s="2"/>
      <c r="N28" s="19">
        <f t="shared" si="1"/>
        <v>0</v>
      </c>
      <c r="O28" s="11"/>
      <c r="P28" s="2">
        <f>--343.94</f>
        <v>343.94</v>
      </c>
      <c r="Q28" s="2"/>
      <c r="R28" s="19"/>
      <c r="S28" s="2"/>
      <c r="T28" s="2"/>
      <c r="U28" s="2"/>
      <c r="V28" s="19"/>
      <c r="W28" s="2"/>
      <c r="X28" s="2">
        <f t="shared" si="2"/>
        <v>343.94</v>
      </c>
      <c r="Y28" s="2"/>
      <c r="Z28" s="19">
        <f t="shared" si="3"/>
        <v>0</v>
      </c>
    </row>
    <row r="29" spans="1:26" s="24" customFormat="1" hidden="1" outlineLevel="1" x14ac:dyDescent="0.25">
      <c r="A29" s="44"/>
      <c r="B29" s="11" t="str">
        <f>CONCATENATE("          ", "4281", " - ", "SALES RETURN TAXABLE-ELECTRONI")</f>
        <v xml:space="preserve">          4281 - SALES RETURN TAXABLE-ELECTRONI</v>
      </c>
      <c r="C29" s="11"/>
      <c r="D29" s="2">
        <f>-159</f>
        <v>-159</v>
      </c>
      <c r="E29" s="2"/>
      <c r="F29" s="19"/>
      <c r="G29" s="2"/>
      <c r="H29" s="2"/>
      <c r="I29" s="2"/>
      <c r="J29" s="19"/>
      <c r="K29" s="2"/>
      <c r="L29" s="2">
        <f t="shared" si="0"/>
        <v>-159</v>
      </c>
      <c r="M29" s="2"/>
      <c r="N29" s="19">
        <f t="shared" si="1"/>
        <v>0</v>
      </c>
      <c r="O29" s="11"/>
      <c r="P29" s="2">
        <f>-7940.7</f>
        <v>-7940.7</v>
      </c>
      <c r="Q29" s="2"/>
      <c r="R29" s="19"/>
      <c r="S29" s="2"/>
      <c r="T29" s="2"/>
      <c r="U29" s="2"/>
      <c r="V29" s="19"/>
      <c r="W29" s="2"/>
      <c r="X29" s="2">
        <f t="shared" si="2"/>
        <v>-7940.7</v>
      </c>
      <c r="Y29" s="2"/>
      <c r="Z29" s="19">
        <f t="shared" si="3"/>
        <v>0</v>
      </c>
    </row>
    <row r="30" spans="1:26" s="24" customFormat="1" hidden="1" outlineLevel="1" x14ac:dyDescent="0.25">
      <c r="A30" s="44"/>
      <c r="B30" s="11" t="str">
        <f>CONCATENATE("          ", "4282", " - ", "SALES RETURN TAXABLE-COMPUTER")</f>
        <v xml:space="preserve">          4282 - SALES RETURN TAXABLE-COMPUTER</v>
      </c>
      <c r="C30" s="11"/>
      <c r="D30" s="2">
        <f>-183</f>
        <v>-183</v>
      </c>
      <c r="E30" s="2"/>
      <c r="F30" s="19"/>
      <c r="G30" s="2"/>
      <c r="H30" s="2"/>
      <c r="I30" s="2"/>
      <c r="J30" s="19"/>
      <c r="K30" s="2"/>
      <c r="L30" s="2">
        <f t="shared" si="0"/>
        <v>-183</v>
      </c>
      <c r="M30" s="2"/>
      <c r="N30" s="19">
        <f t="shared" si="1"/>
        <v>0</v>
      </c>
      <c r="O30" s="11"/>
      <c r="P30" s="2">
        <f>-215628.8</f>
        <v>-215628.79999999999</v>
      </c>
      <c r="Q30" s="2"/>
      <c r="R30" s="19"/>
      <c r="S30" s="2"/>
      <c r="T30" s="2"/>
      <c r="U30" s="2"/>
      <c r="V30" s="19"/>
      <c r="W30" s="2"/>
      <c r="X30" s="2">
        <f t="shared" si="2"/>
        <v>-215628.79999999999</v>
      </c>
      <c r="Y30" s="2"/>
      <c r="Z30" s="19">
        <f t="shared" si="3"/>
        <v>0</v>
      </c>
    </row>
    <row r="31" spans="1:26" s="24" customFormat="1" hidden="1" outlineLevel="1" x14ac:dyDescent="0.25">
      <c r="A31" s="44"/>
      <c r="B31" s="11" t="str">
        <f>CONCATENATE("          ", "4283", " - ", "SALES RETURN TAXABLE-COMPUTER")</f>
        <v xml:space="preserve">          4283 - SALES RETURN TAXABLE-COMPUTER</v>
      </c>
      <c r="C31" s="11"/>
      <c r="D31" s="2">
        <f>-119</f>
        <v>-119</v>
      </c>
      <c r="E31" s="2"/>
      <c r="F31" s="19"/>
      <c r="G31" s="2"/>
      <c r="H31" s="2"/>
      <c r="I31" s="2"/>
      <c r="J31" s="19"/>
      <c r="K31" s="2"/>
      <c r="L31" s="2">
        <f t="shared" si="0"/>
        <v>-119</v>
      </c>
      <c r="M31" s="2"/>
      <c r="N31" s="19">
        <f t="shared" si="1"/>
        <v>0</v>
      </c>
      <c r="O31" s="11"/>
      <c r="P31" s="2">
        <f>-6708.02</f>
        <v>-6708.02</v>
      </c>
      <c r="Q31" s="2"/>
      <c r="R31" s="19"/>
      <c r="S31" s="2"/>
      <c r="T31" s="2"/>
      <c r="U31" s="2"/>
      <c r="V31" s="19"/>
      <c r="W31" s="2"/>
      <c r="X31" s="2">
        <f t="shared" si="2"/>
        <v>-6708.02</v>
      </c>
      <c r="Y31" s="2"/>
      <c r="Z31" s="19">
        <f t="shared" si="3"/>
        <v>0</v>
      </c>
    </row>
    <row r="32" spans="1:26" s="24" customFormat="1" hidden="1" outlineLevel="1" x14ac:dyDescent="0.25">
      <c r="A32" s="44"/>
      <c r="B32" s="11" t="str">
        <f>CONCATENATE("          ", "4284", " - ", "SALES RETURN TAXABLE-SOFTWARE")</f>
        <v xml:space="preserve">          4284 - SALES RETURN TAXABLE-SOFTWARE</v>
      </c>
      <c r="C32" s="11"/>
      <c r="D32" s="2">
        <f t="shared" ref="D32:D34" si="4">0</f>
        <v>0</v>
      </c>
      <c r="E32" s="2"/>
      <c r="F32" s="19"/>
      <c r="G32" s="2"/>
      <c r="H32" s="2"/>
      <c r="I32" s="2"/>
      <c r="J32" s="19"/>
      <c r="K32" s="2"/>
      <c r="L32" s="2">
        <f t="shared" si="0"/>
        <v>0</v>
      </c>
      <c r="M32" s="2"/>
      <c r="N32" s="19">
        <f t="shared" si="1"/>
        <v>0</v>
      </c>
      <c r="O32" s="11"/>
      <c r="P32" s="2">
        <f>-129</f>
        <v>-129</v>
      </c>
      <c r="Q32" s="2"/>
      <c r="R32" s="19"/>
      <c r="S32" s="2"/>
      <c r="T32" s="2"/>
      <c r="U32" s="2"/>
      <c r="V32" s="19"/>
      <c r="W32" s="2"/>
      <c r="X32" s="2">
        <f t="shared" si="2"/>
        <v>-129</v>
      </c>
      <c r="Y32" s="2"/>
      <c r="Z32" s="19">
        <f t="shared" si="3"/>
        <v>0</v>
      </c>
    </row>
    <row r="33" spans="1:26" s="24" customFormat="1" hidden="1" outlineLevel="1" x14ac:dyDescent="0.25">
      <c r="A33" s="44"/>
      <c r="B33" s="11" t="str">
        <f>CONCATENATE("          ", "4285", " - ", "SALES RETURN TAXABLE-SOFTWARE")</f>
        <v xml:space="preserve">          4285 - SALES RETURN TAXABLE-SOFTWARE</v>
      </c>
      <c r="C33" s="11"/>
      <c r="D33" s="2">
        <f t="shared" si="4"/>
        <v>0</v>
      </c>
      <c r="E33" s="2"/>
      <c r="F33" s="19"/>
      <c r="G33" s="2"/>
      <c r="H33" s="2"/>
      <c r="I33" s="2"/>
      <c r="J33" s="19"/>
      <c r="K33" s="2"/>
      <c r="L33" s="2">
        <f t="shared" si="0"/>
        <v>0</v>
      </c>
      <c r="M33" s="2"/>
      <c r="N33" s="19">
        <f t="shared" si="1"/>
        <v>0</v>
      </c>
      <c r="O33" s="11"/>
      <c r="P33" s="2">
        <f>-805.97</f>
        <v>-805.97</v>
      </c>
      <c r="Q33" s="2"/>
      <c r="R33" s="19"/>
      <c r="S33" s="2"/>
      <c r="T33" s="2"/>
      <c r="U33" s="2"/>
      <c r="V33" s="19"/>
      <c r="W33" s="2"/>
      <c r="X33" s="2">
        <f t="shared" si="2"/>
        <v>-805.97</v>
      </c>
      <c r="Y33" s="2"/>
      <c r="Z33" s="19">
        <f t="shared" si="3"/>
        <v>0</v>
      </c>
    </row>
    <row r="34" spans="1:26" s="24" customFormat="1" hidden="1" outlineLevel="1" x14ac:dyDescent="0.25">
      <c r="A34" s="44"/>
      <c r="B34" s="11" t="str">
        <f>CONCATENATE("          ", "4286", " - ", "SALES RETURN TAXABLE-COMPUTER")</f>
        <v xml:space="preserve">          4286 - SALES RETURN TAXABLE-COMPUTER</v>
      </c>
      <c r="C34" s="11"/>
      <c r="D34" s="2">
        <f t="shared" si="4"/>
        <v>0</v>
      </c>
      <c r="E34" s="2"/>
      <c r="F34" s="19"/>
      <c r="G34" s="2"/>
      <c r="H34" s="2"/>
      <c r="I34" s="2"/>
      <c r="J34" s="19"/>
      <c r="K34" s="2"/>
      <c r="L34" s="2">
        <f t="shared" si="0"/>
        <v>0</v>
      </c>
      <c r="M34" s="2"/>
      <c r="N34" s="19">
        <f t="shared" si="1"/>
        <v>0</v>
      </c>
      <c r="O34" s="11"/>
      <c r="P34" s="2">
        <f>-3660.86</f>
        <v>-3660.86</v>
      </c>
      <c r="Q34" s="2"/>
      <c r="R34" s="19"/>
      <c r="S34" s="2"/>
      <c r="T34" s="2"/>
      <c r="U34" s="2"/>
      <c r="V34" s="19"/>
      <c r="W34" s="2"/>
      <c r="X34" s="2">
        <f t="shared" si="2"/>
        <v>-3660.86</v>
      </c>
      <c r="Y34" s="2"/>
      <c r="Z34" s="19">
        <f t="shared" si="3"/>
        <v>0</v>
      </c>
    </row>
    <row r="35" spans="1:26" s="24" customFormat="1" hidden="1" outlineLevel="1" x14ac:dyDescent="0.25">
      <c r="A35" s="44"/>
      <c r="B35" s="11" t="str">
        <f>CONCATENATE("          ", "4288", " - ", "TAXABLE SALES RETURN-MUSIC")</f>
        <v xml:space="preserve">          4288 - TAXABLE SALES RETURN-MUSIC</v>
      </c>
      <c r="C35" s="11"/>
      <c r="D35" s="2">
        <f>-149</f>
        <v>-149</v>
      </c>
      <c r="E35" s="2"/>
      <c r="F35" s="19"/>
      <c r="G35" s="2"/>
      <c r="H35" s="2"/>
      <c r="I35" s="2"/>
      <c r="J35" s="19"/>
      <c r="K35" s="2"/>
      <c r="L35" s="2">
        <f t="shared" si="0"/>
        <v>-149</v>
      </c>
      <c r="M35" s="2"/>
      <c r="N35" s="19">
        <f t="shared" si="1"/>
        <v>0</v>
      </c>
      <c r="O35" s="11"/>
      <c r="P35" s="2">
        <f>-152.99</f>
        <v>-152.99</v>
      </c>
      <c r="Q35" s="2"/>
      <c r="R35" s="19"/>
      <c r="S35" s="2"/>
      <c r="T35" s="2"/>
      <c r="U35" s="2"/>
      <c r="V35" s="19"/>
      <c r="W35" s="2"/>
      <c r="X35" s="2">
        <f t="shared" si="2"/>
        <v>-152.99</v>
      </c>
      <c r="Y35" s="2"/>
      <c r="Z35" s="19">
        <f t="shared" si="3"/>
        <v>0</v>
      </c>
    </row>
    <row r="36" spans="1:26" s="24" customFormat="1" hidden="1" outlineLevel="1" x14ac:dyDescent="0.25">
      <c r="A36" s="44"/>
      <c r="B36" s="11" t="str">
        <f>CONCATENATE("          ", "4381", " - ", "SALES RETURN NON TAXABLE-ELECT")</f>
        <v xml:space="preserve">          4381 - SALES RETURN NON TAXABLE-ELECT</v>
      </c>
      <c r="C36" s="11"/>
      <c r="D36" s="2">
        <f t="shared" ref="D36:D38" si="5">0</f>
        <v>0</v>
      </c>
      <c r="E36" s="2"/>
      <c r="F36" s="19"/>
      <c r="G36" s="2"/>
      <c r="H36" s="2"/>
      <c r="I36" s="2"/>
      <c r="J36" s="19"/>
      <c r="K36" s="2"/>
      <c r="L36" s="2">
        <f t="shared" si="0"/>
        <v>0</v>
      </c>
      <c r="M36" s="2"/>
      <c r="N36" s="19">
        <f t="shared" si="1"/>
        <v>0</v>
      </c>
      <c r="O36" s="11"/>
      <c r="P36" s="2">
        <f>-1279.84</f>
        <v>-1279.8399999999999</v>
      </c>
      <c r="Q36" s="2"/>
      <c r="R36" s="19"/>
      <c r="S36" s="2"/>
      <c r="T36" s="2"/>
      <c r="U36" s="2"/>
      <c r="V36" s="19"/>
      <c r="W36" s="2"/>
      <c r="X36" s="2">
        <f t="shared" si="2"/>
        <v>-1279.8399999999999</v>
      </c>
      <c r="Y36" s="2"/>
      <c r="Z36" s="19">
        <f t="shared" si="3"/>
        <v>0</v>
      </c>
    </row>
    <row r="37" spans="1:26" s="24" customFormat="1" hidden="1" outlineLevel="1" x14ac:dyDescent="0.25">
      <c r="A37" s="44"/>
      <c r="B37" s="11" t="str">
        <f>CONCATENATE("          ", "4383", " - ", "SALES RETURN NON TAXABLE-COMPU")</f>
        <v xml:space="preserve">          4383 - SALES RETURN NON TAXABLE-COMPU</v>
      </c>
      <c r="C37" s="11"/>
      <c r="D37" s="2">
        <f t="shared" si="5"/>
        <v>0</v>
      </c>
      <c r="E37" s="2"/>
      <c r="F37" s="19"/>
      <c r="G37" s="2"/>
      <c r="H37" s="2"/>
      <c r="I37" s="2"/>
      <c r="J37" s="19"/>
      <c r="K37" s="2"/>
      <c r="L37" s="2">
        <f t="shared" si="0"/>
        <v>0</v>
      </c>
      <c r="M37" s="2"/>
      <c r="N37" s="19">
        <f t="shared" si="1"/>
        <v>0</v>
      </c>
      <c r="O37" s="11"/>
      <c r="P37" s="2">
        <f>-49.98</f>
        <v>-49.98</v>
      </c>
      <c r="Q37" s="2"/>
      <c r="R37" s="19"/>
      <c r="S37" s="2"/>
      <c r="T37" s="2"/>
      <c r="U37" s="2"/>
      <c r="V37" s="19"/>
      <c r="W37" s="2"/>
      <c r="X37" s="2">
        <f t="shared" si="2"/>
        <v>-49.98</v>
      </c>
      <c r="Y37" s="2"/>
      <c r="Z37" s="19">
        <f t="shared" si="3"/>
        <v>0</v>
      </c>
    </row>
    <row r="38" spans="1:26" s="24" customFormat="1" hidden="1" outlineLevel="1" x14ac:dyDescent="0.25">
      <c r="A38" s="44"/>
      <c r="B38" s="11" t="str">
        <f>CONCATENATE("          ", "4386", " - ", "SALES RETURN NON TAXABLE-COMPU")</f>
        <v xml:space="preserve">          4386 - SALES RETURN NON TAXABLE-COMPU</v>
      </c>
      <c r="C38" s="11"/>
      <c r="D38" s="2">
        <f t="shared" si="5"/>
        <v>0</v>
      </c>
      <c r="E38" s="2"/>
      <c r="F38" s="19"/>
      <c r="G38" s="2"/>
      <c r="H38" s="2"/>
      <c r="I38" s="2"/>
      <c r="J38" s="19"/>
      <c r="K38" s="2"/>
      <c r="L38" s="2">
        <f t="shared" si="0"/>
        <v>0</v>
      </c>
      <c r="M38" s="2"/>
      <c r="N38" s="19">
        <f t="shared" si="1"/>
        <v>0</v>
      </c>
      <c r="O38" s="11"/>
      <c r="P38" s="2">
        <f>-104.96</f>
        <v>-104.96</v>
      </c>
      <c r="Q38" s="2"/>
      <c r="R38" s="19"/>
      <c r="S38" s="2"/>
      <c r="T38" s="2"/>
      <c r="U38" s="2"/>
      <c r="V38" s="19"/>
      <c r="W38" s="2"/>
      <c r="X38" s="2">
        <f t="shared" si="2"/>
        <v>-104.96</v>
      </c>
      <c r="Y38" s="2"/>
      <c r="Z38" s="19">
        <f t="shared" si="3"/>
        <v>0</v>
      </c>
    </row>
    <row r="39" spans="1:26" x14ac:dyDescent="0.25">
      <c r="A39" s="9"/>
      <c r="B39" s="10"/>
      <c r="C39" s="9"/>
      <c r="D39" s="3"/>
      <c r="E39" s="3"/>
      <c r="F39" s="8"/>
      <c r="G39" s="3"/>
      <c r="H39" s="3"/>
      <c r="I39" s="3"/>
      <c r="J39" s="8"/>
      <c r="K39" s="3"/>
      <c r="L39" s="3"/>
      <c r="M39" s="3"/>
      <c r="N39" s="8"/>
      <c r="P39" s="3"/>
      <c r="Q39" s="3"/>
      <c r="R39" s="8"/>
      <c r="S39" s="3"/>
      <c r="T39" s="3"/>
      <c r="U39" s="3"/>
      <c r="V39" s="8"/>
      <c r="W39" s="3"/>
      <c r="X39" s="3"/>
      <c r="Y39" s="3"/>
      <c r="Z39" s="8"/>
    </row>
    <row r="40" spans="1:26" s="23" customFormat="1" collapsed="1" x14ac:dyDescent="0.25">
      <c r="A40" s="10"/>
      <c r="B40" s="28" t="s">
        <v>8</v>
      </c>
      <c r="C40" s="10"/>
      <c r="D40" s="4">
        <f>SUM(OSRRefD16x_0)</f>
        <v>89462.35</v>
      </c>
      <c r="E40" s="4"/>
      <c r="F40" s="13">
        <f t="shared" ref="F40:F55" si="6">IF(D$12=0,0,D40/D$12)</f>
        <v>0.93623257809137272</v>
      </c>
      <c r="G40" s="4"/>
      <c r="H40" s="4">
        <f>SUM(OSRRefH16x_0)</f>
        <v>181264</v>
      </c>
      <c r="I40" s="4"/>
      <c r="J40" s="13">
        <f t="shared" ref="J40:J55" si="7">IF(H$12=0,0,H40/H$12)</f>
        <v>1.1726529344788323</v>
      </c>
      <c r="K40" s="4"/>
      <c r="L40" s="4">
        <f t="shared" ref="L40:L55" si="8">+D40-H40</f>
        <v>-91801.65</v>
      </c>
      <c r="M40" s="4"/>
      <c r="N40" s="13">
        <f t="shared" ref="N40:N55" si="9">IF(H40=0,0,L40/H40)</f>
        <v>-0.50645274296054366</v>
      </c>
      <c r="O40" s="10"/>
      <c r="P40" s="4">
        <f>SUM(OSRRefP16x_0)</f>
        <v>2121756.5999999992</v>
      </c>
      <c r="Q40" s="4"/>
      <c r="R40" s="13">
        <f t="shared" ref="R40:R55" si="10">IF(P$12=0,0,P40/P$12)</f>
        <v>0.87047159561248677</v>
      </c>
      <c r="S40" s="4"/>
      <c r="T40" s="4">
        <f>SUM(OSRRefT16x_0)</f>
        <v>2035607.9999999998</v>
      </c>
      <c r="U40" s="4"/>
      <c r="V40" s="13">
        <f t="shared" ref="V40:V55" si="11">IF(T$12=0,0,T40/T$12)</f>
        <v>0.82992377989738098</v>
      </c>
      <c r="W40" s="4"/>
      <c r="X40" s="4">
        <f t="shared" ref="X40:X55" si="12">+P40-T40</f>
        <v>86148.599999999395</v>
      </c>
      <c r="Y40" s="4"/>
      <c r="Z40" s="13">
        <f t="shared" ref="Z40:Z55" si="13">IF(T40=0,0,X40/T40)</f>
        <v>4.2320820118608007E-2</v>
      </c>
    </row>
    <row r="41" spans="1:26" s="24" customFormat="1" hidden="1" outlineLevel="1" x14ac:dyDescent="0.25">
      <c r="A41" s="44"/>
      <c r="B41" s="11" t="str">
        <f>CONCATENATE("          ", "5000", " - ", "PURCHASES @ COST")</f>
        <v xml:space="preserve">          5000 - PURCHASES @ COST</v>
      </c>
      <c r="C41" s="11"/>
      <c r="D41" s="2"/>
      <c r="E41" s="2"/>
      <c r="F41" s="19">
        <f t="shared" si="6"/>
        <v>0</v>
      </c>
      <c r="G41" s="2"/>
      <c r="H41" s="2">
        <v>181264</v>
      </c>
      <c r="I41" s="2"/>
      <c r="J41" s="19">
        <f t="shared" si="7"/>
        <v>1.1726529344788323</v>
      </c>
      <c r="K41" s="2"/>
      <c r="L41" s="2">
        <f t="shared" si="8"/>
        <v>-181264</v>
      </c>
      <c r="M41" s="2"/>
      <c r="N41" s="19">
        <f t="shared" si="9"/>
        <v>-1</v>
      </c>
      <c r="O41" s="11"/>
      <c r="P41" s="2"/>
      <c r="Q41" s="2"/>
      <c r="R41" s="19">
        <f t="shared" si="10"/>
        <v>0</v>
      </c>
      <c r="S41" s="2"/>
      <c r="T41" s="2">
        <v>2035607.9999999998</v>
      </c>
      <c r="U41" s="2"/>
      <c r="V41" s="19">
        <f t="shared" si="11"/>
        <v>0.82992377989738098</v>
      </c>
      <c r="W41" s="2"/>
      <c r="X41" s="2">
        <f t="shared" si="12"/>
        <v>-2035607.9999999998</v>
      </c>
      <c r="Y41" s="2"/>
      <c r="Z41" s="19">
        <f t="shared" si="13"/>
        <v>-1</v>
      </c>
    </row>
    <row r="42" spans="1:26" s="24" customFormat="1" hidden="1" outlineLevel="1" x14ac:dyDescent="0.25">
      <c r="A42" s="44"/>
      <c r="B42" s="11" t="str">
        <f>CONCATENATE("          ", "5081", " - ", "PURCHASES @ COST-ELECTRONICS")</f>
        <v xml:space="preserve">          5081 - PURCHASES @ COST-ELECTRONICS</v>
      </c>
      <c r="C42" s="11"/>
      <c r="D42" s="2">
        <v>1637.44</v>
      </c>
      <c r="E42" s="2"/>
      <c r="F42" s="19">
        <f t="shared" si="6"/>
        <v>1.7135975890080434E-2</v>
      </c>
      <c r="G42" s="2"/>
      <c r="H42" s="2"/>
      <c r="I42" s="2"/>
      <c r="J42" s="19">
        <f t="shared" si="7"/>
        <v>0</v>
      </c>
      <c r="K42" s="2"/>
      <c r="L42" s="2">
        <f t="shared" si="8"/>
        <v>1637.44</v>
      </c>
      <c r="M42" s="2"/>
      <c r="N42" s="19">
        <f t="shared" si="9"/>
        <v>0</v>
      </c>
      <c r="O42" s="11"/>
      <c r="P42" s="2">
        <v>258461.58000000002</v>
      </c>
      <c r="Q42" s="2"/>
      <c r="R42" s="19">
        <f t="shared" si="10"/>
        <v>0.1060364152736108</v>
      </c>
      <c r="S42" s="2"/>
      <c r="T42" s="2"/>
      <c r="U42" s="2"/>
      <c r="V42" s="19">
        <f t="shared" si="11"/>
        <v>0</v>
      </c>
      <c r="W42" s="2"/>
      <c r="X42" s="2">
        <f t="shared" si="12"/>
        <v>258461.58000000002</v>
      </c>
      <c r="Y42" s="2"/>
      <c r="Z42" s="19">
        <f t="shared" si="13"/>
        <v>0</v>
      </c>
    </row>
    <row r="43" spans="1:26" s="24" customFormat="1" hidden="1" outlineLevel="1" x14ac:dyDescent="0.25">
      <c r="A43" s="44"/>
      <c r="B43" s="11" t="str">
        <f>CONCATENATE("          ", "5082", " - ", "PURCHASES @ COST-COMPUTER HARD")</f>
        <v xml:space="preserve">          5082 - PURCHASES @ COST-COMPUTER HARD</v>
      </c>
      <c r="C43" s="11"/>
      <c r="D43" s="2">
        <v>140818.03</v>
      </c>
      <c r="E43" s="2"/>
      <c r="F43" s="19">
        <f t="shared" si="6"/>
        <v>1.4736749847131028</v>
      </c>
      <c r="G43" s="2"/>
      <c r="H43" s="2"/>
      <c r="I43" s="2"/>
      <c r="J43" s="19">
        <f t="shared" si="7"/>
        <v>0</v>
      </c>
      <c r="K43" s="2"/>
      <c r="L43" s="2">
        <f t="shared" si="8"/>
        <v>140818.03</v>
      </c>
      <c r="M43" s="2"/>
      <c r="N43" s="19">
        <f t="shared" si="9"/>
        <v>0</v>
      </c>
      <c r="O43" s="11"/>
      <c r="P43" s="2">
        <v>1641300.3</v>
      </c>
      <c r="Q43" s="2"/>
      <c r="R43" s="19">
        <f t="shared" si="10"/>
        <v>0.67335965445812862</v>
      </c>
      <c r="S43" s="2"/>
      <c r="T43" s="2"/>
      <c r="U43" s="2"/>
      <c r="V43" s="19">
        <f t="shared" si="11"/>
        <v>0</v>
      </c>
      <c r="W43" s="2"/>
      <c r="X43" s="2">
        <f t="shared" si="12"/>
        <v>1641300.3</v>
      </c>
      <c r="Y43" s="2"/>
      <c r="Z43" s="19">
        <f t="shared" si="13"/>
        <v>0</v>
      </c>
    </row>
    <row r="44" spans="1:26" s="24" customFormat="1" hidden="1" outlineLevel="1" x14ac:dyDescent="0.25">
      <c r="A44" s="44"/>
      <c r="B44" s="11" t="str">
        <f>CONCATENATE("          ", "5083", " - ", "PURCHASES @ COST-COMPUTER EQUI")</f>
        <v xml:space="preserve">          5083 - PURCHASES @ COST-COMPUTER EQUI</v>
      </c>
      <c r="C44" s="11"/>
      <c r="D44" s="2">
        <v>14533.49</v>
      </c>
      <c r="E44" s="2"/>
      <c r="F44" s="19">
        <f t="shared" si="6"/>
        <v>0.15209444879734529</v>
      </c>
      <c r="G44" s="2"/>
      <c r="H44" s="2"/>
      <c r="I44" s="2"/>
      <c r="J44" s="19">
        <f t="shared" si="7"/>
        <v>0</v>
      </c>
      <c r="K44" s="2"/>
      <c r="L44" s="2">
        <f t="shared" si="8"/>
        <v>14533.49</v>
      </c>
      <c r="M44" s="2"/>
      <c r="N44" s="19">
        <f t="shared" si="9"/>
        <v>0</v>
      </c>
      <c r="O44" s="11"/>
      <c r="P44" s="2">
        <v>94550.76</v>
      </c>
      <c r="Q44" s="2"/>
      <c r="R44" s="19">
        <f t="shared" si="10"/>
        <v>3.8790382894802029E-2</v>
      </c>
      <c r="S44" s="2"/>
      <c r="T44" s="2"/>
      <c r="U44" s="2"/>
      <c r="V44" s="19">
        <f t="shared" si="11"/>
        <v>0</v>
      </c>
      <c r="W44" s="2"/>
      <c r="X44" s="2">
        <f t="shared" si="12"/>
        <v>94550.76</v>
      </c>
      <c r="Y44" s="2"/>
      <c r="Z44" s="19">
        <f t="shared" si="13"/>
        <v>0</v>
      </c>
    </row>
    <row r="45" spans="1:26" s="24" customFormat="1" hidden="1" outlineLevel="1" x14ac:dyDescent="0.25">
      <c r="A45" s="44"/>
      <c r="B45" s="11" t="str">
        <f>CONCATENATE("          ", "5084", " - ", "PURCHASES @ COST-SOFTWARE LICE")</f>
        <v xml:space="preserve">          5084 - PURCHASES @ COST-SOFTWARE LICE</v>
      </c>
      <c r="C45" s="11"/>
      <c r="D45" s="2"/>
      <c r="E45" s="2"/>
      <c r="F45" s="19">
        <f t="shared" si="6"/>
        <v>0</v>
      </c>
      <c r="G45" s="2"/>
      <c r="H45" s="2"/>
      <c r="I45" s="2"/>
      <c r="J45" s="19">
        <f t="shared" si="7"/>
        <v>0</v>
      </c>
      <c r="K45" s="2"/>
      <c r="L45" s="2">
        <f t="shared" si="8"/>
        <v>0</v>
      </c>
      <c r="M45" s="2"/>
      <c r="N45" s="19">
        <f t="shared" si="9"/>
        <v>0</v>
      </c>
      <c r="O45" s="11"/>
      <c r="P45" s="2">
        <v>2728</v>
      </c>
      <c r="Q45" s="2"/>
      <c r="R45" s="19">
        <f t="shared" si="10"/>
        <v>1.1191889365777699E-3</v>
      </c>
      <c r="S45" s="2"/>
      <c r="T45" s="2"/>
      <c r="U45" s="2"/>
      <c r="V45" s="19">
        <f t="shared" si="11"/>
        <v>0</v>
      </c>
      <c r="W45" s="2"/>
      <c r="X45" s="2">
        <f t="shared" si="12"/>
        <v>2728</v>
      </c>
      <c r="Y45" s="2"/>
      <c r="Z45" s="19">
        <f t="shared" si="13"/>
        <v>0</v>
      </c>
    </row>
    <row r="46" spans="1:26" s="24" customFormat="1" hidden="1" outlineLevel="1" x14ac:dyDescent="0.25">
      <c r="A46" s="44"/>
      <c r="B46" s="11" t="str">
        <f>CONCATENATE("          ", "5085", " - ", "PURCHASES @ COST-SOFTWARE")</f>
        <v xml:space="preserve">          5085 - PURCHASES @ COST-SOFTWARE</v>
      </c>
      <c r="C46" s="11"/>
      <c r="D46" s="2">
        <v>3661.64</v>
      </c>
      <c r="E46" s="2"/>
      <c r="F46" s="19">
        <f t="shared" si="6"/>
        <v>3.8319434457539887E-2</v>
      </c>
      <c r="G46" s="2"/>
      <c r="H46" s="2"/>
      <c r="I46" s="2"/>
      <c r="J46" s="19">
        <f t="shared" si="7"/>
        <v>0</v>
      </c>
      <c r="K46" s="2"/>
      <c r="L46" s="2">
        <f t="shared" si="8"/>
        <v>3661.64</v>
      </c>
      <c r="M46" s="2"/>
      <c r="N46" s="19">
        <f t="shared" si="9"/>
        <v>0</v>
      </c>
      <c r="O46" s="11"/>
      <c r="P46" s="2">
        <v>15328.14</v>
      </c>
      <c r="Q46" s="2"/>
      <c r="R46" s="19">
        <f t="shared" si="10"/>
        <v>6.2885207867724264E-3</v>
      </c>
      <c r="S46" s="2"/>
      <c r="T46" s="2"/>
      <c r="U46" s="2"/>
      <c r="V46" s="19">
        <f t="shared" si="11"/>
        <v>0</v>
      </c>
      <c r="W46" s="2"/>
      <c r="X46" s="2">
        <f t="shared" si="12"/>
        <v>15328.14</v>
      </c>
      <c r="Y46" s="2"/>
      <c r="Z46" s="19">
        <f t="shared" si="13"/>
        <v>0</v>
      </c>
    </row>
    <row r="47" spans="1:26" s="24" customFormat="1" hidden="1" outlineLevel="1" x14ac:dyDescent="0.25">
      <c r="A47" s="44"/>
      <c r="B47" s="11" t="str">
        <f>CONCATENATE("          ", "5086", " - ", "PURCHASES @ COST-COMPUTER SUPP")</f>
        <v xml:space="preserve">          5086 - PURCHASES @ COST-COMPUTER SUPP</v>
      </c>
      <c r="C47" s="11"/>
      <c r="D47" s="2">
        <v>-67.5</v>
      </c>
      <c r="E47" s="2"/>
      <c r="F47" s="19">
        <f t="shared" si="6"/>
        <v>-7.0639435495677963E-4</v>
      </c>
      <c r="G47" s="2"/>
      <c r="H47" s="2"/>
      <c r="I47" s="2"/>
      <c r="J47" s="19">
        <f t="shared" si="7"/>
        <v>0</v>
      </c>
      <c r="K47" s="2"/>
      <c r="L47" s="2">
        <f t="shared" si="8"/>
        <v>-67.5</v>
      </c>
      <c r="M47" s="2"/>
      <c r="N47" s="19">
        <f t="shared" si="9"/>
        <v>0</v>
      </c>
      <c r="O47" s="11"/>
      <c r="P47" s="2">
        <v>29883.05</v>
      </c>
      <c r="Q47" s="2"/>
      <c r="R47" s="19">
        <f t="shared" si="10"/>
        <v>1.2259816331085164E-2</v>
      </c>
      <c r="S47" s="2"/>
      <c r="T47" s="2"/>
      <c r="U47" s="2"/>
      <c r="V47" s="19">
        <f t="shared" si="11"/>
        <v>0</v>
      </c>
      <c r="W47" s="2"/>
      <c r="X47" s="2">
        <f t="shared" si="12"/>
        <v>29883.05</v>
      </c>
      <c r="Y47" s="2"/>
      <c r="Z47" s="19">
        <f t="shared" si="13"/>
        <v>0</v>
      </c>
    </row>
    <row r="48" spans="1:26" s="24" customFormat="1" hidden="1" outlineLevel="1" x14ac:dyDescent="0.25">
      <c r="A48" s="44"/>
      <c r="B48" s="11" t="str">
        <f>CONCATENATE("          ", "5088", " - ", "PURCHASES @ COST-MUSIC")</f>
        <v xml:space="preserve">          5088 - PURCHASES @ COST-MUSIC</v>
      </c>
      <c r="C48" s="11"/>
      <c r="D48" s="2"/>
      <c r="E48" s="2"/>
      <c r="F48" s="19">
        <f t="shared" si="6"/>
        <v>0</v>
      </c>
      <c r="G48" s="2"/>
      <c r="H48" s="2"/>
      <c r="I48" s="2"/>
      <c r="J48" s="19">
        <f t="shared" si="7"/>
        <v>0</v>
      </c>
      <c r="K48" s="2"/>
      <c r="L48" s="2">
        <f t="shared" si="8"/>
        <v>0</v>
      </c>
      <c r="M48" s="2"/>
      <c r="N48" s="19">
        <f t="shared" si="9"/>
        <v>0</v>
      </c>
      <c r="O48" s="11"/>
      <c r="P48" s="2">
        <v>95.65</v>
      </c>
      <c r="Q48" s="2"/>
      <c r="R48" s="19">
        <f t="shared" si="10"/>
        <v>3.9241356958821008E-5</v>
      </c>
      <c r="S48" s="2"/>
      <c r="T48" s="2"/>
      <c r="U48" s="2"/>
      <c r="V48" s="19">
        <f t="shared" si="11"/>
        <v>0</v>
      </c>
      <c r="W48" s="2"/>
      <c r="X48" s="2">
        <f t="shared" si="12"/>
        <v>95.65</v>
      </c>
      <c r="Y48" s="2"/>
      <c r="Z48" s="19">
        <f t="shared" si="13"/>
        <v>0</v>
      </c>
    </row>
    <row r="49" spans="1:26" s="24" customFormat="1" hidden="1" outlineLevel="1" x14ac:dyDescent="0.25">
      <c r="A49" s="44"/>
      <c r="B49" s="11" t="str">
        <f>CONCATENATE("          ", "5200", " - ", "PURCHASES OFFSET")</f>
        <v xml:space="preserve">          5200 - PURCHASES OFFSET</v>
      </c>
      <c r="C49" s="11"/>
      <c r="D49" s="2">
        <v>-160624</v>
      </c>
      <c r="E49" s="2"/>
      <c r="F49" s="19">
        <f t="shared" si="6"/>
        <v>-1.6809464721567078</v>
      </c>
      <c r="G49" s="2"/>
      <c r="H49" s="2"/>
      <c r="I49" s="2"/>
      <c r="J49" s="19">
        <f t="shared" si="7"/>
        <v>0</v>
      </c>
      <c r="K49" s="2"/>
      <c r="L49" s="2">
        <f t="shared" si="8"/>
        <v>-160624</v>
      </c>
      <c r="M49" s="2"/>
      <c r="N49" s="19">
        <f t="shared" si="9"/>
        <v>0</v>
      </c>
      <c r="O49" s="11"/>
      <c r="P49" s="2">
        <v>-2043044.0000000002</v>
      </c>
      <c r="Q49" s="2"/>
      <c r="R49" s="19">
        <f t="shared" si="10"/>
        <v>-0.83817897424545229</v>
      </c>
      <c r="S49" s="2"/>
      <c r="T49" s="2"/>
      <c r="U49" s="2"/>
      <c r="V49" s="19">
        <f t="shared" si="11"/>
        <v>0</v>
      </c>
      <c r="W49" s="2"/>
      <c r="X49" s="2">
        <f t="shared" si="12"/>
        <v>-2043044.0000000002</v>
      </c>
      <c r="Y49" s="2"/>
      <c r="Z49" s="19">
        <f t="shared" si="13"/>
        <v>0</v>
      </c>
    </row>
    <row r="50" spans="1:26" s="24" customFormat="1" hidden="1" outlineLevel="1" x14ac:dyDescent="0.25">
      <c r="A50" s="44"/>
      <c r="B50" s="11" t="str">
        <f>CONCATENATE("          ", "5300", " - ", "COG$ OFFSET")</f>
        <v xml:space="preserve">          5300 - COG$ OFFSET</v>
      </c>
      <c r="C50" s="11"/>
      <c r="D50" s="2">
        <v>89462</v>
      </c>
      <c r="E50" s="2"/>
      <c r="F50" s="19">
        <f t="shared" si="6"/>
        <v>0.93622891530582841</v>
      </c>
      <c r="G50" s="2"/>
      <c r="H50" s="2"/>
      <c r="I50" s="2"/>
      <c r="J50" s="19">
        <f t="shared" si="7"/>
        <v>0</v>
      </c>
      <c r="K50" s="2"/>
      <c r="L50" s="2">
        <f t="shared" si="8"/>
        <v>89462</v>
      </c>
      <c r="M50" s="2"/>
      <c r="N50" s="19">
        <f t="shared" si="9"/>
        <v>0</v>
      </c>
      <c r="O50" s="11"/>
      <c r="P50" s="2">
        <v>2121754</v>
      </c>
      <c r="Q50" s="2"/>
      <c r="R50" s="19">
        <f t="shared" si="10"/>
        <v>0.87047052893681442</v>
      </c>
      <c r="S50" s="2"/>
      <c r="T50" s="2"/>
      <c r="U50" s="2"/>
      <c r="V50" s="19">
        <f t="shared" si="11"/>
        <v>0</v>
      </c>
      <c r="W50" s="2"/>
      <c r="X50" s="2">
        <f t="shared" si="12"/>
        <v>2121754</v>
      </c>
      <c r="Y50" s="2"/>
      <c r="Z50" s="19">
        <f t="shared" si="13"/>
        <v>0</v>
      </c>
    </row>
    <row r="51" spans="1:26" s="24" customFormat="1" hidden="1" outlineLevel="1" x14ac:dyDescent="0.25">
      <c r="A51" s="44"/>
      <c r="B51" s="11" t="str">
        <f>CONCATENATE("          ", "5581", " - ", "FREIGHT-IN-ELECTRONICS")</f>
        <v xml:space="preserve">          5581 - FREIGHT-IN-ELECTRONICS</v>
      </c>
      <c r="C51" s="11"/>
      <c r="D51" s="2">
        <v>31.25</v>
      </c>
      <c r="E51" s="2"/>
      <c r="F51" s="19">
        <f t="shared" si="6"/>
        <v>3.2703442359110167E-4</v>
      </c>
      <c r="G51" s="2"/>
      <c r="H51" s="2"/>
      <c r="I51" s="2"/>
      <c r="J51" s="19">
        <f t="shared" si="7"/>
        <v>0</v>
      </c>
      <c r="K51" s="2"/>
      <c r="L51" s="2">
        <f t="shared" si="8"/>
        <v>31.25</v>
      </c>
      <c r="M51" s="2"/>
      <c r="N51" s="19">
        <f t="shared" si="9"/>
        <v>0</v>
      </c>
      <c r="O51" s="11"/>
      <c r="P51" s="2">
        <v>137</v>
      </c>
      <c r="Q51" s="2"/>
      <c r="R51" s="19">
        <f t="shared" si="10"/>
        <v>5.6205602753355753E-5</v>
      </c>
      <c r="S51" s="2"/>
      <c r="T51" s="2"/>
      <c r="U51" s="2"/>
      <c r="V51" s="19">
        <f t="shared" si="11"/>
        <v>0</v>
      </c>
      <c r="W51" s="2"/>
      <c r="X51" s="2">
        <f t="shared" si="12"/>
        <v>137</v>
      </c>
      <c r="Y51" s="2"/>
      <c r="Z51" s="19">
        <f t="shared" si="13"/>
        <v>0</v>
      </c>
    </row>
    <row r="52" spans="1:26" s="24" customFormat="1" hidden="1" outlineLevel="1" x14ac:dyDescent="0.25">
      <c r="A52" s="44"/>
      <c r="B52" s="11" t="str">
        <f>CONCATENATE("          ", "5582", " - ", "FREIGHT-IN-COMPUTER HARDWARE")</f>
        <v xml:space="preserve">          5582 - FREIGHT-IN-COMPUTER HARDWARE</v>
      </c>
      <c r="C52" s="11"/>
      <c r="D52" s="2"/>
      <c r="E52" s="2"/>
      <c r="F52" s="19">
        <f t="shared" si="6"/>
        <v>0</v>
      </c>
      <c r="G52" s="2"/>
      <c r="H52" s="2"/>
      <c r="I52" s="2"/>
      <c r="J52" s="19">
        <f t="shared" si="7"/>
        <v>0</v>
      </c>
      <c r="K52" s="2"/>
      <c r="L52" s="2">
        <f t="shared" si="8"/>
        <v>0</v>
      </c>
      <c r="M52" s="2"/>
      <c r="N52" s="19">
        <f t="shared" si="9"/>
        <v>0</v>
      </c>
      <c r="O52" s="11"/>
      <c r="P52" s="2">
        <v>154.30000000000001</v>
      </c>
      <c r="Q52" s="2"/>
      <c r="R52" s="19">
        <f t="shared" si="10"/>
        <v>6.330309857549484E-5</v>
      </c>
      <c r="S52" s="2"/>
      <c r="T52" s="2"/>
      <c r="U52" s="2"/>
      <c r="V52" s="19">
        <f t="shared" si="11"/>
        <v>0</v>
      </c>
      <c r="W52" s="2"/>
      <c r="X52" s="2">
        <f t="shared" si="12"/>
        <v>154.30000000000001</v>
      </c>
      <c r="Y52" s="2"/>
      <c r="Z52" s="19">
        <f t="shared" si="13"/>
        <v>0</v>
      </c>
    </row>
    <row r="53" spans="1:26" s="24" customFormat="1" hidden="1" outlineLevel="1" x14ac:dyDescent="0.25">
      <c r="A53" s="44"/>
      <c r="B53" s="11" t="str">
        <f>CONCATENATE("          ", "5583", " - ", "FREIGHT-IN-COMPUTER EQUIPMENT")</f>
        <v xml:space="preserve">          5583 - FREIGHT-IN-COMPUTER EQUIPMENT</v>
      </c>
      <c r="C53" s="11"/>
      <c r="D53" s="2"/>
      <c r="E53" s="2"/>
      <c r="F53" s="19">
        <f t="shared" si="6"/>
        <v>0</v>
      </c>
      <c r="G53" s="2"/>
      <c r="H53" s="2"/>
      <c r="I53" s="2"/>
      <c r="J53" s="19">
        <f t="shared" si="7"/>
        <v>0</v>
      </c>
      <c r="K53" s="2"/>
      <c r="L53" s="2">
        <f t="shared" si="8"/>
        <v>0</v>
      </c>
      <c r="M53" s="2"/>
      <c r="N53" s="19">
        <f t="shared" si="9"/>
        <v>0</v>
      </c>
      <c r="O53" s="11"/>
      <c r="P53" s="2">
        <v>96.55</v>
      </c>
      <c r="Q53" s="2"/>
      <c r="R53" s="19">
        <f t="shared" si="10"/>
        <v>3.9610590845521877E-5</v>
      </c>
      <c r="S53" s="2"/>
      <c r="T53" s="2"/>
      <c r="U53" s="2"/>
      <c r="V53" s="19">
        <f t="shared" si="11"/>
        <v>0</v>
      </c>
      <c r="W53" s="2"/>
      <c r="X53" s="2">
        <f t="shared" si="12"/>
        <v>96.55</v>
      </c>
      <c r="Y53" s="2"/>
      <c r="Z53" s="19">
        <f t="shared" si="13"/>
        <v>0</v>
      </c>
    </row>
    <row r="54" spans="1:26" s="24" customFormat="1" hidden="1" outlineLevel="1" x14ac:dyDescent="0.25">
      <c r="A54" s="44"/>
      <c r="B54" s="11" t="str">
        <f>CONCATENATE("          ", "5585", " - ", "FREIGHT-IN-SOFTWARE")</f>
        <v xml:space="preserve">          5585 - FREIGHT-IN-SOFTWARE</v>
      </c>
      <c r="C54" s="11"/>
      <c r="D54" s="2">
        <v>10</v>
      </c>
      <c r="E54" s="2"/>
      <c r="F54" s="19">
        <f t="shared" si="6"/>
        <v>1.0465101554915254E-4</v>
      </c>
      <c r="G54" s="2"/>
      <c r="H54" s="2"/>
      <c r="I54" s="2"/>
      <c r="J54" s="19">
        <f t="shared" si="7"/>
        <v>0</v>
      </c>
      <c r="K54" s="2"/>
      <c r="L54" s="2">
        <f t="shared" si="8"/>
        <v>10</v>
      </c>
      <c r="M54" s="2"/>
      <c r="N54" s="19">
        <f t="shared" si="9"/>
        <v>0</v>
      </c>
      <c r="O54" s="11"/>
      <c r="P54" s="2">
        <v>10</v>
      </c>
      <c r="Q54" s="2"/>
      <c r="R54" s="19">
        <f t="shared" si="10"/>
        <v>4.1025987411208579E-6</v>
      </c>
      <c r="S54" s="2"/>
      <c r="T54" s="2"/>
      <c r="U54" s="2"/>
      <c r="V54" s="19">
        <f t="shared" si="11"/>
        <v>0</v>
      </c>
      <c r="W54" s="2"/>
      <c r="X54" s="2">
        <f t="shared" si="12"/>
        <v>10</v>
      </c>
      <c r="Y54" s="2"/>
      <c r="Z54" s="19">
        <f t="shared" si="13"/>
        <v>0</v>
      </c>
    </row>
    <row r="55" spans="1:26" s="24" customFormat="1" hidden="1" outlineLevel="1" x14ac:dyDescent="0.25">
      <c r="A55" s="44"/>
      <c r="B55" s="11" t="str">
        <f>CONCATENATE("          ", "5586", " - ", "FREIGHT-IN-COMPUTER SUPPLIES")</f>
        <v xml:space="preserve">          5586 - FREIGHT-IN-COMPUTER SUPPLIES</v>
      </c>
      <c r="C55" s="11"/>
      <c r="D55" s="2"/>
      <c r="E55" s="2"/>
      <c r="F55" s="19">
        <f t="shared" si="6"/>
        <v>0</v>
      </c>
      <c r="G55" s="2"/>
      <c r="H55" s="2"/>
      <c r="I55" s="2"/>
      <c r="J55" s="19">
        <f t="shared" si="7"/>
        <v>0</v>
      </c>
      <c r="K55" s="2"/>
      <c r="L55" s="2">
        <f t="shared" si="8"/>
        <v>0</v>
      </c>
      <c r="M55" s="2"/>
      <c r="N55" s="19">
        <f t="shared" si="9"/>
        <v>0</v>
      </c>
      <c r="O55" s="11"/>
      <c r="P55" s="2">
        <v>301.27</v>
      </c>
      <c r="Q55" s="2"/>
      <c r="R55" s="19">
        <f t="shared" si="10"/>
        <v>1.2359899227374808E-4</v>
      </c>
      <c r="S55" s="2"/>
      <c r="T55" s="2"/>
      <c r="U55" s="2"/>
      <c r="V55" s="19">
        <f t="shared" si="11"/>
        <v>0</v>
      </c>
      <c r="W55" s="2"/>
      <c r="X55" s="2">
        <f t="shared" si="12"/>
        <v>301.27</v>
      </c>
      <c r="Y55" s="2"/>
      <c r="Z55" s="19">
        <f t="shared" si="13"/>
        <v>0</v>
      </c>
    </row>
    <row r="56" spans="1:26" x14ac:dyDescent="0.25">
      <c r="A56" s="9"/>
      <c r="B56" s="10"/>
      <c r="C56" s="10"/>
      <c r="D56" s="3"/>
      <c r="E56" s="3"/>
      <c r="F56" s="8"/>
      <c r="G56" s="3"/>
      <c r="H56" s="3"/>
      <c r="I56" s="3"/>
      <c r="J56" s="8"/>
      <c r="K56" s="3"/>
      <c r="L56" s="3"/>
      <c r="M56" s="3"/>
      <c r="N56" s="8"/>
      <c r="O56" s="10"/>
      <c r="P56" s="3"/>
      <c r="Q56" s="3"/>
      <c r="R56" s="8"/>
      <c r="S56" s="3"/>
      <c r="T56" s="3"/>
      <c r="U56" s="3"/>
      <c r="V56" s="8"/>
      <c r="W56" s="3"/>
      <c r="X56" s="3"/>
      <c r="Y56" s="3"/>
      <c r="Z56" s="8"/>
    </row>
    <row r="57" spans="1:26" s="23" customFormat="1" x14ac:dyDescent="0.25">
      <c r="A57" s="10"/>
      <c r="B57" s="29" t="s">
        <v>6</v>
      </c>
      <c r="C57" s="29"/>
      <c r="D57" s="20">
        <f>D12-D40</f>
        <v>6093.3399999999965</v>
      </c>
      <c r="E57" s="14"/>
      <c r="F57" s="22">
        <f>IF(D$12=0,0,D57/D$12)</f>
        <v>6.3767421908627275E-2</v>
      </c>
      <c r="G57" s="14"/>
      <c r="H57" s="20">
        <f>H12-H40</f>
        <v>-26688</v>
      </c>
      <c r="I57" s="14"/>
      <c r="J57" s="22">
        <f>IF(H$12=0,0,H57/H$12)</f>
        <v>-0.17265293447883243</v>
      </c>
      <c r="K57" s="16"/>
      <c r="L57" s="20">
        <f>+D57-H57</f>
        <v>32781.339999999997</v>
      </c>
      <c r="M57" s="16"/>
      <c r="N57" s="22">
        <f>IF(H57=0,0,L57/H57)</f>
        <v>-1.2283175959232613</v>
      </c>
      <c r="O57" s="28"/>
      <c r="P57" s="20">
        <f>P12-P40</f>
        <v>315722.82000000123</v>
      </c>
      <c r="Q57" s="14"/>
      <c r="R57" s="22">
        <f>IF(P$12=0,0,P57/P$12)</f>
        <v>0.12952840438751323</v>
      </c>
      <c r="S57" s="14"/>
      <c r="T57" s="20">
        <f>T12-T40</f>
        <v>417157.00000000023</v>
      </c>
      <c r="U57" s="14"/>
      <c r="V57" s="22">
        <f>IF(T$12=0,0,T57/T$12)</f>
        <v>0.17007622010261897</v>
      </c>
      <c r="W57" s="16"/>
      <c r="X57" s="20">
        <f>+P57-T57</f>
        <v>-101434.179999999</v>
      </c>
      <c r="Y57" s="16"/>
      <c r="Z57" s="22">
        <f>IF(T57=0,0,X57/T57)</f>
        <v>-0.24315588615317241</v>
      </c>
    </row>
    <row r="58" spans="1:26" x14ac:dyDescent="0.25">
      <c r="A58" s="9"/>
      <c r="B58" s="10"/>
      <c r="C58" s="9"/>
      <c r="D58" s="1"/>
      <c r="E58" s="1"/>
      <c r="F58" s="5"/>
      <c r="G58" s="1"/>
      <c r="H58" s="1"/>
      <c r="I58" s="1"/>
      <c r="J58" s="5"/>
      <c r="K58" s="1"/>
      <c r="L58" s="1"/>
      <c r="M58" s="1"/>
      <c r="N58" s="5"/>
      <c r="O58" s="36"/>
      <c r="P58" s="1"/>
      <c r="Q58" s="1"/>
      <c r="R58" s="5"/>
      <c r="S58" s="1"/>
      <c r="T58" s="1"/>
      <c r="U58" s="1"/>
      <c r="V58" s="5"/>
      <c r="W58" s="1"/>
      <c r="X58" s="1"/>
      <c r="Y58" s="1"/>
      <c r="Z58" s="5"/>
    </row>
    <row r="59" spans="1:26" s="23" customFormat="1" x14ac:dyDescent="0.25">
      <c r="A59" s="10"/>
      <c r="B59" s="28" t="s">
        <v>9</v>
      </c>
      <c r="C59" s="10"/>
      <c r="D59" s="21">
        <f>SUM(OSRRefD22x_0)</f>
        <v>12120.14</v>
      </c>
      <c r="E59" s="21"/>
      <c r="F59" s="30">
        <f t="shared" ref="F59:F70" si="14">IF(D$12=0,0,D59/D$12)</f>
        <v>0.12683849595979055</v>
      </c>
      <c r="G59" s="21"/>
      <c r="H59" s="21">
        <f>SUM(OSRRefH22x_0)</f>
        <v>17264.772130916921</v>
      </c>
      <c r="I59" s="21"/>
      <c r="J59" s="30">
        <f t="shared" ref="J59:J70" si="15">IF(H$12=0,0,H59/H$12)</f>
        <v>0.11169115600686343</v>
      </c>
      <c r="K59" s="4"/>
      <c r="L59" s="21">
        <f t="shared" ref="L59:L70" si="16">+D59-H59</f>
        <v>-5144.6321309169216</v>
      </c>
      <c r="M59" s="4"/>
      <c r="N59" s="30">
        <f t="shared" ref="N59:N70" si="17">IF(H59=0,0,L59/H59)</f>
        <v>-0.29798436329803407</v>
      </c>
      <c r="O59" s="10"/>
      <c r="P59" s="21">
        <f>SUM(OSRRefP22x_0)</f>
        <v>210123.29000000007</v>
      </c>
      <c r="Q59" s="21"/>
      <c r="R59" s="30">
        <f t="shared" ref="R59:R70" si="18">IF(P$12=0,0,P59/P$12)</f>
        <v>8.6205154503417314E-2</v>
      </c>
      <c r="S59" s="21"/>
      <c r="T59" s="21">
        <f>SUM(OSRRefT22x_0)</f>
        <v>185968.75657070306</v>
      </c>
      <c r="U59" s="21"/>
      <c r="V59" s="30">
        <f t="shared" ref="V59:V70" si="19">IF(T$12=0,0,T59/T$12)</f>
        <v>7.5820046588524814E-2</v>
      </c>
      <c r="W59" s="4"/>
      <c r="X59" s="21">
        <f t="shared" ref="X59:X70" si="20">+P59-T59</f>
        <v>24154.533429297007</v>
      </c>
      <c r="Y59" s="4"/>
      <c r="Z59" s="30">
        <f t="shared" ref="Z59:Z70" si="21">IF(T59=0,0,X59/T59)</f>
        <v>0.12988490042473208</v>
      </c>
    </row>
    <row r="60" spans="1:26" s="27" customFormat="1" outlineLevel="1" collapsed="1" x14ac:dyDescent="0.25">
      <c r="A60" s="25"/>
      <c r="B60" s="12" t="str">
        <f>CONCATENATE("     ","*Benefits                                         ")</f>
        <v xml:space="preserve">     *Benefits                                         </v>
      </c>
      <c r="C60" s="12"/>
      <c r="D60" s="1">
        <f>SUM(OSRRefD22_0x_0)</f>
        <v>2481.5900000000006</v>
      </c>
      <c r="E60" s="1"/>
      <c r="F60" s="5">
        <f t="shared" si="14"/>
        <v>2.5970091367662151E-2</v>
      </c>
      <c r="G60" s="1"/>
      <c r="H60" s="1">
        <f>SUM(OSRRefH22_0x_0)</f>
        <v>2453.7272401476916</v>
      </c>
      <c r="I60" s="1"/>
      <c r="J60" s="5">
        <f t="shared" si="15"/>
        <v>1.5873921178887355E-2</v>
      </c>
      <c r="K60" s="1"/>
      <c r="L60" s="1">
        <f t="shared" si="16"/>
        <v>27.862759852308955</v>
      </c>
      <c r="M60" s="1"/>
      <c r="N60" s="5">
        <f t="shared" si="17"/>
        <v>1.1355279998697766E-2</v>
      </c>
      <c r="O60" s="12"/>
      <c r="P60" s="1">
        <f>SUM(OSRRefP22_0x_0)</f>
        <v>26890.37</v>
      </c>
      <c r="Q60" s="1"/>
      <c r="R60" s="5">
        <f t="shared" si="18"/>
        <v>1.1032039811027407E-2</v>
      </c>
      <c r="S60" s="1"/>
      <c r="T60" s="1">
        <f>SUM(OSRRefT22_0x_0)</f>
        <v>28397.404381472305</v>
      </c>
      <c r="U60" s="1"/>
      <c r="V60" s="5">
        <f t="shared" si="19"/>
        <v>1.1577711024689404E-2</v>
      </c>
      <c r="W60" s="1"/>
      <c r="X60" s="1">
        <f t="shared" si="20"/>
        <v>-1507.0343814723055</v>
      </c>
      <c r="Y60" s="1"/>
      <c r="Z60" s="5">
        <f t="shared" si="21"/>
        <v>-5.306944117947484E-2</v>
      </c>
    </row>
    <row r="61" spans="1:26" s="24" customFormat="1" hidden="1" outlineLevel="2" x14ac:dyDescent="0.25">
      <c r="A61" s="26"/>
      <c r="B61" s="11" t="str">
        <f>CONCATENATE("          ", "6111", " - ", "F.I.C.A.")</f>
        <v xml:space="preserve">          6111 - F.I.C.A.</v>
      </c>
      <c r="C61" s="11"/>
      <c r="D61" s="7">
        <v>411.12</v>
      </c>
      <c r="E61" s="2"/>
      <c r="F61" s="6">
        <f t="shared" si="14"/>
        <v>4.3024125512567592E-3</v>
      </c>
      <c r="G61" s="2"/>
      <c r="H61" s="7">
        <v>368.84942751692296</v>
      </c>
      <c r="I61" s="2"/>
      <c r="J61" s="6">
        <f t="shared" si="15"/>
        <v>2.3862011406487614E-3</v>
      </c>
      <c r="K61" s="2"/>
      <c r="L61" s="7">
        <f t="shared" si="16"/>
        <v>42.270572483077046</v>
      </c>
      <c r="M61" s="2"/>
      <c r="N61" s="6">
        <f t="shared" si="17"/>
        <v>0.11460116060811198</v>
      </c>
      <c r="O61" s="11"/>
      <c r="P61" s="7">
        <v>7614.51</v>
      </c>
      <c r="Q61" s="2"/>
      <c r="R61" s="6">
        <f t="shared" si="18"/>
        <v>3.1239279140252182E-3</v>
      </c>
      <c r="S61" s="2"/>
      <c r="T61" s="7">
        <v>5087.509523303077</v>
      </c>
      <c r="U61" s="2"/>
      <c r="V61" s="6">
        <f t="shared" si="19"/>
        <v>2.074193623646406E-3</v>
      </c>
      <c r="W61" s="2"/>
      <c r="X61" s="7">
        <f t="shared" si="20"/>
        <v>2527.0004766969232</v>
      </c>
      <c r="Y61" s="2"/>
      <c r="Z61" s="6">
        <f t="shared" si="21"/>
        <v>0.4967067806206803</v>
      </c>
    </row>
    <row r="62" spans="1:26" s="24" customFormat="1" hidden="1" outlineLevel="2" x14ac:dyDescent="0.25">
      <c r="A62" s="26"/>
      <c r="B62" s="11" t="str">
        <f>CONCATENATE("          ", "6112", " - ", "COMPENSATION INSURANCE")</f>
        <v xml:space="preserve">          6112 - COMPENSATION INSURANCE</v>
      </c>
      <c r="C62" s="11"/>
      <c r="D62" s="7">
        <v>78.989999999999995</v>
      </c>
      <c r="E62" s="2"/>
      <c r="F62" s="6">
        <f t="shared" si="14"/>
        <v>8.2663837182275584E-4</v>
      </c>
      <c r="G62" s="2"/>
      <c r="H62" s="7">
        <v>215.45153696153801</v>
      </c>
      <c r="I62" s="2"/>
      <c r="J62" s="6">
        <f t="shared" si="15"/>
        <v>1.3938226953830997E-3</v>
      </c>
      <c r="K62" s="2"/>
      <c r="L62" s="7">
        <f t="shared" si="16"/>
        <v>-136.461536961538</v>
      </c>
      <c r="M62" s="2"/>
      <c r="N62" s="6">
        <f t="shared" si="17"/>
        <v>-0.63337462747317907</v>
      </c>
      <c r="O62" s="11"/>
      <c r="P62" s="7">
        <v>1995.7</v>
      </c>
      <c r="Q62" s="2"/>
      <c r="R62" s="6">
        <f t="shared" si="18"/>
        <v>8.1875563076548954E-4</v>
      </c>
      <c r="S62" s="2"/>
      <c r="T62" s="7">
        <v>2273.5109000384582</v>
      </c>
      <c r="U62" s="2"/>
      <c r="V62" s="6">
        <f t="shared" si="19"/>
        <v>9.2691754001645416E-4</v>
      </c>
      <c r="W62" s="2"/>
      <c r="X62" s="7">
        <f t="shared" si="20"/>
        <v>-277.81090003845816</v>
      </c>
      <c r="Y62" s="2"/>
      <c r="Z62" s="6">
        <f t="shared" si="21"/>
        <v>-0.12219466378355995</v>
      </c>
    </row>
    <row r="63" spans="1:26" s="24" customFormat="1" hidden="1" outlineLevel="2" x14ac:dyDescent="0.25">
      <c r="A63" s="26"/>
      <c r="B63" s="11" t="str">
        <f>CONCATENATE("          ", "6113", " - ", "GROUP INSURANCE")</f>
        <v xml:space="preserve">          6113 - GROUP INSURANCE</v>
      </c>
      <c r="C63" s="11"/>
      <c r="D63" s="7">
        <v>1035.69</v>
      </c>
      <c r="E63" s="2"/>
      <c r="F63" s="6">
        <f t="shared" si="14"/>
        <v>1.0838601029410181E-2</v>
      </c>
      <c r="G63" s="2"/>
      <c r="H63" s="7">
        <v>1186.2</v>
      </c>
      <c r="I63" s="2"/>
      <c r="J63" s="6">
        <f t="shared" si="15"/>
        <v>7.6738950419211263E-3</v>
      </c>
      <c r="K63" s="2"/>
      <c r="L63" s="7">
        <f t="shared" si="16"/>
        <v>-150.51</v>
      </c>
      <c r="M63" s="2"/>
      <c r="N63" s="6">
        <f t="shared" si="17"/>
        <v>-0.12688416793120888</v>
      </c>
      <c r="O63" s="11"/>
      <c r="P63" s="7">
        <v>12591.69</v>
      </c>
      <c r="Q63" s="2"/>
      <c r="R63" s="6">
        <f t="shared" si="18"/>
        <v>5.1658651542584094E-3</v>
      </c>
      <c r="S63" s="2"/>
      <c r="T63" s="7">
        <v>13048.2</v>
      </c>
      <c r="U63" s="2"/>
      <c r="V63" s="6">
        <f t="shared" si="19"/>
        <v>5.319792152937603E-3</v>
      </c>
      <c r="W63" s="2"/>
      <c r="X63" s="7">
        <f t="shared" si="20"/>
        <v>-456.51000000000022</v>
      </c>
      <c r="Y63" s="2"/>
      <c r="Z63" s="6">
        <f t="shared" si="21"/>
        <v>-3.4986434910562393E-2</v>
      </c>
    </row>
    <row r="64" spans="1:26" s="24" customFormat="1" hidden="1" outlineLevel="2" x14ac:dyDescent="0.25">
      <c r="A64" s="26"/>
      <c r="B64" s="11" t="str">
        <f>CONCATENATE("          ", "6114", " - ", "STATE UNEMPLOYMENT INSURANCE")</f>
        <v xml:space="preserve">          6114 - STATE UNEMPLOYMENT INSURANCE</v>
      </c>
      <c r="C64" s="11"/>
      <c r="D64" s="7">
        <v>19.559999999999999</v>
      </c>
      <c r="E64" s="2"/>
      <c r="F64" s="6">
        <f t="shared" si="14"/>
        <v>2.0469738641414235E-4</v>
      </c>
      <c r="G64" s="2"/>
      <c r="H64" s="7">
        <v>29.4828419</v>
      </c>
      <c r="I64" s="2"/>
      <c r="J64" s="6">
        <f t="shared" si="15"/>
        <v>1.9073363199979297E-4</v>
      </c>
      <c r="K64" s="2"/>
      <c r="L64" s="7">
        <f t="shared" si="16"/>
        <v>-9.9228419000000017</v>
      </c>
      <c r="M64" s="2"/>
      <c r="N64" s="6">
        <f t="shared" si="17"/>
        <v>-0.33656327750412696</v>
      </c>
      <c r="O64" s="11"/>
      <c r="P64" s="7">
        <v>322.33</v>
      </c>
      <c r="Q64" s="2"/>
      <c r="R64" s="6">
        <f t="shared" si="18"/>
        <v>1.3223906522254861E-4</v>
      </c>
      <c r="S64" s="2"/>
      <c r="T64" s="7">
        <v>311.11201790000001</v>
      </c>
      <c r="U64" s="2"/>
      <c r="V64" s="6">
        <f t="shared" si="19"/>
        <v>1.2684134758119919E-4</v>
      </c>
      <c r="W64" s="2"/>
      <c r="X64" s="7">
        <f t="shared" si="20"/>
        <v>11.217982099999972</v>
      </c>
      <c r="Y64" s="2"/>
      <c r="Z64" s="6">
        <f t="shared" si="21"/>
        <v>3.605769451055324E-2</v>
      </c>
    </row>
    <row r="65" spans="1:26" s="24" customFormat="1" hidden="1" outlineLevel="2" x14ac:dyDescent="0.25">
      <c r="A65" s="26"/>
      <c r="B65" s="11" t="str">
        <f>CONCATENATE("          ", "6115", " - ", "P.E.R.S.")</f>
        <v xml:space="preserve">          6115 - P.E.R.S.</v>
      </c>
      <c r="C65" s="11"/>
      <c r="D65" s="7">
        <v>159.41999999999999</v>
      </c>
      <c r="E65" s="2"/>
      <c r="F65" s="6">
        <f t="shared" si="14"/>
        <v>1.6683464898845897E-3</v>
      </c>
      <c r="G65" s="2"/>
      <c r="H65" s="7">
        <v>294.022912615385</v>
      </c>
      <c r="I65" s="2"/>
      <c r="J65" s="6">
        <f t="shared" si="15"/>
        <v>1.9021252498148808E-3</v>
      </c>
      <c r="K65" s="2"/>
      <c r="L65" s="7">
        <f t="shared" si="16"/>
        <v>-134.60291261538501</v>
      </c>
      <c r="M65" s="2"/>
      <c r="N65" s="6">
        <f t="shared" si="17"/>
        <v>-0.45779735809726074</v>
      </c>
      <c r="O65" s="11"/>
      <c r="P65" s="7">
        <v>2648.28</v>
      </c>
      <c r="Q65" s="2"/>
      <c r="R65" s="6">
        <f t="shared" si="18"/>
        <v>1.0864830194135546E-3</v>
      </c>
      <c r="S65" s="2"/>
      <c r="T65" s="7">
        <v>3528.2749513846188</v>
      </c>
      <c r="U65" s="2"/>
      <c r="V65" s="6">
        <f t="shared" si="19"/>
        <v>1.438488787708818E-3</v>
      </c>
      <c r="W65" s="2"/>
      <c r="X65" s="7">
        <f t="shared" si="20"/>
        <v>-879.99495138461862</v>
      </c>
      <c r="Y65" s="2"/>
      <c r="Z65" s="6">
        <f t="shared" si="21"/>
        <v>-0.2494122378527438</v>
      </c>
    </row>
    <row r="66" spans="1:26" s="24" customFormat="1" hidden="1" outlineLevel="2" x14ac:dyDescent="0.25">
      <c r="A66" s="26"/>
      <c r="B66" s="11" t="str">
        <f>CONCATENATE("          ", "6116", " - ", "EDUCATIONAL BENEFITS")</f>
        <v xml:space="preserve">          6116 - EDUCATIONAL BENEFITS</v>
      </c>
      <c r="C66" s="11"/>
      <c r="D66" s="7"/>
      <c r="E66" s="2"/>
      <c r="F66" s="6">
        <f t="shared" si="14"/>
        <v>0</v>
      </c>
      <c r="G66" s="2"/>
      <c r="H66" s="7">
        <v>0</v>
      </c>
      <c r="I66" s="2"/>
      <c r="J66" s="6">
        <f t="shared" si="15"/>
        <v>0</v>
      </c>
      <c r="K66" s="2"/>
      <c r="L66" s="7">
        <f t="shared" si="16"/>
        <v>0</v>
      </c>
      <c r="M66" s="2"/>
      <c r="N66" s="6">
        <f t="shared" si="17"/>
        <v>0</v>
      </c>
      <c r="O66" s="11"/>
      <c r="P66" s="7"/>
      <c r="Q66" s="2"/>
      <c r="R66" s="6">
        <f t="shared" si="18"/>
        <v>0</v>
      </c>
      <c r="S66" s="2"/>
      <c r="T66" s="7">
        <v>0</v>
      </c>
      <c r="U66" s="2"/>
      <c r="V66" s="6">
        <f t="shared" si="19"/>
        <v>0</v>
      </c>
      <c r="W66" s="2"/>
      <c r="X66" s="7">
        <f t="shared" si="20"/>
        <v>0</v>
      </c>
      <c r="Y66" s="2"/>
      <c r="Z66" s="6">
        <f t="shared" si="21"/>
        <v>0</v>
      </c>
    </row>
    <row r="67" spans="1:26" s="24" customFormat="1" hidden="1" outlineLevel="2" x14ac:dyDescent="0.25">
      <c r="A67" s="26"/>
      <c r="B67" s="11" t="str">
        <f>CONCATENATE("          ", "6117", " - ", "RETIREMENT STAFF HOURLY")</f>
        <v xml:space="preserve">          6117 - RETIREMENT STAFF HOURLY</v>
      </c>
      <c r="C67" s="11"/>
      <c r="D67" s="7">
        <v>130.25</v>
      </c>
      <c r="E67" s="2"/>
      <c r="F67" s="6">
        <f t="shared" si="14"/>
        <v>1.3630794775277117E-3</v>
      </c>
      <c r="G67" s="2"/>
      <c r="H67" s="7"/>
      <c r="I67" s="2"/>
      <c r="J67" s="6">
        <f t="shared" si="15"/>
        <v>0</v>
      </c>
      <c r="K67" s="2"/>
      <c r="L67" s="7">
        <f t="shared" si="16"/>
        <v>130.25</v>
      </c>
      <c r="M67" s="2"/>
      <c r="N67" s="6">
        <f t="shared" si="17"/>
        <v>0</v>
      </c>
      <c r="O67" s="11"/>
      <c r="P67" s="7">
        <v>1904.04</v>
      </c>
      <c r="Q67" s="2"/>
      <c r="R67" s="6">
        <f t="shared" si="18"/>
        <v>7.8115121070437582E-4</v>
      </c>
      <c r="S67" s="2"/>
      <c r="T67" s="7"/>
      <c r="U67" s="2"/>
      <c r="V67" s="6">
        <f t="shared" si="19"/>
        <v>0</v>
      </c>
      <c r="W67" s="2"/>
      <c r="X67" s="7">
        <f t="shared" si="20"/>
        <v>1904.04</v>
      </c>
      <c r="Y67" s="2"/>
      <c r="Z67" s="6">
        <f t="shared" si="21"/>
        <v>0</v>
      </c>
    </row>
    <row r="68" spans="1:26" s="24" customFormat="1" hidden="1" outlineLevel="2" x14ac:dyDescent="0.25">
      <c r="A68" s="26"/>
      <c r="B68" s="11" t="str">
        <f>CONCATENATE("          ", "6118", " - ", "VACATION")</f>
        <v xml:space="preserve">          6118 - VACATION</v>
      </c>
      <c r="C68" s="11"/>
      <c r="D68" s="7">
        <v>257.8</v>
      </c>
      <c r="E68" s="2"/>
      <c r="F68" s="6">
        <f t="shared" si="14"/>
        <v>2.6979031808571524E-3</v>
      </c>
      <c r="G68" s="2"/>
      <c r="H68" s="7">
        <v>170.943553846154</v>
      </c>
      <c r="I68" s="2"/>
      <c r="J68" s="6">
        <f t="shared" si="15"/>
        <v>1.105886773148186E-3</v>
      </c>
      <c r="K68" s="2"/>
      <c r="L68" s="7">
        <f t="shared" si="16"/>
        <v>86.856446153846008</v>
      </c>
      <c r="M68" s="2"/>
      <c r="N68" s="6">
        <f t="shared" si="17"/>
        <v>0.50810015469793723</v>
      </c>
      <c r="O68" s="11"/>
      <c r="P68" s="7">
        <v>3045.35</v>
      </c>
      <c r="Q68" s="2"/>
      <c r="R68" s="6">
        <f t="shared" si="18"/>
        <v>1.2493849076272404E-3</v>
      </c>
      <c r="S68" s="2"/>
      <c r="T68" s="7">
        <v>2051.3226461538461</v>
      </c>
      <c r="U68" s="2"/>
      <c r="V68" s="6">
        <f t="shared" si="19"/>
        <v>8.3633069052838169E-4</v>
      </c>
      <c r="W68" s="2"/>
      <c r="X68" s="7">
        <f t="shared" si="20"/>
        <v>994.0273538461538</v>
      </c>
      <c r="Y68" s="2"/>
      <c r="Z68" s="6">
        <f t="shared" si="21"/>
        <v>0.48457874518663274</v>
      </c>
    </row>
    <row r="69" spans="1:26" s="24" customFormat="1" hidden="1" outlineLevel="2" x14ac:dyDescent="0.25">
      <c r="A69" s="26"/>
      <c r="B69" s="11" t="str">
        <f>CONCATENATE("          ", "6119", " - ", "SICK LEAVE")</f>
        <v xml:space="preserve">          6119 - SICK LEAVE</v>
      </c>
      <c r="C69" s="11"/>
      <c r="D69" s="7">
        <v>256.57</v>
      </c>
      <c r="E69" s="2"/>
      <c r="F69" s="6">
        <f t="shared" si="14"/>
        <v>2.6850311059446064E-3</v>
      </c>
      <c r="G69" s="2"/>
      <c r="H69" s="7">
        <v>188.77696730769202</v>
      </c>
      <c r="I69" s="2"/>
      <c r="J69" s="6">
        <f t="shared" si="15"/>
        <v>1.2212566459715093E-3</v>
      </c>
      <c r="K69" s="2"/>
      <c r="L69" s="7">
        <f t="shared" si="16"/>
        <v>67.793032692307975</v>
      </c>
      <c r="M69" s="2"/>
      <c r="N69" s="6">
        <f t="shared" si="17"/>
        <v>0.35911707693561218</v>
      </c>
      <c r="O69" s="11"/>
      <c r="P69" s="7">
        <v>-5090.13</v>
      </c>
      <c r="Q69" s="2"/>
      <c r="R69" s="6">
        <f t="shared" si="18"/>
        <v>-2.0882760930141511E-3</v>
      </c>
      <c r="S69" s="2"/>
      <c r="T69" s="7">
        <v>2097.4743426923042</v>
      </c>
      <c r="U69" s="2"/>
      <c r="V69" s="6">
        <f t="shared" si="19"/>
        <v>8.5514688227054123E-4</v>
      </c>
      <c r="W69" s="2"/>
      <c r="X69" s="7">
        <f t="shared" si="20"/>
        <v>-7187.6043426923043</v>
      </c>
      <c r="Y69" s="2"/>
      <c r="Z69" s="6">
        <f t="shared" si="21"/>
        <v>-3.4267901143745783</v>
      </c>
    </row>
    <row r="70" spans="1:26" s="24" customFormat="1" hidden="1" outlineLevel="2" x14ac:dyDescent="0.25">
      <c r="A70" s="26"/>
      <c r="B70" s="11" t="str">
        <f>CONCATENATE("          ", "6156", " - ", "EMPLOYEE MEALS")</f>
        <v xml:space="preserve">          6156 - EMPLOYEE MEALS</v>
      </c>
      <c r="C70" s="11"/>
      <c r="D70" s="7">
        <v>132.19</v>
      </c>
      <c r="E70" s="2"/>
      <c r="F70" s="6">
        <f t="shared" si="14"/>
        <v>1.3833817745442475E-3</v>
      </c>
      <c r="G70" s="2"/>
      <c r="H70" s="7"/>
      <c r="I70" s="2"/>
      <c r="J70" s="6">
        <f t="shared" si="15"/>
        <v>0</v>
      </c>
      <c r="K70" s="2"/>
      <c r="L70" s="7">
        <f t="shared" si="16"/>
        <v>132.19</v>
      </c>
      <c r="M70" s="2"/>
      <c r="N70" s="6">
        <f t="shared" si="17"/>
        <v>0</v>
      </c>
      <c r="O70" s="11"/>
      <c r="P70" s="7">
        <v>1858.6</v>
      </c>
      <c r="Q70" s="2"/>
      <c r="R70" s="6">
        <f t="shared" si="18"/>
        <v>7.6250900202472259E-4</v>
      </c>
      <c r="S70" s="2"/>
      <c r="T70" s="7"/>
      <c r="U70" s="2"/>
      <c r="V70" s="6">
        <f t="shared" si="19"/>
        <v>0</v>
      </c>
      <c r="W70" s="2"/>
      <c r="X70" s="7">
        <f t="shared" si="20"/>
        <v>1858.6</v>
      </c>
      <c r="Y70" s="2"/>
      <c r="Z70" s="6">
        <f t="shared" si="21"/>
        <v>0</v>
      </c>
    </row>
    <row r="71" spans="1:26" s="27" customFormat="1" outlineLevel="1" collapsed="1" x14ac:dyDescent="0.25">
      <c r="A71" s="25"/>
      <c r="B71" s="12" t="str">
        <f>CONCATENATE("     ","*Payroll                                          ")</f>
        <v xml:space="preserve">     *Payroll                                          </v>
      </c>
      <c r="C71" s="12"/>
      <c r="D71" s="1">
        <f>SUM(OSRRefD22_1x_0)</f>
        <v>4569.1499999999996</v>
      </c>
      <c r="E71" s="1"/>
      <c r="F71" s="5">
        <f t="shared" ref="F71:F81" si="22">IF(D$12=0,0,D71/D$12)</f>
        <v>4.781661876964103E-2</v>
      </c>
      <c r="G71" s="1"/>
      <c r="H71" s="1">
        <f>SUM(OSRRefH22_1x_0)</f>
        <v>11066.04489076923</v>
      </c>
      <c r="I71" s="1"/>
      <c r="J71" s="5">
        <f t="shared" ref="J71:J81" si="23">IF(H$12=0,0,H71/H$12)</f>
        <v>7.1589670393652508E-2</v>
      </c>
      <c r="K71" s="1"/>
      <c r="L71" s="1">
        <f t="shared" ref="L71:L81" si="24">+D71-H71</f>
        <v>-6496.8948907692302</v>
      </c>
      <c r="M71" s="1"/>
      <c r="N71" s="5">
        <f t="shared" ref="N71:N81" si="25">IF(H71=0,0,L71/H71)</f>
        <v>-0.58710180149265723</v>
      </c>
      <c r="O71" s="12"/>
      <c r="P71" s="1">
        <f>SUM(OSRRefP22_1x_0)</f>
        <v>100791.28</v>
      </c>
      <c r="Q71" s="1"/>
      <c r="R71" s="5">
        <f t="shared" ref="R71:R81" si="26">IF(P$12=0,0,P71/P$12)</f>
        <v>4.135061784439599E-2</v>
      </c>
      <c r="S71" s="1"/>
      <c r="T71" s="1">
        <f>SUM(OSRRefT22_1x_0)</f>
        <v>116376.35218923076</v>
      </c>
      <c r="U71" s="1"/>
      <c r="V71" s="5">
        <f t="shared" ref="V71:V81" si="27">IF(T$12=0,0,T71/T$12)</f>
        <v>4.744700458023119E-2</v>
      </c>
      <c r="W71" s="1"/>
      <c r="X71" s="1">
        <f t="shared" ref="X71:X81" si="28">+P71-T71</f>
        <v>-15585.072189230763</v>
      </c>
      <c r="Y71" s="1"/>
      <c r="Z71" s="5">
        <f t="shared" ref="Z71:Z81" si="29">IF(T71=0,0,X71/T71)</f>
        <v>-0.1339195798463339</v>
      </c>
    </row>
    <row r="72" spans="1:26" s="24" customFormat="1" hidden="1" outlineLevel="2" x14ac:dyDescent="0.25">
      <c r="A72" s="26"/>
      <c r="B72" s="11" t="str">
        <f>CONCATENATE("          ", "6001", " - ", "ADMINISTRATIVE SALARIES")</f>
        <v xml:space="preserve">          6001 - ADMINISTRATIVE SALARIES</v>
      </c>
      <c r="C72" s="11"/>
      <c r="D72" s="7"/>
      <c r="E72" s="2"/>
      <c r="F72" s="6">
        <f t="shared" si="22"/>
        <v>0</v>
      </c>
      <c r="G72" s="2"/>
      <c r="H72" s="7">
        <v>3145.3613907692297</v>
      </c>
      <c r="I72" s="2"/>
      <c r="J72" s="6">
        <f t="shared" si="23"/>
        <v>2.0348316625926597E-2</v>
      </c>
      <c r="K72" s="2"/>
      <c r="L72" s="7">
        <f t="shared" si="24"/>
        <v>-3145.3613907692297</v>
      </c>
      <c r="M72" s="2"/>
      <c r="N72" s="6">
        <f t="shared" si="25"/>
        <v>-1</v>
      </c>
      <c r="O72" s="11"/>
      <c r="P72" s="7"/>
      <c r="Q72" s="2"/>
      <c r="R72" s="6">
        <f t="shared" si="26"/>
        <v>0</v>
      </c>
      <c r="S72" s="2"/>
      <c r="T72" s="7">
        <v>37744.336689230768</v>
      </c>
      <c r="U72" s="2"/>
      <c r="V72" s="6">
        <f t="shared" si="27"/>
        <v>1.5388484705722223E-2</v>
      </c>
      <c r="W72" s="2"/>
      <c r="X72" s="7">
        <f t="shared" si="28"/>
        <v>-37744.336689230768</v>
      </c>
      <c r="Y72" s="2"/>
      <c r="Z72" s="6">
        <f t="shared" si="29"/>
        <v>-1</v>
      </c>
    </row>
    <row r="73" spans="1:26" s="24" customFormat="1" hidden="1" outlineLevel="2" x14ac:dyDescent="0.25">
      <c r="A73" s="26"/>
      <c r="B73" s="11" t="str">
        <f>CONCATENATE("          ", "6002", " - ", "STAFF SALARIES")</f>
        <v xml:space="preserve">          6002 - STAFF SALARIES</v>
      </c>
      <c r="C73" s="11"/>
      <c r="D73" s="7">
        <v>1825.84</v>
      </c>
      <c r="E73" s="2"/>
      <c r="F73" s="6">
        <f t="shared" si="22"/>
        <v>1.9107601023026468E-2</v>
      </c>
      <c r="G73" s="2"/>
      <c r="H73" s="7">
        <v>0</v>
      </c>
      <c r="I73" s="2"/>
      <c r="J73" s="6">
        <f t="shared" si="23"/>
        <v>0</v>
      </c>
      <c r="K73" s="2"/>
      <c r="L73" s="7">
        <f t="shared" si="24"/>
        <v>1825.84</v>
      </c>
      <c r="M73" s="2"/>
      <c r="N73" s="6">
        <f t="shared" si="25"/>
        <v>0</v>
      </c>
      <c r="O73" s="11"/>
      <c r="P73" s="7">
        <v>34223.57</v>
      </c>
      <c r="Q73" s="2"/>
      <c r="R73" s="6">
        <f t="shared" si="26"/>
        <v>1.4040557519866156E-2</v>
      </c>
      <c r="S73" s="2"/>
      <c r="T73" s="7">
        <v>0</v>
      </c>
      <c r="U73" s="2"/>
      <c r="V73" s="6">
        <f t="shared" si="27"/>
        <v>0</v>
      </c>
      <c r="W73" s="2"/>
      <c r="X73" s="7">
        <f t="shared" si="28"/>
        <v>34223.57</v>
      </c>
      <c r="Y73" s="2"/>
      <c r="Z73" s="6">
        <f t="shared" si="29"/>
        <v>0</v>
      </c>
    </row>
    <row r="74" spans="1:26" s="24" customFormat="1" hidden="1" outlineLevel="2" x14ac:dyDescent="0.25">
      <c r="A74" s="26"/>
      <c r="B74" s="11" t="str">
        <f>CONCATENATE("          ", "6003", " - ", "STAFF HOURLY-9 MONTH")</f>
        <v xml:space="preserve">          6003 - STAFF HOURLY-9 MONTH</v>
      </c>
      <c r="C74" s="11"/>
      <c r="D74" s="7"/>
      <c r="E74" s="2"/>
      <c r="F74" s="6">
        <f t="shared" si="22"/>
        <v>0</v>
      </c>
      <c r="G74" s="2"/>
      <c r="H74" s="7">
        <v>0</v>
      </c>
      <c r="I74" s="2"/>
      <c r="J74" s="6">
        <f t="shared" si="23"/>
        <v>0</v>
      </c>
      <c r="K74" s="2"/>
      <c r="L74" s="7">
        <f t="shared" si="24"/>
        <v>0</v>
      </c>
      <c r="M74" s="2"/>
      <c r="N74" s="6">
        <f t="shared" si="25"/>
        <v>0</v>
      </c>
      <c r="O74" s="11"/>
      <c r="P74" s="7"/>
      <c r="Q74" s="2"/>
      <c r="R74" s="6">
        <f t="shared" si="26"/>
        <v>0</v>
      </c>
      <c r="S74" s="2"/>
      <c r="T74" s="7">
        <v>0</v>
      </c>
      <c r="U74" s="2"/>
      <c r="V74" s="6">
        <f t="shared" si="27"/>
        <v>0</v>
      </c>
      <c r="W74" s="2"/>
      <c r="X74" s="7">
        <f t="shared" si="28"/>
        <v>0</v>
      </c>
      <c r="Y74" s="2"/>
      <c r="Z74" s="6">
        <f t="shared" si="29"/>
        <v>0</v>
      </c>
    </row>
    <row r="75" spans="1:26" s="24" customFormat="1" hidden="1" outlineLevel="2" x14ac:dyDescent="0.25">
      <c r="A75" s="26"/>
      <c r="B75" s="11" t="str">
        <f>CONCATENATE("          ", "6004", " - ", "STAFF HOURLY")</f>
        <v xml:space="preserve">          6004 - STAFF HOURLY</v>
      </c>
      <c r="C75" s="11"/>
      <c r="D75" s="7">
        <v>2743.31</v>
      </c>
      <c r="E75" s="2"/>
      <c r="F75" s="6">
        <f t="shared" si="22"/>
        <v>2.8709017746614565E-2</v>
      </c>
      <c r="G75" s="2"/>
      <c r="H75" s="7">
        <v>1400.8</v>
      </c>
      <c r="I75" s="2"/>
      <c r="J75" s="6">
        <f t="shared" si="23"/>
        <v>9.0622088810682119E-3</v>
      </c>
      <c r="K75" s="2"/>
      <c r="L75" s="7">
        <f t="shared" si="24"/>
        <v>1342.51</v>
      </c>
      <c r="M75" s="2"/>
      <c r="N75" s="6">
        <f t="shared" si="25"/>
        <v>0.95838806396344944</v>
      </c>
      <c r="O75" s="11"/>
      <c r="P75" s="7">
        <v>8575.16</v>
      </c>
      <c r="Q75" s="2"/>
      <c r="R75" s="6">
        <f t="shared" si="26"/>
        <v>3.5180440620909935E-3</v>
      </c>
      <c r="S75" s="2"/>
      <c r="T75" s="7">
        <v>16072.12</v>
      </c>
      <c r="U75" s="2"/>
      <c r="V75" s="6">
        <f t="shared" si="27"/>
        <v>6.5526538416847925E-3</v>
      </c>
      <c r="W75" s="2"/>
      <c r="X75" s="7">
        <f t="shared" si="28"/>
        <v>-7496.9600000000009</v>
      </c>
      <c r="Y75" s="2"/>
      <c r="Z75" s="6">
        <f t="shared" si="29"/>
        <v>-0.46645744307533793</v>
      </c>
    </row>
    <row r="76" spans="1:26" s="24" customFormat="1" hidden="1" outlineLevel="2" x14ac:dyDescent="0.25">
      <c r="A76" s="26"/>
      <c r="B76" s="11" t="str">
        <f>CONCATENATE("          ", "6005", " - ", "TEMPORARY WAGES-HOURLY")</f>
        <v xml:space="preserve">          6005 - TEMPORARY WAGES-HOURLY</v>
      </c>
      <c r="C76" s="11"/>
      <c r="D76" s="7"/>
      <c r="E76" s="2"/>
      <c r="F76" s="6">
        <f t="shared" si="22"/>
        <v>0</v>
      </c>
      <c r="G76" s="2"/>
      <c r="H76" s="7">
        <v>0</v>
      </c>
      <c r="I76" s="2"/>
      <c r="J76" s="6">
        <f t="shared" si="23"/>
        <v>0</v>
      </c>
      <c r="K76" s="2"/>
      <c r="L76" s="7">
        <f t="shared" si="24"/>
        <v>0</v>
      </c>
      <c r="M76" s="2"/>
      <c r="N76" s="6">
        <f t="shared" si="25"/>
        <v>0</v>
      </c>
      <c r="O76" s="11"/>
      <c r="P76" s="7">
        <v>29960.57</v>
      </c>
      <c r="Q76" s="2"/>
      <c r="R76" s="6">
        <f t="shared" si="26"/>
        <v>1.2291619676526333E-2</v>
      </c>
      <c r="S76" s="2"/>
      <c r="T76" s="7">
        <v>0</v>
      </c>
      <c r="U76" s="2"/>
      <c r="V76" s="6">
        <f t="shared" si="27"/>
        <v>0</v>
      </c>
      <c r="W76" s="2"/>
      <c r="X76" s="7">
        <f t="shared" si="28"/>
        <v>29960.57</v>
      </c>
      <c r="Y76" s="2"/>
      <c r="Z76" s="6">
        <f t="shared" si="29"/>
        <v>0</v>
      </c>
    </row>
    <row r="77" spans="1:26" s="24" customFormat="1" hidden="1" outlineLevel="2" x14ac:dyDescent="0.25">
      <c r="A77" s="26"/>
      <c r="B77" s="11" t="str">
        <f>CONCATENATE("          ", "6006", " - ", "TEMPORARY PART TIME")</f>
        <v xml:space="preserve">          6006 - TEMPORARY PART TIME</v>
      </c>
      <c r="C77" s="11"/>
      <c r="D77" s="7"/>
      <c r="E77" s="2"/>
      <c r="F77" s="6">
        <f t="shared" si="22"/>
        <v>0</v>
      </c>
      <c r="G77" s="2"/>
      <c r="H77" s="7">
        <v>0</v>
      </c>
      <c r="I77" s="2"/>
      <c r="J77" s="6">
        <f t="shared" si="23"/>
        <v>0</v>
      </c>
      <c r="K77" s="2"/>
      <c r="L77" s="7">
        <f t="shared" si="24"/>
        <v>0</v>
      </c>
      <c r="M77" s="2"/>
      <c r="N77" s="6">
        <f t="shared" si="25"/>
        <v>0</v>
      </c>
      <c r="O77" s="11"/>
      <c r="P77" s="7">
        <v>9008.99</v>
      </c>
      <c r="Q77" s="2"/>
      <c r="R77" s="6">
        <f t="shared" si="26"/>
        <v>3.6960271032770394E-3</v>
      </c>
      <c r="S77" s="2"/>
      <c r="T77" s="7">
        <v>0</v>
      </c>
      <c r="U77" s="2"/>
      <c r="V77" s="6">
        <f t="shared" si="27"/>
        <v>0</v>
      </c>
      <c r="W77" s="2"/>
      <c r="X77" s="7">
        <f t="shared" si="28"/>
        <v>9008.99</v>
      </c>
      <c r="Y77" s="2"/>
      <c r="Z77" s="6">
        <f t="shared" si="29"/>
        <v>0</v>
      </c>
    </row>
    <row r="78" spans="1:26" s="24" customFormat="1" hidden="1" outlineLevel="2" x14ac:dyDescent="0.25">
      <c r="A78" s="26"/>
      <c r="B78" s="11" t="str">
        <f>CONCATENATE("          ", "6007", " - ", "STUDENT HOURLY")</f>
        <v xml:space="preserve">          6007 - STUDENT HOURLY</v>
      </c>
      <c r="C78" s="11"/>
      <c r="D78" s="7"/>
      <c r="E78" s="2"/>
      <c r="F78" s="6">
        <f t="shared" si="22"/>
        <v>0</v>
      </c>
      <c r="G78" s="2"/>
      <c r="H78" s="7">
        <v>0</v>
      </c>
      <c r="I78" s="2"/>
      <c r="J78" s="6">
        <f t="shared" si="23"/>
        <v>0</v>
      </c>
      <c r="K78" s="2"/>
      <c r="L78" s="7">
        <f t="shared" si="24"/>
        <v>0</v>
      </c>
      <c r="M78" s="2"/>
      <c r="N78" s="6">
        <f t="shared" si="25"/>
        <v>0</v>
      </c>
      <c r="O78" s="11"/>
      <c r="P78" s="7">
        <v>19022.990000000002</v>
      </c>
      <c r="Q78" s="2"/>
      <c r="R78" s="6">
        <f t="shared" si="26"/>
        <v>7.8043694826354674E-3</v>
      </c>
      <c r="S78" s="2"/>
      <c r="T78" s="7">
        <v>9378.75</v>
      </c>
      <c r="U78" s="2"/>
      <c r="V78" s="6">
        <f t="shared" si="27"/>
        <v>3.8237458541686628E-3</v>
      </c>
      <c r="W78" s="2"/>
      <c r="X78" s="7">
        <f t="shared" si="28"/>
        <v>9644.2400000000016</v>
      </c>
      <c r="Y78" s="2"/>
      <c r="Z78" s="6">
        <f t="shared" si="29"/>
        <v>1.0283076102892179</v>
      </c>
    </row>
    <row r="79" spans="1:26" s="24" customFormat="1" hidden="1" outlineLevel="2" x14ac:dyDescent="0.25">
      <c r="A79" s="26"/>
      <c r="B79" s="11" t="str">
        <f>CONCATENATE("          ", "6008", " - ", "STUDENT HOURLY-FICA EXEMPT")</f>
        <v xml:space="preserve">          6008 - STUDENT HOURLY-FICA EXEMPT</v>
      </c>
      <c r="C79" s="11"/>
      <c r="D79" s="7"/>
      <c r="E79" s="2"/>
      <c r="F79" s="6">
        <f t="shared" si="22"/>
        <v>0</v>
      </c>
      <c r="G79" s="2"/>
      <c r="H79" s="7">
        <v>6519.8835000000008</v>
      </c>
      <c r="I79" s="2"/>
      <c r="J79" s="6">
        <f t="shared" si="23"/>
        <v>4.21791448866577E-2</v>
      </c>
      <c r="K79" s="2"/>
      <c r="L79" s="7">
        <f t="shared" si="24"/>
        <v>-6519.8835000000008</v>
      </c>
      <c r="M79" s="2"/>
      <c r="N79" s="6">
        <f t="shared" si="25"/>
        <v>-1</v>
      </c>
      <c r="O79" s="11"/>
      <c r="P79" s="7"/>
      <c r="Q79" s="2"/>
      <c r="R79" s="6">
        <f t="shared" si="26"/>
        <v>0</v>
      </c>
      <c r="S79" s="2"/>
      <c r="T79" s="7">
        <v>53181.145499999999</v>
      </c>
      <c r="U79" s="2"/>
      <c r="V79" s="6">
        <f t="shared" si="27"/>
        <v>2.1682120178655517E-2</v>
      </c>
      <c r="W79" s="2"/>
      <c r="X79" s="7">
        <f t="shared" si="28"/>
        <v>-53181.145499999999</v>
      </c>
      <c r="Y79" s="2"/>
      <c r="Z79" s="6">
        <f t="shared" si="29"/>
        <v>-1</v>
      </c>
    </row>
    <row r="80" spans="1:26" s="24" customFormat="1" hidden="1" outlineLevel="2" x14ac:dyDescent="0.25">
      <c r="A80" s="26"/>
      <c r="B80" s="11" t="str">
        <f>CONCATENATE("          ", "6009", " - ", "TEMPORARY-SEASONAL")</f>
        <v xml:space="preserve">          6009 - TEMPORARY-SEASONAL</v>
      </c>
      <c r="C80" s="11"/>
      <c r="D80" s="7"/>
      <c r="E80" s="2"/>
      <c r="F80" s="6">
        <f t="shared" si="22"/>
        <v>0</v>
      </c>
      <c r="G80" s="2"/>
      <c r="H80" s="7">
        <v>0</v>
      </c>
      <c r="I80" s="2"/>
      <c r="J80" s="6">
        <f t="shared" si="23"/>
        <v>0</v>
      </c>
      <c r="K80" s="2"/>
      <c r="L80" s="7">
        <f t="shared" si="24"/>
        <v>0</v>
      </c>
      <c r="M80" s="2"/>
      <c r="N80" s="6">
        <f t="shared" si="25"/>
        <v>0</v>
      </c>
      <c r="O80" s="11"/>
      <c r="P80" s="7"/>
      <c r="Q80" s="2"/>
      <c r="R80" s="6">
        <f t="shared" si="26"/>
        <v>0</v>
      </c>
      <c r="S80" s="2"/>
      <c r="T80" s="7">
        <v>0</v>
      </c>
      <c r="U80" s="2"/>
      <c r="V80" s="6">
        <f t="shared" si="27"/>
        <v>0</v>
      </c>
      <c r="W80" s="2"/>
      <c r="X80" s="7">
        <f t="shared" si="28"/>
        <v>0</v>
      </c>
      <c r="Y80" s="2"/>
      <c r="Z80" s="6">
        <f t="shared" si="29"/>
        <v>0</v>
      </c>
    </row>
    <row r="81" spans="1:26" s="24" customFormat="1" hidden="1" outlineLevel="2" x14ac:dyDescent="0.25">
      <c r="A81" s="26"/>
      <c r="B81" s="11" t="str">
        <f>CONCATENATE("          ", "6010", " - ", "GRATUITY")</f>
        <v xml:space="preserve">          6010 - GRATUITY</v>
      </c>
      <c r="C81" s="11"/>
      <c r="D81" s="7"/>
      <c r="E81" s="2"/>
      <c r="F81" s="6">
        <f t="shared" si="22"/>
        <v>0</v>
      </c>
      <c r="G81" s="2"/>
      <c r="H81" s="7">
        <v>0</v>
      </c>
      <c r="I81" s="2"/>
      <c r="J81" s="6">
        <f t="shared" si="23"/>
        <v>0</v>
      </c>
      <c r="K81" s="2"/>
      <c r="L81" s="7">
        <f t="shared" si="24"/>
        <v>0</v>
      </c>
      <c r="M81" s="2"/>
      <c r="N81" s="6">
        <f t="shared" si="25"/>
        <v>0</v>
      </c>
      <c r="O81" s="11"/>
      <c r="P81" s="7"/>
      <c r="Q81" s="2"/>
      <c r="R81" s="6">
        <f t="shared" si="26"/>
        <v>0</v>
      </c>
      <c r="S81" s="2"/>
      <c r="T81" s="7">
        <v>0</v>
      </c>
      <c r="U81" s="2"/>
      <c r="V81" s="6">
        <f t="shared" si="27"/>
        <v>0</v>
      </c>
      <c r="W81" s="2"/>
      <c r="X81" s="7">
        <f t="shared" si="28"/>
        <v>0</v>
      </c>
      <c r="Y81" s="2"/>
      <c r="Z81" s="6">
        <f t="shared" si="29"/>
        <v>0</v>
      </c>
    </row>
    <row r="82" spans="1:26" s="27" customFormat="1" outlineLevel="1" collapsed="1" x14ac:dyDescent="0.25">
      <c r="A82" s="25"/>
      <c r="B82" s="12" t="str">
        <f>CONCATENATE("     ","Advertising/Promo                                 ")</f>
        <v xml:space="preserve">     Advertising/Promo                                 </v>
      </c>
      <c r="C82" s="12"/>
      <c r="D82" s="1">
        <f>SUM(OSRRefD22_2x_0)</f>
        <v>0</v>
      </c>
      <c r="E82" s="1"/>
      <c r="F82" s="5">
        <f t="shared" ref="F82:F100" si="30">IF(D$12=0,0,D82/D$12)</f>
        <v>0</v>
      </c>
      <c r="G82" s="1"/>
      <c r="H82" s="1">
        <f>SUM(OSRRefH22_2x_0)</f>
        <v>250</v>
      </c>
      <c r="I82" s="1"/>
      <c r="J82" s="5">
        <f t="shared" ref="J82:J100" si="31">IF(H$12=0,0,H82/H$12)</f>
        <v>1.6173273988199979E-3</v>
      </c>
      <c r="K82" s="1"/>
      <c r="L82" s="1">
        <f t="shared" ref="L82:L100" si="32">+D82-H82</f>
        <v>-250</v>
      </c>
      <c r="M82" s="1"/>
      <c r="N82" s="5">
        <f t="shared" ref="N82:N100" si="33">IF(H82=0,0,L82/H82)</f>
        <v>-1</v>
      </c>
      <c r="O82" s="12"/>
      <c r="P82" s="1">
        <f>SUM(OSRRefP22_2x_0)</f>
        <v>1745.92</v>
      </c>
      <c r="Q82" s="1"/>
      <c r="R82" s="5">
        <f t="shared" ref="R82:R100" si="34">IF(P$12=0,0,P82/P$12)</f>
        <v>7.1628091940977284E-4</v>
      </c>
      <c r="S82" s="1"/>
      <c r="T82" s="1">
        <f>SUM(OSRRefT22_2x_0)</f>
        <v>2750</v>
      </c>
      <c r="U82" s="1"/>
      <c r="V82" s="5">
        <f t="shared" ref="V82:V100" si="35">IF(T$12=0,0,T82/T$12)</f>
        <v>1.1211836437653017E-3</v>
      </c>
      <c r="W82" s="1"/>
      <c r="X82" s="1">
        <f t="shared" ref="X82:X100" si="36">+P82-T82</f>
        <v>-1004.0799999999999</v>
      </c>
      <c r="Y82" s="1"/>
      <c r="Z82" s="5">
        <f t="shared" ref="Z82:Z100" si="37">IF(T82=0,0,X82/T82)</f>
        <v>-0.36512</v>
      </c>
    </row>
    <row r="83" spans="1:26" s="24" customFormat="1" hidden="1" outlineLevel="2" x14ac:dyDescent="0.25">
      <c r="A83" s="26"/>
      <c r="B83" s="11" t="str">
        <f>CONCATENATE("          ", "6362", " - ", "ADVERTISING EXPENSE")</f>
        <v xml:space="preserve">          6362 - ADVERTISING EXPENSE</v>
      </c>
      <c r="C83" s="11"/>
      <c r="D83" s="7"/>
      <c r="E83" s="2"/>
      <c r="F83" s="6">
        <f t="shared" si="30"/>
        <v>0</v>
      </c>
      <c r="G83" s="2"/>
      <c r="H83" s="7">
        <v>250</v>
      </c>
      <c r="I83" s="2"/>
      <c r="J83" s="6">
        <f t="shared" si="31"/>
        <v>1.6173273988199979E-3</v>
      </c>
      <c r="K83" s="2"/>
      <c r="L83" s="7">
        <f t="shared" si="32"/>
        <v>-250</v>
      </c>
      <c r="M83" s="2"/>
      <c r="N83" s="6">
        <f t="shared" si="33"/>
        <v>-1</v>
      </c>
      <c r="O83" s="11"/>
      <c r="P83" s="7">
        <v>1745.92</v>
      </c>
      <c r="Q83" s="2"/>
      <c r="R83" s="6">
        <f t="shared" si="34"/>
        <v>7.1628091940977284E-4</v>
      </c>
      <c r="S83" s="2"/>
      <c r="T83" s="7">
        <v>2750</v>
      </c>
      <c r="U83" s="2"/>
      <c r="V83" s="6">
        <f t="shared" si="35"/>
        <v>1.1211836437653017E-3</v>
      </c>
      <c r="W83" s="2"/>
      <c r="X83" s="7">
        <f t="shared" si="36"/>
        <v>-1004.0799999999999</v>
      </c>
      <c r="Y83" s="2"/>
      <c r="Z83" s="6">
        <f t="shared" si="37"/>
        <v>-0.36512</v>
      </c>
    </row>
    <row r="84" spans="1:26" s="27" customFormat="1" outlineLevel="1" collapsed="1" x14ac:dyDescent="0.25">
      <c r="A84" s="25"/>
      <c r="B84" s="12" t="str">
        <f>CONCATENATE("     ","Depreciation                                      ")</f>
        <v xml:space="preserve">     Depreciation                                      </v>
      </c>
      <c r="C84" s="12"/>
      <c r="D84" s="1">
        <f>SUM(OSRRefD22_3x_0)</f>
        <v>280.44</v>
      </c>
      <c r="E84" s="1"/>
      <c r="F84" s="5">
        <f t="shared" si="30"/>
        <v>2.9348330800604339E-3</v>
      </c>
      <c r="G84" s="1"/>
      <c r="H84" s="1">
        <f>SUM(OSRRefH22_3x_0)</f>
        <v>0</v>
      </c>
      <c r="I84" s="1"/>
      <c r="J84" s="5">
        <f t="shared" si="31"/>
        <v>0</v>
      </c>
      <c r="K84" s="1"/>
      <c r="L84" s="1">
        <f t="shared" si="32"/>
        <v>280.44</v>
      </c>
      <c r="M84" s="1"/>
      <c r="N84" s="5">
        <f t="shared" si="33"/>
        <v>0</v>
      </c>
      <c r="O84" s="12"/>
      <c r="P84" s="1">
        <f>SUM(OSRRefP22_3x_0)</f>
        <v>3084.84</v>
      </c>
      <c r="Q84" s="1"/>
      <c r="R84" s="5">
        <f t="shared" si="34"/>
        <v>1.2655860700559267E-3</v>
      </c>
      <c r="S84" s="1"/>
      <c r="T84" s="1">
        <f>SUM(OSRRefT22_3x_0)</f>
        <v>0</v>
      </c>
      <c r="U84" s="1"/>
      <c r="V84" s="5">
        <f t="shared" si="35"/>
        <v>0</v>
      </c>
      <c r="W84" s="1"/>
      <c r="X84" s="1">
        <f t="shared" si="36"/>
        <v>3084.84</v>
      </c>
      <c r="Y84" s="1"/>
      <c r="Z84" s="5">
        <f t="shared" si="37"/>
        <v>0</v>
      </c>
    </row>
    <row r="85" spans="1:26" s="24" customFormat="1" hidden="1" outlineLevel="2" x14ac:dyDescent="0.25">
      <c r="A85" s="26"/>
      <c r="B85" s="11" t="str">
        <f>CONCATENATE("          ", "6322", " - ", "EQUIPMENT DEPRECIATION EXPENSE")</f>
        <v xml:space="preserve">          6322 - EQUIPMENT DEPRECIATION EXPENSE</v>
      </c>
      <c r="C85" s="11"/>
      <c r="D85" s="7">
        <v>280.44</v>
      </c>
      <c r="E85" s="2"/>
      <c r="F85" s="6">
        <f t="shared" si="30"/>
        <v>2.9348330800604339E-3</v>
      </c>
      <c r="G85" s="2"/>
      <c r="H85" s="7"/>
      <c r="I85" s="2"/>
      <c r="J85" s="6">
        <f t="shared" si="31"/>
        <v>0</v>
      </c>
      <c r="K85" s="2"/>
      <c r="L85" s="7">
        <f t="shared" si="32"/>
        <v>280.44</v>
      </c>
      <c r="M85" s="2"/>
      <c r="N85" s="6">
        <f t="shared" si="33"/>
        <v>0</v>
      </c>
      <c r="O85" s="11"/>
      <c r="P85" s="7">
        <v>3084.84</v>
      </c>
      <c r="Q85" s="2"/>
      <c r="R85" s="6">
        <f t="shared" si="34"/>
        <v>1.2655860700559267E-3</v>
      </c>
      <c r="S85" s="2"/>
      <c r="T85" s="7"/>
      <c r="U85" s="2"/>
      <c r="V85" s="6">
        <f t="shared" si="35"/>
        <v>0</v>
      </c>
      <c r="W85" s="2"/>
      <c r="X85" s="7">
        <f t="shared" si="36"/>
        <v>3084.84</v>
      </c>
      <c r="Y85" s="2"/>
      <c r="Z85" s="6">
        <f t="shared" si="37"/>
        <v>0</v>
      </c>
    </row>
    <row r="86" spans="1:26" s="27" customFormat="1" outlineLevel="1" collapsed="1" x14ac:dyDescent="0.25">
      <c r="A86" s="25"/>
      <c r="B86" s="12" t="str">
        <f>CONCATENATE("     ","Discounts and Markdowns                           ")</f>
        <v xml:space="preserve">     Discounts and Markdowns                           </v>
      </c>
      <c r="C86" s="12"/>
      <c r="D86" s="1">
        <f>SUM(OSRRefD22_4x_0)</f>
        <v>4596.96</v>
      </c>
      <c r="E86" s="1"/>
      <c r="F86" s="5">
        <f t="shared" si="30"/>
        <v>4.8107653243883226E-2</v>
      </c>
      <c r="G86" s="1"/>
      <c r="H86" s="1">
        <f>SUM(OSRRefH22_4x_0)</f>
        <v>2500</v>
      </c>
      <c r="I86" s="1"/>
      <c r="J86" s="5">
        <f t="shared" si="31"/>
        <v>1.6173273988199979E-2</v>
      </c>
      <c r="K86" s="1"/>
      <c r="L86" s="1">
        <f t="shared" si="32"/>
        <v>2096.96</v>
      </c>
      <c r="M86" s="1"/>
      <c r="N86" s="5">
        <f t="shared" si="33"/>
        <v>0.83878399999999997</v>
      </c>
      <c r="O86" s="12"/>
      <c r="P86" s="1">
        <f>SUM(OSRRefP22_4x_0)</f>
        <v>74357.2</v>
      </c>
      <c r="Q86" s="1"/>
      <c r="R86" s="5">
        <f t="shared" si="34"/>
        <v>3.0505775511327184E-2</v>
      </c>
      <c r="S86" s="1"/>
      <c r="T86" s="1">
        <f>SUM(OSRRefT22_4x_0)</f>
        <v>27500</v>
      </c>
      <c r="U86" s="1"/>
      <c r="V86" s="5">
        <f t="shared" si="35"/>
        <v>1.1211836437653016E-2</v>
      </c>
      <c r="W86" s="1"/>
      <c r="X86" s="1">
        <f t="shared" si="36"/>
        <v>46857.2</v>
      </c>
      <c r="Y86" s="1"/>
      <c r="Z86" s="5">
        <f t="shared" si="37"/>
        <v>1.7038981818181818</v>
      </c>
    </row>
    <row r="87" spans="1:26" s="24" customFormat="1" hidden="1" outlineLevel="2" x14ac:dyDescent="0.25">
      <c r="A87" s="26"/>
      <c r="B87" s="11" t="str">
        <f>CONCATENATE("          ", "6382", " - ", "DISCOUNTS/MARK DOWNS")</f>
        <v xml:space="preserve">          6382 - DISCOUNTS/MARK DOWNS</v>
      </c>
      <c r="C87" s="11"/>
      <c r="D87" s="7">
        <v>4596.96</v>
      </c>
      <c r="E87" s="2"/>
      <c r="F87" s="6">
        <f t="shared" si="30"/>
        <v>4.8107653243883226E-2</v>
      </c>
      <c r="G87" s="2"/>
      <c r="H87" s="7">
        <v>2500</v>
      </c>
      <c r="I87" s="2"/>
      <c r="J87" s="6">
        <f t="shared" si="31"/>
        <v>1.6173273988199979E-2</v>
      </c>
      <c r="K87" s="2"/>
      <c r="L87" s="7">
        <f t="shared" si="32"/>
        <v>2096.96</v>
      </c>
      <c r="M87" s="2"/>
      <c r="N87" s="6">
        <f t="shared" si="33"/>
        <v>0.83878399999999997</v>
      </c>
      <c r="O87" s="11"/>
      <c r="P87" s="7">
        <v>74357.2</v>
      </c>
      <c r="Q87" s="2"/>
      <c r="R87" s="6">
        <f t="shared" si="34"/>
        <v>3.0505775511327184E-2</v>
      </c>
      <c r="S87" s="2"/>
      <c r="T87" s="7">
        <v>27500</v>
      </c>
      <c r="U87" s="2"/>
      <c r="V87" s="6">
        <f t="shared" si="35"/>
        <v>1.1211836437653016E-2</v>
      </c>
      <c r="W87" s="2"/>
      <c r="X87" s="7">
        <f t="shared" si="36"/>
        <v>46857.2</v>
      </c>
      <c r="Y87" s="2"/>
      <c r="Z87" s="6">
        <f t="shared" si="37"/>
        <v>1.7038981818181818</v>
      </c>
    </row>
    <row r="88" spans="1:26" s="27" customFormat="1" outlineLevel="1" collapsed="1" x14ac:dyDescent="0.25">
      <c r="A88" s="25"/>
      <c r="B88" s="12" t="str">
        <f>CONCATENATE("     ","Employees' Appreciation                           ")</f>
        <v xml:space="preserve">     Employees' Appreciation                           </v>
      </c>
      <c r="C88" s="12"/>
      <c r="D88" s="1">
        <f>SUM(OSRRefD22_5x_0)</f>
        <v>0</v>
      </c>
      <c r="E88" s="1"/>
      <c r="F88" s="5">
        <f t="shared" si="30"/>
        <v>0</v>
      </c>
      <c r="G88" s="1"/>
      <c r="H88" s="1">
        <f>SUM(OSRRefH22_5x_0)</f>
        <v>40</v>
      </c>
      <c r="I88" s="1"/>
      <c r="J88" s="5">
        <f t="shared" si="31"/>
        <v>2.5877238381119967E-4</v>
      </c>
      <c r="K88" s="1"/>
      <c r="L88" s="1">
        <f t="shared" si="32"/>
        <v>-40</v>
      </c>
      <c r="M88" s="1"/>
      <c r="N88" s="5">
        <f t="shared" si="33"/>
        <v>-1</v>
      </c>
      <c r="O88" s="12"/>
      <c r="P88" s="1">
        <f>SUM(OSRRefP22_5x_0)</f>
        <v>0</v>
      </c>
      <c r="Q88" s="1"/>
      <c r="R88" s="5">
        <f t="shared" si="34"/>
        <v>0</v>
      </c>
      <c r="S88" s="1"/>
      <c r="T88" s="1">
        <f>SUM(OSRRefT22_5x_0)</f>
        <v>440</v>
      </c>
      <c r="U88" s="1"/>
      <c r="V88" s="5">
        <f t="shared" si="35"/>
        <v>1.7938938300244826E-4</v>
      </c>
      <c r="W88" s="1"/>
      <c r="X88" s="1">
        <f t="shared" si="36"/>
        <v>-440</v>
      </c>
      <c r="Y88" s="1"/>
      <c r="Z88" s="5">
        <f t="shared" si="37"/>
        <v>-1</v>
      </c>
    </row>
    <row r="89" spans="1:26" s="24" customFormat="1" hidden="1" outlineLevel="2" x14ac:dyDescent="0.25">
      <c r="A89" s="26"/>
      <c r="B89" s="11" t="str">
        <f>CONCATENATE("          ", "6277", " - ", "EMPLOYEE APPRECIATION")</f>
        <v xml:space="preserve">          6277 - EMPLOYEE APPRECIATION</v>
      </c>
      <c r="C89" s="11"/>
      <c r="D89" s="7"/>
      <c r="E89" s="2"/>
      <c r="F89" s="6">
        <f t="shared" si="30"/>
        <v>0</v>
      </c>
      <c r="G89" s="2"/>
      <c r="H89" s="7">
        <v>40</v>
      </c>
      <c r="I89" s="2"/>
      <c r="J89" s="6">
        <f t="shared" si="31"/>
        <v>2.5877238381119967E-4</v>
      </c>
      <c r="K89" s="2"/>
      <c r="L89" s="7">
        <f t="shared" si="32"/>
        <v>-40</v>
      </c>
      <c r="M89" s="2"/>
      <c r="N89" s="6">
        <f t="shared" si="33"/>
        <v>-1</v>
      </c>
      <c r="O89" s="11"/>
      <c r="P89" s="7"/>
      <c r="Q89" s="2"/>
      <c r="R89" s="6">
        <f t="shared" si="34"/>
        <v>0</v>
      </c>
      <c r="S89" s="2"/>
      <c r="T89" s="7">
        <v>440</v>
      </c>
      <c r="U89" s="2"/>
      <c r="V89" s="6">
        <f t="shared" si="35"/>
        <v>1.7938938300244826E-4</v>
      </c>
      <c r="W89" s="2"/>
      <c r="X89" s="7">
        <f t="shared" si="36"/>
        <v>-440</v>
      </c>
      <c r="Y89" s="2"/>
      <c r="Z89" s="6">
        <f t="shared" si="37"/>
        <v>-1</v>
      </c>
    </row>
    <row r="90" spans="1:26" s="27" customFormat="1" outlineLevel="1" collapsed="1" x14ac:dyDescent="0.25">
      <c r="A90" s="25"/>
      <c r="B90" s="12" t="str">
        <f>CONCATENATE("     ","Freight out/Postage                               ")</f>
        <v xml:space="preserve">     Freight out/Postage                               </v>
      </c>
      <c r="C90" s="12"/>
      <c r="D90" s="1">
        <f>SUM(OSRRefD22_6x_0)</f>
        <v>0</v>
      </c>
      <c r="E90" s="1"/>
      <c r="F90" s="5">
        <f t="shared" si="30"/>
        <v>0</v>
      </c>
      <c r="G90" s="1"/>
      <c r="H90" s="1">
        <f>SUM(OSRRefH22_6x_0)</f>
        <v>25</v>
      </c>
      <c r="I90" s="1"/>
      <c r="J90" s="5">
        <f t="shared" si="31"/>
        <v>1.6173273988199979E-4</v>
      </c>
      <c r="K90" s="1"/>
      <c r="L90" s="1">
        <f t="shared" si="32"/>
        <v>-25</v>
      </c>
      <c r="M90" s="1"/>
      <c r="N90" s="5">
        <f t="shared" si="33"/>
        <v>-1</v>
      </c>
      <c r="O90" s="12"/>
      <c r="P90" s="1">
        <f>SUM(OSRRefP22_6x_0)</f>
        <v>120.59</v>
      </c>
      <c r="Q90" s="1"/>
      <c r="R90" s="5">
        <f t="shared" si="34"/>
        <v>4.9473238219176426E-5</v>
      </c>
      <c r="S90" s="1"/>
      <c r="T90" s="1">
        <f>SUM(OSRRefT22_6x_0)</f>
        <v>275</v>
      </c>
      <c r="U90" s="1"/>
      <c r="V90" s="5">
        <f t="shared" si="35"/>
        <v>1.1211836437653016E-4</v>
      </c>
      <c r="W90" s="1"/>
      <c r="X90" s="1">
        <f t="shared" si="36"/>
        <v>-154.41</v>
      </c>
      <c r="Y90" s="1"/>
      <c r="Z90" s="5">
        <f t="shared" si="37"/>
        <v>-0.56149090909090904</v>
      </c>
    </row>
    <row r="91" spans="1:26" s="24" customFormat="1" hidden="1" outlineLevel="2" x14ac:dyDescent="0.25">
      <c r="A91" s="26"/>
      <c r="B91" s="11" t="str">
        <f>CONCATENATE("          ", "6305", " - ", "FREIGHT OUT")</f>
        <v xml:space="preserve">          6305 - FREIGHT OUT</v>
      </c>
      <c r="C91" s="11"/>
      <c r="D91" s="7"/>
      <c r="E91" s="2"/>
      <c r="F91" s="6">
        <f t="shared" si="30"/>
        <v>0</v>
      </c>
      <c r="G91" s="2"/>
      <c r="H91" s="7">
        <v>25</v>
      </c>
      <c r="I91" s="2"/>
      <c r="J91" s="6">
        <f t="shared" si="31"/>
        <v>1.6173273988199979E-4</v>
      </c>
      <c r="K91" s="2"/>
      <c r="L91" s="7">
        <f t="shared" si="32"/>
        <v>-25</v>
      </c>
      <c r="M91" s="2"/>
      <c r="N91" s="6">
        <f t="shared" si="33"/>
        <v>-1</v>
      </c>
      <c r="O91" s="11"/>
      <c r="P91" s="7">
        <v>120.59</v>
      </c>
      <c r="Q91" s="2"/>
      <c r="R91" s="6">
        <f t="shared" si="34"/>
        <v>4.9473238219176426E-5</v>
      </c>
      <c r="S91" s="2"/>
      <c r="T91" s="7">
        <v>275</v>
      </c>
      <c r="U91" s="2"/>
      <c r="V91" s="6">
        <f t="shared" si="35"/>
        <v>1.1211836437653016E-4</v>
      </c>
      <c r="W91" s="2"/>
      <c r="X91" s="7">
        <f t="shared" si="36"/>
        <v>-154.41</v>
      </c>
      <c r="Y91" s="2"/>
      <c r="Z91" s="6">
        <f t="shared" si="37"/>
        <v>-0.56149090909090904</v>
      </c>
    </row>
    <row r="92" spans="1:26" s="27" customFormat="1" outlineLevel="1" collapsed="1" x14ac:dyDescent="0.25">
      <c r="A92" s="25"/>
      <c r="B92" s="12" t="str">
        <f>CONCATENATE("     ","General                                           ")</f>
        <v xml:space="preserve">     General                                           </v>
      </c>
      <c r="C92" s="12"/>
      <c r="D92" s="1">
        <f>SUM(OSRRefD22_7x_0)</f>
        <v>-80</v>
      </c>
      <c r="E92" s="1"/>
      <c r="F92" s="5">
        <f t="shared" si="30"/>
        <v>-8.3720812439322032E-4</v>
      </c>
      <c r="G92" s="1"/>
      <c r="H92" s="1">
        <f>SUM(OSRRefH22_7x_0)</f>
        <v>0</v>
      </c>
      <c r="I92" s="1"/>
      <c r="J92" s="5">
        <f t="shared" si="31"/>
        <v>0</v>
      </c>
      <c r="K92" s="1"/>
      <c r="L92" s="1">
        <f t="shared" si="32"/>
        <v>-80</v>
      </c>
      <c r="M92" s="1"/>
      <c r="N92" s="5">
        <f t="shared" si="33"/>
        <v>0</v>
      </c>
      <c r="O92" s="12"/>
      <c r="P92" s="1">
        <f>SUM(OSRRefP22_7x_0)</f>
        <v>205</v>
      </c>
      <c r="Q92" s="1"/>
      <c r="R92" s="5">
        <f t="shared" si="34"/>
        <v>8.4103274192977586E-5</v>
      </c>
      <c r="S92" s="1"/>
      <c r="T92" s="1">
        <f>SUM(OSRRefT22_7x_0)</f>
        <v>0</v>
      </c>
      <c r="U92" s="1"/>
      <c r="V92" s="5">
        <f t="shared" si="35"/>
        <v>0</v>
      </c>
      <c r="W92" s="1"/>
      <c r="X92" s="1">
        <f t="shared" si="36"/>
        <v>205</v>
      </c>
      <c r="Y92" s="1"/>
      <c r="Z92" s="5">
        <f t="shared" si="37"/>
        <v>0</v>
      </c>
    </row>
    <row r="93" spans="1:26" s="24" customFormat="1" hidden="1" outlineLevel="2" x14ac:dyDescent="0.25">
      <c r="A93" s="26"/>
      <c r="B93" s="11" t="str">
        <f>CONCATENATE("          ", "6279", " - ", "GENERAL EXPENSE")</f>
        <v xml:space="preserve">          6279 - GENERAL EXPENSE</v>
      </c>
      <c r="C93" s="11"/>
      <c r="D93" s="7">
        <v>-80</v>
      </c>
      <c r="E93" s="2"/>
      <c r="F93" s="6">
        <f t="shared" si="30"/>
        <v>-8.3720812439322032E-4</v>
      </c>
      <c r="G93" s="2"/>
      <c r="H93" s="7"/>
      <c r="I93" s="2"/>
      <c r="J93" s="6">
        <f t="shared" si="31"/>
        <v>0</v>
      </c>
      <c r="K93" s="2"/>
      <c r="L93" s="7">
        <f t="shared" si="32"/>
        <v>-80</v>
      </c>
      <c r="M93" s="2"/>
      <c r="N93" s="6">
        <f t="shared" si="33"/>
        <v>0</v>
      </c>
      <c r="O93" s="11"/>
      <c r="P93" s="7">
        <v>205</v>
      </c>
      <c r="Q93" s="2"/>
      <c r="R93" s="6">
        <f t="shared" si="34"/>
        <v>8.4103274192977586E-5</v>
      </c>
      <c r="S93" s="2"/>
      <c r="T93" s="7"/>
      <c r="U93" s="2"/>
      <c r="V93" s="6">
        <f t="shared" si="35"/>
        <v>0</v>
      </c>
      <c r="W93" s="2"/>
      <c r="X93" s="7">
        <f t="shared" si="36"/>
        <v>205</v>
      </c>
      <c r="Y93" s="2"/>
      <c r="Z93" s="6">
        <f t="shared" si="37"/>
        <v>0</v>
      </c>
    </row>
    <row r="94" spans="1:26" s="27" customFormat="1" outlineLevel="1" collapsed="1" x14ac:dyDescent="0.25">
      <c r="A94" s="25"/>
      <c r="B94" s="12" t="str">
        <f>CONCATENATE("     ","Repair and Maintenance                            ")</f>
        <v xml:space="preserve">     Repair and Maintenance                            </v>
      </c>
      <c r="C94" s="12"/>
      <c r="D94" s="1">
        <f>SUM(OSRRefD22_8x_0)</f>
        <v>0</v>
      </c>
      <c r="E94" s="1"/>
      <c r="F94" s="5">
        <f t="shared" si="30"/>
        <v>0</v>
      </c>
      <c r="G94" s="1"/>
      <c r="H94" s="1">
        <f>SUM(OSRRefH22_8x_0)</f>
        <v>0</v>
      </c>
      <c r="I94" s="1"/>
      <c r="J94" s="5">
        <f t="shared" si="31"/>
        <v>0</v>
      </c>
      <c r="K94" s="1"/>
      <c r="L94" s="1">
        <f t="shared" si="32"/>
        <v>0</v>
      </c>
      <c r="M94" s="1"/>
      <c r="N94" s="5">
        <f t="shared" si="33"/>
        <v>0</v>
      </c>
      <c r="O94" s="12"/>
      <c r="P94" s="1">
        <f>SUM(OSRRefP22_8x_0)</f>
        <v>197.18</v>
      </c>
      <c r="Q94" s="1"/>
      <c r="R94" s="5">
        <f t="shared" si="34"/>
        <v>8.0895041977421068E-5</v>
      </c>
      <c r="S94" s="1"/>
      <c r="T94" s="1">
        <f>SUM(OSRRefT22_8x_0)</f>
        <v>0</v>
      </c>
      <c r="U94" s="1"/>
      <c r="V94" s="5">
        <f t="shared" si="35"/>
        <v>0</v>
      </c>
      <c r="W94" s="1"/>
      <c r="X94" s="1">
        <f t="shared" si="36"/>
        <v>197.18</v>
      </c>
      <c r="Y94" s="1"/>
      <c r="Z94" s="5">
        <f t="shared" si="37"/>
        <v>0</v>
      </c>
    </row>
    <row r="95" spans="1:26" s="24" customFormat="1" hidden="1" outlineLevel="2" x14ac:dyDescent="0.25">
      <c r="A95" s="26"/>
      <c r="B95" s="11" t="str">
        <f>CONCATENATE("          ", "6375", " - ", "OUTSIDE REPAIRS &amp; MAINTENANCE")</f>
        <v xml:space="preserve">          6375 - OUTSIDE REPAIRS &amp; MAINTENANCE</v>
      </c>
      <c r="C95" s="11"/>
      <c r="D95" s="7"/>
      <c r="E95" s="2"/>
      <c r="F95" s="6">
        <f t="shared" si="30"/>
        <v>0</v>
      </c>
      <c r="G95" s="2"/>
      <c r="H95" s="7"/>
      <c r="I95" s="2"/>
      <c r="J95" s="6">
        <f t="shared" si="31"/>
        <v>0</v>
      </c>
      <c r="K95" s="2"/>
      <c r="L95" s="7">
        <f t="shared" si="32"/>
        <v>0</v>
      </c>
      <c r="M95" s="2"/>
      <c r="N95" s="6">
        <f t="shared" si="33"/>
        <v>0</v>
      </c>
      <c r="O95" s="11"/>
      <c r="P95" s="7">
        <v>197.18</v>
      </c>
      <c r="Q95" s="2"/>
      <c r="R95" s="6">
        <f t="shared" si="34"/>
        <v>8.0895041977421068E-5</v>
      </c>
      <c r="S95" s="2"/>
      <c r="T95" s="7"/>
      <c r="U95" s="2"/>
      <c r="V95" s="6">
        <f t="shared" si="35"/>
        <v>0</v>
      </c>
      <c r="W95" s="2"/>
      <c r="X95" s="7">
        <f t="shared" si="36"/>
        <v>197.18</v>
      </c>
      <c r="Y95" s="2"/>
      <c r="Z95" s="6">
        <f t="shared" si="37"/>
        <v>0</v>
      </c>
    </row>
    <row r="96" spans="1:26" s="27" customFormat="1" outlineLevel="1" collapsed="1" x14ac:dyDescent="0.25">
      <c r="A96" s="25"/>
      <c r="B96" s="12" t="str">
        <f>CONCATENATE("     ","Subscriptions &amp; Dues                              ")</f>
        <v xml:space="preserve">     Subscriptions &amp; Dues                              </v>
      </c>
      <c r="C96" s="12"/>
      <c r="D96" s="1">
        <f>SUM(OSRRefD22_9x_0)</f>
        <v>0</v>
      </c>
      <c r="E96" s="1"/>
      <c r="F96" s="5">
        <f t="shared" si="30"/>
        <v>0</v>
      </c>
      <c r="G96" s="1"/>
      <c r="H96" s="1">
        <f>SUM(OSRRefH22_9x_0)</f>
        <v>0</v>
      </c>
      <c r="I96" s="1"/>
      <c r="J96" s="5">
        <f t="shared" si="31"/>
        <v>0</v>
      </c>
      <c r="K96" s="1"/>
      <c r="L96" s="1">
        <f t="shared" si="32"/>
        <v>0</v>
      </c>
      <c r="M96" s="1"/>
      <c r="N96" s="5">
        <f t="shared" si="33"/>
        <v>0</v>
      </c>
      <c r="O96" s="12"/>
      <c r="P96" s="1">
        <f>SUM(OSRRefP22_9x_0)</f>
        <v>-4886.5</v>
      </c>
      <c r="Q96" s="1"/>
      <c r="R96" s="5">
        <f t="shared" si="34"/>
        <v>-2.0047348748487071E-3</v>
      </c>
      <c r="S96" s="1"/>
      <c r="T96" s="1">
        <f>SUM(OSRRefT22_9x_0)</f>
        <v>0</v>
      </c>
      <c r="U96" s="1"/>
      <c r="V96" s="5">
        <f t="shared" si="35"/>
        <v>0</v>
      </c>
      <c r="W96" s="1"/>
      <c r="X96" s="1">
        <f t="shared" si="36"/>
        <v>-4886.5</v>
      </c>
      <c r="Y96" s="1"/>
      <c r="Z96" s="5">
        <f t="shared" si="37"/>
        <v>0</v>
      </c>
    </row>
    <row r="97" spans="1:26" s="24" customFormat="1" hidden="1" outlineLevel="2" x14ac:dyDescent="0.25">
      <c r="A97" s="26"/>
      <c r="B97" s="11" t="str">
        <f>CONCATENATE("          ", "6258", " - ", "MEMBERSHIP DUES")</f>
        <v xml:space="preserve">          6258 - MEMBERSHIP DUES</v>
      </c>
      <c r="C97" s="11"/>
      <c r="D97" s="7"/>
      <c r="E97" s="2"/>
      <c r="F97" s="6">
        <f t="shared" si="30"/>
        <v>0</v>
      </c>
      <c r="G97" s="2"/>
      <c r="H97" s="7"/>
      <c r="I97" s="2"/>
      <c r="J97" s="6">
        <f t="shared" si="31"/>
        <v>0</v>
      </c>
      <c r="K97" s="2"/>
      <c r="L97" s="7">
        <f t="shared" si="32"/>
        <v>0</v>
      </c>
      <c r="M97" s="2"/>
      <c r="N97" s="6">
        <f t="shared" si="33"/>
        <v>0</v>
      </c>
      <c r="O97" s="11"/>
      <c r="P97" s="7">
        <v>-4886.5</v>
      </c>
      <c r="Q97" s="2"/>
      <c r="R97" s="6">
        <f t="shared" si="34"/>
        <v>-2.0047348748487071E-3</v>
      </c>
      <c r="S97" s="2"/>
      <c r="T97" s="7"/>
      <c r="U97" s="2"/>
      <c r="V97" s="6">
        <f t="shared" si="35"/>
        <v>0</v>
      </c>
      <c r="W97" s="2"/>
      <c r="X97" s="7">
        <f t="shared" si="36"/>
        <v>-4886.5</v>
      </c>
      <c r="Y97" s="2"/>
      <c r="Z97" s="6">
        <f t="shared" si="37"/>
        <v>0</v>
      </c>
    </row>
    <row r="98" spans="1:26" s="27" customFormat="1" outlineLevel="1" collapsed="1" x14ac:dyDescent="0.25">
      <c r="A98" s="25"/>
      <c r="B98" s="12" t="str">
        <f>CONCATENATE("     ","Supplies                                          ")</f>
        <v xml:space="preserve">     Supplies                                          </v>
      </c>
      <c r="C98" s="12"/>
      <c r="D98" s="1">
        <f>SUM(OSRRefD22_10x_0)</f>
        <v>59.25</v>
      </c>
      <c r="E98" s="1"/>
      <c r="F98" s="5">
        <f t="shared" si="30"/>
        <v>6.2005726712872878E-4</v>
      </c>
      <c r="G98" s="1"/>
      <c r="H98" s="1">
        <f>SUM(OSRRefH22_10x_0)</f>
        <v>275</v>
      </c>
      <c r="I98" s="1"/>
      <c r="J98" s="5">
        <f t="shared" si="31"/>
        <v>1.7790601387019976E-3</v>
      </c>
      <c r="K98" s="1"/>
      <c r="L98" s="1">
        <f t="shared" si="32"/>
        <v>-215.75</v>
      </c>
      <c r="M98" s="1"/>
      <c r="N98" s="5">
        <f t="shared" si="33"/>
        <v>-0.78454545454545455</v>
      </c>
      <c r="O98" s="12"/>
      <c r="P98" s="1">
        <f>SUM(OSRRefP22_10x_0)</f>
        <v>3194.5200000000004</v>
      </c>
      <c r="Q98" s="1"/>
      <c r="R98" s="5">
        <f t="shared" si="34"/>
        <v>1.3105833730485403E-3</v>
      </c>
      <c r="S98" s="1"/>
      <c r="T98" s="1">
        <f>SUM(OSRRefT22_10x_0)</f>
        <v>3025</v>
      </c>
      <c r="U98" s="1"/>
      <c r="V98" s="5">
        <f t="shared" si="35"/>
        <v>1.2333020081418317E-3</v>
      </c>
      <c r="W98" s="1"/>
      <c r="X98" s="1">
        <f t="shared" si="36"/>
        <v>169.52000000000044</v>
      </c>
      <c r="Y98" s="1"/>
      <c r="Z98" s="5">
        <f t="shared" si="37"/>
        <v>5.6039669421487748E-2</v>
      </c>
    </row>
    <row r="99" spans="1:26" s="24" customFormat="1" hidden="1" outlineLevel="2" x14ac:dyDescent="0.25">
      <c r="A99" s="26"/>
      <c r="B99" s="11" t="str">
        <f>CONCATENATE("          ", "6241", " - ", "OFFICE EXPENSE")</f>
        <v xml:space="preserve">          6241 - OFFICE EXPENSE</v>
      </c>
      <c r="C99" s="11"/>
      <c r="D99" s="7">
        <v>59.25</v>
      </c>
      <c r="E99" s="2"/>
      <c r="F99" s="6">
        <f t="shared" si="30"/>
        <v>6.2005726712872878E-4</v>
      </c>
      <c r="G99" s="2"/>
      <c r="H99" s="7">
        <v>275</v>
      </c>
      <c r="I99" s="2"/>
      <c r="J99" s="6">
        <f t="shared" si="31"/>
        <v>1.7790601387019976E-3</v>
      </c>
      <c r="K99" s="2"/>
      <c r="L99" s="7">
        <f t="shared" si="32"/>
        <v>-215.75</v>
      </c>
      <c r="M99" s="2"/>
      <c r="N99" s="6">
        <f t="shared" si="33"/>
        <v>-0.78454545454545455</v>
      </c>
      <c r="O99" s="11"/>
      <c r="P99" s="7">
        <v>1185.1400000000001</v>
      </c>
      <c r="Q99" s="2"/>
      <c r="R99" s="6">
        <f t="shared" si="34"/>
        <v>4.862153872051974E-4</v>
      </c>
      <c r="S99" s="2"/>
      <c r="T99" s="7">
        <v>3025</v>
      </c>
      <c r="U99" s="2"/>
      <c r="V99" s="6">
        <f t="shared" si="35"/>
        <v>1.2333020081418317E-3</v>
      </c>
      <c r="W99" s="2"/>
      <c r="X99" s="7">
        <f t="shared" si="36"/>
        <v>-1839.86</v>
      </c>
      <c r="Y99" s="2"/>
      <c r="Z99" s="6">
        <f t="shared" si="37"/>
        <v>-0.60821818181818177</v>
      </c>
    </row>
    <row r="100" spans="1:26" s="24" customFormat="1" hidden="1" outlineLevel="2" x14ac:dyDescent="0.25">
      <c r="A100" s="26"/>
      <c r="B100" s="11" t="str">
        <f>CONCATENATE("          ", "6247", " - ", "STORE SUPPLIES")</f>
        <v xml:space="preserve">          6247 - STORE SUPPLIES</v>
      </c>
      <c r="C100" s="11"/>
      <c r="D100" s="7"/>
      <c r="E100" s="2"/>
      <c r="F100" s="6">
        <f t="shared" si="30"/>
        <v>0</v>
      </c>
      <c r="G100" s="2"/>
      <c r="H100" s="7"/>
      <c r="I100" s="2"/>
      <c r="J100" s="6">
        <f t="shared" si="31"/>
        <v>0</v>
      </c>
      <c r="K100" s="2"/>
      <c r="L100" s="7">
        <f t="shared" si="32"/>
        <v>0</v>
      </c>
      <c r="M100" s="2"/>
      <c r="N100" s="6">
        <f t="shared" si="33"/>
        <v>0</v>
      </c>
      <c r="O100" s="11"/>
      <c r="P100" s="7">
        <v>2009.38</v>
      </c>
      <c r="Q100" s="2"/>
      <c r="R100" s="6">
        <f t="shared" si="34"/>
        <v>8.2436798584334294E-4</v>
      </c>
      <c r="S100" s="2"/>
      <c r="T100" s="7"/>
      <c r="U100" s="2"/>
      <c r="V100" s="6">
        <f t="shared" si="35"/>
        <v>0</v>
      </c>
      <c r="W100" s="2"/>
      <c r="X100" s="7">
        <f t="shared" si="36"/>
        <v>2009.38</v>
      </c>
      <c r="Y100" s="2"/>
      <c r="Z100" s="6">
        <f t="shared" si="37"/>
        <v>0</v>
      </c>
    </row>
    <row r="101" spans="1:26" s="27" customFormat="1" outlineLevel="1" collapsed="1" x14ac:dyDescent="0.25">
      <c r="A101" s="25"/>
      <c r="B101" s="12" t="str">
        <f>CONCATENATE("     ","Telephone/Data Lines                              ")</f>
        <v xml:space="preserve">     Telephone/Data Lines                              </v>
      </c>
      <c r="C101" s="12"/>
      <c r="D101" s="1">
        <f>SUM(OSRRefD22_11x_0)</f>
        <v>212.75</v>
      </c>
      <c r="E101" s="1"/>
      <c r="F101" s="5">
        <f t="shared" ref="F101:F103" si="38">IF(D$12=0,0,D101/D$12)</f>
        <v>2.2264503558082202E-3</v>
      </c>
      <c r="G101" s="1"/>
      <c r="H101" s="1">
        <f>SUM(OSRRefH22_11x_0)</f>
        <v>280</v>
      </c>
      <c r="I101" s="1"/>
      <c r="J101" s="5">
        <f t="shared" ref="J101:J103" si="39">IF(H$12=0,0,H101/H$12)</f>
        <v>1.8114066866783977E-3</v>
      </c>
      <c r="K101" s="1"/>
      <c r="L101" s="1">
        <f t="shared" ref="L101:L103" si="40">+D101-H101</f>
        <v>-67.25</v>
      </c>
      <c r="M101" s="1"/>
      <c r="N101" s="5">
        <f t="shared" ref="N101:N103" si="41">IF(H101=0,0,L101/H101)</f>
        <v>-0.24017857142857144</v>
      </c>
      <c r="O101" s="12"/>
      <c r="P101" s="1">
        <f>SUM(OSRRefP22_11x_0)</f>
        <v>2725.2</v>
      </c>
      <c r="Q101" s="1"/>
      <c r="R101" s="5">
        <f t="shared" ref="R101:R103" si="42">IF(P$12=0,0,P101/P$12)</f>
        <v>1.1180402089302562E-3</v>
      </c>
      <c r="S101" s="1"/>
      <c r="T101" s="1">
        <f>SUM(OSRRefT22_11x_0)</f>
        <v>3080</v>
      </c>
      <c r="U101" s="1"/>
      <c r="V101" s="5">
        <f t="shared" ref="V101:V103" si="43">IF(T$12=0,0,T101/T$12)</f>
        <v>1.2557256810171377E-3</v>
      </c>
      <c r="W101" s="1"/>
      <c r="X101" s="1">
        <f t="shared" ref="X101:X103" si="44">+P101-T101</f>
        <v>-354.80000000000018</v>
      </c>
      <c r="Y101" s="1"/>
      <c r="Z101" s="5">
        <f t="shared" ref="Z101:Z103" si="45">IF(T101=0,0,X101/T101)</f>
        <v>-0.11519480519480525</v>
      </c>
    </row>
    <row r="102" spans="1:26" s="24" customFormat="1" hidden="1" outlineLevel="2" x14ac:dyDescent="0.25">
      <c r="A102" s="26"/>
      <c r="B102" s="11" t="str">
        <f>CONCATENATE("          ", "6303", " - ", "DATA PHONE LINES")</f>
        <v xml:space="preserve">          6303 - DATA PHONE LINES</v>
      </c>
      <c r="C102" s="11"/>
      <c r="D102" s="7"/>
      <c r="E102" s="2"/>
      <c r="F102" s="6">
        <f t="shared" si="38"/>
        <v>0</v>
      </c>
      <c r="G102" s="2"/>
      <c r="H102" s="7">
        <v>280</v>
      </c>
      <c r="I102" s="2"/>
      <c r="J102" s="6">
        <f t="shared" si="39"/>
        <v>1.8114066866783977E-3</v>
      </c>
      <c r="K102" s="2"/>
      <c r="L102" s="7">
        <f t="shared" si="40"/>
        <v>-280</v>
      </c>
      <c r="M102" s="2"/>
      <c r="N102" s="6">
        <f t="shared" si="41"/>
        <v>-1</v>
      </c>
      <c r="O102" s="11"/>
      <c r="P102" s="7"/>
      <c r="Q102" s="2"/>
      <c r="R102" s="6">
        <f t="shared" si="42"/>
        <v>0</v>
      </c>
      <c r="S102" s="2"/>
      <c r="T102" s="7">
        <v>3080</v>
      </c>
      <c r="U102" s="2"/>
      <c r="V102" s="6">
        <f t="shared" si="43"/>
        <v>1.2557256810171377E-3</v>
      </c>
      <c r="W102" s="2"/>
      <c r="X102" s="7">
        <f t="shared" si="44"/>
        <v>-3080</v>
      </c>
      <c r="Y102" s="2"/>
      <c r="Z102" s="6">
        <f t="shared" si="45"/>
        <v>-1</v>
      </c>
    </row>
    <row r="103" spans="1:26" s="24" customFormat="1" hidden="1" outlineLevel="2" x14ac:dyDescent="0.25">
      <c r="A103" s="26"/>
      <c r="B103" s="11" t="str">
        <f>CONCATENATE("          ", "6309", " - ", "TELEPHONE")</f>
        <v xml:space="preserve">          6309 - TELEPHONE</v>
      </c>
      <c r="C103" s="11"/>
      <c r="D103" s="7">
        <v>212.75</v>
      </c>
      <c r="E103" s="2"/>
      <c r="F103" s="6">
        <f t="shared" si="38"/>
        <v>2.2264503558082202E-3</v>
      </c>
      <c r="G103" s="2"/>
      <c r="H103" s="7"/>
      <c r="I103" s="2"/>
      <c r="J103" s="6">
        <f t="shared" si="39"/>
        <v>0</v>
      </c>
      <c r="K103" s="2"/>
      <c r="L103" s="7">
        <f t="shared" si="40"/>
        <v>212.75</v>
      </c>
      <c r="M103" s="2"/>
      <c r="N103" s="6">
        <f t="shared" si="41"/>
        <v>0</v>
      </c>
      <c r="O103" s="11"/>
      <c r="P103" s="7">
        <v>2725.2</v>
      </c>
      <c r="Q103" s="2"/>
      <c r="R103" s="6">
        <f t="shared" si="42"/>
        <v>1.1180402089302562E-3</v>
      </c>
      <c r="S103" s="2"/>
      <c r="T103" s="7"/>
      <c r="U103" s="2"/>
      <c r="V103" s="6">
        <f t="shared" si="43"/>
        <v>0</v>
      </c>
      <c r="W103" s="2"/>
      <c r="X103" s="7">
        <f t="shared" si="44"/>
        <v>2725.2</v>
      </c>
      <c r="Y103" s="2"/>
      <c r="Z103" s="6">
        <f t="shared" si="45"/>
        <v>0</v>
      </c>
    </row>
    <row r="104" spans="1:26" s="27" customFormat="1" outlineLevel="1" collapsed="1" x14ac:dyDescent="0.25">
      <c r="A104" s="25"/>
      <c r="B104" s="12" t="str">
        <f>CONCATENATE("     ","Training                                          ")</f>
        <v xml:space="preserve">     Training                                          </v>
      </c>
      <c r="C104" s="12"/>
      <c r="D104" s="1">
        <f>SUM(OSRRefD22_12x_0)</f>
        <v>0</v>
      </c>
      <c r="E104" s="1"/>
      <c r="F104" s="5">
        <f t="shared" ref="F104:F107" si="46">IF(D$12=0,0,D104/D$12)</f>
        <v>0</v>
      </c>
      <c r="G104" s="1"/>
      <c r="H104" s="1">
        <f>SUM(OSRRefH22_12x_0)</f>
        <v>375</v>
      </c>
      <c r="I104" s="1"/>
      <c r="J104" s="5">
        <f t="shared" ref="J104:J107" si="47">IF(H$12=0,0,H104/H$12)</f>
        <v>2.4259910982299968E-3</v>
      </c>
      <c r="K104" s="1"/>
      <c r="L104" s="1">
        <f t="shared" ref="L104:L107" si="48">+D104-H104</f>
        <v>-375</v>
      </c>
      <c r="M104" s="1"/>
      <c r="N104" s="5">
        <f t="shared" ref="N104:N107" si="49">IF(H104=0,0,L104/H104)</f>
        <v>-1</v>
      </c>
      <c r="O104" s="12"/>
      <c r="P104" s="1">
        <f>SUM(OSRRefP22_12x_0)</f>
        <v>1875.75</v>
      </c>
      <c r="Q104" s="1"/>
      <c r="R104" s="5">
        <f t="shared" ref="R104:R107" si="50">IF(P$12=0,0,P104/P$12)</f>
        <v>7.6954495886574488E-4</v>
      </c>
      <c r="S104" s="1"/>
      <c r="T104" s="1">
        <f>SUM(OSRRefT22_12x_0)</f>
        <v>4125</v>
      </c>
      <c r="U104" s="1"/>
      <c r="V104" s="5">
        <f t="shared" ref="V104:V107" si="51">IF(T$12=0,0,T104/T$12)</f>
        <v>1.6817754656479524E-3</v>
      </c>
      <c r="W104" s="1"/>
      <c r="X104" s="1">
        <f t="shared" ref="X104:X107" si="52">+P104-T104</f>
        <v>-2249.25</v>
      </c>
      <c r="Y104" s="1"/>
      <c r="Z104" s="5">
        <f t="shared" ref="Z104:Z107" si="53">IF(T104=0,0,X104/T104)</f>
        <v>-0.54527272727272724</v>
      </c>
    </row>
    <row r="105" spans="1:26" s="24" customFormat="1" hidden="1" outlineLevel="2" x14ac:dyDescent="0.25">
      <c r="A105" s="26"/>
      <c r="B105" s="11" t="str">
        <f>CONCATENATE("          ", "6376", " - ", "TRAINING")</f>
        <v xml:space="preserve">          6376 - TRAINING</v>
      </c>
      <c r="C105" s="11"/>
      <c r="D105" s="7"/>
      <c r="E105" s="2"/>
      <c r="F105" s="6">
        <f t="shared" si="46"/>
        <v>0</v>
      </c>
      <c r="G105" s="2"/>
      <c r="H105" s="7">
        <v>375</v>
      </c>
      <c r="I105" s="2"/>
      <c r="J105" s="6">
        <f t="shared" si="47"/>
        <v>2.4259910982299968E-3</v>
      </c>
      <c r="K105" s="2"/>
      <c r="L105" s="7">
        <f t="shared" si="48"/>
        <v>-375</v>
      </c>
      <c r="M105" s="2"/>
      <c r="N105" s="6">
        <f t="shared" si="49"/>
        <v>-1</v>
      </c>
      <c r="O105" s="11"/>
      <c r="P105" s="7">
        <v>1875.75</v>
      </c>
      <c r="Q105" s="2"/>
      <c r="R105" s="6">
        <f t="shared" si="50"/>
        <v>7.6954495886574488E-4</v>
      </c>
      <c r="S105" s="2"/>
      <c r="T105" s="7">
        <v>4125</v>
      </c>
      <c r="U105" s="2"/>
      <c r="V105" s="6">
        <f t="shared" si="51"/>
        <v>1.6817754656479524E-3</v>
      </c>
      <c r="W105" s="2"/>
      <c r="X105" s="7">
        <f t="shared" si="52"/>
        <v>-2249.25</v>
      </c>
      <c r="Y105" s="2"/>
      <c r="Z105" s="6">
        <f t="shared" si="53"/>
        <v>-0.54527272727272724</v>
      </c>
    </row>
    <row r="106" spans="1:26" s="27" customFormat="1" outlineLevel="1" collapsed="1" x14ac:dyDescent="0.25">
      <c r="A106" s="25"/>
      <c r="B106" s="12" t="str">
        <f>CONCATENATE("     ","Travel                                            ")</f>
        <v xml:space="preserve">     Travel                                            </v>
      </c>
      <c r="C106" s="12"/>
      <c r="D106" s="1">
        <f>SUM(OSRRefD22_13x_0)</f>
        <v>0</v>
      </c>
      <c r="E106" s="1"/>
      <c r="F106" s="5">
        <f t="shared" si="46"/>
        <v>0</v>
      </c>
      <c r="G106" s="1"/>
      <c r="H106" s="1">
        <f>SUM(OSRRefH22_13x_0)</f>
        <v>0</v>
      </c>
      <c r="I106" s="1"/>
      <c r="J106" s="5">
        <f t="shared" si="47"/>
        <v>0</v>
      </c>
      <c r="K106" s="1"/>
      <c r="L106" s="1">
        <f t="shared" si="48"/>
        <v>0</v>
      </c>
      <c r="M106" s="1"/>
      <c r="N106" s="5">
        <f t="shared" si="49"/>
        <v>0</v>
      </c>
      <c r="O106" s="12"/>
      <c r="P106" s="1">
        <f>SUM(OSRRefP22_13x_0)</f>
        <v>-178.06</v>
      </c>
      <c r="Q106" s="1"/>
      <c r="R106" s="5">
        <f t="shared" si="50"/>
        <v>-7.3050873184397997E-5</v>
      </c>
      <c r="S106" s="1"/>
      <c r="T106" s="1">
        <f>SUM(OSRRefT22_13x_0)</f>
        <v>0</v>
      </c>
      <c r="U106" s="1"/>
      <c r="V106" s="5">
        <f t="shared" si="51"/>
        <v>0</v>
      </c>
      <c r="W106" s="1"/>
      <c r="X106" s="1">
        <f t="shared" si="52"/>
        <v>-178.06</v>
      </c>
      <c r="Y106" s="1"/>
      <c r="Z106" s="5">
        <f t="shared" si="53"/>
        <v>0</v>
      </c>
    </row>
    <row r="107" spans="1:26" s="24" customFormat="1" hidden="1" outlineLevel="2" x14ac:dyDescent="0.25">
      <c r="A107" s="26"/>
      <c r="B107" s="11" t="str">
        <f>CONCATENATE("          ", "6292", " - ", "TRAVEL/CONFERENCE")</f>
        <v xml:space="preserve">          6292 - TRAVEL/CONFERENCE</v>
      </c>
      <c r="C107" s="11"/>
      <c r="D107" s="7"/>
      <c r="E107" s="2"/>
      <c r="F107" s="6">
        <f t="shared" si="46"/>
        <v>0</v>
      </c>
      <c r="G107" s="2"/>
      <c r="H107" s="7"/>
      <c r="I107" s="2"/>
      <c r="J107" s="6">
        <f t="shared" si="47"/>
        <v>0</v>
      </c>
      <c r="K107" s="2"/>
      <c r="L107" s="7">
        <f t="shared" si="48"/>
        <v>0</v>
      </c>
      <c r="M107" s="2"/>
      <c r="N107" s="6">
        <f t="shared" si="49"/>
        <v>0</v>
      </c>
      <c r="O107" s="11"/>
      <c r="P107" s="7">
        <v>-178.06</v>
      </c>
      <c r="Q107" s="2"/>
      <c r="R107" s="6">
        <f t="shared" si="50"/>
        <v>-7.3050873184397997E-5</v>
      </c>
      <c r="S107" s="2"/>
      <c r="T107" s="7"/>
      <c r="U107" s="2"/>
      <c r="V107" s="6">
        <f t="shared" si="51"/>
        <v>0</v>
      </c>
      <c r="W107" s="2"/>
      <c r="X107" s="7">
        <f t="shared" si="52"/>
        <v>-178.06</v>
      </c>
      <c r="Y107" s="2"/>
      <c r="Z107" s="6">
        <f t="shared" si="53"/>
        <v>0</v>
      </c>
    </row>
    <row r="108" spans="1:26" s="62" customFormat="1" x14ac:dyDescent="0.25">
      <c r="A108" s="36"/>
      <c r="B108" s="36"/>
      <c r="C108" s="36"/>
      <c r="D108" s="1"/>
      <c r="E108" s="1"/>
      <c r="F108" s="5"/>
      <c r="G108" s="1"/>
      <c r="H108" s="1"/>
      <c r="I108" s="1"/>
      <c r="J108" s="5"/>
      <c r="K108" s="1"/>
      <c r="L108" s="1"/>
      <c r="M108" s="1"/>
      <c r="N108" s="5"/>
      <c r="O108" s="36"/>
      <c r="P108" s="1"/>
      <c r="Q108" s="1"/>
      <c r="R108" s="5"/>
      <c r="S108" s="1"/>
      <c r="T108" s="1"/>
      <c r="U108" s="1"/>
      <c r="V108" s="5"/>
      <c r="W108" s="1"/>
      <c r="X108" s="1"/>
      <c r="Y108" s="1"/>
      <c r="Z108" s="5"/>
    </row>
    <row r="109" spans="1:26" s="23" customFormat="1" collapsed="1" x14ac:dyDescent="0.25">
      <c r="A109" s="10"/>
      <c r="B109" s="28" t="s">
        <v>0</v>
      </c>
      <c r="C109" s="10"/>
      <c r="D109" s="4">
        <f>SUM(OSRRefD25x_0)</f>
        <v>-294.75</v>
      </c>
      <c r="E109" s="4"/>
      <c r="F109" s="13">
        <f t="shared" ref="F109:F113" si="54">IF(D$12=0,0,D109/D$12)</f>
        <v>-3.0845886833112709E-3</v>
      </c>
      <c r="G109" s="4"/>
      <c r="H109" s="4">
        <f>SUM(OSRRefH25x_0)</f>
        <v>2025</v>
      </c>
      <c r="I109" s="4"/>
      <c r="J109" s="13">
        <f t="shared" ref="J109:J113" si="55">IF(H$12=0,0,H109/H$12)</f>
        <v>1.3100351930441984E-2</v>
      </c>
      <c r="K109" s="4"/>
      <c r="L109" s="4">
        <f t="shared" ref="L109:L113" si="56">+D109-H109</f>
        <v>-2319.75</v>
      </c>
      <c r="M109" s="4"/>
      <c r="N109" s="13">
        <f t="shared" ref="N109:N113" si="57">IF(H109=0,0,L109/H109)</f>
        <v>-1.1455555555555557</v>
      </c>
      <c r="O109" s="10"/>
      <c r="P109" s="4">
        <f>SUM(OSRRefP25x_0)</f>
        <v>13362.580000000002</v>
      </c>
      <c r="Q109" s="4"/>
      <c r="R109" s="13">
        <f t="shared" ref="R109:R113" si="58">IF(P$12=0,0,P109/P$12)</f>
        <v>5.4821303886126759E-3</v>
      </c>
      <c r="S109" s="4"/>
      <c r="T109" s="4">
        <f>SUM(OSRRefT25x_0)</f>
        <v>21600</v>
      </c>
      <c r="U109" s="4"/>
      <c r="V109" s="13">
        <f t="shared" ref="V109:V113" si="59">IF(T$12=0,0,T109/T$12)</f>
        <v>8.8063878928474598E-3</v>
      </c>
      <c r="W109" s="4"/>
      <c r="X109" s="4">
        <f t="shared" ref="X109:X113" si="60">+P109-T109</f>
        <v>-8237.4199999999983</v>
      </c>
      <c r="Y109" s="4"/>
      <c r="Z109" s="13">
        <f t="shared" ref="Z109:Z113" si="61">IF(T109=0,0,X109/T109)</f>
        <v>-0.38136203703703697</v>
      </c>
    </row>
    <row r="110" spans="1:26" s="24" customFormat="1" hidden="1" outlineLevel="1" x14ac:dyDescent="0.25">
      <c r="A110" s="44"/>
      <c r="B110" s="11" t="str">
        <f>CONCATENATE("          ", "4187", " - ", "NON-TAXABLE SALES-COMPUTER REP")</f>
        <v xml:space="preserve">          4187 - NON-TAXABLE SALES-COMPUTER REP</v>
      </c>
      <c r="C110" s="11"/>
      <c r="D110" s="2">
        <f>--99.99</f>
        <v>99.99</v>
      </c>
      <c r="E110" s="2"/>
      <c r="F110" s="19">
        <f t="shared" si="54"/>
        <v>1.0464055044759762E-3</v>
      </c>
      <c r="G110" s="2"/>
      <c r="H110" s="2"/>
      <c r="I110" s="2"/>
      <c r="J110" s="19">
        <f t="shared" si="55"/>
        <v>0</v>
      </c>
      <c r="K110" s="2"/>
      <c r="L110" s="2">
        <f t="shared" si="56"/>
        <v>99.99</v>
      </c>
      <c r="M110" s="2"/>
      <c r="N110" s="19">
        <f t="shared" si="57"/>
        <v>0</v>
      </c>
      <c r="O110" s="11"/>
      <c r="P110" s="2">
        <f>--16283.19</f>
        <v>16283.19</v>
      </c>
      <c r="Q110" s="2"/>
      <c r="R110" s="19">
        <f t="shared" si="58"/>
        <v>6.6803394795431738E-3</v>
      </c>
      <c r="S110" s="2"/>
      <c r="T110" s="2"/>
      <c r="U110" s="2"/>
      <c r="V110" s="19">
        <f t="shared" si="59"/>
        <v>0</v>
      </c>
      <c r="W110" s="2"/>
      <c r="X110" s="2">
        <f t="shared" si="60"/>
        <v>16283.19</v>
      </c>
      <c r="Y110" s="2"/>
      <c r="Z110" s="19">
        <f t="shared" si="61"/>
        <v>0</v>
      </c>
    </row>
    <row r="111" spans="1:26" s="24" customFormat="1" hidden="1" outlineLevel="1" x14ac:dyDescent="0.25">
      <c r="A111" s="44"/>
      <c r="B111" s="11" t="str">
        <f>CONCATENATE("          ", "4387", " - ", "SALES RETURN NON TAXABLE-COMPU")</f>
        <v xml:space="preserve">          4387 - SALES RETURN NON TAXABLE-COMPU</v>
      </c>
      <c r="C111" s="11"/>
      <c r="D111" s="2">
        <f>0</f>
        <v>0</v>
      </c>
      <c r="E111" s="2"/>
      <c r="F111" s="19">
        <f t="shared" si="54"/>
        <v>0</v>
      </c>
      <c r="G111" s="2"/>
      <c r="H111" s="2"/>
      <c r="I111" s="2"/>
      <c r="J111" s="19">
        <f t="shared" si="55"/>
        <v>0</v>
      </c>
      <c r="K111" s="2"/>
      <c r="L111" s="2">
        <f t="shared" si="56"/>
        <v>0</v>
      </c>
      <c r="M111" s="2"/>
      <c r="N111" s="19">
        <f t="shared" si="57"/>
        <v>0</v>
      </c>
      <c r="O111" s="11"/>
      <c r="P111" s="2">
        <f>-7889</f>
        <v>-7889</v>
      </c>
      <c r="Q111" s="2"/>
      <c r="R111" s="19">
        <f t="shared" si="58"/>
        <v>-3.2365401468702447E-3</v>
      </c>
      <c r="S111" s="2"/>
      <c r="T111" s="2"/>
      <c r="U111" s="2"/>
      <c r="V111" s="19">
        <f t="shared" si="59"/>
        <v>0</v>
      </c>
      <c r="W111" s="2"/>
      <c r="X111" s="2">
        <f t="shared" si="60"/>
        <v>-7889</v>
      </c>
      <c r="Y111" s="2"/>
      <c r="Z111" s="19">
        <f t="shared" si="61"/>
        <v>0</v>
      </c>
    </row>
    <row r="112" spans="1:26" s="24" customFormat="1" hidden="1" outlineLevel="1" x14ac:dyDescent="0.25">
      <c r="A112" s="44"/>
      <c r="B112" s="11" t="str">
        <f>CONCATENATE("          ", "5087", " - ", "PURCHASES @ COST-COMPUTER REPA")</f>
        <v xml:space="preserve">          5087 - PURCHASES @ COST-COMPUTER REPA</v>
      </c>
      <c r="C112" s="11"/>
      <c r="D112" s="2">
        <f>--32.7</f>
        <v>32.700000000000003</v>
      </c>
      <c r="E112" s="2"/>
      <c r="F112" s="19">
        <f t="shared" si="54"/>
        <v>3.4220882084572883E-4</v>
      </c>
      <c r="G112" s="2"/>
      <c r="H112" s="2"/>
      <c r="I112" s="2"/>
      <c r="J112" s="19">
        <f t="shared" si="55"/>
        <v>0</v>
      </c>
      <c r="K112" s="2"/>
      <c r="L112" s="2">
        <f t="shared" si="56"/>
        <v>32.700000000000003</v>
      </c>
      <c r="M112" s="2"/>
      <c r="N112" s="19">
        <f t="shared" si="57"/>
        <v>0</v>
      </c>
      <c r="O112" s="11"/>
      <c r="P112" s="2">
        <f>-72.06</f>
        <v>-72.06</v>
      </c>
      <c r="Q112" s="2"/>
      <c r="R112" s="19">
        <f t="shared" si="58"/>
        <v>-2.95633265285169E-5</v>
      </c>
      <c r="S112" s="2"/>
      <c r="T112" s="2"/>
      <c r="U112" s="2"/>
      <c r="V112" s="19">
        <f t="shared" si="59"/>
        <v>0</v>
      </c>
      <c r="W112" s="2"/>
      <c r="X112" s="2">
        <f t="shared" si="60"/>
        <v>-72.06</v>
      </c>
      <c r="Y112" s="2"/>
      <c r="Z112" s="19">
        <f t="shared" si="61"/>
        <v>0</v>
      </c>
    </row>
    <row r="113" spans="1:26" s="24" customFormat="1" hidden="1" outlineLevel="1" x14ac:dyDescent="0.25">
      <c r="A113" s="44"/>
      <c r="B113" s="11" t="str">
        <f>CONCATENATE("          ", "9150", " - ", "MISC. INCOME")</f>
        <v xml:space="preserve">          9150 - MISC. INCOME</v>
      </c>
      <c r="C113" s="11"/>
      <c r="D113" s="2">
        <f>-427.44</f>
        <v>-427.44</v>
      </c>
      <c r="E113" s="2"/>
      <c r="F113" s="19">
        <f t="shared" si="54"/>
        <v>-4.4732030086329757E-3</v>
      </c>
      <c r="G113" s="2"/>
      <c r="H113" s="2">
        <v>2025</v>
      </c>
      <c r="I113" s="2"/>
      <c r="J113" s="19">
        <f t="shared" si="55"/>
        <v>1.3100351930441984E-2</v>
      </c>
      <c r="K113" s="2"/>
      <c r="L113" s="2">
        <f t="shared" si="56"/>
        <v>-2452.44</v>
      </c>
      <c r="M113" s="2"/>
      <c r="N113" s="19">
        <f t="shared" si="57"/>
        <v>-1.2110814814814814</v>
      </c>
      <c r="O113" s="11"/>
      <c r="P113" s="2">
        <f>--5040.45</f>
        <v>5040.45</v>
      </c>
      <c r="Q113" s="2"/>
      <c r="R113" s="19">
        <f t="shared" si="58"/>
        <v>2.0678943824682626E-3</v>
      </c>
      <c r="S113" s="2"/>
      <c r="T113" s="2">
        <v>21600</v>
      </c>
      <c r="U113" s="2"/>
      <c r="V113" s="19">
        <f t="shared" si="59"/>
        <v>8.8063878928474598E-3</v>
      </c>
      <c r="W113" s="2"/>
      <c r="X113" s="2">
        <f t="shared" si="60"/>
        <v>-16559.55</v>
      </c>
      <c r="Y113" s="2"/>
      <c r="Z113" s="19">
        <f t="shared" si="61"/>
        <v>-0.76664583333333325</v>
      </c>
    </row>
    <row r="114" spans="1:26" x14ac:dyDescent="0.25">
      <c r="A114" s="9"/>
      <c r="B114" s="10"/>
      <c r="C114" s="10"/>
      <c r="D114" s="3"/>
      <c r="E114" s="3"/>
      <c r="F114" s="8"/>
      <c r="G114" s="3"/>
      <c r="H114" s="3"/>
      <c r="I114" s="3"/>
      <c r="J114" s="8"/>
      <c r="K114" s="3"/>
      <c r="L114" s="3"/>
      <c r="M114" s="3"/>
      <c r="N114" s="8"/>
      <c r="O114" s="10"/>
      <c r="P114" s="3"/>
      <c r="Q114" s="3"/>
      <c r="R114" s="8"/>
      <c r="S114" s="3"/>
      <c r="T114" s="3"/>
      <c r="U114" s="3"/>
      <c r="V114" s="8"/>
      <c r="W114" s="3"/>
      <c r="X114" s="3"/>
      <c r="Y114" s="3"/>
      <c r="Z114" s="8"/>
    </row>
    <row r="115" spans="1:26" s="23" customFormat="1" x14ac:dyDescent="0.25">
      <c r="A115" s="10"/>
      <c r="B115" s="29" t="s">
        <v>3</v>
      </c>
      <c r="C115" s="29"/>
      <c r="D115" s="20">
        <f>+D57-D59+D109</f>
        <v>-6321.5500000000029</v>
      </c>
      <c r="E115" s="14"/>
      <c r="F115" s="22">
        <f>IF(D$12=0,0,D115/D$12)</f>
        <v>-6.6155662734474555E-2</v>
      </c>
      <c r="G115" s="14"/>
      <c r="H115" s="20">
        <f>+H57-H59+H109</f>
        <v>-41927.772130916921</v>
      </c>
      <c r="I115" s="14"/>
      <c r="J115" s="22">
        <f>IF(H$12=0,0,H115/H$12)</f>
        <v>-0.27124373855525385</v>
      </c>
      <c r="K115" s="16"/>
      <c r="L115" s="20">
        <f>+D115-H115</f>
        <v>35606.222130916918</v>
      </c>
      <c r="M115" s="16"/>
      <c r="N115" s="22">
        <f>IF(H115=0,0,L115/H115)</f>
        <v>-0.84922761981577877</v>
      </c>
      <c r="O115" s="28"/>
      <c r="P115" s="20">
        <f>+P57-P59+P109</f>
        <v>118962.11000000116</v>
      </c>
      <c r="Q115" s="14"/>
      <c r="R115" s="22">
        <f>IF(P$12=0,0,P115/P$12)</f>
        <v>4.880538027270858E-2</v>
      </c>
      <c r="S115" s="14"/>
      <c r="T115" s="20">
        <f>+T57-T59+T109</f>
        <v>252788.24342929717</v>
      </c>
      <c r="U115" s="14"/>
      <c r="V115" s="22">
        <f>IF(T$12=0,0,T115/T$12)</f>
        <v>0.10306256140694163</v>
      </c>
      <c r="W115" s="16"/>
      <c r="X115" s="20">
        <f>+P115-T115</f>
        <v>-133826.13342929602</v>
      </c>
      <c r="Y115" s="16"/>
      <c r="Z115" s="22">
        <f>IF(T115=0,0,X115/T115)</f>
        <v>-0.52940014778308353</v>
      </c>
    </row>
    <row r="116" spans="1:26" x14ac:dyDescent="0.25">
      <c r="A116" s="9"/>
      <c r="B116" s="10"/>
      <c r="C116" s="9"/>
      <c r="D116" s="3"/>
      <c r="E116" s="3"/>
      <c r="F116" s="8"/>
      <c r="G116" s="3"/>
      <c r="H116" s="3"/>
      <c r="I116" s="3"/>
      <c r="J116" s="8"/>
      <c r="K116" s="3"/>
      <c r="L116" s="3"/>
      <c r="M116" s="3"/>
      <c r="N116" s="8"/>
      <c r="P116" s="3"/>
      <c r="Q116" s="3"/>
      <c r="R116" s="8"/>
      <c r="S116" s="3"/>
      <c r="T116" s="3"/>
      <c r="U116" s="3"/>
      <c r="V116" s="8"/>
      <c r="W116" s="3"/>
      <c r="X116" s="3"/>
      <c r="Y116" s="3"/>
      <c r="Z116" s="8"/>
    </row>
    <row r="117" spans="1:26" s="23" customFormat="1" x14ac:dyDescent="0.25">
      <c r="A117" s="52"/>
      <c r="B117" s="10" t="s">
        <v>14</v>
      </c>
      <c r="C117" s="10"/>
      <c r="D117" s="4">
        <v>22726.95</v>
      </c>
      <c r="E117" s="4"/>
      <c r="F117" s="13">
        <f>IF(D$12=0,0,D117/D$12)</f>
        <v>0.23783983978348125</v>
      </c>
      <c r="G117" s="4"/>
      <c r="H117" s="4">
        <v>15568</v>
      </c>
      <c r="I117" s="4"/>
      <c r="J117" s="13">
        <f>IF(H$12=0,0,H117/H$12)</f>
        <v>0.10071421177931891</v>
      </c>
      <c r="K117" s="4"/>
      <c r="L117" s="4">
        <f>+D117-H117</f>
        <v>7158.9500000000007</v>
      </c>
      <c r="M117" s="4"/>
      <c r="N117" s="13">
        <f>IF(H117=0,0,L117/H117)</f>
        <v>0.45985033401849951</v>
      </c>
      <c r="O117" s="10"/>
      <c r="P117" s="4">
        <v>288635.63</v>
      </c>
      <c r="Q117" s="4"/>
      <c r="R117" s="13">
        <f>IF(P$12=0,0,P117/P$12)</f>
        <v>0.11841561722806257</v>
      </c>
      <c r="S117" s="4"/>
      <c r="T117" s="4">
        <v>284092</v>
      </c>
      <c r="U117" s="4"/>
      <c r="V117" s="13">
        <f>IF(T$12=0,0,T117/T$12)</f>
        <v>0.11582520135438984</v>
      </c>
      <c r="W117" s="4"/>
      <c r="X117" s="4">
        <f>+P117-T117</f>
        <v>4543.6300000000047</v>
      </c>
      <c r="Y117" s="4"/>
      <c r="Z117" s="13">
        <f>IF(T117=0,0,X117/T117)</f>
        <v>1.5993516184897867E-2</v>
      </c>
    </row>
    <row r="118" spans="1:26" x14ac:dyDescent="0.25">
      <c r="A118" s="9"/>
      <c r="B118" s="10"/>
      <c r="C118" s="10"/>
      <c r="D118" s="3"/>
      <c r="E118" s="3"/>
      <c r="F118" s="8"/>
      <c r="G118" s="3"/>
      <c r="H118" s="3"/>
      <c r="I118" s="3"/>
      <c r="J118" s="8"/>
      <c r="K118" s="3"/>
      <c r="L118" s="3"/>
      <c r="M118" s="3"/>
      <c r="N118" s="8"/>
      <c r="O118" s="10"/>
      <c r="P118" s="3"/>
      <c r="Q118" s="3"/>
      <c r="R118" s="8"/>
      <c r="S118" s="3"/>
      <c r="T118" s="3"/>
      <c r="U118" s="3"/>
      <c r="V118" s="8"/>
      <c r="W118" s="3"/>
      <c r="X118" s="3"/>
      <c r="Y118" s="3"/>
      <c r="Z118" s="8"/>
    </row>
    <row r="119" spans="1:26" s="23" customFormat="1" ht="15.75" thickBot="1" x14ac:dyDescent="0.3">
      <c r="A119" s="10"/>
      <c r="B119" s="29" t="s">
        <v>4</v>
      </c>
      <c r="C119" s="29"/>
      <c r="D119" s="35">
        <f>+D115-D117</f>
        <v>-29048.500000000004</v>
      </c>
      <c r="E119" s="14"/>
      <c r="F119" s="32">
        <f>IF(D$12=0,0,D119/D$12)</f>
        <v>-0.30399550251795582</v>
      </c>
      <c r="G119" s="14"/>
      <c r="H119" s="35">
        <f>+H115-H117</f>
        <v>-57495.772130916921</v>
      </c>
      <c r="I119" s="14"/>
      <c r="J119" s="32">
        <f>IF(H$12=0,0,H119/H$12)</f>
        <v>-0.3719579503345728</v>
      </c>
      <c r="K119" s="16"/>
      <c r="L119" s="35">
        <f>D119-H119</f>
        <v>28447.272130916917</v>
      </c>
      <c r="M119" s="16"/>
      <c r="N119" s="32">
        <f>IF(H119=0,0,L119/H119)</f>
        <v>-0.49477154713468235</v>
      </c>
      <c r="O119" s="28"/>
      <c r="P119" s="35">
        <f>+P115-P117</f>
        <v>-169673.51999999885</v>
      </c>
      <c r="Q119" s="14"/>
      <c r="R119" s="32">
        <f>IF(P$12=0,0,P119/P$12)</f>
        <v>-6.9610236955353996E-2</v>
      </c>
      <c r="S119" s="14"/>
      <c r="T119" s="35">
        <f>+T115-T117</f>
        <v>-31303.756570702826</v>
      </c>
      <c r="U119" s="14"/>
      <c r="V119" s="32">
        <f>IF(T$12=0,0,T119/T$12)</f>
        <v>-1.2762639947448216E-2</v>
      </c>
      <c r="W119" s="16"/>
      <c r="X119" s="35">
        <f>P119-T119</f>
        <v>-138369.76342929603</v>
      </c>
      <c r="Y119" s="16"/>
      <c r="Z119" s="32">
        <f>IF(T119=0,0,X119/T119)</f>
        <v>4.4202287069532176</v>
      </c>
    </row>
    <row r="120" spans="1:26" ht="15.75" thickTop="1" x14ac:dyDescent="0.25">
      <c r="A120" s="9"/>
      <c r="B120" s="9"/>
      <c r="C120" s="9"/>
      <c r="D120" s="3"/>
      <c r="E120" s="3"/>
      <c r="F120" s="8"/>
      <c r="G120" s="3"/>
      <c r="H120" s="3"/>
      <c r="I120" s="3"/>
      <c r="J120" s="8"/>
      <c r="K120" s="3"/>
      <c r="L120" s="3"/>
      <c r="M120" s="3"/>
      <c r="N120" s="8"/>
      <c r="P120" s="3"/>
      <c r="Q120" s="3"/>
      <c r="R120" s="8"/>
      <c r="S120" s="3"/>
      <c r="T120" s="3"/>
      <c r="U120" s="3"/>
      <c r="V120" s="8"/>
      <c r="W120" s="3"/>
      <c r="X120" s="3"/>
      <c r="Y120" s="3"/>
      <c r="Z120" s="8"/>
    </row>
    <row r="121" spans="1:26" x14ac:dyDescent="0.25">
      <c r="A121" s="9"/>
      <c r="B121" s="9"/>
      <c r="C121" s="9"/>
      <c r="D121" s="3"/>
      <c r="E121" s="3"/>
      <c r="F121" s="8"/>
      <c r="G121" s="3"/>
      <c r="H121" s="3"/>
      <c r="I121" s="3"/>
      <c r="J121" s="8"/>
      <c r="K121" s="3"/>
      <c r="L121" s="3"/>
      <c r="M121" s="3"/>
      <c r="N121" s="8"/>
      <c r="P121" s="3"/>
      <c r="Q121" s="3"/>
      <c r="R121" s="8"/>
      <c r="S121" s="3"/>
      <c r="T121" s="3"/>
      <c r="U121" s="3"/>
      <c r="V121" s="8"/>
      <c r="W121" s="3"/>
      <c r="X121" s="3"/>
      <c r="Y121" s="3"/>
      <c r="Z121" s="8"/>
    </row>
    <row r="122" spans="1:26" s="23" customFormat="1" ht="15.75" thickBot="1" x14ac:dyDescent="0.3">
      <c r="A122" s="10"/>
      <c r="B122" s="29" t="s">
        <v>5</v>
      </c>
      <c r="C122" s="29"/>
      <c r="D122" s="34">
        <f>SUM(D119:D121)</f>
        <v>-29048.500000000004</v>
      </c>
      <c r="E122" s="14"/>
      <c r="F122" s="31">
        <f>IF(D$12=0,0,D122/D$12)</f>
        <v>-0.30399550251795582</v>
      </c>
      <c r="G122" s="14"/>
      <c r="H122" s="34">
        <f>SUM(H119:H121)</f>
        <v>-57495.772130916921</v>
      </c>
      <c r="I122" s="14"/>
      <c r="J122" s="31">
        <f>IF(H$12=0,0,H122/H$12)</f>
        <v>-0.3719579503345728</v>
      </c>
      <c r="K122" s="16"/>
      <c r="L122" s="34">
        <f>+D122-H122</f>
        <v>28447.272130916917</v>
      </c>
      <c r="M122" s="16"/>
      <c r="N122" s="31">
        <f>IF(H122=0,0,L122/H122)</f>
        <v>-0.49477154713468235</v>
      </c>
      <c r="O122" s="28"/>
      <c r="P122" s="34">
        <f>SUM(P119:P121)</f>
        <v>-169673.51999999885</v>
      </c>
      <c r="Q122" s="14"/>
      <c r="R122" s="31">
        <f>IF(P$12=0,0,P122/P$12)</f>
        <v>-6.9610236955353996E-2</v>
      </c>
      <c r="S122" s="14"/>
      <c r="T122" s="34">
        <f>SUM(T119:T121)</f>
        <v>-31303.756570702826</v>
      </c>
      <c r="U122" s="14"/>
      <c r="V122" s="31">
        <f>IF(T$12=0,0,T122/T$12)</f>
        <v>-1.2762639947448216E-2</v>
      </c>
      <c r="W122" s="16"/>
      <c r="X122" s="34">
        <f>+P122-T122</f>
        <v>-138369.76342929603</v>
      </c>
      <c r="Y122" s="16"/>
      <c r="Z122" s="31">
        <f>IF(T122=0,0,X122/T122)</f>
        <v>4.4202287069532176</v>
      </c>
    </row>
    <row r="123" spans="1:26" ht="15.75" thickTop="1" x14ac:dyDescent="0.25">
      <c r="A123" s="9"/>
      <c r="C123" s="9"/>
      <c r="D123" s="18"/>
      <c r="E123" s="18"/>
      <c r="G123" s="18"/>
      <c r="H123" s="18"/>
      <c r="I123" s="18"/>
      <c r="J123" s="42"/>
      <c r="K123" s="18"/>
      <c r="L123" s="18"/>
      <c r="M123" s="18"/>
      <c r="P123" s="18"/>
      <c r="Q123" s="18"/>
      <c r="R123" s="42"/>
      <c r="S123" s="18"/>
      <c r="T123" s="18"/>
      <c r="U123" s="18"/>
      <c r="V123" s="42"/>
      <c r="W123" s="18"/>
      <c r="X123" s="18"/>
    </row>
    <row r="124" spans="1:26" x14ac:dyDescent="0.25">
      <c r="A124" s="9"/>
      <c r="B124" s="59">
        <v>43992.371279085652</v>
      </c>
      <c r="D124" s="18"/>
      <c r="E124" s="18"/>
      <c r="G124" s="18"/>
      <c r="H124" s="18"/>
      <c r="I124" s="18"/>
      <c r="J124" s="42"/>
      <c r="K124" s="18"/>
      <c r="L124" s="18"/>
      <c r="M124" s="18"/>
      <c r="P124" s="18"/>
      <c r="Q124" s="18"/>
      <c r="R124" s="42"/>
      <c r="S124" s="18"/>
      <c r="T124" s="18"/>
      <c r="U124" s="18"/>
      <c r="V124" s="42"/>
      <c r="W124" s="18"/>
      <c r="X124" s="18"/>
    </row>
    <row r="125" spans="1:26" x14ac:dyDescent="0.25">
      <c r="A125" s="9"/>
      <c r="B125" s="56" t="s">
        <v>314</v>
      </c>
      <c r="D125" s="18"/>
      <c r="E125" s="18"/>
      <c r="G125" s="18"/>
      <c r="H125" s="18"/>
      <c r="I125" s="18"/>
      <c r="J125" s="42"/>
      <c r="K125" s="18"/>
      <c r="L125" s="18"/>
      <c r="M125" s="18"/>
      <c r="P125" s="18"/>
      <c r="Q125" s="18"/>
      <c r="R125" s="42"/>
      <c r="S125" s="18"/>
      <c r="T125" s="18"/>
      <c r="U125" s="18"/>
      <c r="V125" s="42"/>
      <c r="W125" s="18"/>
      <c r="X125" s="18"/>
    </row>
    <row r="126" spans="1:26" x14ac:dyDescent="0.25">
      <c r="A126" s="9"/>
      <c r="B126" s="54"/>
      <c r="D126" s="18"/>
      <c r="E126" s="18"/>
      <c r="G126" s="18"/>
      <c r="H126" s="18"/>
      <c r="I126" s="18"/>
      <c r="J126" s="42"/>
      <c r="K126" s="18"/>
      <c r="L126" s="18"/>
      <c r="M126" s="18"/>
      <c r="P126" s="18"/>
      <c r="Q126" s="18"/>
      <c r="R126" s="42"/>
      <c r="S126" s="18"/>
      <c r="T126" s="18"/>
      <c r="U126" s="18"/>
      <c r="V126" s="42"/>
      <c r="W126" s="18"/>
      <c r="X126" s="18"/>
    </row>
    <row r="127" spans="1:26" x14ac:dyDescent="0.25">
      <c r="D127" s="18"/>
      <c r="E127" s="18"/>
      <c r="G127" s="18"/>
      <c r="H127" s="18"/>
      <c r="I127" s="18"/>
      <c r="J127" s="42"/>
      <c r="K127" s="18"/>
      <c r="L127" s="18"/>
      <c r="M127" s="18"/>
      <c r="P127" s="18"/>
      <c r="Q127" s="18"/>
      <c r="R127" s="42"/>
      <c r="S127" s="18"/>
      <c r="T127" s="18"/>
      <c r="U127" s="18"/>
      <c r="V127" s="42"/>
      <c r="W127" s="18"/>
      <c r="X127" s="18"/>
    </row>
  </sheetData>
  <pageMargins left="0.25" right="0.25" top="0.75" bottom="0.75" header="0.3" footer="0.3"/>
  <pageSetup scale="55" fitToWidth="2" orientation="landscape"/>
  <drawing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127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63" t="s">
        <v>13</v>
      </c>
    </row>
    <row r="3" spans="1:26" x14ac:dyDescent="0.25">
      <c r="D3" s="63" t="s">
        <v>296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61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63" t="str">
        <f>CONCATENATE("Period ",RIGHT(202011,2),", ",2020)</f>
        <v>Period 11, 2020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61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4">
        <v>43981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61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51"/>
      <c r="C6" s="51"/>
      <c r="D6" s="23" t="str">
        <f>CONCATENATE("Department ","317", " - ", "Computer Store")</f>
        <v>Department 317 - Computer Store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57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5" t="s">
        <v>294</v>
      </c>
      <c r="E9" s="15"/>
      <c r="F9" s="38"/>
      <c r="G9" s="15"/>
      <c r="H9" s="15"/>
      <c r="I9" s="15"/>
      <c r="J9" s="46"/>
      <c r="K9" s="15"/>
      <c r="L9" s="15"/>
      <c r="M9" s="15"/>
      <c r="N9" s="38"/>
      <c r="P9" s="15" t="s">
        <v>295</v>
      </c>
      <c r="Q9" s="15"/>
      <c r="R9" s="38"/>
      <c r="S9" s="15"/>
      <c r="T9" s="15"/>
      <c r="U9" s="15"/>
      <c r="V9" s="46"/>
      <c r="W9" s="15"/>
      <c r="X9" s="15"/>
      <c r="Y9" s="15"/>
      <c r="Z9" s="38"/>
    </row>
    <row r="10" spans="1:26" x14ac:dyDescent="0.25">
      <c r="A10" s="10"/>
      <c r="B10" s="55"/>
      <c r="C10" s="10"/>
      <c r="D10" s="43" t="s">
        <v>10</v>
      </c>
      <c r="E10" s="33"/>
      <c r="F10" s="40" t="s">
        <v>15</v>
      </c>
      <c r="G10" s="33"/>
      <c r="H10" s="47" t="s">
        <v>11</v>
      </c>
      <c r="I10" s="33"/>
      <c r="J10" s="45" t="s">
        <v>16</v>
      </c>
      <c r="K10" s="10"/>
      <c r="L10" s="43" t="s">
        <v>12</v>
      </c>
      <c r="M10" s="10"/>
      <c r="N10" s="40" t="s">
        <v>17</v>
      </c>
      <c r="O10" s="10"/>
      <c r="P10" s="53" t="s">
        <v>10</v>
      </c>
      <c r="Q10" s="33"/>
      <c r="R10" s="40" t="s">
        <v>15</v>
      </c>
      <c r="S10" s="33"/>
      <c r="T10" s="47" t="s">
        <v>11</v>
      </c>
      <c r="U10" s="33"/>
      <c r="V10" s="45" t="s">
        <v>16</v>
      </c>
      <c r="W10" s="10"/>
      <c r="X10" s="43" t="s">
        <v>12</v>
      </c>
      <c r="Y10" s="10"/>
      <c r="Z10" s="40" t="s">
        <v>17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95555.69</v>
      </c>
      <c r="E12" s="4"/>
      <c r="F12" s="13"/>
      <c r="G12" s="4"/>
      <c r="H12" s="4">
        <f>SUM(OSRRefH13x_0)</f>
        <v>154576</v>
      </c>
      <c r="I12" s="4"/>
      <c r="J12" s="13"/>
      <c r="K12" s="4"/>
      <c r="L12" s="4">
        <f t="shared" ref="L12:L38" si="0">+D12-H12</f>
        <v>-59020.31</v>
      </c>
      <c r="M12" s="4"/>
      <c r="N12" s="13">
        <f t="shared" ref="N12:N38" si="1">IF(H12=0,0,L12/H12)</f>
        <v>-0.38182065779939961</v>
      </c>
      <c r="O12" s="10"/>
      <c r="P12" s="4">
        <f>SUM(OSRRefP13x_0)</f>
        <v>2437479.4200000004</v>
      </c>
      <c r="Q12" s="4"/>
      <c r="R12" s="13"/>
      <c r="S12" s="4"/>
      <c r="T12" s="4">
        <f>SUM(OSRRefT13x_0)</f>
        <v>2452765</v>
      </c>
      <c r="U12" s="4"/>
      <c r="V12" s="13"/>
      <c r="W12" s="4"/>
      <c r="X12" s="4">
        <f t="shared" ref="X12:X38" si="2">+P12-T12</f>
        <v>-15285.579999999609</v>
      </c>
      <c r="Y12" s="4"/>
      <c r="Z12" s="13">
        <f t="shared" ref="Z12:Z38" si="3">IF(T12=0,0,X12/T12)</f>
        <v>-6.2319790114420291E-3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>0</f>
        <v>0</v>
      </c>
      <c r="E13" s="2"/>
      <c r="F13" s="19"/>
      <c r="G13" s="2"/>
      <c r="H13" s="2">
        <v>136027</v>
      </c>
      <c r="I13" s="2"/>
      <c r="J13" s="19"/>
      <c r="K13" s="2"/>
      <c r="L13" s="2">
        <f t="shared" si="0"/>
        <v>-136027</v>
      </c>
      <c r="M13" s="2"/>
      <c r="N13" s="19">
        <f t="shared" si="1"/>
        <v>-1</v>
      </c>
      <c r="O13" s="11"/>
      <c r="P13" s="2">
        <f>0</f>
        <v>0</v>
      </c>
      <c r="Q13" s="2"/>
      <c r="R13" s="19"/>
      <c r="S13" s="2"/>
      <c r="T13" s="2">
        <v>2158432</v>
      </c>
      <c r="U13" s="2"/>
      <c r="V13" s="19"/>
      <c r="W13" s="2"/>
      <c r="X13" s="2">
        <f t="shared" si="2"/>
        <v>-2158432</v>
      </c>
      <c r="Y13" s="2"/>
      <c r="Z13" s="19">
        <f t="shared" si="3"/>
        <v>-1</v>
      </c>
    </row>
    <row r="14" spans="1:26" s="24" customFormat="1" hidden="1" outlineLevel="1" x14ac:dyDescent="0.25">
      <c r="A14" s="44"/>
      <c r="B14" s="11" t="str">
        <f>CONCATENATE("          ", "4081", " - ", "TAXABLE SALES-ELECTRONICS")</f>
        <v xml:space="preserve">          4081 - TAXABLE SALES-ELECTRONICS</v>
      </c>
      <c r="C14" s="11"/>
      <c r="D14" s="2">
        <f>--1256.94</f>
        <v>1256.94</v>
      </c>
      <c r="E14" s="2"/>
      <c r="F14" s="19"/>
      <c r="G14" s="2"/>
      <c r="H14" s="2"/>
      <c r="I14" s="2"/>
      <c r="J14" s="19"/>
      <c r="K14" s="2"/>
      <c r="L14" s="2">
        <f t="shared" si="0"/>
        <v>1256.94</v>
      </c>
      <c r="M14" s="2"/>
      <c r="N14" s="19">
        <f t="shared" si="1"/>
        <v>0</v>
      </c>
      <c r="O14" s="11"/>
      <c r="P14" s="2">
        <f>--313160.03</f>
        <v>313160.03000000003</v>
      </c>
      <c r="Q14" s="2"/>
      <c r="R14" s="19"/>
      <c r="S14" s="2"/>
      <c r="T14" s="2"/>
      <c r="U14" s="2"/>
      <c r="V14" s="19"/>
      <c r="W14" s="2"/>
      <c r="X14" s="2">
        <f t="shared" si="2"/>
        <v>313160.03000000003</v>
      </c>
      <c r="Y14" s="2"/>
      <c r="Z14" s="19">
        <f t="shared" si="3"/>
        <v>0</v>
      </c>
    </row>
    <row r="15" spans="1:26" s="24" customFormat="1" hidden="1" outlineLevel="1" x14ac:dyDescent="0.25">
      <c r="A15" s="44"/>
      <c r="B15" s="11" t="str">
        <f>CONCATENATE("          ", "4082", " - ", "TAXABLE SALES-COMPUTER HARDWAR")</f>
        <v xml:space="preserve">          4082 - TAXABLE SALES-COMPUTER HARDWAR</v>
      </c>
      <c r="C15" s="11"/>
      <c r="D15" s="2">
        <f>--55929.1</f>
        <v>55929.1</v>
      </c>
      <c r="E15" s="2"/>
      <c r="F15" s="19"/>
      <c r="G15" s="2"/>
      <c r="H15" s="2"/>
      <c r="I15" s="2"/>
      <c r="J15" s="19"/>
      <c r="K15" s="2"/>
      <c r="L15" s="2">
        <f t="shared" si="0"/>
        <v>55929.1</v>
      </c>
      <c r="M15" s="2"/>
      <c r="N15" s="19">
        <f t="shared" si="1"/>
        <v>0</v>
      </c>
      <c r="O15" s="11"/>
      <c r="P15" s="2">
        <f>--1982238.78</f>
        <v>1982238.78</v>
      </c>
      <c r="Q15" s="2"/>
      <c r="R15" s="19"/>
      <c r="S15" s="2"/>
      <c r="T15" s="2"/>
      <c r="U15" s="2"/>
      <c r="V15" s="19"/>
      <c r="W15" s="2"/>
      <c r="X15" s="2">
        <f t="shared" si="2"/>
        <v>1982238.78</v>
      </c>
      <c r="Y15" s="2"/>
      <c r="Z15" s="19">
        <f t="shared" si="3"/>
        <v>0</v>
      </c>
    </row>
    <row r="16" spans="1:26" s="24" customFormat="1" hidden="1" outlineLevel="1" x14ac:dyDescent="0.25">
      <c r="A16" s="44"/>
      <c r="B16" s="11" t="str">
        <f>CONCATENATE("          ", "4083", " - ", "TAXABLE SALES-COMPUTER EQUIPME")</f>
        <v xml:space="preserve">          4083 - TAXABLE SALES-COMPUTER EQUIPME</v>
      </c>
      <c r="C16" s="11"/>
      <c r="D16" s="2">
        <f>--2640</f>
        <v>2640</v>
      </c>
      <c r="E16" s="2"/>
      <c r="F16" s="19"/>
      <c r="G16" s="2"/>
      <c r="H16" s="2"/>
      <c r="I16" s="2"/>
      <c r="J16" s="19"/>
      <c r="K16" s="2"/>
      <c r="L16" s="2">
        <f t="shared" si="0"/>
        <v>2640</v>
      </c>
      <c r="M16" s="2"/>
      <c r="N16" s="19">
        <f t="shared" si="1"/>
        <v>0</v>
      </c>
      <c r="O16" s="11"/>
      <c r="P16" s="2">
        <f>--105504.07</f>
        <v>105504.07</v>
      </c>
      <c r="Q16" s="2"/>
      <c r="R16" s="19"/>
      <c r="S16" s="2"/>
      <c r="T16" s="2"/>
      <c r="U16" s="2"/>
      <c r="V16" s="19"/>
      <c r="W16" s="2"/>
      <c r="X16" s="2">
        <f t="shared" si="2"/>
        <v>105504.07</v>
      </c>
      <c r="Y16" s="2"/>
      <c r="Z16" s="19">
        <f t="shared" si="3"/>
        <v>0</v>
      </c>
    </row>
    <row r="17" spans="1:26" s="24" customFormat="1" hidden="1" outlineLevel="1" x14ac:dyDescent="0.25">
      <c r="A17" s="44"/>
      <c r="B17" s="11" t="str">
        <f>CONCATENATE("          ", "4084", " - ", "TAXABLE SALES-SOFTWARE LICENSE")</f>
        <v xml:space="preserve">          4084 - TAXABLE SALES-SOFTWARE LICENSE</v>
      </c>
      <c r="C17" s="11"/>
      <c r="D17" s="2">
        <f>0</f>
        <v>0</v>
      </c>
      <c r="E17" s="2"/>
      <c r="F17" s="19"/>
      <c r="G17" s="2"/>
      <c r="H17" s="2"/>
      <c r="I17" s="2"/>
      <c r="J17" s="19"/>
      <c r="K17" s="2"/>
      <c r="L17" s="2">
        <f t="shared" si="0"/>
        <v>0</v>
      </c>
      <c r="M17" s="2"/>
      <c r="N17" s="19">
        <f t="shared" si="1"/>
        <v>0</v>
      </c>
      <c r="O17" s="11"/>
      <c r="P17" s="2">
        <f>--129</f>
        <v>129</v>
      </c>
      <c r="Q17" s="2"/>
      <c r="R17" s="19"/>
      <c r="S17" s="2"/>
      <c r="T17" s="2"/>
      <c r="U17" s="2"/>
      <c r="V17" s="19"/>
      <c r="W17" s="2"/>
      <c r="X17" s="2">
        <f t="shared" si="2"/>
        <v>129</v>
      </c>
      <c r="Y17" s="2"/>
      <c r="Z17" s="19">
        <f t="shared" si="3"/>
        <v>0</v>
      </c>
    </row>
    <row r="18" spans="1:26" s="24" customFormat="1" hidden="1" outlineLevel="1" x14ac:dyDescent="0.25">
      <c r="A18" s="44"/>
      <c r="B18" s="11" t="str">
        <f>CONCATENATE("          ", "4085", " - ", "TAXABLE SALES-SOFTWARE")</f>
        <v xml:space="preserve">          4085 - TAXABLE SALES-SOFTWARE</v>
      </c>
      <c r="C18" s="11"/>
      <c r="D18" s="2">
        <f>--20</f>
        <v>20</v>
      </c>
      <c r="E18" s="2"/>
      <c r="F18" s="19"/>
      <c r="G18" s="2"/>
      <c r="H18" s="2"/>
      <c r="I18" s="2"/>
      <c r="J18" s="19"/>
      <c r="K18" s="2"/>
      <c r="L18" s="2">
        <f t="shared" si="0"/>
        <v>20</v>
      </c>
      <c r="M18" s="2"/>
      <c r="N18" s="19">
        <f t="shared" si="1"/>
        <v>0</v>
      </c>
      <c r="O18" s="11"/>
      <c r="P18" s="2">
        <f>--4587.93</f>
        <v>4587.93</v>
      </c>
      <c r="Q18" s="2"/>
      <c r="R18" s="19"/>
      <c r="S18" s="2"/>
      <c r="T18" s="2"/>
      <c r="U18" s="2"/>
      <c r="V18" s="19"/>
      <c r="W18" s="2"/>
      <c r="X18" s="2">
        <f t="shared" si="2"/>
        <v>4587.93</v>
      </c>
      <c r="Y18" s="2"/>
      <c r="Z18" s="19">
        <f t="shared" si="3"/>
        <v>0</v>
      </c>
    </row>
    <row r="19" spans="1:26" s="24" customFormat="1" hidden="1" outlineLevel="1" x14ac:dyDescent="0.25">
      <c r="A19" s="44"/>
      <c r="B19" s="11" t="str">
        <f>CONCATENATE("          ", "4086", " - ", "TAXABLE SALES-COMPUTER SUPPLIE")</f>
        <v xml:space="preserve">          4086 - TAXABLE SALES-COMPUTER SUPPLIE</v>
      </c>
      <c r="C19" s="11"/>
      <c r="D19" s="2">
        <f>--357.44</f>
        <v>357.44</v>
      </c>
      <c r="E19" s="2"/>
      <c r="F19" s="19"/>
      <c r="G19" s="2"/>
      <c r="H19" s="2"/>
      <c r="I19" s="2"/>
      <c r="J19" s="19"/>
      <c r="K19" s="2"/>
      <c r="L19" s="2">
        <f t="shared" si="0"/>
        <v>357.44</v>
      </c>
      <c r="M19" s="2"/>
      <c r="N19" s="19">
        <f t="shared" si="1"/>
        <v>0</v>
      </c>
      <c r="O19" s="11"/>
      <c r="P19" s="2">
        <f>--48715.72</f>
        <v>48715.72</v>
      </c>
      <c r="Q19" s="2"/>
      <c r="R19" s="19"/>
      <c r="S19" s="2"/>
      <c r="T19" s="2"/>
      <c r="U19" s="2"/>
      <c r="V19" s="19"/>
      <c r="W19" s="2"/>
      <c r="X19" s="2">
        <f t="shared" si="2"/>
        <v>48715.72</v>
      </c>
      <c r="Y19" s="2"/>
      <c r="Z19" s="19">
        <f t="shared" si="3"/>
        <v>0</v>
      </c>
    </row>
    <row r="20" spans="1:26" s="24" customFormat="1" hidden="1" outlineLevel="1" x14ac:dyDescent="0.25">
      <c r="A20" s="44"/>
      <c r="B20" s="11" t="str">
        <f>CONCATENATE("          ", "4088", " - ", "TAXABLE SALES-MUSIC")</f>
        <v xml:space="preserve">          4088 - TAXABLE SALES-MUSIC</v>
      </c>
      <c r="C20" s="11"/>
      <c r="D20" s="2">
        <f>--1120.94</f>
        <v>1120.94</v>
      </c>
      <c r="E20" s="2"/>
      <c r="F20" s="19"/>
      <c r="G20" s="2"/>
      <c r="H20" s="2"/>
      <c r="I20" s="2"/>
      <c r="J20" s="19"/>
      <c r="K20" s="2"/>
      <c r="L20" s="2">
        <f t="shared" si="0"/>
        <v>1120.94</v>
      </c>
      <c r="M20" s="2"/>
      <c r="N20" s="19">
        <f t="shared" si="1"/>
        <v>0</v>
      </c>
      <c r="O20" s="11"/>
      <c r="P20" s="2">
        <f>--2795.75</f>
        <v>2795.75</v>
      </c>
      <c r="Q20" s="2"/>
      <c r="R20" s="19"/>
      <c r="S20" s="2"/>
      <c r="T20" s="2"/>
      <c r="U20" s="2"/>
      <c r="V20" s="19"/>
      <c r="W20" s="2"/>
      <c r="X20" s="2">
        <f t="shared" si="2"/>
        <v>2795.75</v>
      </c>
      <c r="Y20" s="2"/>
      <c r="Z20" s="19">
        <f t="shared" si="3"/>
        <v>0</v>
      </c>
    </row>
    <row r="21" spans="1:26" s="24" customFormat="1" hidden="1" outlineLevel="1" x14ac:dyDescent="0.25">
      <c r="A21" s="44"/>
      <c r="B21" s="11" t="str">
        <f>CONCATENATE("          ", "4100", " - ", "NON-TAXABLE SALES")</f>
        <v xml:space="preserve">          4100 - NON-TAXABLE SALES</v>
      </c>
      <c r="C21" s="11"/>
      <c r="D21" s="2">
        <f>0</f>
        <v>0</v>
      </c>
      <c r="E21" s="2"/>
      <c r="F21" s="19"/>
      <c r="G21" s="2"/>
      <c r="H21" s="2">
        <v>18549</v>
      </c>
      <c r="I21" s="2"/>
      <c r="J21" s="19"/>
      <c r="K21" s="2"/>
      <c r="L21" s="2">
        <f t="shared" si="0"/>
        <v>-18549</v>
      </c>
      <c r="M21" s="2"/>
      <c r="N21" s="19">
        <f t="shared" si="1"/>
        <v>-1</v>
      </c>
      <c r="O21" s="11"/>
      <c r="P21" s="2">
        <f>0</f>
        <v>0</v>
      </c>
      <c r="Q21" s="2"/>
      <c r="R21" s="19"/>
      <c r="S21" s="2"/>
      <c r="T21" s="2">
        <v>294333</v>
      </c>
      <c r="U21" s="2"/>
      <c r="V21" s="19"/>
      <c r="W21" s="2"/>
      <c r="X21" s="2">
        <f t="shared" si="2"/>
        <v>-294333</v>
      </c>
      <c r="Y21" s="2"/>
      <c r="Z21" s="19">
        <f t="shared" si="3"/>
        <v>-1</v>
      </c>
    </row>
    <row r="22" spans="1:26" s="24" customFormat="1" hidden="1" outlineLevel="1" x14ac:dyDescent="0.25">
      <c r="A22" s="44"/>
      <c r="B22" s="11" t="str">
        <f>CONCATENATE("          ", "4181", " - ", "NON-TAXABLE SALES-ELECTRONICS")</f>
        <v xml:space="preserve">          4181 - NON-TAXABLE SALES-ELECTRONICS</v>
      </c>
      <c r="C22" s="11"/>
      <c r="D22" s="2">
        <f>--424.46</f>
        <v>424.46</v>
      </c>
      <c r="E22" s="2"/>
      <c r="F22" s="19"/>
      <c r="G22" s="2"/>
      <c r="H22" s="2"/>
      <c r="I22" s="2"/>
      <c r="J22" s="19"/>
      <c r="K22" s="2"/>
      <c r="L22" s="2">
        <f t="shared" si="0"/>
        <v>424.46</v>
      </c>
      <c r="M22" s="2"/>
      <c r="N22" s="19">
        <f t="shared" si="1"/>
        <v>0</v>
      </c>
      <c r="O22" s="11"/>
      <c r="P22" s="2">
        <f>--2657.79</f>
        <v>2657.79</v>
      </c>
      <c r="Q22" s="2"/>
      <c r="R22" s="19"/>
      <c r="S22" s="2"/>
      <c r="T22" s="2"/>
      <c r="U22" s="2"/>
      <c r="V22" s="19"/>
      <c r="W22" s="2"/>
      <c r="X22" s="2">
        <f t="shared" si="2"/>
        <v>2657.79</v>
      </c>
      <c r="Y22" s="2"/>
      <c r="Z22" s="19">
        <f t="shared" si="3"/>
        <v>0</v>
      </c>
    </row>
    <row r="23" spans="1:26" s="24" customFormat="1" hidden="1" outlineLevel="1" x14ac:dyDescent="0.25">
      <c r="A23" s="44"/>
      <c r="B23" s="11" t="str">
        <f>CONCATENATE("          ", "4182", " - ", "NON-TAXABLE SALES-COMPUTER HAR")</f>
        <v xml:space="preserve">          4182 - NON-TAXABLE SALES-COMPUTER HAR</v>
      </c>
      <c r="C23" s="11"/>
      <c r="D23" s="2">
        <f>--28134.6</f>
        <v>28134.6</v>
      </c>
      <c r="E23" s="2"/>
      <c r="F23" s="19"/>
      <c r="G23" s="2"/>
      <c r="H23" s="2"/>
      <c r="I23" s="2"/>
      <c r="J23" s="19"/>
      <c r="K23" s="2"/>
      <c r="L23" s="2">
        <f t="shared" si="0"/>
        <v>28134.6</v>
      </c>
      <c r="M23" s="2"/>
      <c r="N23" s="19">
        <f t="shared" si="1"/>
        <v>0</v>
      </c>
      <c r="O23" s="11"/>
      <c r="P23" s="2">
        <f>--176201.54</f>
        <v>176201.54</v>
      </c>
      <c r="Q23" s="2"/>
      <c r="R23" s="19"/>
      <c r="S23" s="2"/>
      <c r="T23" s="2"/>
      <c r="U23" s="2"/>
      <c r="V23" s="19"/>
      <c r="W23" s="2"/>
      <c r="X23" s="2">
        <f t="shared" si="2"/>
        <v>176201.54</v>
      </c>
      <c r="Y23" s="2"/>
      <c r="Z23" s="19">
        <f t="shared" si="3"/>
        <v>0</v>
      </c>
    </row>
    <row r="24" spans="1:26" s="24" customFormat="1" hidden="1" outlineLevel="1" x14ac:dyDescent="0.25">
      <c r="A24" s="44"/>
      <c r="B24" s="11" t="str">
        <f>CONCATENATE("          ", "4183", " - ", "NON-TAXABLE SALES-COMPUTER EQU")</f>
        <v xml:space="preserve">          4183 - NON-TAXABLE SALES-COMPUTER EQU</v>
      </c>
      <c r="C24" s="11"/>
      <c r="D24" s="2">
        <f>--1895.54</f>
        <v>1895.54</v>
      </c>
      <c r="E24" s="2"/>
      <c r="F24" s="19"/>
      <c r="G24" s="2"/>
      <c r="H24" s="2"/>
      <c r="I24" s="2"/>
      <c r="J24" s="19"/>
      <c r="K24" s="2"/>
      <c r="L24" s="2">
        <f t="shared" si="0"/>
        <v>1895.54</v>
      </c>
      <c r="M24" s="2"/>
      <c r="N24" s="19">
        <f t="shared" si="1"/>
        <v>0</v>
      </c>
      <c r="O24" s="11"/>
      <c r="P24" s="2">
        <f>--11427.56</f>
        <v>11427.56</v>
      </c>
      <c r="Q24" s="2"/>
      <c r="R24" s="19"/>
      <c r="S24" s="2"/>
      <c r="T24" s="2"/>
      <c r="U24" s="2"/>
      <c r="V24" s="19"/>
      <c r="W24" s="2"/>
      <c r="X24" s="2">
        <f t="shared" si="2"/>
        <v>11427.56</v>
      </c>
      <c r="Y24" s="2"/>
      <c r="Z24" s="19">
        <f t="shared" si="3"/>
        <v>0</v>
      </c>
    </row>
    <row r="25" spans="1:26" s="24" customFormat="1" hidden="1" outlineLevel="1" x14ac:dyDescent="0.25">
      <c r="A25" s="44"/>
      <c r="B25" s="11" t="str">
        <f>CONCATENATE("          ", "4184", " - ", "NON-TAXABLE SALES-SOFTWARE LIC")</f>
        <v xml:space="preserve">          4184 - NON-TAXABLE SALES-SOFTWARE LIC</v>
      </c>
      <c r="C25" s="11"/>
      <c r="D25" s="2">
        <f>0</f>
        <v>0</v>
      </c>
      <c r="E25" s="2"/>
      <c r="F25" s="19"/>
      <c r="G25" s="2"/>
      <c r="H25" s="2"/>
      <c r="I25" s="2"/>
      <c r="J25" s="19"/>
      <c r="K25" s="2"/>
      <c r="L25" s="2">
        <f t="shared" si="0"/>
        <v>0</v>
      </c>
      <c r="M25" s="2"/>
      <c r="N25" s="19">
        <f t="shared" si="1"/>
        <v>0</v>
      </c>
      <c r="O25" s="11"/>
      <c r="P25" s="2">
        <f>--2728</f>
        <v>2728</v>
      </c>
      <c r="Q25" s="2"/>
      <c r="R25" s="19"/>
      <c r="S25" s="2"/>
      <c r="T25" s="2"/>
      <c r="U25" s="2"/>
      <c r="V25" s="19"/>
      <c r="W25" s="2"/>
      <c r="X25" s="2">
        <f t="shared" si="2"/>
        <v>2728</v>
      </c>
      <c r="Y25" s="2"/>
      <c r="Z25" s="19">
        <f t="shared" si="3"/>
        <v>0</v>
      </c>
    </row>
    <row r="26" spans="1:26" s="24" customFormat="1" hidden="1" outlineLevel="1" x14ac:dyDescent="0.25">
      <c r="A26" s="44"/>
      <c r="B26" s="11" t="str">
        <f>CONCATENATE("          ", "4185", " - ", "NON-TAXABLE SALES-SOFTWARE")</f>
        <v xml:space="preserve">          4185 - NON-TAXABLE SALES-SOFTWARE</v>
      </c>
      <c r="C26" s="11"/>
      <c r="D26" s="2">
        <f>--4176.74</f>
        <v>4176.74</v>
      </c>
      <c r="E26" s="2"/>
      <c r="F26" s="19"/>
      <c r="G26" s="2"/>
      <c r="H26" s="2"/>
      <c r="I26" s="2"/>
      <c r="J26" s="19"/>
      <c r="K26" s="2"/>
      <c r="L26" s="2">
        <f t="shared" si="0"/>
        <v>4176.74</v>
      </c>
      <c r="M26" s="2"/>
      <c r="N26" s="19">
        <f t="shared" si="1"/>
        <v>0</v>
      </c>
      <c r="O26" s="11"/>
      <c r="P26" s="2">
        <f>--20524.35</f>
        <v>20524.349999999999</v>
      </c>
      <c r="Q26" s="2"/>
      <c r="R26" s="19"/>
      <c r="S26" s="2"/>
      <c r="T26" s="2"/>
      <c r="U26" s="2"/>
      <c r="V26" s="19"/>
      <c r="W26" s="2"/>
      <c r="X26" s="2">
        <f t="shared" si="2"/>
        <v>20524.349999999999</v>
      </c>
      <c r="Y26" s="2"/>
      <c r="Z26" s="19">
        <f t="shared" si="3"/>
        <v>0</v>
      </c>
    </row>
    <row r="27" spans="1:26" s="24" customFormat="1" hidden="1" outlineLevel="1" x14ac:dyDescent="0.25">
      <c r="A27" s="44"/>
      <c r="B27" s="11" t="str">
        <f>CONCATENATE("          ", "4186", " - ", "NON-TAXABLE SALES-COMPUTER SUP")</f>
        <v xml:space="preserve">          4186 - NON-TAXABLE SALES-COMPUTER SUP</v>
      </c>
      <c r="C27" s="11"/>
      <c r="D27" s="2">
        <f>--85.95</f>
        <v>85.95</v>
      </c>
      <c r="E27" s="2"/>
      <c r="F27" s="19"/>
      <c r="G27" s="2"/>
      <c r="H27" s="2"/>
      <c r="I27" s="2"/>
      <c r="J27" s="19"/>
      <c r="K27" s="2"/>
      <c r="L27" s="2">
        <f t="shared" si="0"/>
        <v>85.95</v>
      </c>
      <c r="M27" s="2"/>
      <c r="N27" s="19">
        <f t="shared" si="1"/>
        <v>0</v>
      </c>
      <c r="O27" s="11"/>
      <c r="P27" s="2">
        <f>--2926.08</f>
        <v>2926.08</v>
      </c>
      <c r="Q27" s="2"/>
      <c r="R27" s="19"/>
      <c r="S27" s="2"/>
      <c r="T27" s="2"/>
      <c r="U27" s="2"/>
      <c r="V27" s="19"/>
      <c r="W27" s="2"/>
      <c r="X27" s="2">
        <f t="shared" si="2"/>
        <v>2926.08</v>
      </c>
      <c r="Y27" s="2"/>
      <c r="Z27" s="19">
        <f t="shared" si="3"/>
        <v>0</v>
      </c>
    </row>
    <row r="28" spans="1:26" s="24" customFormat="1" hidden="1" outlineLevel="1" x14ac:dyDescent="0.25">
      <c r="A28" s="44"/>
      <c r="B28" s="11" t="str">
        <f>CONCATENATE("          ", "4188", " - ", "NON-TAXABLE SALES-MUSIC")</f>
        <v xml:space="preserve">          4188 - NON-TAXABLE SALES-MUSIC</v>
      </c>
      <c r="C28" s="11"/>
      <c r="D28" s="2">
        <f>--123.98</f>
        <v>123.98</v>
      </c>
      <c r="E28" s="2"/>
      <c r="F28" s="19"/>
      <c r="G28" s="2"/>
      <c r="H28" s="2"/>
      <c r="I28" s="2"/>
      <c r="J28" s="19"/>
      <c r="K28" s="2"/>
      <c r="L28" s="2">
        <f t="shared" si="0"/>
        <v>123.98</v>
      </c>
      <c r="M28" s="2"/>
      <c r="N28" s="19">
        <f t="shared" si="1"/>
        <v>0</v>
      </c>
      <c r="O28" s="11"/>
      <c r="P28" s="2">
        <f>--343.94</f>
        <v>343.94</v>
      </c>
      <c r="Q28" s="2"/>
      <c r="R28" s="19"/>
      <c r="S28" s="2"/>
      <c r="T28" s="2"/>
      <c r="U28" s="2"/>
      <c r="V28" s="19"/>
      <c r="W28" s="2"/>
      <c r="X28" s="2">
        <f t="shared" si="2"/>
        <v>343.94</v>
      </c>
      <c r="Y28" s="2"/>
      <c r="Z28" s="19">
        <f t="shared" si="3"/>
        <v>0</v>
      </c>
    </row>
    <row r="29" spans="1:26" s="24" customFormat="1" hidden="1" outlineLevel="1" x14ac:dyDescent="0.25">
      <c r="A29" s="44"/>
      <c r="B29" s="11" t="str">
        <f>CONCATENATE("          ", "4281", " - ", "SALES RETURN TAXABLE-ELECTRONI")</f>
        <v xml:space="preserve">          4281 - SALES RETURN TAXABLE-ELECTRONI</v>
      </c>
      <c r="C29" s="11"/>
      <c r="D29" s="2">
        <f>-159</f>
        <v>-159</v>
      </c>
      <c r="E29" s="2"/>
      <c r="F29" s="19"/>
      <c r="G29" s="2"/>
      <c r="H29" s="2"/>
      <c r="I29" s="2"/>
      <c r="J29" s="19"/>
      <c r="K29" s="2"/>
      <c r="L29" s="2">
        <f t="shared" si="0"/>
        <v>-159</v>
      </c>
      <c r="M29" s="2"/>
      <c r="N29" s="19">
        <f t="shared" si="1"/>
        <v>0</v>
      </c>
      <c r="O29" s="11"/>
      <c r="P29" s="2">
        <f>-7940.7</f>
        <v>-7940.7</v>
      </c>
      <c r="Q29" s="2"/>
      <c r="R29" s="19"/>
      <c r="S29" s="2"/>
      <c r="T29" s="2"/>
      <c r="U29" s="2"/>
      <c r="V29" s="19"/>
      <c r="W29" s="2"/>
      <c r="X29" s="2">
        <f t="shared" si="2"/>
        <v>-7940.7</v>
      </c>
      <c r="Y29" s="2"/>
      <c r="Z29" s="19">
        <f t="shared" si="3"/>
        <v>0</v>
      </c>
    </row>
    <row r="30" spans="1:26" s="24" customFormat="1" hidden="1" outlineLevel="1" x14ac:dyDescent="0.25">
      <c r="A30" s="44"/>
      <c r="B30" s="11" t="str">
        <f>CONCATENATE("          ", "4282", " - ", "SALES RETURN TAXABLE-COMPUTER")</f>
        <v xml:space="preserve">          4282 - SALES RETURN TAXABLE-COMPUTER</v>
      </c>
      <c r="C30" s="11"/>
      <c r="D30" s="2">
        <f>-183</f>
        <v>-183</v>
      </c>
      <c r="E30" s="2"/>
      <c r="F30" s="19"/>
      <c r="G30" s="2"/>
      <c r="H30" s="2"/>
      <c r="I30" s="2"/>
      <c r="J30" s="19"/>
      <c r="K30" s="2"/>
      <c r="L30" s="2">
        <f t="shared" si="0"/>
        <v>-183</v>
      </c>
      <c r="M30" s="2"/>
      <c r="N30" s="19">
        <f t="shared" si="1"/>
        <v>0</v>
      </c>
      <c r="O30" s="11"/>
      <c r="P30" s="2">
        <f>-215628.8</f>
        <v>-215628.79999999999</v>
      </c>
      <c r="Q30" s="2"/>
      <c r="R30" s="19"/>
      <c r="S30" s="2"/>
      <c r="T30" s="2"/>
      <c r="U30" s="2"/>
      <c r="V30" s="19"/>
      <c r="W30" s="2"/>
      <c r="X30" s="2">
        <f t="shared" si="2"/>
        <v>-215628.79999999999</v>
      </c>
      <c r="Y30" s="2"/>
      <c r="Z30" s="19">
        <f t="shared" si="3"/>
        <v>0</v>
      </c>
    </row>
    <row r="31" spans="1:26" s="24" customFormat="1" hidden="1" outlineLevel="1" x14ac:dyDescent="0.25">
      <c r="A31" s="44"/>
      <c r="B31" s="11" t="str">
        <f>CONCATENATE("          ", "4283", " - ", "SALES RETURN TAXABLE-COMPUTER")</f>
        <v xml:space="preserve">          4283 - SALES RETURN TAXABLE-COMPUTER</v>
      </c>
      <c r="C31" s="11"/>
      <c r="D31" s="2">
        <f>-119</f>
        <v>-119</v>
      </c>
      <c r="E31" s="2"/>
      <c r="F31" s="19"/>
      <c r="G31" s="2"/>
      <c r="H31" s="2"/>
      <c r="I31" s="2"/>
      <c r="J31" s="19"/>
      <c r="K31" s="2"/>
      <c r="L31" s="2">
        <f t="shared" si="0"/>
        <v>-119</v>
      </c>
      <c r="M31" s="2"/>
      <c r="N31" s="19">
        <f t="shared" si="1"/>
        <v>0</v>
      </c>
      <c r="O31" s="11"/>
      <c r="P31" s="2">
        <f>-6708.02</f>
        <v>-6708.02</v>
      </c>
      <c r="Q31" s="2"/>
      <c r="R31" s="19"/>
      <c r="S31" s="2"/>
      <c r="T31" s="2"/>
      <c r="U31" s="2"/>
      <c r="V31" s="19"/>
      <c r="W31" s="2"/>
      <c r="X31" s="2">
        <f t="shared" si="2"/>
        <v>-6708.02</v>
      </c>
      <c r="Y31" s="2"/>
      <c r="Z31" s="19">
        <f t="shared" si="3"/>
        <v>0</v>
      </c>
    </row>
    <row r="32" spans="1:26" s="24" customFormat="1" hidden="1" outlineLevel="1" x14ac:dyDescent="0.25">
      <c r="A32" s="44"/>
      <c r="B32" s="11" t="str">
        <f>CONCATENATE("          ", "4284", " - ", "SALES RETURN TAXABLE-SOFTWARE")</f>
        <v xml:space="preserve">          4284 - SALES RETURN TAXABLE-SOFTWARE</v>
      </c>
      <c r="C32" s="11"/>
      <c r="D32" s="2">
        <f t="shared" ref="D32:D34" si="4">0</f>
        <v>0</v>
      </c>
      <c r="E32" s="2"/>
      <c r="F32" s="19"/>
      <c r="G32" s="2"/>
      <c r="H32" s="2"/>
      <c r="I32" s="2"/>
      <c r="J32" s="19"/>
      <c r="K32" s="2"/>
      <c r="L32" s="2">
        <f t="shared" si="0"/>
        <v>0</v>
      </c>
      <c r="M32" s="2"/>
      <c r="N32" s="19">
        <f t="shared" si="1"/>
        <v>0</v>
      </c>
      <c r="O32" s="11"/>
      <c r="P32" s="2">
        <f>-129</f>
        <v>-129</v>
      </c>
      <c r="Q32" s="2"/>
      <c r="R32" s="19"/>
      <c r="S32" s="2"/>
      <c r="T32" s="2"/>
      <c r="U32" s="2"/>
      <c r="V32" s="19"/>
      <c r="W32" s="2"/>
      <c r="X32" s="2">
        <f t="shared" si="2"/>
        <v>-129</v>
      </c>
      <c r="Y32" s="2"/>
      <c r="Z32" s="19">
        <f t="shared" si="3"/>
        <v>0</v>
      </c>
    </row>
    <row r="33" spans="1:26" s="24" customFormat="1" hidden="1" outlineLevel="1" x14ac:dyDescent="0.25">
      <c r="A33" s="44"/>
      <c r="B33" s="11" t="str">
        <f>CONCATENATE("          ", "4285", " - ", "SALES RETURN TAXABLE-SOFTWARE")</f>
        <v xml:space="preserve">          4285 - SALES RETURN TAXABLE-SOFTWARE</v>
      </c>
      <c r="C33" s="11"/>
      <c r="D33" s="2">
        <f t="shared" si="4"/>
        <v>0</v>
      </c>
      <c r="E33" s="2"/>
      <c r="F33" s="19"/>
      <c r="G33" s="2"/>
      <c r="H33" s="2"/>
      <c r="I33" s="2"/>
      <c r="J33" s="19"/>
      <c r="K33" s="2"/>
      <c r="L33" s="2">
        <f t="shared" si="0"/>
        <v>0</v>
      </c>
      <c r="M33" s="2"/>
      <c r="N33" s="19">
        <f t="shared" si="1"/>
        <v>0</v>
      </c>
      <c r="O33" s="11"/>
      <c r="P33" s="2">
        <f>-805.97</f>
        <v>-805.97</v>
      </c>
      <c r="Q33" s="2"/>
      <c r="R33" s="19"/>
      <c r="S33" s="2"/>
      <c r="T33" s="2"/>
      <c r="U33" s="2"/>
      <c r="V33" s="19"/>
      <c r="W33" s="2"/>
      <c r="X33" s="2">
        <f t="shared" si="2"/>
        <v>-805.97</v>
      </c>
      <c r="Y33" s="2"/>
      <c r="Z33" s="19">
        <f t="shared" si="3"/>
        <v>0</v>
      </c>
    </row>
    <row r="34" spans="1:26" s="24" customFormat="1" hidden="1" outlineLevel="1" x14ac:dyDescent="0.25">
      <c r="A34" s="44"/>
      <c r="B34" s="11" t="str">
        <f>CONCATENATE("          ", "4286", " - ", "SALES RETURN TAXABLE-COMPUTER")</f>
        <v xml:space="preserve">          4286 - SALES RETURN TAXABLE-COMPUTER</v>
      </c>
      <c r="C34" s="11"/>
      <c r="D34" s="2">
        <f t="shared" si="4"/>
        <v>0</v>
      </c>
      <c r="E34" s="2"/>
      <c r="F34" s="19"/>
      <c r="G34" s="2"/>
      <c r="H34" s="2"/>
      <c r="I34" s="2"/>
      <c r="J34" s="19"/>
      <c r="K34" s="2"/>
      <c r="L34" s="2">
        <f t="shared" si="0"/>
        <v>0</v>
      </c>
      <c r="M34" s="2"/>
      <c r="N34" s="19">
        <f t="shared" si="1"/>
        <v>0</v>
      </c>
      <c r="O34" s="11"/>
      <c r="P34" s="2">
        <f>-3660.86</f>
        <v>-3660.86</v>
      </c>
      <c r="Q34" s="2"/>
      <c r="R34" s="19"/>
      <c r="S34" s="2"/>
      <c r="T34" s="2"/>
      <c r="U34" s="2"/>
      <c r="V34" s="19"/>
      <c r="W34" s="2"/>
      <c r="X34" s="2">
        <f t="shared" si="2"/>
        <v>-3660.86</v>
      </c>
      <c r="Y34" s="2"/>
      <c r="Z34" s="19">
        <f t="shared" si="3"/>
        <v>0</v>
      </c>
    </row>
    <row r="35" spans="1:26" s="24" customFormat="1" hidden="1" outlineLevel="1" x14ac:dyDescent="0.25">
      <c r="A35" s="44"/>
      <c r="B35" s="11" t="str">
        <f>CONCATENATE("          ", "4288", " - ", "TAXABLE SALES RETURN-MUSIC")</f>
        <v xml:space="preserve">          4288 - TAXABLE SALES RETURN-MUSIC</v>
      </c>
      <c r="C35" s="11"/>
      <c r="D35" s="2">
        <f>-149</f>
        <v>-149</v>
      </c>
      <c r="E35" s="2"/>
      <c r="F35" s="19"/>
      <c r="G35" s="2"/>
      <c r="H35" s="2"/>
      <c r="I35" s="2"/>
      <c r="J35" s="19"/>
      <c r="K35" s="2"/>
      <c r="L35" s="2">
        <f t="shared" si="0"/>
        <v>-149</v>
      </c>
      <c r="M35" s="2"/>
      <c r="N35" s="19">
        <f t="shared" si="1"/>
        <v>0</v>
      </c>
      <c r="O35" s="11"/>
      <c r="P35" s="2">
        <f>-152.99</f>
        <v>-152.99</v>
      </c>
      <c r="Q35" s="2"/>
      <c r="R35" s="19"/>
      <c r="S35" s="2"/>
      <c r="T35" s="2"/>
      <c r="U35" s="2"/>
      <c r="V35" s="19"/>
      <c r="W35" s="2"/>
      <c r="X35" s="2">
        <f t="shared" si="2"/>
        <v>-152.99</v>
      </c>
      <c r="Y35" s="2"/>
      <c r="Z35" s="19">
        <f t="shared" si="3"/>
        <v>0</v>
      </c>
    </row>
    <row r="36" spans="1:26" s="24" customFormat="1" hidden="1" outlineLevel="1" x14ac:dyDescent="0.25">
      <c r="A36" s="44"/>
      <c r="B36" s="11" t="str">
        <f>CONCATENATE("          ", "4381", " - ", "SALES RETURN NON TAXABLE-ELECT")</f>
        <v xml:space="preserve">          4381 - SALES RETURN NON TAXABLE-ELECT</v>
      </c>
      <c r="C36" s="11"/>
      <c r="D36" s="2">
        <f t="shared" ref="D36:D38" si="5">0</f>
        <v>0</v>
      </c>
      <c r="E36" s="2"/>
      <c r="F36" s="19"/>
      <c r="G36" s="2"/>
      <c r="H36" s="2"/>
      <c r="I36" s="2"/>
      <c r="J36" s="19"/>
      <c r="K36" s="2"/>
      <c r="L36" s="2">
        <f t="shared" si="0"/>
        <v>0</v>
      </c>
      <c r="M36" s="2"/>
      <c r="N36" s="19">
        <f t="shared" si="1"/>
        <v>0</v>
      </c>
      <c r="O36" s="11"/>
      <c r="P36" s="2">
        <f>-1279.84</f>
        <v>-1279.8399999999999</v>
      </c>
      <c r="Q36" s="2"/>
      <c r="R36" s="19"/>
      <c r="S36" s="2"/>
      <c r="T36" s="2"/>
      <c r="U36" s="2"/>
      <c r="V36" s="19"/>
      <c r="W36" s="2"/>
      <c r="X36" s="2">
        <f t="shared" si="2"/>
        <v>-1279.8399999999999</v>
      </c>
      <c r="Y36" s="2"/>
      <c r="Z36" s="19">
        <f t="shared" si="3"/>
        <v>0</v>
      </c>
    </row>
    <row r="37" spans="1:26" s="24" customFormat="1" hidden="1" outlineLevel="1" x14ac:dyDescent="0.25">
      <c r="A37" s="44"/>
      <c r="B37" s="11" t="str">
        <f>CONCATENATE("          ", "4383", " - ", "SALES RETURN NON TAXABLE-COMPU")</f>
        <v xml:space="preserve">          4383 - SALES RETURN NON TAXABLE-COMPU</v>
      </c>
      <c r="C37" s="11"/>
      <c r="D37" s="2">
        <f t="shared" si="5"/>
        <v>0</v>
      </c>
      <c r="E37" s="2"/>
      <c r="F37" s="19"/>
      <c r="G37" s="2"/>
      <c r="H37" s="2"/>
      <c r="I37" s="2"/>
      <c r="J37" s="19"/>
      <c r="K37" s="2"/>
      <c r="L37" s="2">
        <f t="shared" si="0"/>
        <v>0</v>
      </c>
      <c r="M37" s="2"/>
      <c r="N37" s="19">
        <f t="shared" si="1"/>
        <v>0</v>
      </c>
      <c r="O37" s="11"/>
      <c r="P37" s="2">
        <f>-49.98</f>
        <v>-49.98</v>
      </c>
      <c r="Q37" s="2"/>
      <c r="R37" s="19"/>
      <c r="S37" s="2"/>
      <c r="T37" s="2"/>
      <c r="U37" s="2"/>
      <c r="V37" s="19"/>
      <c r="W37" s="2"/>
      <c r="X37" s="2">
        <f t="shared" si="2"/>
        <v>-49.98</v>
      </c>
      <c r="Y37" s="2"/>
      <c r="Z37" s="19">
        <f t="shared" si="3"/>
        <v>0</v>
      </c>
    </row>
    <row r="38" spans="1:26" s="24" customFormat="1" hidden="1" outlineLevel="1" x14ac:dyDescent="0.25">
      <c r="A38" s="44"/>
      <c r="B38" s="11" t="str">
        <f>CONCATENATE("          ", "4386", " - ", "SALES RETURN NON TAXABLE-COMPU")</f>
        <v xml:space="preserve">          4386 - SALES RETURN NON TAXABLE-COMPU</v>
      </c>
      <c r="C38" s="11"/>
      <c r="D38" s="2">
        <f t="shared" si="5"/>
        <v>0</v>
      </c>
      <c r="E38" s="2"/>
      <c r="F38" s="19"/>
      <c r="G38" s="2"/>
      <c r="H38" s="2"/>
      <c r="I38" s="2"/>
      <c r="J38" s="19"/>
      <c r="K38" s="2"/>
      <c r="L38" s="2">
        <f t="shared" si="0"/>
        <v>0</v>
      </c>
      <c r="M38" s="2"/>
      <c r="N38" s="19">
        <f t="shared" si="1"/>
        <v>0</v>
      </c>
      <c r="O38" s="11"/>
      <c r="P38" s="2">
        <f>-104.96</f>
        <v>-104.96</v>
      </c>
      <c r="Q38" s="2"/>
      <c r="R38" s="19"/>
      <c r="S38" s="2"/>
      <c r="T38" s="2"/>
      <c r="U38" s="2"/>
      <c r="V38" s="19"/>
      <c r="W38" s="2"/>
      <c r="X38" s="2">
        <f t="shared" si="2"/>
        <v>-104.96</v>
      </c>
      <c r="Y38" s="2"/>
      <c r="Z38" s="19">
        <f t="shared" si="3"/>
        <v>0</v>
      </c>
    </row>
    <row r="39" spans="1:26" x14ac:dyDescent="0.25">
      <c r="A39" s="9"/>
      <c r="B39" s="10"/>
      <c r="C39" s="9"/>
      <c r="D39" s="3"/>
      <c r="E39" s="3"/>
      <c r="F39" s="8"/>
      <c r="G39" s="3"/>
      <c r="H39" s="3"/>
      <c r="I39" s="3"/>
      <c r="J39" s="8"/>
      <c r="K39" s="3"/>
      <c r="L39" s="3"/>
      <c r="M39" s="3"/>
      <c r="N39" s="8"/>
      <c r="P39" s="3"/>
      <c r="Q39" s="3"/>
      <c r="R39" s="8"/>
      <c r="S39" s="3"/>
      <c r="T39" s="3"/>
      <c r="U39" s="3"/>
      <c r="V39" s="8"/>
      <c r="W39" s="3"/>
      <c r="X39" s="3"/>
      <c r="Y39" s="3"/>
      <c r="Z39" s="8"/>
    </row>
    <row r="40" spans="1:26" s="23" customFormat="1" collapsed="1" x14ac:dyDescent="0.25">
      <c r="A40" s="10"/>
      <c r="B40" s="28" t="s">
        <v>8</v>
      </c>
      <c r="C40" s="10"/>
      <c r="D40" s="4">
        <f>SUM(OSRRefD16x_0)</f>
        <v>89462.35</v>
      </c>
      <c r="E40" s="4"/>
      <c r="F40" s="13">
        <f t="shared" ref="F40:F55" si="6">IF(D$12=0,0,D40/D$12)</f>
        <v>0.93623257809137272</v>
      </c>
      <c r="G40" s="4"/>
      <c r="H40" s="4">
        <f>SUM(OSRRefH16x_0)</f>
        <v>181264</v>
      </c>
      <c r="I40" s="4"/>
      <c r="J40" s="13">
        <f t="shared" ref="J40:J55" si="7">IF(H$12=0,0,H40/H$12)</f>
        <v>1.1726529344788323</v>
      </c>
      <c r="K40" s="4"/>
      <c r="L40" s="4">
        <f t="shared" ref="L40:L55" si="8">+D40-H40</f>
        <v>-91801.65</v>
      </c>
      <c r="M40" s="4"/>
      <c r="N40" s="13">
        <f t="shared" ref="N40:N55" si="9">IF(H40=0,0,L40/H40)</f>
        <v>-0.50645274296054366</v>
      </c>
      <c r="O40" s="10"/>
      <c r="P40" s="4">
        <f>SUM(OSRRefP16x_0)</f>
        <v>2121756.5999999992</v>
      </c>
      <c r="Q40" s="4"/>
      <c r="R40" s="13">
        <f t="shared" ref="R40:R55" si="10">IF(P$12=0,0,P40/P$12)</f>
        <v>0.87047159561248677</v>
      </c>
      <c r="S40" s="4"/>
      <c r="T40" s="4">
        <f>SUM(OSRRefT16x_0)</f>
        <v>2035607.9999999998</v>
      </c>
      <c r="U40" s="4"/>
      <c r="V40" s="13">
        <f t="shared" ref="V40:V55" si="11">IF(T$12=0,0,T40/T$12)</f>
        <v>0.82992377989738098</v>
      </c>
      <c r="W40" s="4"/>
      <c r="X40" s="4">
        <f t="shared" ref="X40:X55" si="12">+P40-T40</f>
        <v>86148.599999999395</v>
      </c>
      <c r="Y40" s="4"/>
      <c r="Z40" s="13">
        <f t="shared" ref="Z40:Z55" si="13">IF(T40=0,0,X40/T40)</f>
        <v>4.2320820118608007E-2</v>
      </c>
    </row>
    <row r="41" spans="1:26" s="24" customFormat="1" hidden="1" outlineLevel="1" x14ac:dyDescent="0.25">
      <c r="A41" s="44"/>
      <c r="B41" s="11" t="str">
        <f>CONCATENATE("          ", "5000", " - ", "PURCHASES @ COST")</f>
        <v xml:space="preserve">          5000 - PURCHASES @ COST</v>
      </c>
      <c r="C41" s="11"/>
      <c r="D41" s="2"/>
      <c r="E41" s="2"/>
      <c r="F41" s="19">
        <f t="shared" si="6"/>
        <v>0</v>
      </c>
      <c r="G41" s="2"/>
      <c r="H41" s="2">
        <v>181264</v>
      </c>
      <c r="I41" s="2"/>
      <c r="J41" s="19">
        <f t="shared" si="7"/>
        <v>1.1726529344788323</v>
      </c>
      <c r="K41" s="2"/>
      <c r="L41" s="2">
        <f t="shared" si="8"/>
        <v>-181264</v>
      </c>
      <c r="M41" s="2"/>
      <c r="N41" s="19">
        <f t="shared" si="9"/>
        <v>-1</v>
      </c>
      <c r="O41" s="11"/>
      <c r="P41" s="2"/>
      <c r="Q41" s="2"/>
      <c r="R41" s="19">
        <f t="shared" si="10"/>
        <v>0</v>
      </c>
      <c r="S41" s="2"/>
      <c r="T41" s="2">
        <v>2035607.9999999998</v>
      </c>
      <c r="U41" s="2"/>
      <c r="V41" s="19">
        <f t="shared" si="11"/>
        <v>0.82992377989738098</v>
      </c>
      <c r="W41" s="2"/>
      <c r="X41" s="2">
        <f t="shared" si="12"/>
        <v>-2035607.9999999998</v>
      </c>
      <c r="Y41" s="2"/>
      <c r="Z41" s="19">
        <f t="shared" si="13"/>
        <v>-1</v>
      </c>
    </row>
    <row r="42" spans="1:26" s="24" customFormat="1" hidden="1" outlineLevel="1" x14ac:dyDescent="0.25">
      <c r="A42" s="44"/>
      <c r="B42" s="11" t="str">
        <f>CONCATENATE("          ", "5081", " - ", "PURCHASES @ COST-ELECTRONICS")</f>
        <v xml:space="preserve">          5081 - PURCHASES @ COST-ELECTRONICS</v>
      </c>
      <c r="C42" s="11"/>
      <c r="D42" s="2">
        <v>1637.44</v>
      </c>
      <c r="E42" s="2"/>
      <c r="F42" s="19">
        <f t="shared" si="6"/>
        <v>1.7135975890080434E-2</v>
      </c>
      <c r="G42" s="2"/>
      <c r="H42" s="2"/>
      <c r="I42" s="2"/>
      <c r="J42" s="19">
        <f t="shared" si="7"/>
        <v>0</v>
      </c>
      <c r="K42" s="2"/>
      <c r="L42" s="2">
        <f t="shared" si="8"/>
        <v>1637.44</v>
      </c>
      <c r="M42" s="2"/>
      <c r="N42" s="19">
        <f t="shared" si="9"/>
        <v>0</v>
      </c>
      <c r="O42" s="11"/>
      <c r="P42" s="2">
        <v>258461.58000000002</v>
      </c>
      <c r="Q42" s="2"/>
      <c r="R42" s="19">
        <f t="shared" si="10"/>
        <v>0.1060364152736108</v>
      </c>
      <c r="S42" s="2"/>
      <c r="T42" s="2"/>
      <c r="U42" s="2"/>
      <c r="V42" s="19">
        <f t="shared" si="11"/>
        <v>0</v>
      </c>
      <c r="W42" s="2"/>
      <c r="X42" s="2">
        <f t="shared" si="12"/>
        <v>258461.58000000002</v>
      </c>
      <c r="Y42" s="2"/>
      <c r="Z42" s="19">
        <f t="shared" si="13"/>
        <v>0</v>
      </c>
    </row>
    <row r="43" spans="1:26" s="24" customFormat="1" hidden="1" outlineLevel="1" x14ac:dyDescent="0.25">
      <c r="A43" s="44"/>
      <c r="B43" s="11" t="str">
        <f>CONCATENATE("          ", "5082", " - ", "PURCHASES @ COST-COMPUTER HARD")</f>
        <v xml:space="preserve">          5082 - PURCHASES @ COST-COMPUTER HARD</v>
      </c>
      <c r="C43" s="11"/>
      <c r="D43" s="2">
        <v>140818.03</v>
      </c>
      <c r="E43" s="2"/>
      <c r="F43" s="19">
        <f t="shared" si="6"/>
        <v>1.4736749847131028</v>
      </c>
      <c r="G43" s="2"/>
      <c r="H43" s="2"/>
      <c r="I43" s="2"/>
      <c r="J43" s="19">
        <f t="shared" si="7"/>
        <v>0</v>
      </c>
      <c r="K43" s="2"/>
      <c r="L43" s="2">
        <f t="shared" si="8"/>
        <v>140818.03</v>
      </c>
      <c r="M43" s="2"/>
      <c r="N43" s="19">
        <f t="shared" si="9"/>
        <v>0</v>
      </c>
      <c r="O43" s="11"/>
      <c r="P43" s="2">
        <v>1641300.3</v>
      </c>
      <c r="Q43" s="2"/>
      <c r="R43" s="19">
        <f t="shared" si="10"/>
        <v>0.67335965445812862</v>
      </c>
      <c r="S43" s="2"/>
      <c r="T43" s="2"/>
      <c r="U43" s="2"/>
      <c r="V43" s="19">
        <f t="shared" si="11"/>
        <v>0</v>
      </c>
      <c r="W43" s="2"/>
      <c r="X43" s="2">
        <f t="shared" si="12"/>
        <v>1641300.3</v>
      </c>
      <c r="Y43" s="2"/>
      <c r="Z43" s="19">
        <f t="shared" si="13"/>
        <v>0</v>
      </c>
    </row>
    <row r="44" spans="1:26" s="24" customFormat="1" hidden="1" outlineLevel="1" x14ac:dyDescent="0.25">
      <c r="A44" s="44"/>
      <c r="B44" s="11" t="str">
        <f>CONCATENATE("          ", "5083", " - ", "PURCHASES @ COST-COMPUTER EQUI")</f>
        <v xml:space="preserve">          5083 - PURCHASES @ COST-COMPUTER EQUI</v>
      </c>
      <c r="C44" s="11"/>
      <c r="D44" s="2">
        <v>14533.49</v>
      </c>
      <c r="E44" s="2"/>
      <c r="F44" s="19">
        <f t="shared" si="6"/>
        <v>0.15209444879734529</v>
      </c>
      <c r="G44" s="2"/>
      <c r="H44" s="2"/>
      <c r="I44" s="2"/>
      <c r="J44" s="19">
        <f t="shared" si="7"/>
        <v>0</v>
      </c>
      <c r="K44" s="2"/>
      <c r="L44" s="2">
        <f t="shared" si="8"/>
        <v>14533.49</v>
      </c>
      <c r="M44" s="2"/>
      <c r="N44" s="19">
        <f t="shared" si="9"/>
        <v>0</v>
      </c>
      <c r="O44" s="11"/>
      <c r="P44" s="2">
        <v>94550.76</v>
      </c>
      <c r="Q44" s="2"/>
      <c r="R44" s="19">
        <f t="shared" si="10"/>
        <v>3.8790382894802029E-2</v>
      </c>
      <c r="S44" s="2"/>
      <c r="T44" s="2"/>
      <c r="U44" s="2"/>
      <c r="V44" s="19">
        <f t="shared" si="11"/>
        <v>0</v>
      </c>
      <c r="W44" s="2"/>
      <c r="X44" s="2">
        <f t="shared" si="12"/>
        <v>94550.76</v>
      </c>
      <c r="Y44" s="2"/>
      <c r="Z44" s="19">
        <f t="shared" si="13"/>
        <v>0</v>
      </c>
    </row>
    <row r="45" spans="1:26" s="24" customFormat="1" hidden="1" outlineLevel="1" x14ac:dyDescent="0.25">
      <c r="A45" s="44"/>
      <c r="B45" s="11" t="str">
        <f>CONCATENATE("          ", "5084", " - ", "PURCHASES @ COST-SOFTWARE LICE")</f>
        <v xml:space="preserve">          5084 - PURCHASES @ COST-SOFTWARE LICE</v>
      </c>
      <c r="C45" s="11"/>
      <c r="D45" s="2"/>
      <c r="E45" s="2"/>
      <c r="F45" s="19">
        <f t="shared" si="6"/>
        <v>0</v>
      </c>
      <c r="G45" s="2"/>
      <c r="H45" s="2"/>
      <c r="I45" s="2"/>
      <c r="J45" s="19">
        <f t="shared" si="7"/>
        <v>0</v>
      </c>
      <c r="K45" s="2"/>
      <c r="L45" s="2">
        <f t="shared" si="8"/>
        <v>0</v>
      </c>
      <c r="M45" s="2"/>
      <c r="N45" s="19">
        <f t="shared" si="9"/>
        <v>0</v>
      </c>
      <c r="O45" s="11"/>
      <c r="P45" s="2">
        <v>2728</v>
      </c>
      <c r="Q45" s="2"/>
      <c r="R45" s="19">
        <f t="shared" si="10"/>
        <v>1.1191889365777699E-3</v>
      </c>
      <c r="S45" s="2"/>
      <c r="T45" s="2"/>
      <c r="U45" s="2"/>
      <c r="V45" s="19">
        <f t="shared" si="11"/>
        <v>0</v>
      </c>
      <c r="W45" s="2"/>
      <c r="X45" s="2">
        <f t="shared" si="12"/>
        <v>2728</v>
      </c>
      <c r="Y45" s="2"/>
      <c r="Z45" s="19">
        <f t="shared" si="13"/>
        <v>0</v>
      </c>
    </row>
    <row r="46" spans="1:26" s="24" customFormat="1" hidden="1" outlineLevel="1" x14ac:dyDescent="0.25">
      <c r="A46" s="44"/>
      <c r="B46" s="11" t="str">
        <f>CONCATENATE("          ", "5085", " - ", "PURCHASES @ COST-SOFTWARE")</f>
        <v xml:space="preserve">          5085 - PURCHASES @ COST-SOFTWARE</v>
      </c>
      <c r="C46" s="11"/>
      <c r="D46" s="2">
        <v>3661.64</v>
      </c>
      <c r="E46" s="2"/>
      <c r="F46" s="19">
        <f t="shared" si="6"/>
        <v>3.8319434457539887E-2</v>
      </c>
      <c r="G46" s="2"/>
      <c r="H46" s="2"/>
      <c r="I46" s="2"/>
      <c r="J46" s="19">
        <f t="shared" si="7"/>
        <v>0</v>
      </c>
      <c r="K46" s="2"/>
      <c r="L46" s="2">
        <f t="shared" si="8"/>
        <v>3661.64</v>
      </c>
      <c r="M46" s="2"/>
      <c r="N46" s="19">
        <f t="shared" si="9"/>
        <v>0</v>
      </c>
      <c r="O46" s="11"/>
      <c r="P46" s="2">
        <v>15328.14</v>
      </c>
      <c r="Q46" s="2"/>
      <c r="R46" s="19">
        <f t="shared" si="10"/>
        <v>6.2885207867724264E-3</v>
      </c>
      <c r="S46" s="2"/>
      <c r="T46" s="2"/>
      <c r="U46" s="2"/>
      <c r="V46" s="19">
        <f t="shared" si="11"/>
        <v>0</v>
      </c>
      <c r="W46" s="2"/>
      <c r="X46" s="2">
        <f t="shared" si="12"/>
        <v>15328.14</v>
      </c>
      <c r="Y46" s="2"/>
      <c r="Z46" s="19">
        <f t="shared" si="13"/>
        <v>0</v>
      </c>
    </row>
    <row r="47" spans="1:26" s="24" customFormat="1" hidden="1" outlineLevel="1" x14ac:dyDescent="0.25">
      <c r="A47" s="44"/>
      <c r="B47" s="11" t="str">
        <f>CONCATENATE("          ", "5086", " - ", "PURCHASES @ COST-COMPUTER SUPP")</f>
        <v xml:space="preserve">          5086 - PURCHASES @ COST-COMPUTER SUPP</v>
      </c>
      <c r="C47" s="11"/>
      <c r="D47" s="2">
        <v>-67.5</v>
      </c>
      <c r="E47" s="2"/>
      <c r="F47" s="19">
        <f t="shared" si="6"/>
        <v>-7.0639435495677963E-4</v>
      </c>
      <c r="G47" s="2"/>
      <c r="H47" s="2"/>
      <c r="I47" s="2"/>
      <c r="J47" s="19">
        <f t="shared" si="7"/>
        <v>0</v>
      </c>
      <c r="K47" s="2"/>
      <c r="L47" s="2">
        <f t="shared" si="8"/>
        <v>-67.5</v>
      </c>
      <c r="M47" s="2"/>
      <c r="N47" s="19">
        <f t="shared" si="9"/>
        <v>0</v>
      </c>
      <c r="O47" s="11"/>
      <c r="P47" s="2">
        <v>29883.05</v>
      </c>
      <c r="Q47" s="2"/>
      <c r="R47" s="19">
        <f t="shared" si="10"/>
        <v>1.2259816331085164E-2</v>
      </c>
      <c r="S47" s="2"/>
      <c r="T47" s="2"/>
      <c r="U47" s="2"/>
      <c r="V47" s="19">
        <f t="shared" si="11"/>
        <v>0</v>
      </c>
      <c r="W47" s="2"/>
      <c r="X47" s="2">
        <f t="shared" si="12"/>
        <v>29883.05</v>
      </c>
      <c r="Y47" s="2"/>
      <c r="Z47" s="19">
        <f t="shared" si="13"/>
        <v>0</v>
      </c>
    </row>
    <row r="48" spans="1:26" s="24" customFormat="1" hidden="1" outlineLevel="1" x14ac:dyDescent="0.25">
      <c r="A48" s="44"/>
      <c r="B48" s="11" t="str">
        <f>CONCATENATE("          ", "5088", " - ", "PURCHASES @ COST-MUSIC")</f>
        <v xml:space="preserve">          5088 - PURCHASES @ COST-MUSIC</v>
      </c>
      <c r="C48" s="11"/>
      <c r="D48" s="2"/>
      <c r="E48" s="2"/>
      <c r="F48" s="19">
        <f t="shared" si="6"/>
        <v>0</v>
      </c>
      <c r="G48" s="2"/>
      <c r="H48" s="2"/>
      <c r="I48" s="2"/>
      <c r="J48" s="19">
        <f t="shared" si="7"/>
        <v>0</v>
      </c>
      <c r="K48" s="2"/>
      <c r="L48" s="2">
        <f t="shared" si="8"/>
        <v>0</v>
      </c>
      <c r="M48" s="2"/>
      <c r="N48" s="19">
        <f t="shared" si="9"/>
        <v>0</v>
      </c>
      <c r="O48" s="11"/>
      <c r="P48" s="2">
        <v>95.65</v>
      </c>
      <c r="Q48" s="2"/>
      <c r="R48" s="19">
        <f t="shared" si="10"/>
        <v>3.9241356958821008E-5</v>
      </c>
      <c r="S48" s="2"/>
      <c r="T48" s="2"/>
      <c r="U48" s="2"/>
      <c r="V48" s="19">
        <f t="shared" si="11"/>
        <v>0</v>
      </c>
      <c r="W48" s="2"/>
      <c r="X48" s="2">
        <f t="shared" si="12"/>
        <v>95.65</v>
      </c>
      <c r="Y48" s="2"/>
      <c r="Z48" s="19">
        <f t="shared" si="13"/>
        <v>0</v>
      </c>
    </row>
    <row r="49" spans="1:26" s="24" customFormat="1" hidden="1" outlineLevel="1" x14ac:dyDescent="0.25">
      <c r="A49" s="44"/>
      <c r="B49" s="11" t="str">
        <f>CONCATENATE("          ", "5200", " - ", "PURCHASES OFFSET")</f>
        <v xml:space="preserve">          5200 - PURCHASES OFFSET</v>
      </c>
      <c r="C49" s="11"/>
      <c r="D49" s="2">
        <v>-160624</v>
      </c>
      <c r="E49" s="2"/>
      <c r="F49" s="19">
        <f t="shared" si="6"/>
        <v>-1.6809464721567078</v>
      </c>
      <c r="G49" s="2"/>
      <c r="H49" s="2"/>
      <c r="I49" s="2"/>
      <c r="J49" s="19">
        <f t="shared" si="7"/>
        <v>0</v>
      </c>
      <c r="K49" s="2"/>
      <c r="L49" s="2">
        <f t="shared" si="8"/>
        <v>-160624</v>
      </c>
      <c r="M49" s="2"/>
      <c r="N49" s="19">
        <f t="shared" si="9"/>
        <v>0</v>
      </c>
      <c r="O49" s="11"/>
      <c r="P49" s="2">
        <v>-2043044.0000000002</v>
      </c>
      <c r="Q49" s="2"/>
      <c r="R49" s="19">
        <f t="shared" si="10"/>
        <v>-0.83817897424545229</v>
      </c>
      <c r="S49" s="2"/>
      <c r="T49" s="2"/>
      <c r="U49" s="2"/>
      <c r="V49" s="19">
        <f t="shared" si="11"/>
        <v>0</v>
      </c>
      <c r="W49" s="2"/>
      <c r="X49" s="2">
        <f t="shared" si="12"/>
        <v>-2043044.0000000002</v>
      </c>
      <c r="Y49" s="2"/>
      <c r="Z49" s="19">
        <f t="shared" si="13"/>
        <v>0</v>
      </c>
    </row>
    <row r="50" spans="1:26" s="24" customFormat="1" hidden="1" outlineLevel="1" x14ac:dyDescent="0.25">
      <c r="A50" s="44"/>
      <c r="B50" s="11" t="str">
        <f>CONCATENATE("          ", "5300", " - ", "COG$ OFFSET")</f>
        <v xml:space="preserve">          5300 - COG$ OFFSET</v>
      </c>
      <c r="C50" s="11"/>
      <c r="D50" s="2">
        <v>89462</v>
      </c>
      <c r="E50" s="2"/>
      <c r="F50" s="19">
        <f t="shared" si="6"/>
        <v>0.93622891530582841</v>
      </c>
      <c r="G50" s="2"/>
      <c r="H50" s="2"/>
      <c r="I50" s="2"/>
      <c r="J50" s="19">
        <f t="shared" si="7"/>
        <v>0</v>
      </c>
      <c r="K50" s="2"/>
      <c r="L50" s="2">
        <f t="shared" si="8"/>
        <v>89462</v>
      </c>
      <c r="M50" s="2"/>
      <c r="N50" s="19">
        <f t="shared" si="9"/>
        <v>0</v>
      </c>
      <c r="O50" s="11"/>
      <c r="P50" s="2">
        <v>2121754</v>
      </c>
      <c r="Q50" s="2"/>
      <c r="R50" s="19">
        <f t="shared" si="10"/>
        <v>0.87047052893681442</v>
      </c>
      <c r="S50" s="2"/>
      <c r="T50" s="2"/>
      <c r="U50" s="2"/>
      <c r="V50" s="19">
        <f t="shared" si="11"/>
        <v>0</v>
      </c>
      <c r="W50" s="2"/>
      <c r="X50" s="2">
        <f t="shared" si="12"/>
        <v>2121754</v>
      </c>
      <c r="Y50" s="2"/>
      <c r="Z50" s="19">
        <f t="shared" si="13"/>
        <v>0</v>
      </c>
    </row>
    <row r="51" spans="1:26" s="24" customFormat="1" hidden="1" outlineLevel="1" x14ac:dyDescent="0.25">
      <c r="A51" s="44"/>
      <c r="B51" s="11" t="str">
        <f>CONCATENATE("          ", "5581", " - ", "FREIGHT-IN-ELECTRONICS")</f>
        <v xml:space="preserve">          5581 - FREIGHT-IN-ELECTRONICS</v>
      </c>
      <c r="C51" s="11"/>
      <c r="D51" s="2">
        <v>31.25</v>
      </c>
      <c r="E51" s="2"/>
      <c r="F51" s="19">
        <f t="shared" si="6"/>
        <v>3.2703442359110167E-4</v>
      </c>
      <c r="G51" s="2"/>
      <c r="H51" s="2"/>
      <c r="I51" s="2"/>
      <c r="J51" s="19">
        <f t="shared" si="7"/>
        <v>0</v>
      </c>
      <c r="K51" s="2"/>
      <c r="L51" s="2">
        <f t="shared" si="8"/>
        <v>31.25</v>
      </c>
      <c r="M51" s="2"/>
      <c r="N51" s="19">
        <f t="shared" si="9"/>
        <v>0</v>
      </c>
      <c r="O51" s="11"/>
      <c r="P51" s="2">
        <v>137</v>
      </c>
      <c r="Q51" s="2"/>
      <c r="R51" s="19">
        <f t="shared" si="10"/>
        <v>5.6205602753355753E-5</v>
      </c>
      <c r="S51" s="2"/>
      <c r="T51" s="2"/>
      <c r="U51" s="2"/>
      <c r="V51" s="19">
        <f t="shared" si="11"/>
        <v>0</v>
      </c>
      <c r="W51" s="2"/>
      <c r="X51" s="2">
        <f t="shared" si="12"/>
        <v>137</v>
      </c>
      <c r="Y51" s="2"/>
      <c r="Z51" s="19">
        <f t="shared" si="13"/>
        <v>0</v>
      </c>
    </row>
    <row r="52" spans="1:26" s="24" customFormat="1" hidden="1" outlineLevel="1" x14ac:dyDescent="0.25">
      <c r="A52" s="44"/>
      <c r="B52" s="11" t="str">
        <f>CONCATENATE("          ", "5582", " - ", "FREIGHT-IN-COMPUTER HARDWARE")</f>
        <v xml:space="preserve">          5582 - FREIGHT-IN-COMPUTER HARDWARE</v>
      </c>
      <c r="C52" s="11"/>
      <c r="D52" s="2"/>
      <c r="E52" s="2"/>
      <c r="F52" s="19">
        <f t="shared" si="6"/>
        <v>0</v>
      </c>
      <c r="G52" s="2"/>
      <c r="H52" s="2"/>
      <c r="I52" s="2"/>
      <c r="J52" s="19">
        <f t="shared" si="7"/>
        <v>0</v>
      </c>
      <c r="K52" s="2"/>
      <c r="L52" s="2">
        <f t="shared" si="8"/>
        <v>0</v>
      </c>
      <c r="M52" s="2"/>
      <c r="N52" s="19">
        <f t="shared" si="9"/>
        <v>0</v>
      </c>
      <c r="O52" s="11"/>
      <c r="P52" s="2">
        <v>154.30000000000001</v>
      </c>
      <c r="Q52" s="2"/>
      <c r="R52" s="19">
        <f t="shared" si="10"/>
        <v>6.330309857549484E-5</v>
      </c>
      <c r="S52" s="2"/>
      <c r="T52" s="2"/>
      <c r="U52" s="2"/>
      <c r="V52" s="19">
        <f t="shared" si="11"/>
        <v>0</v>
      </c>
      <c r="W52" s="2"/>
      <c r="X52" s="2">
        <f t="shared" si="12"/>
        <v>154.30000000000001</v>
      </c>
      <c r="Y52" s="2"/>
      <c r="Z52" s="19">
        <f t="shared" si="13"/>
        <v>0</v>
      </c>
    </row>
    <row r="53" spans="1:26" s="24" customFormat="1" hidden="1" outlineLevel="1" x14ac:dyDescent="0.25">
      <c r="A53" s="44"/>
      <c r="B53" s="11" t="str">
        <f>CONCATENATE("          ", "5583", " - ", "FREIGHT-IN-COMPUTER EQUIPMENT")</f>
        <v xml:space="preserve">          5583 - FREIGHT-IN-COMPUTER EQUIPMENT</v>
      </c>
      <c r="C53" s="11"/>
      <c r="D53" s="2"/>
      <c r="E53" s="2"/>
      <c r="F53" s="19">
        <f t="shared" si="6"/>
        <v>0</v>
      </c>
      <c r="G53" s="2"/>
      <c r="H53" s="2"/>
      <c r="I53" s="2"/>
      <c r="J53" s="19">
        <f t="shared" si="7"/>
        <v>0</v>
      </c>
      <c r="K53" s="2"/>
      <c r="L53" s="2">
        <f t="shared" si="8"/>
        <v>0</v>
      </c>
      <c r="M53" s="2"/>
      <c r="N53" s="19">
        <f t="shared" si="9"/>
        <v>0</v>
      </c>
      <c r="O53" s="11"/>
      <c r="P53" s="2">
        <v>96.55</v>
      </c>
      <c r="Q53" s="2"/>
      <c r="R53" s="19">
        <f t="shared" si="10"/>
        <v>3.9610590845521877E-5</v>
      </c>
      <c r="S53" s="2"/>
      <c r="T53" s="2"/>
      <c r="U53" s="2"/>
      <c r="V53" s="19">
        <f t="shared" si="11"/>
        <v>0</v>
      </c>
      <c r="W53" s="2"/>
      <c r="X53" s="2">
        <f t="shared" si="12"/>
        <v>96.55</v>
      </c>
      <c r="Y53" s="2"/>
      <c r="Z53" s="19">
        <f t="shared" si="13"/>
        <v>0</v>
      </c>
    </row>
    <row r="54" spans="1:26" s="24" customFormat="1" hidden="1" outlineLevel="1" x14ac:dyDescent="0.25">
      <c r="A54" s="44"/>
      <c r="B54" s="11" t="str">
        <f>CONCATENATE("          ", "5585", " - ", "FREIGHT-IN-SOFTWARE")</f>
        <v xml:space="preserve">          5585 - FREIGHT-IN-SOFTWARE</v>
      </c>
      <c r="C54" s="11"/>
      <c r="D54" s="2">
        <v>10</v>
      </c>
      <c r="E54" s="2"/>
      <c r="F54" s="19">
        <f t="shared" si="6"/>
        <v>1.0465101554915254E-4</v>
      </c>
      <c r="G54" s="2"/>
      <c r="H54" s="2"/>
      <c r="I54" s="2"/>
      <c r="J54" s="19">
        <f t="shared" si="7"/>
        <v>0</v>
      </c>
      <c r="K54" s="2"/>
      <c r="L54" s="2">
        <f t="shared" si="8"/>
        <v>10</v>
      </c>
      <c r="M54" s="2"/>
      <c r="N54" s="19">
        <f t="shared" si="9"/>
        <v>0</v>
      </c>
      <c r="O54" s="11"/>
      <c r="P54" s="2">
        <v>10</v>
      </c>
      <c r="Q54" s="2"/>
      <c r="R54" s="19">
        <f t="shared" si="10"/>
        <v>4.1025987411208579E-6</v>
      </c>
      <c r="S54" s="2"/>
      <c r="T54" s="2"/>
      <c r="U54" s="2"/>
      <c r="V54" s="19">
        <f t="shared" si="11"/>
        <v>0</v>
      </c>
      <c r="W54" s="2"/>
      <c r="X54" s="2">
        <f t="shared" si="12"/>
        <v>10</v>
      </c>
      <c r="Y54" s="2"/>
      <c r="Z54" s="19">
        <f t="shared" si="13"/>
        <v>0</v>
      </c>
    </row>
    <row r="55" spans="1:26" s="24" customFormat="1" hidden="1" outlineLevel="1" x14ac:dyDescent="0.25">
      <c r="A55" s="44"/>
      <c r="B55" s="11" t="str">
        <f>CONCATENATE("          ", "5586", " - ", "FREIGHT-IN-COMPUTER SUPPLIES")</f>
        <v xml:space="preserve">          5586 - FREIGHT-IN-COMPUTER SUPPLIES</v>
      </c>
      <c r="C55" s="11"/>
      <c r="D55" s="2"/>
      <c r="E55" s="2"/>
      <c r="F55" s="19">
        <f t="shared" si="6"/>
        <v>0</v>
      </c>
      <c r="G55" s="2"/>
      <c r="H55" s="2"/>
      <c r="I55" s="2"/>
      <c r="J55" s="19">
        <f t="shared" si="7"/>
        <v>0</v>
      </c>
      <c r="K55" s="2"/>
      <c r="L55" s="2">
        <f t="shared" si="8"/>
        <v>0</v>
      </c>
      <c r="M55" s="2"/>
      <c r="N55" s="19">
        <f t="shared" si="9"/>
        <v>0</v>
      </c>
      <c r="O55" s="11"/>
      <c r="P55" s="2">
        <v>301.27</v>
      </c>
      <c r="Q55" s="2"/>
      <c r="R55" s="19">
        <f t="shared" si="10"/>
        <v>1.2359899227374808E-4</v>
      </c>
      <c r="S55" s="2"/>
      <c r="T55" s="2"/>
      <c r="U55" s="2"/>
      <c r="V55" s="19">
        <f t="shared" si="11"/>
        <v>0</v>
      </c>
      <c r="W55" s="2"/>
      <c r="X55" s="2">
        <f t="shared" si="12"/>
        <v>301.27</v>
      </c>
      <c r="Y55" s="2"/>
      <c r="Z55" s="19">
        <f t="shared" si="13"/>
        <v>0</v>
      </c>
    </row>
    <row r="56" spans="1:26" x14ac:dyDescent="0.25">
      <c r="A56" s="9"/>
      <c r="B56" s="10"/>
      <c r="C56" s="10"/>
      <c r="D56" s="3"/>
      <c r="E56" s="3"/>
      <c r="F56" s="8"/>
      <c r="G56" s="3"/>
      <c r="H56" s="3"/>
      <c r="I56" s="3"/>
      <c r="J56" s="8"/>
      <c r="K56" s="3"/>
      <c r="L56" s="3"/>
      <c r="M56" s="3"/>
      <c r="N56" s="8"/>
      <c r="O56" s="10"/>
      <c r="P56" s="3"/>
      <c r="Q56" s="3"/>
      <c r="R56" s="8"/>
      <c r="S56" s="3"/>
      <c r="T56" s="3"/>
      <c r="U56" s="3"/>
      <c r="V56" s="8"/>
      <c r="W56" s="3"/>
      <c r="X56" s="3"/>
      <c r="Y56" s="3"/>
      <c r="Z56" s="8"/>
    </row>
    <row r="57" spans="1:26" s="23" customFormat="1" x14ac:dyDescent="0.25">
      <c r="A57" s="10"/>
      <c r="B57" s="29" t="s">
        <v>6</v>
      </c>
      <c r="C57" s="29"/>
      <c r="D57" s="20">
        <f>D12-D40</f>
        <v>6093.3399999999965</v>
      </c>
      <c r="E57" s="14"/>
      <c r="F57" s="22">
        <f>IF(D$12=0,0,D57/D$12)</f>
        <v>6.3767421908627275E-2</v>
      </c>
      <c r="G57" s="14"/>
      <c r="H57" s="20">
        <f>H12-H40</f>
        <v>-26688</v>
      </c>
      <c r="I57" s="14"/>
      <c r="J57" s="22">
        <f>IF(H$12=0,0,H57/H$12)</f>
        <v>-0.17265293447883243</v>
      </c>
      <c r="K57" s="16"/>
      <c r="L57" s="20">
        <f>+D57-H57</f>
        <v>32781.339999999997</v>
      </c>
      <c r="M57" s="16"/>
      <c r="N57" s="22">
        <f>IF(H57=0,0,L57/H57)</f>
        <v>-1.2283175959232613</v>
      </c>
      <c r="O57" s="28"/>
      <c r="P57" s="20">
        <f>P12-P40</f>
        <v>315722.82000000123</v>
      </c>
      <c r="Q57" s="14"/>
      <c r="R57" s="22">
        <f>IF(P$12=0,0,P57/P$12)</f>
        <v>0.12952840438751323</v>
      </c>
      <c r="S57" s="14"/>
      <c r="T57" s="20">
        <f>T12-T40</f>
        <v>417157.00000000023</v>
      </c>
      <c r="U57" s="14"/>
      <c r="V57" s="22">
        <f>IF(T$12=0,0,T57/T$12)</f>
        <v>0.17007622010261897</v>
      </c>
      <c r="W57" s="16"/>
      <c r="X57" s="20">
        <f>+P57-T57</f>
        <v>-101434.179999999</v>
      </c>
      <c r="Y57" s="16"/>
      <c r="Z57" s="22">
        <f>IF(T57=0,0,X57/T57)</f>
        <v>-0.24315588615317241</v>
      </c>
    </row>
    <row r="58" spans="1:26" x14ac:dyDescent="0.25">
      <c r="A58" s="9"/>
      <c r="B58" s="10"/>
      <c r="C58" s="9"/>
      <c r="D58" s="1"/>
      <c r="E58" s="1"/>
      <c r="F58" s="5"/>
      <c r="G58" s="1"/>
      <c r="H58" s="1"/>
      <c r="I58" s="1"/>
      <c r="J58" s="5"/>
      <c r="K58" s="1"/>
      <c r="L58" s="1"/>
      <c r="M58" s="1"/>
      <c r="N58" s="5"/>
      <c r="O58" s="36"/>
      <c r="P58" s="1"/>
      <c r="Q58" s="1"/>
      <c r="R58" s="5"/>
      <c r="S58" s="1"/>
      <c r="T58" s="1"/>
      <c r="U58" s="1"/>
      <c r="V58" s="5"/>
      <c r="W58" s="1"/>
      <c r="X58" s="1"/>
      <c r="Y58" s="1"/>
      <c r="Z58" s="5"/>
    </row>
    <row r="59" spans="1:26" s="23" customFormat="1" x14ac:dyDescent="0.25">
      <c r="A59" s="10"/>
      <c r="B59" s="28" t="s">
        <v>9</v>
      </c>
      <c r="C59" s="10"/>
      <c r="D59" s="21">
        <f>SUM(OSRRefD22x_0)</f>
        <v>12120.14</v>
      </c>
      <c r="E59" s="21"/>
      <c r="F59" s="30">
        <f t="shared" ref="F59:F70" si="14">IF(D$12=0,0,D59/D$12)</f>
        <v>0.12683849595979055</v>
      </c>
      <c r="G59" s="21"/>
      <c r="H59" s="21">
        <f>SUM(OSRRefH22x_0)</f>
        <v>17264.772130916921</v>
      </c>
      <c r="I59" s="21"/>
      <c r="J59" s="30">
        <f t="shared" ref="J59:J70" si="15">IF(H$12=0,0,H59/H$12)</f>
        <v>0.11169115600686343</v>
      </c>
      <c r="K59" s="4"/>
      <c r="L59" s="21">
        <f t="shared" ref="L59:L70" si="16">+D59-H59</f>
        <v>-5144.6321309169216</v>
      </c>
      <c r="M59" s="4"/>
      <c r="N59" s="30">
        <f t="shared" ref="N59:N70" si="17">IF(H59=0,0,L59/H59)</f>
        <v>-0.29798436329803407</v>
      </c>
      <c r="O59" s="10"/>
      <c r="P59" s="21">
        <f>SUM(OSRRefP22x_0)</f>
        <v>210123.29000000007</v>
      </c>
      <c r="Q59" s="21"/>
      <c r="R59" s="30">
        <f t="shared" ref="R59:R70" si="18">IF(P$12=0,0,P59/P$12)</f>
        <v>8.6205154503417314E-2</v>
      </c>
      <c r="S59" s="21"/>
      <c r="T59" s="21">
        <f>SUM(OSRRefT22x_0)</f>
        <v>185968.75657070306</v>
      </c>
      <c r="U59" s="21"/>
      <c r="V59" s="30">
        <f t="shared" ref="V59:V70" si="19">IF(T$12=0,0,T59/T$12)</f>
        <v>7.5820046588524814E-2</v>
      </c>
      <c r="W59" s="4"/>
      <c r="X59" s="21">
        <f t="shared" ref="X59:X70" si="20">+P59-T59</f>
        <v>24154.533429297007</v>
      </c>
      <c r="Y59" s="4"/>
      <c r="Z59" s="30">
        <f t="shared" ref="Z59:Z70" si="21">IF(T59=0,0,X59/T59)</f>
        <v>0.12988490042473208</v>
      </c>
    </row>
    <row r="60" spans="1:26" s="27" customFormat="1" outlineLevel="1" collapsed="1" x14ac:dyDescent="0.25">
      <c r="A60" s="25"/>
      <c r="B60" s="12" t="str">
        <f>CONCATENATE("     ","*Benefits                                         ")</f>
        <v xml:space="preserve">     *Benefits                                         </v>
      </c>
      <c r="C60" s="12"/>
      <c r="D60" s="1">
        <f>SUM(OSRRefD22_0x_0)</f>
        <v>2481.5900000000006</v>
      </c>
      <c r="E60" s="1"/>
      <c r="F60" s="5">
        <f t="shared" si="14"/>
        <v>2.5970091367662151E-2</v>
      </c>
      <c r="G60" s="1"/>
      <c r="H60" s="1">
        <f>SUM(OSRRefH22_0x_0)</f>
        <v>2453.7272401476916</v>
      </c>
      <c r="I60" s="1"/>
      <c r="J60" s="5">
        <f t="shared" si="15"/>
        <v>1.5873921178887355E-2</v>
      </c>
      <c r="K60" s="1"/>
      <c r="L60" s="1">
        <f t="shared" si="16"/>
        <v>27.862759852308955</v>
      </c>
      <c r="M60" s="1"/>
      <c r="N60" s="5">
        <f t="shared" si="17"/>
        <v>1.1355279998697766E-2</v>
      </c>
      <c r="O60" s="12"/>
      <c r="P60" s="1">
        <f>SUM(OSRRefP22_0x_0)</f>
        <v>26890.37</v>
      </c>
      <c r="Q60" s="1"/>
      <c r="R60" s="5">
        <f t="shared" si="18"/>
        <v>1.1032039811027407E-2</v>
      </c>
      <c r="S60" s="1"/>
      <c r="T60" s="1">
        <f>SUM(OSRRefT22_0x_0)</f>
        <v>28397.404381472305</v>
      </c>
      <c r="U60" s="1"/>
      <c r="V60" s="5">
        <f t="shared" si="19"/>
        <v>1.1577711024689404E-2</v>
      </c>
      <c r="W60" s="1"/>
      <c r="X60" s="1">
        <f t="shared" si="20"/>
        <v>-1507.0343814723055</v>
      </c>
      <c r="Y60" s="1"/>
      <c r="Z60" s="5">
        <f t="shared" si="21"/>
        <v>-5.306944117947484E-2</v>
      </c>
    </row>
    <row r="61" spans="1:26" s="24" customFormat="1" hidden="1" outlineLevel="2" x14ac:dyDescent="0.25">
      <c r="A61" s="26"/>
      <c r="B61" s="11" t="str">
        <f>CONCATENATE("          ", "6111", " - ", "F.I.C.A.")</f>
        <v xml:space="preserve">          6111 - F.I.C.A.</v>
      </c>
      <c r="C61" s="11"/>
      <c r="D61" s="7">
        <v>411.12</v>
      </c>
      <c r="E61" s="2"/>
      <c r="F61" s="6">
        <f t="shared" si="14"/>
        <v>4.3024125512567592E-3</v>
      </c>
      <c r="G61" s="2"/>
      <c r="H61" s="7">
        <v>368.84942751692296</v>
      </c>
      <c r="I61" s="2"/>
      <c r="J61" s="6">
        <f t="shared" si="15"/>
        <v>2.3862011406487614E-3</v>
      </c>
      <c r="K61" s="2"/>
      <c r="L61" s="7">
        <f t="shared" si="16"/>
        <v>42.270572483077046</v>
      </c>
      <c r="M61" s="2"/>
      <c r="N61" s="6">
        <f t="shared" si="17"/>
        <v>0.11460116060811198</v>
      </c>
      <c r="O61" s="11"/>
      <c r="P61" s="7">
        <v>7614.51</v>
      </c>
      <c r="Q61" s="2"/>
      <c r="R61" s="6">
        <f t="shared" si="18"/>
        <v>3.1239279140252182E-3</v>
      </c>
      <c r="S61" s="2"/>
      <c r="T61" s="7">
        <v>5087.509523303077</v>
      </c>
      <c r="U61" s="2"/>
      <c r="V61" s="6">
        <f t="shared" si="19"/>
        <v>2.074193623646406E-3</v>
      </c>
      <c r="W61" s="2"/>
      <c r="X61" s="7">
        <f t="shared" si="20"/>
        <v>2527.0004766969232</v>
      </c>
      <c r="Y61" s="2"/>
      <c r="Z61" s="6">
        <f t="shared" si="21"/>
        <v>0.4967067806206803</v>
      </c>
    </row>
    <row r="62" spans="1:26" s="24" customFormat="1" hidden="1" outlineLevel="2" x14ac:dyDescent="0.25">
      <c r="A62" s="26"/>
      <c r="B62" s="11" t="str">
        <f>CONCATENATE("          ", "6112", " - ", "COMPENSATION INSURANCE")</f>
        <v xml:space="preserve">          6112 - COMPENSATION INSURANCE</v>
      </c>
      <c r="C62" s="11"/>
      <c r="D62" s="7">
        <v>78.989999999999995</v>
      </c>
      <c r="E62" s="2"/>
      <c r="F62" s="6">
        <f t="shared" si="14"/>
        <v>8.2663837182275584E-4</v>
      </c>
      <c r="G62" s="2"/>
      <c r="H62" s="7">
        <v>215.45153696153801</v>
      </c>
      <c r="I62" s="2"/>
      <c r="J62" s="6">
        <f t="shared" si="15"/>
        <v>1.3938226953830997E-3</v>
      </c>
      <c r="K62" s="2"/>
      <c r="L62" s="7">
        <f t="shared" si="16"/>
        <v>-136.461536961538</v>
      </c>
      <c r="M62" s="2"/>
      <c r="N62" s="6">
        <f t="shared" si="17"/>
        <v>-0.63337462747317907</v>
      </c>
      <c r="O62" s="11"/>
      <c r="P62" s="7">
        <v>1995.7</v>
      </c>
      <c r="Q62" s="2"/>
      <c r="R62" s="6">
        <f t="shared" si="18"/>
        <v>8.1875563076548954E-4</v>
      </c>
      <c r="S62" s="2"/>
      <c r="T62" s="7">
        <v>2273.5109000384582</v>
      </c>
      <c r="U62" s="2"/>
      <c r="V62" s="6">
        <f t="shared" si="19"/>
        <v>9.2691754001645416E-4</v>
      </c>
      <c r="W62" s="2"/>
      <c r="X62" s="7">
        <f t="shared" si="20"/>
        <v>-277.81090003845816</v>
      </c>
      <c r="Y62" s="2"/>
      <c r="Z62" s="6">
        <f t="shared" si="21"/>
        <v>-0.12219466378355995</v>
      </c>
    </row>
    <row r="63" spans="1:26" s="24" customFormat="1" hidden="1" outlineLevel="2" x14ac:dyDescent="0.25">
      <c r="A63" s="26"/>
      <c r="B63" s="11" t="str">
        <f>CONCATENATE("          ", "6113", " - ", "GROUP INSURANCE")</f>
        <v xml:space="preserve">          6113 - GROUP INSURANCE</v>
      </c>
      <c r="C63" s="11"/>
      <c r="D63" s="7">
        <v>1035.69</v>
      </c>
      <c r="E63" s="2"/>
      <c r="F63" s="6">
        <f t="shared" si="14"/>
        <v>1.0838601029410181E-2</v>
      </c>
      <c r="G63" s="2"/>
      <c r="H63" s="7">
        <v>1186.2</v>
      </c>
      <c r="I63" s="2"/>
      <c r="J63" s="6">
        <f t="shared" si="15"/>
        <v>7.6738950419211263E-3</v>
      </c>
      <c r="K63" s="2"/>
      <c r="L63" s="7">
        <f t="shared" si="16"/>
        <v>-150.51</v>
      </c>
      <c r="M63" s="2"/>
      <c r="N63" s="6">
        <f t="shared" si="17"/>
        <v>-0.12688416793120888</v>
      </c>
      <c r="O63" s="11"/>
      <c r="P63" s="7">
        <v>12591.69</v>
      </c>
      <c r="Q63" s="2"/>
      <c r="R63" s="6">
        <f t="shared" si="18"/>
        <v>5.1658651542584094E-3</v>
      </c>
      <c r="S63" s="2"/>
      <c r="T63" s="7">
        <v>13048.2</v>
      </c>
      <c r="U63" s="2"/>
      <c r="V63" s="6">
        <f t="shared" si="19"/>
        <v>5.319792152937603E-3</v>
      </c>
      <c r="W63" s="2"/>
      <c r="X63" s="7">
        <f t="shared" si="20"/>
        <v>-456.51000000000022</v>
      </c>
      <c r="Y63" s="2"/>
      <c r="Z63" s="6">
        <f t="shared" si="21"/>
        <v>-3.4986434910562393E-2</v>
      </c>
    </row>
    <row r="64" spans="1:26" s="24" customFormat="1" hidden="1" outlineLevel="2" x14ac:dyDescent="0.25">
      <c r="A64" s="26"/>
      <c r="B64" s="11" t="str">
        <f>CONCATENATE("          ", "6114", " - ", "STATE UNEMPLOYMENT INSURANCE")</f>
        <v xml:space="preserve">          6114 - STATE UNEMPLOYMENT INSURANCE</v>
      </c>
      <c r="C64" s="11"/>
      <c r="D64" s="7">
        <v>19.559999999999999</v>
      </c>
      <c r="E64" s="2"/>
      <c r="F64" s="6">
        <f t="shared" si="14"/>
        <v>2.0469738641414235E-4</v>
      </c>
      <c r="G64" s="2"/>
      <c r="H64" s="7">
        <v>29.4828419</v>
      </c>
      <c r="I64" s="2"/>
      <c r="J64" s="6">
        <f t="shared" si="15"/>
        <v>1.9073363199979297E-4</v>
      </c>
      <c r="K64" s="2"/>
      <c r="L64" s="7">
        <f t="shared" si="16"/>
        <v>-9.9228419000000017</v>
      </c>
      <c r="M64" s="2"/>
      <c r="N64" s="6">
        <f t="shared" si="17"/>
        <v>-0.33656327750412696</v>
      </c>
      <c r="O64" s="11"/>
      <c r="P64" s="7">
        <v>322.33</v>
      </c>
      <c r="Q64" s="2"/>
      <c r="R64" s="6">
        <f t="shared" si="18"/>
        <v>1.3223906522254861E-4</v>
      </c>
      <c r="S64" s="2"/>
      <c r="T64" s="7">
        <v>311.11201790000001</v>
      </c>
      <c r="U64" s="2"/>
      <c r="V64" s="6">
        <f t="shared" si="19"/>
        <v>1.2684134758119919E-4</v>
      </c>
      <c r="W64" s="2"/>
      <c r="X64" s="7">
        <f t="shared" si="20"/>
        <v>11.217982099999972</v>
      </c>
      <c r="Y64" s="2"/>
      <c r="Z64" s="6">
        <f t="shared" si="21"/>
        <v>3.605769451055324E-2</v>
      </c>
    </row>
    <row r="65" spans="1:26" s="24" customFormat="1" hidden="1" outlineLevel="2" x14ac:dyDescent="0.25">
      <c r="A65" s="26"/>
      <c r="B65" s="11" t="str">
        <f>CONCATENATE("          ", "6115", " - ", "P.E.R.S.")</f>
        <v xml:space="preserve">          6115 - P.E.R.S.</v>
      </c>
      <c r="C65" s="11"/>
      <c r="D65" s="7">
        <v>159.41999999999999</v>
      </c>
      <c r="E65" s="2"/>
      <c r="F65" s="6">
        <f t="shared" si="14"/>
        <v>1.6683464898845897E-3</v>
      </c>
      <c r="G65" s="2"/>
      <c r="H65" s="7">
        <v>294.022912615385</v>
      </c>
      <c r="I65" s="2"/>
      <c r="J65" s="6">
        <f t="shared" si="15"/>
        <v>1.9021252498148808E-3</v>
      </c>
      <c r="K65" s="2"/>
      <c r="L65" s="7">
        <f t="shared" si="16"/>
        <v>-134.60291261538501</v>
      </c>
      <c r="M65" s="2"/>
      <c r="N65" s="6">
        <f t="shared" si="17"/>
        <v>-0.45779735809726074</v>
      </c>
      <c r="O65" s="11"/>
      <c r="P65" s="7">
        <v>2648.28</v>
      </c>
      <c r="Q65" s="2"/>
      <c r="R65" s="6">
        <f t="shared" si="18"/>
        <v>1.0864830194135546E-3</v>
      </c>
      <c r="S65" s="2"/>
      <c r="T65" s="7">
        <v>3528.2749513846188</v>
      </c>
      <c r="U65" s="2"/>
      <c r="V65" s="6">
        <f t="shared" si="19"/>
        <v>1.438488787708818E-3</v>
      </c>
      <c r="W65" s="2"/>
      <c r="X65" s="7">
        <f t="shared" si="20"/>
        <v>-879.99495138461862</v>
      </c>
      <c r="Y65" s="2"/>
      <c r="Z65" s="6">
        <f t="shared" si="21"/>
        <v>-0.2494122378527438</v>
      </c>
    </row>
    <row r="66" spans="1:26" s="24" customFormat="1" hidden="1" outlineLevel="2" x14ac:dyDescent="0.25">
      <c r="A66" s="26"/>
      <c r="B66" s="11" t="str">
        <f>CONCATENATE("          ", "6116", " - ", "EDUCATIONAL BENEFITS")</f>
        <v xml:space="preserve">          6116 - EDUCATIONAL BENEFITS</v>
      </c>
      <c r="C66" s="11"/>
      <c r="D66" s="7"/>
      <c r="E66" s="2"/>
      <c r="F66" s="6">
        <f t="shared" si="14"/>
        <v>0</v>
      </c>
      <c r="G66" s="2"/>
      <c r="H66" s="7">
        <v>0</v>
      </c>
      <c r="I66" s="2"/>
      <c r="J66" s="6">
        <f t="shared" si="15"/>
        <v>0</v>
      </c>
      <c r="K66" s="2"/>
      <c r="L66" s="7">
        <f t="shared" si="16"/>
        <v>0</v>
      </c>
      <c r="M66" s="2"/>
      <c r="N66" s="6">
        <f t="shared" si="17"/>
        <v>0</v>
      </c>
      <c r="O66" s="11"/>
      <c r="P66" s="7"/>
      <c r="Q66" s="2"/>
      <c r="R66" s="6">
        <f t="shared" si="18"/>
        <v>0</v>
      </c>
      <c r="S66" s="2"/>
      <c r="T66" s="7">
        <v>0</v>
      </c>
      <c r="U66" s="2"/>
      <c r="V66" s="6">
        <f t="shared" si="19"/>
        <v>0</v>
      </c>
      <c r="W66" s="2"/>
      <c r="X66" s="7">
        <f t="shared" si="20"/>
        <v>0</v>
      </c>
      <c r="Y66" s="2"/>
      <c r="Z66" s="6">
        <f t="shared" si="21"/>
        <v>0</v>
      </c>
    </row>
    <row r="67" spans="1:26" s="24" customFormat="1" hidden="1" outlineLevel="2" x14ac:dyDescent="0.25">
      <c r="A67" s="26"/>
      <c r="B67" s="11" t="str">
        <f>CONCATENATE("          ", "6117", " - ", "RETIREMENT STAFF HOURLY")</f>
        <v xml:space="preserve">          6117 - RETIREMENT STAFF HOURLY</v>
      </c>
      <c r="C67" s="11"/>
      <c r="D67" s="7">
        <v>130.25</v>
      </c>
      <c r="E67" s="2"/>
      <c r="F67" s="6">
        <f t="shared" si="14"/>
        <v>1.3630794775277117E-3</v>
      </c>
      <c r="G67" s="2"/>
      <c r="H67" s="7"/>
      <c r="I67" s="2"/>
      <c r="J67" s="6">
        <f t="shared" si="15"/>
        <v>0</v>
      </c>
      <c r="K67" s="2"/>
      <c r="L67" s="7">
        <f t="shared" si="16"/>
        <v>130.25</v>
      </c>
      <c r="M67" s="2"/>
      <c r="N67" s="6">
        <f t="shared" si="17"/>
        <v>0</v>
      </c>
      <c r="O67" s="11"/>
      <c r="P67" s="7">
        <v>1904.04</v>
      </c>
      <c r="Q67" s="2"/>
      <c r="R67" s="6">
        <f t="shared" si="18"/>
        <v>7.8115121070437582E-4</v>
      </c>
      <c r="S67" s="2"/>
      <c r="T67" s="7"/>
      <c r="U67" s="2"/>
      <c r="V67" s="6">
        <f t="shared" si="19"/>
        <v>0</v>
      </c>
      <c r="W67" s="2"/>
      <c r="X67" s="7">
        <f t="shared" si="20"/>
        <v>1904.04</v>
      </c>
      <c r="Y67" s="2"/>
      <c r="Z67" s="6">
        <f t="shared" si="21"/>
        <v>0</v>
      </c>
    </row>
    <row r="68" spans="1:26" s="24" customFormat="1" hidden="1" outlineLevel="2" x14ac:dyDescent="0.25">
      <c r="A68" s="26"/>
      <c r="B68" s="11" t="str">
        <f>CONCATENATE("          ", "6118", " - ", "VACATION")</f>
        <v xml:space="preserve">          6118 - VACATION</v>
      </c>
      <c r="C68" s="11"/>
      <c r="D68" s="7">
        <v>257.8</v>
      </c>
      <c r="E68" s="2"/>
      <c r="F68" s="6">
        <f t="shared" si="14"/>
        <v>2.6979031808571524E-3</v>
      </c>
      <c r="G68" s="2"/>
      <c r="H68" s="7">
        <v>170.943553846154</v>
      </c>
      <c r="I68" s="2"/>
      <c r="J68" s="6">
        <f t="shared" si="15"/>
        <v>1.105886773148186E-3</v>
      </c>
      <c r="K68" s="2"/>
      <c r="L68" s="7">
        <f t="shared" si="16"/>
        <v>86.856446153846008</v>
      </c>
      <c r="M68" s="2"/>
      <c r="N68" s="6">
        <f t="shared" si="17"/>
        <v>0.50810015469793723</v>
      </c>
      <c r="O68" s="11"/>
      <c r="P68" s="7">
        <v>3045.35</v>
      </c>
      <c r="Q68" s="2"/>
      <c r="R68" s="6">
        <f t="shared" si="18"/>
        <v>1.2493849076272404E-3</v>
      </c>
      <c r="S68" s="2"/>
      <c r="T68" s="7">
        <v>2051.3226461538461</v>
      </c>
      <c r="U68" s="2"/>
      <c r="V68" s="6">
        <f t="shared" si="19"/>
        <v>8.3633069052838169E-4</v>
      </c>
      <c r="W68" s="2"/>
      <c r="X68" s="7">
        <f t="shared" si="20"/>
        <v>994.0273538461538</v>
      </c>
      <c r="Y68" s="2"/>
      <c r="Z68" s="6">
        <f t="shared" si="21"/>
        <v>0.48457874518663274</v>
      </c>
    </row>
    <row r="69" spans="1:26" s="24" customFormat="1" hidden="1" outlineLevel="2" x14ac:dyDescent="0.25">
      <c r="A69" s="26"/>
      <c r="B69" s="11" t="str">
        <f>CONCATENATE("          ", "6119", " - ", "SICK LEAVE")</f>
        <v xml:space="preserve">          6119 - SICK LEAVE</v>
      </c>
      <c r="C69" s="11"/>
      <c r="D69" s="7">
        <v>256.57</v>
      </c>
      <c r="E69" s="2"/>
      <c r="F69" s="6">
        <f t="shared" si="14"/>
        <v>2.6850311059446064E-3</v>
      </c>
      <c r="G69" s="2"/>
      <c r="H69" s="7">
        <v>188.77696730769202</v>
      </c>
      <c r="I69" s="2"/>
      <c r="J69" s="6">
        <f t="shared" si="15"/>
        <v>1.2212566459715093E-3</v>
      </c>
      <c r="K69" s="2"/>
      <c r="L69" s="7">
        <f t="shared" si="16"/>
        <v>67.793032692307975</v>
      </c>
      <c r="M69" s="2"/>
      <c r="N69" s="6">
        <f t="shared" si="17"/>
        <v>0.35911707693561218</v>
      </c>
      <c r="O69" s="11"/>
      <c r="P69" s="7">
        <v>-5090.13</v>
      </c>
      <c r="Q69" s="2"/>
      <c r="R69" s="6">
        <f t="shared" si="18"/>
        <v>-2.0882760930141511E-3</v>
      </c>
      <c r="S69" s="2"/>
      <c r="T69" s="7">
        <v>2097.4743426923042</v>
      </c>
      <c r="U69" s="2"/>
      <c r="V69" s="6">
        <f t="shared" si="19"/>
        <v>8.5514688227054123E-4</v>
      </c>
      <c r="W69" s="2"/>
      <c r="X69" s="7">
        <f t="shared" si="20"/>
        <v>-7187.6043426923043</v>
      </c>
      <c r="Y69" s="2"/>
      <c r="Z69" s="6">
        <f t="shared" si="21"/>
        <v>-3.4267901143745783</v>
      </c>
    </row>
    <row r="70" spans="1:26" s="24" customFormat="1" hidden="1" outlineLevel="2" x14ac:dyDescent="0.25">
      <c r="A70" s="26"/>
      <c r="B70" s="11" t="str">
        <f>CONCATENATE("          ", "6156", " - ", "EMPLOYEE MEALS")</f>
        <v xml:space="preserve">          6156 - EMPLOYEE MEALS</v>
      </c>
      <c r="C70" s="11"/>
      <c r="D70" s="7">
        <v>132.19</v>
      </c>
      <c r="E70" s="2"/>
      <c r="F70" s="6">
        <f t="shared" si="14"/>
        <v>1.3833817745442475E-3</v>
      </c>
      <c r="G70" s="2"/>
      <c r="H70" s="7"/>
      <c r="I70" s="2"/>
      <c r="J70" s="6">
        <f t="shared" si="15"/>
        <v>0</v>
      </c>
      <c r="K70" s="2"/>
      <c r="L70" s="7">
        <f t="shared" si="16"/>
        <v>132.19</v>
      </c>
      <c r="M70" s="2"/>
      <c r="N70" s="6">
        <f t="shared" si="17"/>
        <v>0</v>
      </c>
      <c r="O70" s="11"/>
      <c r="P70" s="7">
        <v>1858.6</v>
      </c>
      <c r="Q70" s="2"/>
      <c r="R70" s="6">
        <f t="shared" si="18"/>
        <v>7.6250900202472259E-4</v>
      </c>
      <c r="S70" s="2"/>
      <c r="T70" s="7"/>
      <c r="U70" s="2"/>
      <c r="V70" s="6">
        <f t="shared" si="19"/>
        <v>0</v>
      </c>
      <c r="W70" s="2"/>
      <c r="X70" s="7">
        <f t="shared" si="20"/>
        <v>1858.6</v>
      </c>
      <c r="Y70" s="2"/>
      <c r="Z70" s="6">
        <f t="shared" si="21"/>
        <v>0</v>
      </c>
    </row>
    <row r="71" spans="1:26" s="27" customFormat="1" outlineLevel="1" collapsed="1" x14ac:dyDescent="0.25">
      <c r="A71" s="25"/>
      <c r="B71" s="12" t="str">
        <f>CONCATENATE("     ","*Payroll                                          ")</f>
        <v xml:space="preserve">     *Payroll                                          </v>
      </c>
      <c r="C71" s="12"/>
      <c r="D71" s="1">
        <f>SUM(OSRRefD22_1x_0)</f>
        <v>4569.1499999999996</v>
      </c>
      <c r="E71" s="1"/>
      <c r="F71" s="5">
        <f t="shared" ref="F71:F81" si="22">IF(D$12=0,0,D71/D$12)</f>
        <v>4.781661876964103E-2</v>
      </c>
      <c r="G71" s="1"/>
      <c r="H71" s="1">
        <f>SUM(OSRRefH22_1x_0)</f>
        <v>11066.04489076923</v>
      </c>
      <c r="I71" s="1"/>
      <c r="J71" s="5">
        <f t="shared" ref="J71:J81" si="23">IF(H$12=0,0,H71/H$12)</f>
        <v>7.1589670393652508E-2</v>
      </c>
      <c r="K71" s="1"/>
      <c r="L71" s="1">
        <f t="shared" ref="L71:L81" si="24">+D71-H71</f>
        <v>-6496.8948907692302</v>
      </c>
      <c r="M71" s="1"/>
      <c r="N71" s="5">
        <f t="shared" ref="N71:N81" si="25">IF(H71=0,0,L71/H71)</f>
        <v>-0.58710180149265723</v>
      </c>
      <c r="O71" s="12"/>
      <c r="P71" s="1">
        <f>SUM(OSRRefP22_1x_0)</f>
        <v>100791.28</v>
      </c>
      <c r="Q71" s="1"/>
      <c r="R71" s="5">
        <f t="shared" ref="R71:R81" si="26">IF(P$12=0,0,P71/P$12)</f>
        <v>4.135061784439599E-2</v>
      </c>
      <c r="S71" s="1"/>
      <c r="T71" s="1">
        <f>SUM(OSRRefT22_1x_0)</f>
        <v>116376.35218923076</v>
      </c>
      <c r="U71" s="1"/>
      <c r="V71" s="5">
        <f t="shared" ref="V71:V81" si="27">IF(T$12=0,0,T71/T$12)</f>
        <v>4.744700458023119E-2</v>
      </c>
      <c r="W71" s="1"/>
      <c r="X71" s="1">
        <f t="shared" ref="X71:X81" si="28">+P71-T71</f>
        <v>-15585.072189230763</v>
      </c>
      <c r="Y71" s="1"/>
      <c r="Z71" s="5">
        <f t="shared" ref="Z71:Z81" si="29">IF(T71=0,0,X71/T71)</f>
        <v>-0.1339195798463339</v>
      </c>
    </row>
    <row r="72" spans="1:26" s="24" customFormat="1" hidden="1" outlineLevel="2" x14ac:dyDescent="0.25">
      <c r="A72" s="26"/>
      <c r="B72" s="11" t="str">
        <f>CONCATENATE("          ", "6001", " - ", "ADMINISTRATIVE SALARIES")</f>
        <v xml:space="preserve">          6001 - ADMINISTRATIVE SALARIES</v>
      </c>
      <c r="C72" s="11"/>
      <c r="D72" s="7"/>
      <c r="E72" s="2"/>
      <c r="F72" s="6">
        <f t="shared" si="22"/>
        <v>0</v>
      </c>
      <c r="G72" s="2"/>
      <c r="H72" s="7">
        <v>3145.3613907692297</v>
      </c>
      <c r="I72" s="2"/>
      <c r="J72" s="6">
        <f t="shared" si="23"/>
        <v>2.0348316625926597E-2</v>
      </c>
      <c r="K72" s="2"/>
      <c r="L72" s="7">
        <f t="shared" si="24"/>
        <v>-3145.3613907692297</v>
      </c>
      <c r="M72" s="2"/>
      <c r="N72" s="6">
        <f t="shared" si="25"/>
        <v>-1</v>
      </c>
      <c r="O72" s="11"/>
      <c r="P72" s="7"/>
      <c r="Q72" s="2"/>
      <c r="R72" s="6">
        <f t="shared" si="26"/>
        <v>0</v>
      </c>
      <c r="S72" s="2"/>
      <c r="T72" s="7">
        <v>37744.336689230768</v>
      </c>
      <c r="U72" s="2"/>
      <c r="V72" s="6">
        <f t="shared" si="27"/>
        <v>1.5388484705722223E-2</v>
      </c>
      <c r="W72" s="2"/>
      <c r="X72" s="7">
        <f t="shared" si="28"/>
        <v>-37744.336689230768</v>
      </c>
      <c r="Y72" s="2"/>
      <c r="Z72" s="6">
        <f t="shared" si="29"/>
        <v>-1</v>
      </c>
    </row>
    <row r="73" spans="1:26" s="24" customFormat="1" hidden="1" outlineLevel="2" x14ac:dyDescent="0.25">
      <c r="A73" s="26"/>
      <c r="B73" s="11" t="str">
        <f>CONCATENATE("          ", "6002", " - ", "STAFF SALARIES")</f>
        <v xml:space="preserve">          6002 - STAFF SALARIES</v>
      </c>
      <c r="C73" s="11"/>
      <c r="D73" s="7">
        <v>1825.84</v>
      </c>
      <c r="E73" s="2"/>
      <c r="F73" s="6">
        <f t="shared" si="22"/>
        <v>1.9107601023026468E-2</v>
      </c>
      <c r="G73" s="2"/>
      <c r="H73" s="7">
        <v>0</v>
      </c>
      <c r="I73" s="2"/>
      <c r="J73" s="6">
        <f t="shared" si="23"/>
        <v>0</v>
      </c>
      <c r="K73" s="2"/>
      <c r="L73" s="7">
        <f t="shared" si="24"/>
        <v>1825.84</v>
      </c>
      <c r="M73" s="2"/>
      <c r="N73" s="6">
        <f t="shared" si="25"/>
        <v>0</v>
      </c>
      <c r="O73" s="11"/>
      <c r="P73" s="7">
        <v>34223.57</v>
      </c>
      <c r="Q73" s="2"/>
      <c r="R73" s="6">
        <f t="shared" si="26"/>
        <v>1.4040557519866156E-2</v>
      </c>
      <c r="S73" s="2"/>
      <c r="T73" s="7">
        <v>0</v>
      </c>
      <c r="U73" s="2"/>
      <c r="V73" s="6">
        <f t="shared" si="27"/>
        <v>0</v>
      </c>
      <c r="W73" s="2"/>
      <c r="X73" s="7">
        <f t="shared" si="28"/>
        <v>34223.57</v>
      </c>
      <c r="Y73" s="2"/>
      <c r="Z73" s="6">
        <f t="shared" si="29"/>
        <v>0</v>
      </c>
    </row>
    <row r="74" spans="1:26" s="24" customFormat="1" hidden="1" outlineLevel="2" x14ac:dyDescent="0.25">
      <c r="A74" s="26"/>
      <c r="B74" s="11" t="str">
        <f>CONCATENATE("          ", "6003", " - ", "STAFF HOURLY-9 MONTH")</f>
        <v xml:space="preserve">          6003 - STAFF HOURLY-9 MONTH</v>
      </c>
      <c r="C74" s="11"/>
      <c r="D74" s="7"/>
      <c r="E74" s="2"/>
      <c r="F74" s="6">
        <f t="shared" si="22"/>
        <v>0</v>
      </c>
      <c r="G74" s="2"/>
      <c r="H74" s="7">
        <v>0</v>
      </c>
      <c r="I74" s="2"/>
      <c r="J74" s="6">
        <f t="shared" si="23"/>
        <v>0</v>
      </c>
      <c r="K74" s="2"/>
      <c r="L74" s="7">
        <f t="shared" si="24"/>
        <v>0</v>
      </c>
      <c r="M74" s="2"/>
      <c r="N74" s="6">
        <f t="shared" si="25"/>
        <v>0</v>
      </c>
      <c r="O74" s="11"/>
      <c r="P74" s="7"/>
      <c r="Q74" s="2"/>
      <c r="R74" s="6">
        <f t="shared" si="26"/>
        <v>0</v>
      </c>
      <c r="S74" s="2"/>
      <c r="T74" s="7">
        <v>0</v>
      </c>
      <c r="U74" s="2"/>
      <c r="V74" s="6">
        <f t="shared" si="27"/>
        <v>0</v>
      </c>
      <c r="W74" s="2"/>
      <c r="X74" s="7">
        <f t="shared" si="28"/>
        <v>0</v>
      </c>
      <c r="Y74" s="2"/>
      <c r="Z74" s="6">
        <f t="shared" si="29"/>
        <v>0</v>
      </c>
    </row>
    <row r="75" spans="1:26" s="24" customFormat="1" hidden="1" outlineLevel="2" x14ac:dyDescent="0.25">
      <c r="A75" s="26"/>
      <c r="B75" s="11" t="str">
        <f>CONCATENATE("          ", "6004", " - ", "STAFF HOURLY")</f>
        <v xml:space="preserve">          6004 - STAFF HOURLY</v>
      </c>
      <c r="C75" s="11"/>
      <c r="D75" s="7">
        <v>2743.31</v>
      </c>
      <c r="E75" s="2"/>
      <c r="F75" s="6">
        <f t="shared" si="22"/>
        <v>2.8709017746614565E-2</v>
      </c>
      <c r="G75" s="2"/>
      <c r="H75" s="7">
        <v>1400.8</v>
      </c>
      <c r="I75" s="2"/>
      <c r="J75" s="6">
        <f t="shared" si="23"/>
        <v>9.0622088810682119E-3</v>
      </c>
      <c r="K75" s="2"/>
      <c r="L75" s="7">
        <f t="shared" si="24"/>
        <v>1342.51</v>
      </c>
      <c r="M75" s="2"/>
      <c r="N75" s="6">
        <f t="shared" si="25"/>
        <v>0.95838806396344944</v>
      </c>
      <c r="O75" s="11"/>
      <c r="P75" s="7">
        <v>8575.16</v>
      </c>
      <c r="Q75" s="2"/>
      <c r="R75" s="6">
        <f t="shared" si="26"/>
        <v>3.5180440620909935E-3</v>
      </c>
      <c r="S75" s="2"/>
      <c r="T75" s="7">
        <v>16072.12</v>
      </c>
      <c r="U75" s="2"/>
      <c r="V75" s="6">
        <f t="shared" si="27"/>
        <v>6.5526538416847925E-3</v>
      </c>
      <c r="W75" s="2"/>
      <c r="X75" s="7">
        <f t="shared" si="28"/>
        <v>-7496.9600000000009</v>
      </c>
      <c r="Y75" s="2"/>
      <c r="Z75" s="6">
        <f t="shared" si="29"/>
        <v>-0.46645744307533793</v>
      </c>
    </row>
    <row r="76" spans="1:26" s="24" customFormat="1" hidden="1" outlineLevel="2" x14ac:dyDescent="0.25">
      <c r="A76" s="26"/>
      <c r="B76" s="11" t="str">
        <f>CONCATENATE("          ", "6005", " - ", "TEMPORARY WAGES-HOURLY")</f>
        <v xml:space="preserve">          6005 - TEMPORARY WAGES-HOURLY</v>
      </c>
      <c r="C76" s="11"/>
      <c r="D76" s="7"/>
      <c r="E76" s="2"/>
      <c r="F76" s="6">
        <f t="shared" si="22"/>
        <v>0</v>
      </c>
      <c r="G76" s="2"/>
      <c r="H76" s="7">
        <v>0</v>
      </c>
      <c r="I76" s="2"/>
      <c r="J76" s="6">
        <f t="shared" si="23"/>
        <v>0</v>
      </c>
      <c r="K76" s="2"/>
      <c r="L76" s="7">
        <f t="shared" si="24"/>
        <v>0</v>
      </c>
      <c r="M76" s="2"/>
      <c r="N76" s="6">
        <f t="shared" si="25"/>
        <v>0</v>
      </c>
      <c r="O76" s="11"/>
      <c r="P76" s="7">
        <v>29960.57</v>
      </c>
      <c r="Q76" s="2"/>
      <c r="R76" s="6">
        <f t="shared" si="26"/>
        <v>1.2291619676526333E-2</v>
      </c>
      <c r="S76" s="2"/>
      <c r="T76" s="7">
        <v>0</v>
      </c>
      <c r="U76" s="2"/>
      <c r="V76" s="6">
        <f t="shared" si="27"/>
        <v>0</v>
      </c>
      <c r="W76" s="2"/>
      <c r="X76" s="7">
        <f t="shared" si="28"/>
        <v>29960.57</v>
      </c>
      <c r="Y76" s="2"/>
      <c r="Z76" s="6">
        <f t="shared" si="29"/>
        <v>0</v>
      </c>
    </row>
    <row r="77" spans="1:26" s="24" customFormat="1" hidden="1" outlineLevel="2" x14ac:dyDescent="0.25">
      <c r="A77" s="26"/>
      <c r="B77" s="11" t="str">
        <f>CONCATENATE("          ", "6006", " - ", "TEMPORARY PART TIME")</f>
        <v xml:space="preserve">          6006 - TEMPORARY PART TIME</v>
      </c>
      <c r="C77" s="11"/>
      <c r="D77" s="7"/>
      <c r="E77" s="2"/>
      <c r="F77" s="6">
        <f t="shared" si="22"/>
        <v>0</v>
      </c>
      <c r="G77" s="2"/>
      <c r="H77" s="7">
        <v>0</v>
      </c>
      <c r="I77" s="2"/>
      <c r="J77" s="6">
        <f t="shared" si="23"/>
        <v>0</v>
      </c>
      <c r="K77" s="2"/>
      <c r="L77" s="7">
        <f t="shared" si="24"/>
        <v>0</v>
      </c>
      <c r="M77" s="2"/>
      <c r="N77" s="6">
        <f t="shared" si="25"/>
        <v>0</v>
      </c>
      <c r="O77" s="11"/>
      <c r="P77" s="7">
        <v>9008.99</v>
      </c>
      <c r="Q77" s="2"/>
      <c r="R77" s="6">
        <f t="shared" si="26"/>
        <v>3.6960271032770394E-3</v>
      </c>
      <c r="S77" s="2"/>
      <c r="T77" s="7">
        <v>0</v>
      </c>
      <c r="U77" s="2"/>
      <c r="V77" s="6">
        <f t="shared" si="27"/>
        <v>0</v>
      </c>
      <c r="W77" s="2"/>
      <c r="X77" s="7">
        <f t="shared" si="28"/>
        <v>9008.99</v>
      </c>
      <c r="Y77" s="2"/>
      <c r="Z77" s="6">
        <f t="shared" si="29"/>
        <v>0</v>
      </c>
    </row>
    <row r="78" spans="1:26" s="24" customFormat="1" hidden="1" outlineLevel="2" x14ac:dyDescent="0.25">
      <c r="A78" s="26"/>
      <c r="B78" s="11" t="str">
        <f>CONCATENATE("          ", "6007", " - ", "STUDENT HOURLY")</f>
        <v xml:space="preserve">          6007 - STUDENT HOURLY</v>
      </c>
      <c r="C78" s="11"/>
      <c r="D78" s="7"/>
      <c r="E78" s="2"/>
      <c r="F78" s="6">
        <f t="shared" si="22"/>
        <v>0</v>
      </c>
      <c r="G78" s="2"/>
      <c r="H78" s="7">
        <v>0</v>
      </c>
      <c r="I78" s="2"/>
      <c r="J78" s="6">
        <f t="shared" si="23"/>
        <v>0</v>
      </c>
      <c r="K78" s="2"/>
      <c r="L78" s="7">
        <f t="shared" si="24"/>
        <v>0</v>
      </c>
      <c r="M78" s="2"/>
      <c r="N78" s="6">
        <f t="shared" si="25"/>
        <v>0</v>
      </c>
      <c r="O78" s="11"/>
      <c r="P78" s="7">
        <v>19022.990000000002</v>
      </c>
      <c r="Q78" s="2"/>
      <c r="R78" s="6">
        <f t="shared" si="26"/>
        <v>7.8043694826354674E-3</v>
      </c>
      <c r="S78" s="2"/>
      <c r="T78" s="7">
        <v>9378.75</v>
      </c>
      <c r="U78" s="2"/>
      <c r="V78" s="6">
        <f t="shared" si="27"/>
        <v>3.8237458541686628E-3</v>
      </c>
      <c r="W78" s="2"/>
      <c r="X78" s="7">
        <f t="shared" si="28"/>
        <v>9644.2400000000016</v>
      </c>
      <c r="Y78" s="2"/>
      <c r="Z78" s="6">
        <f t="shared" si="29"/>
        <v>1.0283076102892179</v>
      </c>
    </row>
    <row r="79" spans="1:26" s="24" customFormat="1" hidden="1" outlineLevel="2" x14ac:dyDescent="0.25">
      <c r="A79" s="26"/>
      <c r="B79" s="11" t="str">
        <f>CONCATENATE("          ", "6008", " - ", "STUDENT HOURLY-FICA EXEMPT")</f>
        <v xml:space="preserve">          6008 - STUDENT HOURLY-FICA EXEMPT</v>
      </c>
      <c r="C79" s="11"/>
      <c r="D79" s="7"/>
      <c r="E79" s="2"/>
      <c r="F79" s="6">
        <f t="shared" si="22"/>
        <v>0</v>
      </c>
      <c r="G79" s="2"/>
      <c r="H79" s="7">
        <v>6519.8835000000008</v>
      </c>
      <c r="I79" s="2"/>
      <c r="J79" s="6">
        <f t="shared" si="23"/>
        <v>4.21791448866577E-2</v>
      </c>
      <c r="K79" s="2"/>
      <c r="L79" s="7">
        <f t="shared" si="24"/>
        <v>-6519.8835000000008</v>
      </c>
      <c r="M79" s="2"/>
      <c r="N79" s="6">
        <f t="shared" si="25"/>
        <v>-1</v>
      </c>
      <c r="O79" s="11"/>
      <c r="P79" s="7"/>
      <c r="Q79" s="2"/>
      <c r="R79" s="6">
        <f t="shared" si="26"/>
        <v>0</v>
      </c>
      <c r="S79" s="2"/>
      <c r="T79" s="7">
        <v>53181.145499999999</v>
      </c>
      <c r="U79" s="2"/>
      <c r="V79" s="6">
        <f t="shared" si="27"/>
        <v>2.1682120178655517E-2</v>
      </c>
      <c r="W79" s="2"/>
      <c r="X79" s="7">
        <f t="shared" si="28"/>
        <v>-53181.145499999999</v>
      </c>
      <c r="Y79" s="2"/>
      <c r="Z79" s="6">
        <f t="shared" si="29"/>
        <v>-1</v>
      </c>
    </row>
    <row r="80" spans="1:26" s="24" customFormat="1" hidden="1" outlineLevel="2" x14ac:dyDescent="0.25">
      <c r="A80" s="26"/>
      <c r="B80" s="11" t="str">
        <f>CONCATENATE("          ", "6009", " - ", "TEMPORARY-SEASONAL")</f>
        <v xml:space="preserve">          6009 - TEMPORARY-SEASONAL</v>
      </c>
      <c r="C80" s="11"/>
      <c r="D80" s="7"/>
      <c r="E80" s="2"/>
      <c r="F80" s="6">
        <f t="shared" si="22"/>
        <v>0</v>
      </c>
      <c r="G80" s="2"/>
      <c r="H80" s="7">
        <v>0</v>
      </c>
      <c r="I80" s="2"/>
      <c r="J80" s="6">
        <f t="shared" si="23"/>
        <v>0</v>
      </c>
      <c r="K80" s="2"/>
      <c r="L80" s="7">
        <f t="shared" si="24"/>
        <v>0</v>
      </c>
      <c r="M80" s="2"/>
      <c r="N80" s="6">
        <f t="shared" si="25"/>
        <v>0</v>
      </c>
      <c r="O80" s="11"/>
      <c r="P80" s="7"/>
      <c r="Q80" s="2"/>
      <c r="R80" s="6">
        <f t="shared" si="26"/>
        <v>0</v>
      </c>
      <c r="S80" s="2"/>
      <c r="T80" s="7">
        <v>0</v>
      </c>
      <c r="U80" s="2"/>
      <c r="V80" s="6">
        <f t="shared" si="27"/>
        <v>0</v>
      </c>
      <c r="W80" s="2"/>
      <c r="X80" s="7">
        <f t="shared" si="28"/>
        <v>0</v>
      </c>
      <c r="Y80" s="2"/>
      <c r="Z80" s="6">
        <f t="shared" si="29"/>
        <v>0</v>
      </c>
    </row>
    <row r="81" spans="1:26" s="24" customFormat="1" hidden="1" outlineLevel="2" x14ac:dyDescent="0.25">
      <c r="A81" s="26"/>
      <c r="B81" s="11" t="str">
        <f>CONCATENATE("          ", "6010", " - ", "GRATUITY")</f>
        <v xml:space="preserve">          6010 - GRATUITY</v>
      </c>
      <c r="C81" s="11"/>
      <c r="D81" s="7"/>
      <c r="E81" s="2"/>
      <c r="F81" s="6">
        <f t="shared" si="22"/>
        <v>0</v>
      </c>
      <c r="G81" s="2"/>
      <c r="H81" s="7">
        <v>0</v>
      </c>
      <c r="I81" s="2"/>
      <c r="J81" s="6">
        <f t="shared" si="23"/>
        <v>0</v>
      </c>
      <c r="K81" s="2"/>
      <c r="L81" s="7">
        <f t="shared" si="24"/>
        <v>0</v>
      </c>
      <c r="M81" s="2"/>
      <c r="N81" s="6">
        <f t="shared" si="25"/>
        <v>0</v>
      </c>
      <c r="O81" s="11"/>
      <c r="P81" s="7"/>
      <c r="Q81" s="2"/>
      <c r="R81" s="6">
        <f t="shared" si="26"/>
        <v>0</v>
      </c>
      <c r="S81" s="2"/>
      <c r="T81" s="7">
        <v>0</v>
      </c>
      <c r="U81" s="2"/>
      <c r="V81" s="6">
        <f t="shared" si="27"/>
        <v>0</v>
      </c>
      <c r="W81" s="2"/>
      <c r="X81" s="7">
        <f t="shared" si="28"/>
        <v>0</v>
      </c>
      <c r="Y81" s="2"/>
      <c r="Z81" s="6">
        <f t="shared" si="29"/>
        <v>0</v>
      </c>
    </row>
    <row r="82" spans="1:26" s="27" customFormat="1" outlineLevel="1" collapsed="1" x14ac:dyDescent="0.25">
      <c r="A82" s="25"/>
      <c r="B82" s="12" t="str">
        <f>CONCATENATE("     ","Advertising/Promo                                 ")</f>
        <v xml:space="preserve">     Advertising/Promo                                 </v>
      </c>
      <c r="C82" s="12"/>
      <c r="D82" s="1">
        <f>SUM(OSRRefD22_2x_0)</f>
        <v>0</v>
      </c>
      <c r="E82" s="1"/>
      <c r="F82" s="5">
        <f t="shared" ref="F82:F100" si="30">IF(D$12=0,0,D82/D$12)</f>
        <v>0</v>
      </c>
      <c r="G82" s="1"/>
      <c r="H82" s="1">
        <f>SUM(OSRRefH22_2x_0)</f>
        <v>250</v>
      </c>
      <c r="I82" s="1"/>
      <c r="J82" s="5">
        <f t="shared" ref="J82:J100" si="31">IF(H$12=0,0,H82/H$12)</f>
        <v>1.6173273988199979E-3</v>
      </c>
      <c r="K82" s="1"/>
      <c r="L82" s="1">
        <f t="shared" ref="L82:L100" si="32">+D82-H82</f>
        <v>-250</v>
      </c>
      <c r="M82" s="1"/>
      <c r="N82" s="5">
        <f t="shared" ref="N82:N100" si="33">IF(H82=0,0,L82/H82)</f>
        <v>-1</v>
      </c>
      <c r="O82" s="12"/>
      <c r="P82" s="1">
        <f>SUM(OSRRefP22_2x_0)</f>
        <v>1745.92</v>
      </c>
      <c r="Q82" s="1"/>
      <c r="R82" s="5">
        <f t="shared" ref="R82:R100" si="34">IF(P$12=0,0,P82/P$12)</f>
        <v>7.1628091940977284E-4</v>
      </c>
      <c r="S82" s="1"/>
      <c r="T82" s="1">
        <f>SUM(OSRRefT22_2x_0)</f>
        <v>2750</v>
      </c>
      <c r="U82" s="1"/>
      <c r="V82" s="5">
        <f t="shared" ref="V82:V100" si="35">IF(T$12=0,0,T82/T$12)</f>
        <v>1.1211836437653017E-3</v>
      </c>
      <c r="W82" s="1"/>
      <c r="X82" s="1">
        <f t="shared" ref="X82:X100" si="36">+P82-T82</f>
        <v>-1004.0799999999999</v>
      </c>
      <c r="Y82" s="1"/>
      <c r="Z82" s="5">
        <f t="shared" ref="Z82:Z100" si="37">IF(T82=0,0,X82/T82)</f>
        <v>-0.36512</v>
      </c>
    </row>
    <row r="83" spans="1:26" s="24" customFormat="1" hidden="1" outlineLevel="2" x14ac:dyDescent="0.25">
      <c r="A83" s="26"/>
      <c r="B83" s="11" t="str">
        <f>CONCATENATE("          ", "6362", " - ", "ADVERTISING EXPENSE")</f>
        <v xml:space="preserve">          6362 - ADVERTISING EXPENSE</v>
      </c>
      <c r="C83" s="11"/>
      <c r="D83" s="7"/>
      <c r="E83" s="2"/>
      <c r="F83" s="6">
        <f t="shared" si="30"/>
        <v>0</v>
      </c>
      <c r="G83" s="2"/>
      <c r="H83" s="7">
        <v>250</v>
      </c>
      <c r="I83" s="2"/>
      <c r="J83" s="6">
        <f t="shared" si="31"/>
        <v>1.6173273988199979E-3</v>
      </c>
      <c r="K83" s="2"/>
      <c r="L83" s="7">
        <f t="shared" si="32"/>
        <v>-250</v>
      </c>
      <c r="M83" s="2"/>
      <c r="N83" s="6">
        <f t="shared" si="33"/>
        <v>-1</v>
      </c>
      <c r="O83" s="11"/>
      <c r="P83" s="7">
        <v>1745.92</v>
      </c>
      <c r="Q83" s="2"/>
      <c r="R83" s="6">
        <f t="shared" si="34"/>
        <v>7.1628091940977284E-4</v>
      </c>
      <c r="S83" s="2"/>
      <c r="T83" s="7">
        <v>2750</v>
      </c>
      <c r="U83" s="2"/>
      <c r="V83" s="6">
        <f t="shared" si="35"/>
        <v>1.1211836437653017E-3</v>
      </c>
      <c r="W83" s="2"/>
      <c r="X83" s="7">
        <f t="shared" si="36"/>
        <v>-1004.0799999999999</v>
      </c>
      <c r="Y83" s="2"/>
      <c r="Z83" s="6">
        <f t="shared" si="37"/>
        <v>-0.36512</v>
      </c>
    </row>
    <row r="84" spans="1:26" s="27" customFormat="1" outlineLevel="1" collapsed="1" x14ac:dyDescent="0.25">
      <c r="A84" s="25"/>
      <c r="B84" s="12" t="str">
        <f>CONCATENATE("     ","Depreciation                                      ")</f>
        <v xml:space="preserve">     Depreciation                                      </v>
      </c>
      <c r="C84" s="12"/>
      <c r="D84" s="1">
        <f>SUM(OSRRefD22_3x_0)</f>
        <v>280.44</v>
      </c>
      <c r="E84" s="1"/>
      <c r="F84" s="5">
        <f t="shared" si="30"/>
        <v>2.9348330800604339E-3</v>
      </c>
      <c r="G84" s="1"/>
      <c r="H84" s="1">
        <f>SUM(OSRRefH22_3x_0)</f>
        <v>0</v>
      </c>
      <c r="I84" s="1"/>
      <c r="J84" s="5">
        <f t="shared" si="31"/>
        <v>0</v>
      </c>
      <c r="K84" s="1"/>
      <c r="L84" s="1">
        <f t="shared" si="32"/>
        <v>280.44</v>
      </c>
      <c r="M84" s="1"/>
      <c r="N84" s="5">
        <f t="shared" si="33"/>
        <v>0</v>
      </c>
      <c r="O84" s="12"/>
      <c r="P84" s="1">
        <f>SUM(OSRRefP22_3x_0)</f>
        <v>3084.84</v>
      </c>
      <c r="Q84" s="1"/>
      <c r="R84" s="5">
        <f t="shared" si="34"/>
        <v>1.2655860700559267E-3</v>
      </c>
      <c r="S84" s="1"/>
      <c r="T84" s="1">
        <f>SUM(OSRRefT22_3x_0)</f>
        <v>0</v>
      </c>
      <c r="U84" s="1"/>
      <c r="V84" s="5">
        <f t="shared" si="35"/>
        <v>0</v>
      </c>
      <c r="W84" s="1"/>
      <c r="X84" s="1">
        <f t="shared" si="36"/>
        <v>3084.84</v>
      </c>
      <c r="Y84" s="1"/>
      <c r="Z84" s="5">
        <f t="shared" si="37"/>
        <v>0</v>
      </c>
    </row>
    <row r="85" spans="1:26" s="24" customFormat="1" hidden="1" outlineLevel="2" x14ac:dyDescent="0.25">
      <c r="A85" s="26"/>
      <c r="B85" s="11" t="str">
        <f>CONCATENATE("          ", "6322", " - ", "EQUIPMENT DEPRECIATION EXPENSE")</f>
        <v xml:space="preserve">          6322 - EQUIPMENT DEPRECIATION EXPENSE</v>
      </c>
      <c r="C85" s="11"/>
      <c r="D85" s="7">
        <v>280.44</v>
      </c>
      <c r="E85" s="2"/>
      <c r="F85" s="6">
        <f t="shared" si="30"/>
        <v>2.9348330800604339E-3</v>
      </c>
      <c r="G85" s="2"/>
      <c r="H85" s="7"/>
      <c r="I85" s="2"/>
      <c r="J85" s="6">
        <f t="shared" si="31"/>
        <v>0</v>
      </c>
      <c r="K85" s="2"/>
      <c r="L85" s="7">
        <f t="shared" si="32"/>
        <v>280.44</v>
      </c>
      <c r="M85" s="2"/>
      <c r="N85" s="6">
        <f t="shared" si="33"/>
        <v>0</v>
      </c>
      <c r="O85" s="11"/>
      <c r="P85" s="7">
        <v>3084.84</v>
      </c>
      <c r="Q85" s="2"/>
      <c r="R85" s="6">
        <f t="shared" si="34"/>
        <v>1.2655860700559267E-3</v>
      </c>
      <c r="S85" s="2"/>
      <c r="T85" s="7"/>
      <c r="U85" s="2"/>
      <c r="V85" s="6">
        <f t="shared" si="35"/>
        <v>0</v>
      </c>
      <c r="W85" s="2"/>
      <c r="X85" s="7">
        <f t="shared" si="36"/>
        <v>3084.84</v>
      </c>
      <c r="Y85" s="2"/>
      <c r="Z85" s="6">
        <f t="shared" si="37"/>
        <v>0</v>
      </c>
    </row>
    <row r="86" spans="1:26" s="27" customFormat="1" outlineLevel="1" collapsed="1" x14ac:dyDescent="0.25">
      <c r="A86" s="25"/>
      <c r="B86" s="12" t="str">
        <f>CONCATENATE("     ","Discounts and Markdowns                           ")</f>
        <v xml:space="preserve">     Discounts and Markdowns                           </v>
      </c>
      <c r="C86" s="12"/>
      <c r="D86" s="1">
        <f>SUM(OSRRefD22_4x_0)</f>
        <v>4596.96</v>
      </c>
      <c r="E86" s="1"/>
      <c r="F86" s="5">
        <f t="shared" si="30"/>
        <v>4.8107653243883226E-2</v>
      </c>
      <c r="G86" s="1"/>
      <c r="H86" s="1">
        <f>SUM(OSRRefH22_4x_0)</f>
        <v>2500</v>
      </c>
      <c r="I86" s="1"/>
      <c r="J86" s="5">
        <f t="shared" si="31"/>
        <v>1.6173273988199979E-2</v>
      </c>
      <c r="K86" s="1"/>
      <c r="L86" s="1">
        <f t="shared" si="32"/>
        <v>2096.96</v>
      </c>
      <c r="M86" s="1"/>
      <c r="N86" s="5">
        <f t="shared" si="33"/>
        <v>0.83878399999999997</v>
      </c>
      <c r="O86" s="12"/>
      <c r="P86" s="1">
        <f>SUM(OSRRefP22_4x_0)</f>
        <v>74357.2</v>
      </c>
      <c r="Q86" s="1"/>
      <c r="R86" s="5">
        <f t="shared" si="34"/>
        <v>3.0505775511327184E-2</v>
      </c>
      <c r="S86" s="1"/>
      <c r="T86" s="1">
        <f>SUM(OSRRefT22_4x_0)</f>
        <v>27500</v>
      </c>
      <c r="U86" s="1"/>
      <c r="V86" s="5">
        <f t="shared" si="35"/>
        <v>1.1211836437653016E-2</v>
      </c>
      <c r="W86" s="1"/>
      <c r="X86" s="1">
        <f t="shared" si="36"/>
        <v>46857.2</v>
      </c>
      <c r="Y86" s="1"/>
      <c r="Z86" s="5">
        <f t="shared" si="37"/>
        <v>1.7038981818181818</v>
      </c>
    </row>
    <row r="87" spans="1:26" s="24" customFormat="1" hidden="1" outlineLevel="2" x14ac:dyDescent="0.25">
      <c r="A87" s="26"/>
      <c r="B87" s="11" t="str">
        <f>CONCATENATE("          ", "6382", " - ", "DISCOUNTS/MARK DOWNS")</f>
        <v xml:space="preserve">          6382 - DISCOUNTS/MARK DOWNS</v>
      </c>
      <c r="C87" s="11"/>
      <c r="D87" s="7">
        <v>4596.96</v>
      </c>
      <c r="E87" s="2"/>
      <c r="F87" s="6">
        <f t="shared" si="30"/>
        <v>4.8107653243883226E-2</v>
      </c>
      <c r="G87" s="2"/>
      <c r="H87" s="7">
        <v>2500</v>
      </c>
      <c r="I87" s="2"/>
      <c r="J87" s="6">
        <f t="shared" si="31"/>
        <v>1.6173273988199979E-2</v>
      </c>
      <c r="K87" s="2"/>
      <c r="L87" s="7">
        <f t="shared" si="32"/>
        <v>2096.96</v>
      </c>
      <c r="M87" s="2"/>
      <c r="N87" s="6">
        <f t="shared" si="33"/>
        <v>0.83878399999999997</v>
      </c>
      <c r="O87" s="11"/>
      <c r="P87" s="7">
        <v>74357.2</v>
      </c>
      <c r="Q87" s="2"/>
      <c r="R87" s="6">
        <f t="shared" si="34"/>
        <v>3.0505775511327184E-2</v>
      </c>
      <c r="S87" s="2"/>
      <c r="T87" s="7">
        <v>27500</v>
      </c>
      <c r="U87" s="2"/>
      <c r="V87" s="6">
        <f t="shared" si="35"/>
        <v>1.1211836437653016E-2</v>
      </c>
      <c r="W87" s="2"/>
      <c r="X87" s="7">
        <f t="shared" si="36"/>
        <v>46857.2</v>
      </c>
      <c r="Y87" s="2"/>
      <c r="Z87" s="6">
        <f t="shared" si="37"/>
        <v>1.7038981818181818</v>
      </c>
    </row>
    <row r="88" spans="1:26" s="27" customFormat="1" outlineLevel="1" collapsed="1" x14ac:dyDescent="0.25">
      <c r="A88" s="25"/>
      <c r="B88" s="12" t="str">
        <f>CONCATENATE("     ","Employees' Appreciation                           ")</f>
        <v xml:space="preserve">     Employees' Appreciation                           </v>
      </c>
      <c r="C88" s="12"/>
      <c r="D88" s="1">
        <f>SUM(OSRRefD22_5x_0)</f>
        <v>0</v>
      </c>
      <c r="E88" s="1"/>
      <c r="F88" s="5">
        <f t="shared" si="30"/>
        <v>0</v>
      </c>
      <c r="G88" s="1"/>
      <c r="H88" s="1">
        <f>SUM(OSRRefH22_5x_0)</f>
        <v>40</v>
      </c>
      <c r="I88" s="1"/>
      <c r="J88" s="5">
        <f t="shared" si="31"/>
        <v>2.5877238381119967E-4</v>
      </c>
      <c r="K88" s="1"/>
      <c r="L88" s="1">
        <f t="shared" si="32"/>
        <v>-40</v>
      </c>
      <c r="M88" s="1"/>
      <c r="N88" s="5">
        <f t="shared" si="33"/>
        <v>-1</v>
      </c>
      <c r="O88" s="12"/>
      <c r="P88" s="1">
        <f>SUM(OSRRefP22_5x_0)</f>
        <v>0</v>
      </c>
      <c r="Q88" s="1"/>
      <c r="R88" s="5">
        <f t="shared" si="34"/>
        <v>0</v>
      </c>
      <c r="S88" s="1"/>
      <c r="T88" s="1">
        <f>SUM(OSRRefT22_5x_0)</f>
        <v>440</v>
      </c>
      <c r="U88" s="1"/>
      <c r="V88" s="5">
        <f t="shared" si="35"/>
        <v>1.7938938300244826E-4</v>
      </c>
      <c r="W88" s="1"/>
      <c r="X88" s="1">
        <f t="shared" si="36"/>
        <v>-440</v>
      </c>
      <c r="Y88" s="1"/>
      <c r="Z88" s="5">
        <f t="shared" si="37"/>
        <v>-1</v>
      </c>
    </row>
    <row r="89" spans="1:26" s="24" customFormat="1" hidden="1" outlineLevel="2" x14ac:dyDescent="0.25">
      <c r="A89" s="26"/>
      <c r="B89" s="11" t="str">
        <f>CONCATENATE("          ", "6277", " - ", "EMPLOYEE APPRECIATION")</f>
        <v xml:space="preserve">          6277 - EMPLOYEE APPRECIATION</v>
      </c>
      <c r="C89" s="11"/>
      <c r="D89" s="7"/>
      <c r="E89" s="2"/>
      <c r="F89" s="6">
        <f t="shared" si="30"/>
        <v>0</v>
      </c>
      <c r="G89" s="2"/>
      <c r="H89" s="7">
        <v>40</v>
      </c>
      <c r="I89" s="2"/>
      <c r="J89" s="6">
        <f t="shared" si="31"/>
        <v>2.5877238381119967E-4</v>
      </c>
      <c r="K89" s="2"/>
      <c r="L89" s="7">
        <f t="shared" si="32"/>
        <v>-40</v>
      </c>
      <c r="M89" s="2"/>
      <c r="N89" s="6">
        <f t="shared" si="33"/>
        <v>-1</v>
      </c>
      <c r="O89" s="11"/>
      <c r="P89" s="7"/>
      <c r="Q89" s="2"/>
      <c r="R89" s="6">
        <f t="shared" si="34"/>
        <v>0</v>
      </c>
      <c r="S89" s="2"/>
      <c r="T89" s="7">
        <v>440</v>
      </c>
      <c r="U89" s="2"/>
      <c r="V89" s="6">
        <f t="shared" si="35"/>
        <v>1.7938938300244826E-4</v>
      </c>
      <c r="W89" s="2"/>
      <c r="X89" s="7">
        <f t="shared" si="36"/>
        <v>-440</v>
      </c>
      <c r="Y89" s="2"/>
      <c r="Z89" s="6">
        <f t="shared" si="37"/>
        <v>-1</v>
      </c>
    </row>
    <row r="90" spans="1:26" s="27" customFormat="1" outlineLevel="1" collapsed="1" x14ac:dyDescent="0.25">
      <c r="A90" s="25"/>
      <c r="B90" s="12" t="str">
        <f>CONCATENATE("     ","Freight out/Postage                               ")</f>
        <v xml:space="preserve">     Freight out/Postage                               </v>
      </c>
      <c r="C90" s="12"/>
      <c r="D90" s="1">
        <f>SUM(OSRRefD22_6x_0)</f>
        <v>0</v>
      </c>
      <c r="E90" s="1"/>
      <c r="F90" s="5">
        <f t="shared" si="30"/>
        <v>0</v>
      </c>
      <c r="G90" s="1"/>
      <c r="H90" s="1">
        <f>SUM(OSRRefH22_6x_0)</f>
        <v>25</v>
      </c>
      <c r="I90" s="1"/>
      <c r="J90" s="5">
        <f t="shared" si="31"/>
        <v>1.6173273988199979E-4</v>
      </c>
      <c r="K90" s="1"/>
      <c r="L90" s="1">
        <f t="shared" si="32"/>
        <v>-25</v>
      </c>
      <c r="M90" s="1"/>
      <c r="N90" s="5">
        <f t="shared" si="33"/>
        <v>-1</v>
      </c>
      <c r="O90" s="12"/>
      <c r="P90" s="1">
        <f>SUM(OSRRefP22_6x_0)</f>
        <v>120.59</v>
      </c>
      <c r="Q90" s="1"/>
      <c r="R90" s="5">
        <f t="shared" si="34"/>
        <v>4.9473238219176426E-5</v>
      </c>
      <c r="S90" s="1"/>
      <c r="T90" s="1">
        <f>SUM(OSRRefT22_6x_0)</f>
        <v>275</v>
      </c>
      <c r="U90" s="1"/>
      <c r="V90" s="5">
        <f t="shared" si="35"/>
        <v>1.1211836437653016E-4</v>
      </c>
      <c r="W90" s="1"/>
      <c r="X90" s="1">
        <f t="shared" si="36"/>
        <v>-154.41</v>
      </c>
      <c r="Y90" s="1"/>
      <c r="Z90" s="5">
        <f t="shared" si="37"/>
        <v>-0.56149090909090904</v>
      </c>
    </row>
    <row r="91" spans="1:26" s="24" customFormat="1" hidden="1" outlineLevel="2" x14ac:dyDescent="0.25">
      <c r="A91" s="26"/>
      <c r="B91" s="11" t="str">
        <f>CONCATENATE("          ", "6305", " - ", "FREIGHT OUT")</f>
        <v xml:space="preserve">          6305 - FREIGHT OUT</v>
      </c>
      <c r="C91" s="11"/>
      <c r="D91" s="7"/>
      <c r="E91" s="2"/>
      <c r="F91" s="6">
        <f t="shared" si="30"/>
        <v>0</v>
      </c>
      <c r="G91" s="2"/>
      <c r="H91" s="7">
        <v>25</v>
      </c>
      <c r="I91" s="2"/>
      <c r="J91" s="6">
        <f t="shared" si="31"/>
        <v>1.6173273988199979E-4</v>
      </c>
      <c r="K91" s="2"/>
      <c r="L91" s="7">
        <f t="shared" si="32"/>
        <v>-25</v>
      </c>
      <c r="M91" s="2"/>
      <c r="N91" s="6">
        <f t="shared" si="33"/>
        <v>-1</v>
      </c>
      <c r="O91" s="11"/>
      <c r="P91" s="7">
        <v>120.59</v>
      </c>
      <c r="Q91" s="2"/>
      <c r="R91" s="6">
        <f t="shared" si="34"/>
        <v>4.9473238219176426E-5</v>
      </c>
      <c r="S91" s="2"/>
      <c r="T91" s="7">
        <v>275</v>
      </c>
      <c r="U91" s="2"/>
      <c r="V91" s="6">
        <f t="shared" si="35"/>
        <v>1.1211836437653016E-4</v>
      </c>
      <c r="W91" s="2"/>
      <c r="X91" s="7">
        <f t="shared" si="36"/>
        <v>-154.41</v>
      </c>
      <c r="Y91" s="2"/>
      <c r="Z91" s="6">
        <f t="shared" si="37"/>
        <v>-0.56149090909090904</v>
      </c>
    </row>
    <row r="92" spans="1:26" s="27" customFormat="1" outlineLevel="1" collapsed="1" x14ac:dyDescent="0.25">
      <c r="A92" s="25"/>
      <c r="B92" s="12" t="str">
        <f>CONCATENATE("     ","General                                           ")</f>
        <v xml:space="preserve">     General                                           </v>
      </c>
      <c r="C92" s="12"/>
      <c r="D92" s="1">
        <f>SUM(OSRRefD22_7x_0)</f>
        <v>-80</v>
      </c>
      <c r="E92" s="1"/>
      <c r="F92" s="5">
        <f t="shared" si="30"/>
        <v>-8.3720812439322032E-4</v>
      </c>
      <c r="G92" s="1"/>
      <c r="H92" s="1">
        <f>SUM(OSRRefH22_7x_0)</f>
        <v>0</v>
      </c>
      <c r="I92" s="1"/>
      <c r="J92" s="5">
        <f t="shared" si="31"/>
        <v>0</v>
      </c>
      <c r="K92" s="1"/>
      <c r="L92" s="1">
        <f t="shared" si="32"/>
        <v>-80</v>
      </c>
      <c r="M92" s="1"/>
      <c r="N92" s="5">
        <f t="shared" si="33"/>
        <v>0</v>
      </c>
      <c r="O92" s="12"/>
      <c r="P92" s="1">
        <f>SUM(OSRRefP22_7x_0)</f>
        <v>205</v>
      </c>
      <c r="Q92" s="1"/>
      <c r="R92" s="5">
        <f t="shared" si="34"/>
        <v>8.4103274192977586E-5</v>
      </c>
      <c r="S92" s="1"/>
      <c r="T92" s="1">
        <f>SUM(OSRRefT22_7x_0)</f>
        <v>0</v>
      </c>
      <c r="U92" s="1"/>
      <c r="V92" s="5">
        <f t="shared" si="35"/>
        <v>0</v>
      </c>
      <c r="W92" s="1"/>
      <c r="X92" s="1">
        <f t="shared" si="36"/>
        <v>205</v>
      </c>
      <c r="Y92" s="1"/>
      <c r="Z92" s="5">
        <f t="shared" si="37"/>
        <v>0</v>
      </c>
    </row>
    <row r="93" spans="1:26" s="24" customFormat="1" hidden="1" outlineLevel="2" x14ac:dyDescent="0.25">
      <c r="A93" s="26"/>
      <c r="B93" s="11" t="str">
        <f>CONCATENATE("          ", "6279", " - ", "GENERAL EXPENSE")</f>
        <v xml:space="preserve">          6279 - GENERAL EXPENSE</v>
      </c>
      <c r="C93" s="11"/>
      <c r="D93" s="7">
        <v>-80</v>
      </c>
      <c r="E93" s="2"/>
      <c r="F93" s="6">
        <f t="shared" si="30"/>
        <v>-8.3720812439322032E-4</v>
      </c>
      <c r="G93" s="2"/>
      <c r="H93" s="7"/>
      <c r="I93" s="2"/>
      <c r="J93" s="6">
        <f t="shared" si="31"/>
        <v>0</v>
      </c>
      <c r="K93" s="2"/>
      <c r="L93" s="7">
        <f t="shared" si="32"/>
        <v>-80</v>
      </c>
      <c r="M93" s="2"/>
      <c r="N93" s="6">
        <f t="shared" si="33"/>
        <v>0</v>
      </c>
      <c r="O93" s="11"/>
      <c r="P93" s="7">
        <v>205</v>
      </c>
      <c r="Q93" s="2"/>
      <c r="R93" s="6">
        <f t="shared" si="34"/>
        <v>8.4103274192977586E-5</v>
      </c>
      <c r="S93" s="2"/>
      <c r="T93" s="7"/>
      <c r="U93" s="2"/>
      <c r="V93" s="6">
        <f t="shared" si="35"/>
        <v>0</v>
      </c>
      <c r="W93" s="2"/>
      <c r="X93" s="7">
        <f t="shared" si="36"/>
        <v>205</v>
      </c>
      <c r="Y93" s="2"/>
      <c r="Z93" s="6">
        <f t="shared" si="37"/>
        <v>0</v>
      </c>
    </row>
    <row r="94" spans="1:26" s="27" customFormat="1" outlineLevel="1" collapsed="1" x14ac:dyDescent="0.25">
      <c r="A94" s="25"/>
      <c r="B94" s="12" t="str">
        <f>CONCATENATE("     ","Repair and Maintenance                            ")</f>
        <v xml:space="preserve">     Repair and Maintenance                            </v>
      </c>
      <c r="C94" s="12"/>
      <c r="D94" s="1">
        <f>SUM(OSRRefD22_8x_0)</f>
        <v>0</v>
      </c>
      <c r="E94" s="1"/>
      <c r="F94" s="5">
        <f t="shared" si="30"/>
        <v>0</v>
      </c>
      <c r="G94" s="1"/>
      <c r="H94" s="1">
        <f>SUM(OSRRefH22_8x_0)</f>
        <v>0</v>
      </c>
      <c r="I94" s="1"/>
      <c r="J94" s="5">
        <f t="shared" si="31"/>
        <v>0</v>
      </c>
      <c r="K94" s="1"/>
      <c r="L94" s="1">
        <f t="shared" si="32"/>
        <v>0</v>
      </c>
      <c r="M94" s="1"/>
      <c r="N94" s="5">
        <f t="shared" si="33"/>
        <v>0</v>
      </c>
      <c r="O94" s="12"/>
      <c r="P94" s="1">
        <f>SUM(OSRRefP22_8x_0)</f>
        <v>197.18</v>
      </c>
      <c r="Q94" s="1"/>
      <c r="R94" s="5">
        <f t="shared" si="34"/>
        <v>8.0895041977421068E-5</v>
      </c>
      <c r="S94" s="1"/>
      <c r="T94" s="1">
        <f>SUM(OSRRefT22_8x_0)</f>
        <v>0</v>
      </c>
      <c r="U94" s="1"/>
      <c r="V94" s="5">
        <f t="shared" si="35"/>
        <v>0</v>
      </c>
      <c r="W94" s="1"/>
      <c r="X94" s="1">
        <f t="shared" si="36"/>
        <v>197.18</v>
      </c>
      <c r="Y94" s="1"/>
      <c r="Z94" s="5">
        <f t="shared" si="37"/>
        <v>0</v>
      </c>
    </row>
    <row r="95" spans="1:26" s="24" customFormat="1" hidden="1" outlineLevel="2" x14ac:dyDescent="0.25">
      <c r="A95" s="26"/>
      <c r="B95" s="11" t="str">
        <f>CONCATENATE("          ", "6375", " - ", "OUTSIDE REPAIRS &amp; MAINTENANCE")</f>
        <v xml:space="preserve">          6375 - OUTSIDE REPAIRS &amp; MAINTENANCE</v>
      </c>
      <c r="C95" s="11"/>
      <c r="D95" s="7"/>
      <c r="E95" s="2"/>
      <c r="F95" s="6">
        <f t="shared" si="30"/>
        <v>0</v>
      </c>
      <c r="G95" s="2"/>
      <c r="H95" s="7"/>
      <c r="I95" s="2"/>
      <c r="J95" s="6">
        <f t="shared" si="31"/>
        <v>0</v>
      </c>
      <c r="K95" s="2"/>
      <c r="L95" s="7">
        <f t="shared" si="32"/>
        <v>0</v>
      </c>
      <c r="M95" s="2"/>
      <c r="N95" s="6">
        <f t="shared" si="33"/>
        <v>0</v>
      </c>
      <c r="O95" s="11"/>
      <c r="P95" s="7">
        <v>197.18</v>
      </c>
      <c r="Q95" s="2"/>
      <c r="R95" s="6">
        <f t="shared" si="34"/>
        <v>8.0895041977421068E-5</v>
      </c>
      <c r="S95" s="2"/>
      <c r="T95" s="7"/>
      <c r="U95" s="2"/>
      <c r="V95" s="6">
        <f t="shared" si="35"/>
        <v>0</v>
      </c>
      <c r="W95" s="2"/>
      <c r="X95" s="7">
        <f t="shared" si="36"/>
        <v>197.18</v>
      </c>
      <c r="Y95" s="2"/>
      <c r="Z95" s="6">
        <f t="shared" si="37"/>
        <v>0</v>
      </c>
    </row>
    <row r="96" spans="1:26" s="27" customFormat="1" outlineLevel="1" collapsed="1" x14ac:dyDescent="0.25">
      <c r="A96" s="25"/>
      <c r="B96" s="12" t="str">
        <f>CONCATENATE("     ","Subscriptions &amp; Dues                              ")</f>
        <v xml:space="preserve">     Subscriptions &amp; Dues                              </v>
      </c>
      <c r="C96" s="12"/>
      <c r="D96" s="1">
        <f>SUM(OSRRefD22_9x_0)</f>
        <v>0</v>
      </c>
      <c r="E96" s="1"/>
      <c r="F96" s="5">
        <f t="shared" si="30"/>
        <v>0</v>
      </c>
      <c r="G96" s="1"/>
      <c r="H96" s="1">
        <f>SUM(OSRRefH22_9x_0)</f>
        <v>0</v>
      </c>
      <c r="I96" s="1"/>
      <c r="J96" s="5">
        <f t="shared" si="31"/>
        <v>0</v>
      </c>
      <c r="K96" s="1"/>
      <c r="L96" s="1">
        <f t="shared" si="32"/>
        <v>0</v>
      </c>
      <c r="M96" s="1"/>
      <c r="N96" s="5">
        <f t="shared" si="33"/>
        <v>0</v>
      </c>
      <c r="O96" s="12"/>
      <c r="P96" s="1">
        <f>SUM(OSRRefP22_9x_0)</f>
        <v>-4886.5</v>
      </c>
      <c r="Q96" s="1"/>
      <c r="R96" s="5">
        <f t="shared" si="34"/>
        <v>-2.0047348748487071E-3</v>
      </c>
      <c r="S96" s="1"/>
      <c r="T96" s="1">
        <f>SUM(OSRRefT22_9x_0)</f>
        <v>0</v>
      </c>
      <c r="U96" s="1"/>
      <c r="V96" s="5">
        <f t="shared" si="35"/>
        <v>0</v>
      </c>
      <c r="W96" s="1"/>
      <c r="X96" s="1">
        <f t="shared" si="36"/>
        <v>-4886.5</v>
      </c>
      <c r="Y96" s="1"/>
      <c r="Z96" s="5">
        <f t="shared" si="37"/>
        <v>0</v>
      </c>
    </row>
    <row r="97" spans="1:26" s="24" customFormat="1" hidden="1" outlineLevel="2" x14ac:dyDescent="0.25">
      <c r="A97" s="26"/>
      <c r="B97" s="11" t="str">
        <f>CONCATENATE("          ", "6258", " - ", "MEMBERSHIP DUES")</f>
        <v xml:space="preserve">          6258 - MEMBERSHIP DUES</v>
      </c>
      <c r="C97" s="11"/>
      <c r="D97" s="7"/>
      <c r="E97" s="2"/>
      <c r="F97" s="6">
        <f t="shared" si="30"/>
        <v>0</v>
      </c>
      <c r="G97" s="2"/>
      <c r="H97" s="7"/>
      <c r="I97" s="2"/>
      <c r="J97" s="6">
        <f t="shared" si="31"/>
        <v>0</v>
      </c>
      <c r="K97" s="2"/>
      <c r="L97" s="7">
        <f t="shared" si="32"/>
        <v>0</v>
      </c>
      <c r="M97" s="2"/>
      <c r="N97" s="6">
        <f t="shared" si="33"/>
        <v>0</v>
      </c>
      <c r="O97" s="11"/>
      <c r="P97" s="7">
        <v>-4886.5</v>
      </c>
      <c r="Q97" s="2"/>
      <c r="R97" s="6">
        <f t="shared" si="34"/>
        <v>-2.0047348748487071E-3</v>
      </c>
      <c r="S97" s="2"/>
      <c r="T97" s="7"/>
      <c r="U97" s="2"/>
      <c r="V97" s="6">
        <f t="shared" si="35"/>
        <v>0</v>
      </c>
      <c r="W97" s="2"/>
      <c r="X97" s="7">
        <f t="shared" si="36"/>
        <v>-4886.5</v>
      </c>
      <c r="Y97" s="2"/>
      <c r="Z97" s="6">
        <f t="shared" si="37"/>
        <v>0</v>
      </c>
    </row>
    <row r="98" spans="1:26" s="27" customFormat="1" outlineLevel="1" collapsed="1" x14ac:dyDescent="0.25">
      <c r="A98" s="25"/>
      <c r="B98" s="12" t="str">
        <f>CONCATENATE("     ","Supplies                                          ")</f>
        <v xml:space="preserve">     Supplies                                          </v>
      </c>
      <c r="C98" s="12"/>
      <c r="D98" s="1">
        <f>SUM(OSRRefD22_10x_0)</f>
        <v>59.25</v>
      </c>
      <c r="E98" s="1"/>
      <c r="F98" s="5">
        <f t="shared" si="30"/>
        <v>6.2005726712872878E-4</v>
      </c>
      <c r="G98" s="1"/>
      <c r="H98" s="1">
        <f>SUM(OSRRefH22_10x_0)</f>
        <v>275</v>
      </c>
      <c r="I98" s="1"/>
      <c r="J98" s="5">
        <f t="shared" si="31"/>
        <v>1.7790601387019976E-3</v>
      </c>
      <c r="K98" s="1"/>
      <c r="L98" s="1">
        <f t="shared" si="32"/>
        <v>-215.75</v>
      </c>
      <c r="M98" s="1"/>
      <c r="N98" s="5">
        <f t="shared" si="33"/>
        <v>-0.78454545454545455</v>
      </c>
      <c r="O98" s="12"/>
      <c r="P98" s="1">
        <f>SUM(OSRRefP22_10x_0)</f>
        <v>3194.5200000000004</v>
      </c>
      <c r="Q98" s="1"/>
      <c r="R98" s="5">
        <f t="shared" si="34"/>
        <v>1.3105833730485403E-3</v>
      </c>
      <c r="S98" s="1"/>
      <c r="T98" s="1">
        <f>SUM(OSRRefT22_10x_0)</f>
        <v>3025</v>
      </c>
      <c r="U98" s="1"/>
      <c r="V98" s="5">
        <f t="shared" si="35"/>
        <v>1.2333020081418317E-3</v>
      </c>
      <c r="W98" s="1"/>
      <c r="X98" s="1">
        <f t="shared" si="36"/>
        <v>169.52000000000044</v>
      </c>
      <c r="Y98" s="1"/>
      <c r="Z98" s="5">
        <f t="shared" si="37"/>
        <v>5.6039669421487748E-2</v>
      </c>
    </row>
    <row r="99" spans="1:26" s="24" customFormat="1" hidden="1" outlineLevel="2" x14ac:dyDescent="0.25">
      <c r="A99" s="26"/>
      <c r="B99" s="11" t="str">
        <f>CONCATENATE("          ", "6241", " - ", "OFFICE EXPENSE")</f>
        <v xml:space="preserve">          6241 - OFFICE EXPENSE</v>
      </c>
      <c r="C99" s="11"/>
      <c r="D99" s="7">
        <v>59.25</v>
      </c>
      <c r="E99" s="2"/>
      <c r="F99" s="6">
        <f t="shared" si="30"/>
        <v>6.2005726712872878E-4</v>
      </c>
      <c r="G99" s="2"/>
      <c r="H99" s="7">
        <v>275</v>
      </c>
      <c r="I99" s="2"/>
      <c r="J99" s="6">
        <f t="shared" si="31"/>
        <v>1.7790601387019976E-3</v>
      </c>
      <c r="K99" s="2"/>
      <c r="L99" s="7">
        <f t="shared" si="32"/>
        <v>-215.75</v>
      </c>
      <c r="M99" s="2"/>
      <c r="N99" s="6">
        <f t="shared" si="33"/>
        <v>-0.78454545454545455</v>
      </c>
      <c r="O99" s="11"/>
      <c r="P99" s="7">
        <v>1185.1400000000001</v>
      </c>
      <c r="Q99" s="2"/>
      <c r="R99" s="6">
        <f t="shared" si="34"/>
        <v>4.862153872051974E-4</v>
      </c>
      <c r="S99" s="2"/>
      <c r="T99" s="7">
        <v>3025</v>
      </c>
      <c r="U99" s="2"/>
      <c r="V99" s="6">
        <f t="shared" si="35"/>
        <v>1.2333020081418317E-3</v>
      </c>
      <c r="W99" s="2"/>
      <c r="X99" s="7">
        <f t="shared" si="36"/>
        <v>-1839.86</v>
      </c>
      <c r="Y99" s="2"/>
      <c r="Z99" s="6">
        <f t="shared" si="37"/>
        <v>-0.60821818181818177</v>
      </c>
    </row>
    <row r="100" spans="1:26" s="24" customFormat="1" hidden="1" outlineLevel="2" x14ac:dyDescent="0.25">
      <c r="A100" s="26"/>
      <c r="B100" s="11" t="str">
        <f>CONCATENATE("          ", "6247", " - ", "STORE SUPPLIES")</f>
        <v xml:space="preserve">          6247 - STORE SUPPLIES</v>
      </c>
      <c r="C100" s="11"/>
      <c r="D100" s="7"/>
      <c r="E100" s="2"/>
      <c r="F100" s="6">
        <f t="shared" si="30"/>
        <v>0</v>
      </c>
      <c r="G100" s="2"/>
      <c r="H100" s="7"/>
      <c r="I100" s="2"/>
      <c r="J100" s="6">
        <f t="shared" si="31"/>
        <v>0</v>
      </c>
      <c r="K100" s="2"/>
      <c r="L100" s="7">
        <f t="shared" si="32"/>
        <v>0</v>
      </c>
      <c r="M100" s="2"/>
      <c r="N100" s="6">
        <f t="shared" si="33"/>
        <v>0</v>
      </c>
      <c r="O100" s="11"/>
      <c r="P100" s="7">
        <v>2009.38</v>
      </c>
      <c r="Q100" s="2"/>
      <c r="R100" s="6">
        <f t="shared" si="34"/>
        <v>8.2436798584334294E-4</v>
      </c>
      <c r="S100" s="2"/>
      <c r="T100" s="7"/>
      <c r="U100" s="2"/>
      <c r="V100" s="6">
        <f t="shared" si="35"/>
        <v>0</v>
      </c>
      <c r="W100" s="2"/>
      <c r="X100" s="7">
        <f t="shared" si="36"/>
        <v>2009.38</v>
      </c>
      <c r="Y100" s="2"/>
      <c r="Z100" s="6">
        <f t="shared" si="37"/>
        <v>0</v>
      </c>
    </row>
    <row r="101" spans="1:26" s="27" customFormat="1" outlineLevel="1" collapsed="1" x14ac:dyDescent="0.25">
      <c r="A101" s="25"/>
      <c r="B101" s="12" t="str">
        <f>CONCATENATE("     ","Telephone/Data Lines                              ")</f>
        <v xml:space="preserve">     Telephone/Data Lines                              </v>
      </c>
      <c r="C101" s="12"/>
      <c r="D101" s="1">
        <f>SUM(OSRRefD22_11x_0)</f>
        <v>212.75</v>
      </c>
      <c r="E101" s="1"/>
      <c r="F101" s="5">
        <f t="shared" ref="F101:F103" si="38">IF(D$12=0,0,D101/D$12)</f>
        <v>2.2264503558082202E-3</v>
      </c>
      <c r="G101" s="1"/>
      <c r="H101" s="1">
        <f>SUM(OSRRefH22_11x_0)</f>
        <v>280</v>
      </c>
      <c r="I101" s="1"/>
      <c r="J101" s="5">
        <f t="shared" ref="J101:J103" si="39">IF(H$12=0,0,H101/H$12)</f>
        <v>1.8114066866783977E-3</v>
      </c>
      <c r="K101" s="1"/>
      <c r="L101" s="1">
        <f t="shared" ref="L101:L103" si="40">+D101-H101</f>
        <v>-67.25</v>
      </c>
      <c r="M101" s="1"/>
      <c r="N101" s="5">
        <f t="shared" ref="N101:N103" si="41">IF(H101=0,0,L101/H101)</f>
        <v>-0.24017857142857144</v>
      </c>
      <c r="O101" s="12"/>
      <c r="P101" s="1">
        <f>SUM(OSRRefP22_11x_0)</f>
        <v>2725.2</v>
      </c>
      <c r="Q101" s="1"/>
      <c r="R101" s="5">
        <f t="shared" ref="R101:R103" si="42">IF(P$12=0,0,P101/P$12)</f>
        <v>1.1180402089302562E-3</v>
      </c>
      <c r="S101" s="1"/>
      <c r="T101" s="1">
        <f>SUM(OSRRefT22_11x_0)</f>
        <v>3080</v>
      </c>
      <c r="U101" s="1"/>
      <c r="V101" s="5">
        <f t="shared" ref="V101:V103" si="43">IF(T$12=0,0,T101/T$12)</f>
        <v>1.2557256810171377E-3</v>
      </c>
      <c r="W101" s="1"/>
      <c r="X101" s="1">
        <f t="shared" ref="X101:X103" si="44">+P101-T101</f>
        <v>-354.80000000000018</v>
      </c>
      <c r="Y101" s="1"/>
      <c r="Z101" s="5">
        <f t="shared" ref="Z101:Z103" si="45">IF(T101=0,0,X101/T101)</f>
        <v>-0.11519480519480525</v>
      </c>
    </row>
    <row r="102" spans="1:26" s="24" customFormat="1" hidden="1" outlineLevel="2" x14ac:dyDescent="0.25">
      <c r="A102" s="26"/>
      <c r="B102" s="11" t="str">
        <f>CONCATENATE("          ", "6303", " - ", "DATA PHONE LINES")</f>
        <v xml:space="preserve">          6303 - DATA PHONE LINES</v>
      </c>
      <c r="C102" s="11"/>
      <c r="D102" s="7"/>
      <c r="E102" s="2"/>
      <c r="F102" s="6">
        <f t="shared" si="38"/>
        <v>0</v>
      </c>
      <c r="G102" s="2"/>
      <c r="H102" s="7">
        <v>280</v>
      </c>
      <c r="I102" s="2"/>
      <c r="J102" s="6">
        <f t="shared" si="39"/>
        <v>1.8114066866783977E-3</v>
      </c>
      <c r="K102" s="2"/>
      <c r="L102" s="7">
        <f t="shared" si="40"/>
        <v>-280</v>
      </c>
      <c r="M102" s="2"/>
      <c r="N102" s="6">
        <f t="shared" si="41"/>
        <v>-1</v>
      </c>
      <c r="O102" s="11"/>
      <c r="P102" s="7"/>
      <c r="Q102" s="2"/>
      <c r="R102" s="6">
        <f t="shared" si="42"/>
        <v>0</v>
      </c>
      <c r="S102" s="2"/>
      <c r="T102" s="7">
        <v>3080</v>
      </c>
      <c r="U102" s="2"/>
      <c r="V102" s="6">
        <f t="shared" si="43"/>
        <v>1.2557256810171377E-3</v>
      </c>
      <c r="W102" s="2"/>
      <c r="X102" s="7">
        <f t="shared" si="44"/>
        <v>-3080</v>
      </c>
      <c r="Y102" s="2"/>
      <c r="Z102" s="6">
        <f t="shared" si="45"/>
        <v>-1</v>
      </c>
    </row>
    <row r="103" spans="1:26" s="24" customFormat="1" hidden="1" outlineLevel="2" x14ac:dyDescent="0.25">
      <c r="A103" s="26"/>
      <c r="B103" s="11" t="str">
        <f>CONCATENATE("          ", "6309", " - ", "TELEPHONE")</f>
        <v xml:space="preserve">          6309 - TELEPHONE</v>
      </c>
      <c r="C103" s="11"/>
      <c r="D103" s="7">
        <v>212.75</v>
      </c>
      <c r="E103" s="2"/>
      <c r="F103" s="6">
        <f t="shared" si="38"/>
        <v>2.2264503558082202E-3</v>
      </c>
      <c r="G103" s="2"/>
      <c r="H103" s="7"/>
      <c r="I103" s="2"/>
      <c r="J103" s="6">
        <f t="shared" si="39"/>
        <v>0</v>
      </c>
      <c r="K103" s="2"/>
      <c r="L103" s="7">
        <f t="shared" si="40"/>
        <v>212.75</v>
      </c>
      <c r="M103" s="2"/>
      <c r="N103" s="6">
        <f t="shared" si="41"/>
        <v>0</v>
      </c>
      <c r="O103" s="11"/>
      <c r="P103" s="7">
        <v>2725.2</v>
      </c>
      <c r="Q103" s="2"/>
      <c r="R103" s="6">
        <f t="shared" si="42"/>
        <v>1.1180402089302562E-3</v>
      </c>
      <c r="S103" s="2"/>
      <c r="T103" s="7"/>
      <c r="U103" s="2"/>
      <c r="V103" s="6">
        <f t="shared" si="43"/>
        <v>0</v>
      </c>
      <c r="W103" s="2"/>
      <c r="X103" s="7">
        <f t="shared" si="44"/>
        <v>2725.2</v>
      </c>
      <c r="Y103" s="2"/>
      <c r="Z103" s="6">
        <f t="shared" si="45"/>
        <v>0</v>
      </c>
    </row>
    <row r="104" spans="1:26" s="27" customFormat="1" outlineLevel="1" collapsed="1" x14ac:dyDescent="0.25">
      <c r="A104" s="25"/>
      <c r="B104" s="12" t="str">
        <f>CONCATENATE("     ","Training                                          ")</f>
        <v xml:space="preserve">     Training                                          </v>
      </c>
      <c r="C104" s="12"/>
      <c r="D104" s="1">
        <f>SUM(OSRRefD22_12x_0)</f>
        <v>0</v>
      </c>
      <c r="E104" s="1"/>
      <c r="F104" s="5">
        <f t="shared" ref="F104:F107" si="46">IF(D$12=0,0,D104/D$12)</f>
        <v>0</v>
      </c>
      <c r="G104" s="1"/>
      <c r="H104" s="1">
        <f>SUM(OSRRefH22_12x_0)</f>
        <v>375</v>
      </c>
      <c r="I104" s="1"/>
      <c r="J104" s="5">
        <f t="shared" ref="J104:J107" si="47">IF(H$12=0,0,H104/H$12)</f>
        <v>2.4259910982299968E-3</v>
      </c>
      <c r="K104" s="1"/>
      <c r="L104" s="1">
        <f t="shared" ref="L104:L107" si="48">+D104-H104</f>
        <v>-375</v>
      </c>
      <c r="M104" s="1"/>
      <c r="N104" s="5">
        <f t="shared" ref="N104:N107" si="49">IF(H104=0,0,L104/H104)</f>
        <v>-1</v>
      </c>
      <c r="O104" s="12"/>
      <c r="P104" s="1">
        <f>SUM(OSRRefP22_12x_0)</f>
        <v>1875.75</v>
      </c>
      <c r="Q104" s="1"/>
      <c r="R104" s="5">
        <f t="shared" ref="R104:R107" si="50">IF(P$12=0,0,P104/P$12)</f>
        <v>7.6954495886574488E-4</v>
      </c>
      <c r="S104" s="1"/>
      <c r="T104" s="1">
        <f>SUM(OSRRefT22_12x_0)</f>
        <v>4125</v>
      </c>
      <c r="U104" s="1"/>
      <c r="V104" s="5">
        <f t="shared" ref="V104:V107" si="51">IF(T$12=0,0,T104/T$12)</f>
        <v>1.6817754656479524E-3</v>
      </c>
      <c r="W104" s="1"/>
      <c r="X104" s="1">
        <f t="shared" ref="X104:X107" si="52">+P104-T104</f>
        <v>-2249.25</v>
      </c>
      <c r="Y104" s="1"/>
      <c r="Z104" s="5">
        <f t="shared" ref="Z104:Z107" si="53">IF(T104=0,0,X104/T104)</f>
        <v>-0.54527272727272724</v>
      </c>
    </row>
    <row r="105" spans="1:26" s="24" customFormat="1" hidden="1" outlineLevel="2" x14ac:dyDescent="0.25">
      <c r="A105" s="26"/>
      <c r="B105" s="11" t="str">
        <f>CONCATENATE("          ", "6376", " - ", "TRAINING")</f>
        <v xml:space="preserve">          6376 - TRAINING</v>
      </c>
      <c r="C105" s="11"/>
      <c r="D105" s="7"/>
      <c r="E105" s="2"/>
      <c r="F105" s="6">
        <f t="shared" si="46"/>
        <v>0</v>
      </c>
      <c r="G105" s="2"/>
      <c r="H105" s="7">
        <v>375</v>
      </c>
      <c r="I105" s="2"/>
      <c r="J105" s="6">
        <f t="shared" si="47"/>
        <v>2.4259910982299968E-3</v>
      </c>
      <c r="K105" s="2"/>
      <c r="L105" s="7">
        <f t="shared" si="48"/>
        <v>-375</v>
      </c>
      <c r="M105" s="2"/>
      <c r="N105" s="6">
        <f t="shared" si="49"/>
        <v>-1</v>
      </c>
      <c r="O105" s="11"/>
      <c r="P105" s="7">
        <v>1875.75</v>
      </c>
      <c r="Q105" s="2"/>
      <c r="R105" s="6">
        <f t="shared" si="50"/>
        <v>7.6954495886574488E-4</v>
      </c>
      <c r="S105" s="2"/>
      <c r="T105" s="7">
        <v>4125</v>
      </c>
      <c r="U105" s="2"/>
      <c r="V105" s="6">
        <f t="shared" si="51"/>
        <v>1.6817754656479524E-3</v>
      </c>
      <c r="W105" s="2"/>
      <c r="X105" s="7">
        <f t="shared" si="52"/>
        <v>-2249.25</v>
      </c>
      <c r="Y105" s="2"/>
      <c r="Z105" s="6">
        <f t="shared" si="53"/>
        <v>-0.54527272727272724</v>
      </c>
    </row>
    <row r="106" spans="1:26" s="27" customFormat="1" outlineLevel="1" collapsed="1" x14ac:dyDescent="0.25">
      <c r="A106" s="25"/>
      <c r="B106" s="12" t="str">
        <f>CONCATENATE("     ","Travel                                            ")</f>
        <v xml:space="preserve">     Travel                                            </v>
      </c>
      <c r="C106" s="12"/>
      <c r="D106" s="1">
        <f>SUM(OSRRefD22_13x_0)</f>
        <v>0</v>
      </c>
      <c r="E106" s="1"/>
      <c r="F106" s="5">
        <f t="shared" si="46"/>
        <v>0</v>
      </c>
      <c r="G106" s="1"/>
      <c r="H106" s="1">
        <f>SUM(OSRRefH22_13x_0)</f>
        <v>0</v>
      </c>
      <c r="I106" s="1"/>
      <c r="J106" s="5">
        <f t="shared" si="47"/>
        <v>0</v>
      </c>
      <c r="K106" s="1"/>
      <c r="L106" s="1">
        <f t="shared" si="48"/>
        <v>0</v>
      </c>
      <c r="M106" s="1"/>
      <c r="N106" s="5">
        <f t="shared" si="49"/>
        <v>0</v>
      </c>
      <c r="O106" s="12"/>
      <c r="P106" s="1">
        <f>SUM(OSRRefP22_13x_0)</f>
        <v>-178.06</v>
      </c>
      <c r="Q106" s="1"/>
      <c r="R106" s="5">
        <f t="shared" si="50"/>
        <v>-7.3050873184397997E-5</v>
      </c>
      <c r="S106" s="1"/>
      <c r="T106" s="1">
        <f>SUM(OSRRefT22_13x_0)</f>
        <v>0</v>
      </c>
      <c r="U106" s="1"/>
      <c r="V106" s="5">
        <f t="shared" si="51"/>
        <v>0</v>
      </c>
      <c r="W106" s="1"/>
      <c r="X106" s="1">
        <f t="shared" si="52"/>
        <v>-178.06</v>
      </c>
      <c r="Y106" s="1"/>
      <c r="Z106" s="5">
        <f t="shared" si="53"/>
        <v>0</v>
      </c>
    </row>
    <row r="107" spans="1:26" s="24" customFormat="1" hidden="1" outlineLevel="2" x14ac:dyDescent="0.25">
      <c r="A107" s="26"/>
      <c r="B107" s="11" t="str">
        <f>CONCATENATE("          ", "6292", " - ", "TRAVEL/CONFERENCE")</f>
        <v xml:space="preserve">          6292 - TRAVEL/CONFERENCE</v>
      </c>
      <c r="C107" s="11"/>
      <c r="D107" s="7"/>
      <c r="E107" s="2"/>
      <c r="F107" s="6">
        <f t="shared" si="46"/>
        <v>0</v>
      </c>
      <c r="G107" s="2"/>
      <c r="H107" s="7"/>
      <c r="I107" s="2"/>
      <c r="J107" s="6">
        <f t="shared" si="47"/>
        <v>0</v>
      </c>
      <c r="K107" s="2"/>
      <c r="L107" s="7">
        <f t="shared" si="48"/>
        <v>0</v>
      </c>
      <c r="M107" s="2"/>
      <c r="N107" s="6">
        <f t="shared" si="49"/>
        <v>0</v>
      </c>
      <c r="O107" s="11"/>
      <c r="P107" s="7">
        <v>-178.06</v>
      </c>
      <c r="Q107" s="2"/>
      <c r="R107" s="6">
        <f t="shared" si="50"/>
        <v>-7.3050873184397997E-5</v>
      </c>
      <c r="S107" s="2"/>
      <c r="T107" s="7"/>
      <c r="U107" s="2"/>
      <c r="V107" s="6">
        <f t="shared" si="51"/>
        <v>0</v>
      </c>
      <c r="W107" s="2"/>
      <c r="X107" s="7">
        <f t="shared" si="52"/>
        <v>-178.06</v>
      </c>
      <c r="Y107" s="2"/>
      <c r="Z107" s="6">
        <f t="shared" si="53"/>
        <v>0</v>
      </c>
    </row>
    <row r="108" spans="1:26" s="62" customFormat="1" x14ac:dyDescent="0.25">
      <c r="A108" s="36"/>
      <c r="B108" s="36"/>
      <c r="C108" s="36"/>
      <c r="D108" s="1"/>
      <c r="E108" s="1"/>
      <c r="F108" s="5"/>
      <c r="G108" s="1"/>
      <c r="H108" s="1"/>
      <c r="I108" s="1"/>
      <c r="J108" s="5"/>
      <c r="K108" s="1"/>
      <c r="L108" s="1"/>
      <c r="M108" s="1"/>
      <c r="N108" s="5"/>
      <c r="O108" s="36"/>
      <c r="P108" s="1"/>
      <c r="Q108" s="1"/>
      <c r="R108" s="5"/>
      <c r="S108" s="1"/>
      <c r="T108" s="1"/>
      <c r="U108" s="1"/>
      <c r="V108" s="5"/>
      <c r="W108" s="1"/>
      <c r="X108" s="1"/>
      <c r="Y108" s="1"/>
      <c r="Z108" s="5"/>
    </row>
    <row r="109" spans="1:26" s="23" customFormat="1" collapsed="1" x14ac:dyDescent="0.25">
      <c r="A109" s="10"/>
      <c r="B109" s="28" t="s">
        <v>0</v>
      </c>
      <c r="C109" s="10"/>
      <c r="D109" s="4">
        <f>SUM(OSRRefD25x_0)</f>
        <v>-294.75</v>
      </c>
      <c r="E109" s="4"/>
      <c r="F109" s="13">
        <f t="shared" ref="F109:F113" si="54">IF(D$12=0,0,D109/D$12)</f>
        <v>-3.0845886833112709E-3</v>
      </c>
      <c r="G109" s="4"/>
      <c r="H109" s="4">
        <f>SUM(OSRRefH25x_0)</f>
        <v>2025</v>
      </c>
      <c r="I109" s="4"/>
      <c r="J109" s="13">
        <f t="shared" ref="J109:J113" si="55">IF(H$12=0,0,H109/H$12)</f>
        <v>1.3100351930441984E-2</v>
      </c>
      <c r="K109" s="4"/>
      <c r="L109" s="4">
        <f t="shared" ref="L109:L113" si="56">+D109-H109</f>
        <v>-2319.75</v>
      </c>
      <c r="M109" s="4"/>
      <c r="N109" s="13">
        <f t="shared" ref="N109:N113" si="57">IF(H109=0,0,L109/H109)</f>
        <v>-1.1455555555555557</v>
      </c>
      <c r="O109" s="10"/>
      <c r="P109" s="4">
        <f>SUM(OSRRefP25x_0)</f>
        <v>13362.580000000002</v>
      </c>
      <c r="Q109" s="4"/>
      <c r="R109" s="13">
        <f t="shared" ref="R109:R113" si="58">IF(P$12=0,0,P109/P$12)</f>
        <v>5.4821303886126759E-3</v>
      </c>
      <c r="S109" s="4"/>
      <c r="T109" s="4">
        <f>SUM(OSRRefT25x_0)</f>
        <v>21600</v>
      </c>
      <c r="U109" s="4"/>
      <c r="V109" s="13">
        <f t="shared" ref="V109:V113" si="59">IF(T$12=0,0,T109/T$12)</f>
        <v>8.8063878928474598E-3</v>
      </c>
      <c r="W109" s="4"/>
      <c r="X109" s="4">
        <f t="shared" ref="X109:X113" si="60">+P109-T109</f>
        <v>-8237.4199999999983</v>
      </c>
      <c r="Y109" s="4"/>
      <c r="Z109" s="13">
        <f t="shared" ref="Z109:Z113" si="61">IF(T109=0,0,X109/T109)</f>
        <v>-0.38136203703703697</v>
      </c>
    </row>
    <row r="110" spans="1:26" s="24" customFormat="1" hidden="1" outlineLevel="1" x14ac:dyDescent="0.25">
      <c r="A110" s="44"/>
      <c r="B110" s="11" t="str">
        <f>CONCATENATE("          ", "4187", " - ", "NON-TAXABLE SALES-COMPUTER REP")</f>
        <v xml:space="preserve">          4187 - NON-TAXABLE SALES-COMPUTER REP</v>
      </c>
      <c r="C110" s="11"/>
      <c r="D110" s="2">
        <f>--99.99</f>
        <v>99.99</v>
      </c>
      <c r="E110" s="2"/>
      <c r="F110" s="19">
        <f t="shared" si="54"/>
        <v>1.0464055044759762E-3</v>
      </c>
      <c r="G110" s="2"/>
      <c r="H110" s="2"/>
      <c r="I110" s="2"/>
      <c r="J110" s="19">
        <f t="shared" si="55"/>
        <v>0</v>
      </c>
      <c r="K110" s="2"/>
      <c r="L110" s="2">
        <f t="shared" si="56"/>
        <v>99.99</v>
      </c>
      <c r="M110" s="2"/>
      <c r="N110" s="19">
        <f t="shared" si="57"/>
        <v>0</v>
      </c>
      <c r="O110" s="11"/>
      <c r="P110" s="2">
        <f>--16283.19</f>
        <v>16283.19</v>
      </c>
      <c r="Q110" s="2"/>
      <c r="R110" s="19">
        <f t="shared" si="58"/>
        <v>6.6803394795431738E-3</v>
      </c>
      <c r="S110" s="2"/>
      <c r="T110" s="2"/>
      <c r="U110" s="2"/>
      <c r="V110" s="19">
        <f t="shared" si="59"/>
        <v>0</v>
      </c>
      <c r="W110" s="2"/>
      <c r="X110" s="2">
        <f t="shared" si="60"/>
        <v>16283.19</v>
      </c>
      <c r="Y110" s="2"/>
      <c r="Z110" s="19">
        <f t="shared" si="61"/>
        <v>0</v>
      </c>
    </row>
    <row r="111" spans="1:26" s="24" customFormat="1" hidden="1" outlineLevel="1" x14ac:dyDescent="0.25">
      <c r="A111" s="44"/>
      <c r="B111" s="11" t="str">
        <f>CONCATENATE("          ", "4387", " - ", "SALES RETURN NON TAXABLE-COMPU")</f>
        <v xml:space="preserve">          4387 - SALES RETURN NON TAXABLE-COMPU</v>
      </c>
      <c r="C111" s="11"/>
      <c r="D111" s="2">
        <f>0</f>
        <v>0</v>
      </c>
      <c r="E111" s="2"/>
      <c r="F111" s="19">
        <f t="shared" si="54"/>
        <v>0</v>
      </c>
      <c r="G111" s="2"/>
      <c r="H111" s="2"/>
      <c r="I111" s="2"/>
      <c r="J111" s="19">
        <f t="shared" si="55"/>
        <v>0</v>
      </c>
      <c r="K111" s="2"/>
      <c r="L111" s="2">
        <f t="shared" si="56"/>
        <v>0</v>
      </c>
      <c r="M111" s="2"/>
      <c r="N111" s="19">
        <f t="shared" si="57"/>
        <v>0</v>
      </c>
      <c r="O111" s="11"/>
      <c r="P111" s="2">
        <f>-7889</f>
        <v>-7889</v>
      </c>
      <c r="Q111" s="2"/>
      <c r="R111" s="19">
        <f t="shared" si="58"/>
        <v>-3.2365401468702447E-3</v>
      </c>
      <c r="S111" s="2"/>
      <c r="T111" s="2"/>
      <c r="U111" s="2"/>
      <c r="V111" s="19">
        <f t="shared" si="59"/>
        <v>0</v>
      </c>
      <c r="W111" s="2"/>
      <c r="X111" s="2">
        <f t="shared" si="60"/>
        <v>-7889</v>
      </c>
      <c r="Y111" s="2"/>
      <c r="Z111" s="19">
        <f t="shared" si="61"/>
        <v>0</v>
      </c>
    </row>
    <row r="112" spans="1:26" s="24" customFormat="1" hidden="1" outlineLevel="1" x14ac:dyDescent="0.25">
      <c r="A112" s="44"/>
      <c r="B112" s="11" t="str">
        <f>CONCATENATE("          ", "5087", " - ", "PURCHASES @ COST-COMPUTER REPA")</f>
        <v xml:space="preserve">          5087 - PURCHASES @ COST-COMPUTER REPA</v>
      </c>
      <c r="C112" s="11"/>
      <c r="D112" s="2">
        <f>--32.7</f>
        <v>32.700000000000003</v>
      </c>
      <c r="E112" s="2"/>
      <c r="F112" s="19">
        <f t="shared" si="54"/>
        <v>3.4220882084572883E-4</v>
      </c>
      <c r="G112" s="2"/>
      <c r="H112" s="2"/>
      <c r="I112" s="2"/>
      <c r="J112" s="19">
        <f t="shared" si="55"/>
        <v>0</v>
      </c>
      <c r="K112" s="2"/>
      <c r="L112" s="2">
        <f t="shared" si="56"/>
        <v>32.700000000000003</v>
      </c>
      <c r="M112" s="2"/>
      <c r="N112" s="19">
        <f t="shared" si="57"/>
        <v>0</v>
      </c>
      <c r="O112" s="11"/>
      <c r="P112" s="2">
        <f>-72.06</f>
        <v>-72.06</v>
      </c>
      <c r="Q112" s="2"/>
      <c r="R112" s="19">
        <f t="shared" si="58"/>
        <v>-2.95633265285169E-5</v>
      </c>
      <c r="S112" s="2"/>
      <c r="T112" s="2"/>
      <c r="U112" s="2"/>
      <c r="V112" s="19">
        <f t="shared" si="59"/>
        <v>0</v>
      </c>
      <c r="W112" s="2"/>
      <c r="X112" s="2">
        <f t="shared" si="60"/>
        <v>-72.06</v>
      </c>
      <c r="Y112" s="2"/>
      <c r="Z112" s="19">
        <f t="shared" si="61"/>
        <v>0</v>
      </c>
    </row>
    <row r="113" spans="1:26" s="24" customFormat="1" hidden="1" outlineLevel="1" x14ac:dyDescent="0.25">
      <c r="A113" s="44"/>
      <c r="B113" s="11" t="str">
        <f>CONCATENATE("          ", "9150", " - ", "MISC. INCOME")</f>
        <v xml:space="preserve">          9150 - MISC. INCOME</v>
      </c>
      <c r="C113" s="11"/>
      <c r="D113" s="2">
        <f>-427.44</f>
        <v>-427.44</v>
      </c>
      <c r="E113" s="2"/>
      <c r="F113" s="19">
        <f t="shared" si="54"/>
        <v>-4.4732030086329757E-3</v>
      </c>
      <c r="G113" s="2"/>
      <c r="H113" s="2">
        <v>2025</v>
      </c>
      <c r="I113" s="2"/>
      <c r="J113" s="19">
        <f t="shared" si="55"/>
        <v>1.3100351930441984E-2</v>
      </c>
      <c r="K113" s="2"/>
      <c r="L113" s="2">
        <f t="shared" si="56"/>
        <v>-2452.44</v>
      </c>
      <c r="M113" s="2"/>
      <c r="N113" s="19">
        <f t="shared" si="57"/>
        <v>-1.2110814814814814</v>
      </c>
      <c r="O113" s="11"/>
      <c r="P113" s="2">
        <f>--5040.45</f>
        <v>5040.45</v>
      </c>
      <c r="Q113" s="2"/>
      <c r="R113" s="19">
        <f t="shared" si="58"/>
        <v>2.0678943824682626E-3</v>
      </c>
      <c r="S113" s="2"/>
      <c r="T113" s="2">
        <v>21600</v>
      </c>
      <c r="U113" s="2"/>
      <c r="V113" s="19">
        <f t="shared" si="59"/>
        <v>8.8063878928474598E-3</v>
      </c>
      <c r="W113" s="2"/>
      <c r="X113" s="2">
        <f t="shared" si="60"/>
        <v>-16559.55</v>
      </c>
      <c r="Y113" s="2"/>
      <c r="Z113" s="19">
        <f t="shared" si="61"/>
        <v>-0.76664583333333325</v>
      </c>
    </row>
    <row r="114" spans="1:26" x14ac:dyDescent="0.25">
      <c r="A114" s="9"/>
      <c r="B114" s="10"/>
      <c r="C114" s="10"/>
      <c r="D114" s="3"/>
      <c r="E114" s="3"/>
      <c r="F114" s="8"/>
      <c r="G114" s="3"/>
      <c r="H114" s="3"/>
      <c r="I114" s="3"/>
      <c r="J114" s="8"/>
      <c r="K114" s="3"/>
      <c r="L114" s="3"/>
      <c r="M114" s="3"/>
      <c r="N114" s="8"/>
      <c r="O114" s="10"/>
      <c r="P114" s="3"/>
      <c r="Q114" s="3"/>
      <c r="R114" s="8"/>
      <c r="S114" s="3"/>
      <c r="T114" s="3"/>
      <c r="U114" s="3"/>
      <c r="V114" s="8"/>
      <c r="W114" s="3"/>
      <c r="X114" s="3"/>
      <c r="Y114" s="3"/>
      <c r="Z114" s="8"/>
    </row>
    <row r="115" spans="1:26" s="23" customFormat="1" x14ac:dyDescent="0.25">
      <c r="A115" s="10"/>
      <c r="B115" s="29" t="s">
        <v>3</v>
      </c>
      <c r="C115" s="29"/>
      <c r="D115" s="20">
        <f>+D57-D59+D109</f>
        <v>-6321.5500000000029</v>
      </c>
      <c r="E115" s="14"/>
      <c r="F115" s="22">
        <f>IF(D$12=0,0,D115/D$12)</f>
        <v>-6.6155662734474555E-2</v>
      </c>
      <c r="G115" s="14"/>
      <c r="H115" s="20">
        <f>+H57-H59+H109</f>
        <v>-41927.772130916921</v>
      </c>
      <c r="I115" s="14"/>
      <c r="J115" s="22">
        <f>IF(H$12=0,0,H115/H$12)</f>
        <v>-0.27124373855525385</v>
      </c>
      <c r="K115" s="16"/>
      <c r="L115" s="20">
        <f>+D115-H115</f>
        <v>35606.222130916918</v>
      </c>
      <c r="M115" s="16"/>
      <c r="N115" s="22">
        <f>IF(H115=0,0,L115/H115)</f>
        <v>-0.84922761981577877</v>
      </c>
      <c r="O115" s="28"/>
      <c r="P115" s="20">
        <f>+P57-P59+P109</f>
        <v>118962.11000000116</v>
      </c>
      <c r="Q115" s="14"/>
      <c r="R115" s="22">
        <f>IF(P$12=0,0,P115/P$12)</f>
        <v>4.880538027270858E-2</v>
      </c>
      <c r="S115" s="14"/>
      <c r="T115" s="20">
        <f>+T57-T59+T109</f>
        <v>252788.24342929717</v>
      </c>
      <c r="U115" s="14"/>
      <c r="V115" s="22">
        <f>IF(T$12=0,0,T115/T$12)</f>
        <v>0.10306256140694163</v>
      </c>
      <c r="W115" s="16"/>
      <c r="X115" s="20">
        <f>+P115-T115</f>
        <v>-133826.13342929602</v>
      </c>
      <c r="Y115" s="16"/>
      <c r="Z115" s="22">
        <f>IF(T115=0,0,X115/T115)</f>
        <v>-0.52940014778308353</v>
      </c>
    </row>
    <row r="116" spans="1:26" x14ac:dyDescent="0.25">
      <c r="A116" s="9"/>
      <c r="B116" s="10"/>
      <c r="C116" s="9"/>
      <c r="D116" s="3"/>
      <c r="E116" s="3"/>
      <c r="F116" s="8"/>
      <c r="G116" s="3"/>
      <c r="H116" s="3"/>
      <c r="I116" s="3"/>
      <c r="J116" s="8"/>
      <c r="K116" s="3"/>
      <c r="L116" s="3"/>
      <c r="M116" s="3"/>
      <c r="N116" s="8"/>
      <c r="P116" s="3"/>
      <c r="Q116" s="3"/>
      <c r="R116" s="8"/>
      <c r="S116" s="3"/>
      <c r="T116" s="3"/>
      <c r="U116" s="3"/>
      <c r="V116" s="8"/>
      <c r="W116" s="3"/>
      <c r="X116" s="3"/>
      <c r="Y116" s="3"/>
      <c r="Z116" s="8"/>
    </row>
    <row r="117" spans="1:26" s="23" customFormat="1" x14ac:dyDescent="0.25">
      <c r="A117" s="52"/>
      <c r="B117" s="10" t="s">
        <v>14</v>
      </c>
      <c r="C117" s="10"/>
      <c r="D117" s="4">
        <v>22726.95</v>
      </c>
      <c r="E117" s="4"/>
      <c r="F117" s="13">
        <f>IF(D$12=0,0,D117/D$12)</f>
        <v>0.23783983978348125</v>
      </c>
      <c r="G117" s="4"/>
      <c r="H117" s="4">
        <v>15568</v>
      </c>
      <c r="I117" s="4"/>
      <c r="J117" s="13">
        <f>IF(H$12=0,0,H117/H$12)</f>
        <v>0.10071421177931891</v>
      </c>
      <c r="K117" s="4"/>
      <c r="L117" s="4">
        <f>+D117-H117</f>
        <v>7158.9500000000007</v>
      </c>
      <c r="M117" s="4"/>
      <c r="N117" s="13">
        <f>IF(H117=0,0,L117/H117)</f>
        <v>0.45985033401849951</v>
      </c>
      <c r="O117" s="10"/>
      <c r="P117" s="4">
        <v>288635.63</v>
      </c>
      <c r="Q117" s="4"/>
      <c r="R117" s="13">
        <f>IF(P$12=0,0,P117/P$12)</f>
        <v>0.11841561722806257</v>
      </c>
      <c r="S117" s="4"/>
      <c r="T117" s="4">
        <v>284092</v>
      </c>
      <c r="U117" s="4"/>
      <c r="V117" s="13">
        <f>IF(T$12=0,0,T117/T$12)</f>
        <v>0.11582520135438984</v>
      </c>
      <c r="W117" s="4"/>
      <c r="X117" s="4">
        <f>+P117-T117</f>
        <v>4543.6300000000047</v>
      </c>
      <c r="Y117" s="4"/>
      <c r="Z117" s="13">
        <f>IF(T117=0,0,X117/T117)</f>
        <v>1.5993516184897867E-2</v>
      </c>
    </row>
    <row r="118" spans="1:26" x14ac:dyDescent="0.25">
      <c r="A118" s="9"/>
      <c r="B118" s="10"/>
      <c r="C118" s="10"/>
      <c r="D118" s="3"/>
      <c r="E118" s="3"/>
      <c r="F118" s="8"/>
      <c r="G118" s="3"/>
      <c r="H118" s="3"/>
      <c r="I118" s="3"/>
      <c r="J118" s="8"/>
      <c r="K118" s="3"/>
      <c r="L118" s="3"/>
      <c r="M118" s="3"/>
      <c r="N118" s="8"/>
      <c r="O118" s="10"/>
      <c r="P118" s="3"/>
      <c r="Q118" s="3"/>
      <c r="R118" s="8"/>
      <c r="S118" s="3"/>
      <c r="T118" s="3"/>
      <c r="U118" s="3"/>
      <c r="V118" s="8"/>
      <c r="W118" s="3"/>
      <c r="X118" s="3"/>
      <c r="Y118" s="3"/>
      <c r="Z118" s="8"/>
    </row>
    <row r="119" spans="1:26" s="23" customFormat="1" ht="15.75" thickBot="1" x14ac:dyDescent="0.3">
      <c r="A119" s="10"/>
      <c r="B119" s="29" t="s">
        <v>4</v>
      </c>
      <c r="C119" s="29"/>
      <c r="D119" s="35">
        <f>+D115-D117</f>
        <v>-29048.500000000004</v>
      </c>
      <c r="E119" s="14"/>
      <c r="F119" s="32">
        <f>IF(D$12=0,0,D119/D$12)</f>
        <v>-0.30399550251795582</v>
      </c>
      <c r="G119" s="14"/>
      <c r="H119" s="35">
        <f>+H115-H117</f>
        <v>-57495.772130916921</v>
      </c>
      <c r="I119" s="14"/>
      <c r="J119" s="32">
        <f>IF(H$12=0,0,H119/H$12)</f>
        <v>-0.3719579503345728</v>
      </c>
      <c r="K119" s="16"/>
      <c r="L119" s="35">
        <f>D119-H119</f>
        <v>28447.272130916917</v>
      </c>
      <c r="M119" s="16"/>
      <c r="N119" s="32">
        <f>IF(H119=0,0,L119/H119)</f>
        <v>-0.49477154713468235</v>
      </c>
      <c r="O119" s="28"/>
      <c r="P119" s="35">
        <f>+P115-P117</f>
        <v>-169673.51999999885</v>
      </c>
      <c r="Q119" s="14"/>
      <c r="R119" s="32">
        <f>IF(P$12=0,0,P119/P$12)</f>
        <v>-6.9610236955353996E-2</v>
      </c>
      <c r="S119" s="14"/>
      <c r="T119" s="35">
        <f>+T115-T117</f>
        <v>-31303.756570702826</v>
      </c>
      <c r="U119" s="14"/>
      <c r="V119" s="32">
        <f>IF(T$12=0,0,T119/T$12)</f>
        <v>-1.2762639947448216E-2</v>
      </c>
      <c r="W119" s="16"/>
      <c r="X119" s="35">
        <f>P119-T119</f>
        <v>-138369.76342929603</v>
      </c>
      <c r="Y119" s="16"/>
      <c r="Z119" s="32">
        <f>IF(T119=0,0,X119/T119)</f>
        <v>4.4202287069532176</v>
      </c>
    </row>
    <row r="120" spans="1:26" ht="15.75" thickTop="1" x14ac:dyDescent="0.25">
      <c r="A120" s="9"/>
      <c r="B120" s="9"/>
      <c r="C120" s="9"/>
      <c r="D120" s="3"/>
      <c r="E120" s="3"/>
      <c r="F120" s="8"/>
      <c r="G120" s="3"/>
      <c r="H120" s="3"/>
      <c r="I120" s="3"/>
      <c r="J120" s="8"/>
      <c r="K120" s="3"/>
      <c r="L120" s="3"/>
      <c r="M120" s="3"/>
      <c r="N120" s="8"/>
      <c r="P120" s="3"/>
      <c r="Q120" s="3"/>
      <c r="R120" s="8"/>
      <c r="S120" s="3"/>
      <c r="T120" s="3"/>
      <c r="U120" s="3"/>
      <c r="V120" s="8"/>
      <c r="W120" s="3"/>
      <c r="X120" s="3"/>
      <c r="Y120" s="3"/>
      <c r="Z120" s="8"/>
    </row>
    <row r="121" spans="1:26" x14ac:dyDescent="0.25">
      <c r="A121" s="9"/>
      <c r="B121" s="9"/>
      <c r="C121" s="9"/>
      <c r="D121" s="3"/>
      <c r="E121" s="3"/>
      <c r="F121" s="8"/>
      <c r="G121" s="3"/>
      <c r="H121" s="3"/>
      <c r="I121" s="3"/>
      <c r="J121" s="8"/>
      <c r="K121" s="3"/>
      <c r="L121" s="3"/>
      <c r="M121" s="3"/>
      <c r="N121" s="8"/>
      <c r="P121" s="3"/>
      <c r="Q121" s="3"/>
      <c r="R121" s="8"/>
      <c r="S121" s="3"/>
      <c r="T121" s="3"/>
      <c r="U121" s="3"/>
      <c r="V121" s="8"/>
      <c r="W121" s="3"/>
      <c r="X121" s="3"/>
      <c r="Y121" s="3"/>
      <c r="Z121" s="8"/>
    </row>
    <row r="122" spans="1:26" s="23" customFormat="1" ht="15.75" thickBot="1" x14ac:dyDescent="0.3">
      <c r="A122" s="10"/>
      <c r="B122" s="29" t="s">
        <v>5</v>
      </c>
      <c r="C122" s="29"/>
      <c r="D122" s="34">
        <f>SUM(D119:D121)</f>
        <v>-29048.500000000004</v>
      </c>
      <c r="E122" s="14"/>
      <c r="F122" s="31">
        <f>IF(D$12=0,0,D122/D$12)</f>
        <v>-0.30399550251795582</v>
      </c>
      <c r="G122" s="14"/>
      <c r="H122" s="34">
        <f>SUM(H119:H121)</f>
        <v>-57495.772130916921</v>
      </c>
      <c r="I122" s="14"/>
      <c r="J122" s="31">
        <f>IF(H$12=0,0,H122/H$12)</f>
        <v>-0.3719579503345728</v>
      </c>
      <c r="K122" s="16"/>
      <c r="L122" s="34">
        <f>+D122-H122</f>
        <v>28447.272130916917</v>
      </c>
      <c r="M122" s="16"/>
      <c r="N122" s="31">
        <f>IF(H122=0,0,L122/H122)</f>
        <v>-0.49477154713468235</v>
      </c>
      <c r="O122" s="28"/>
      <c r="P122" s="34">
        <f>SUM(P119:P121)</f>
        <v>-169673.51999999885</v>
      </c>
      <c r="Q122" s="14"/>
      <c r="R122" s="31">
        <f>IF(P$12=0,0,P122/P$12)</f>
        <v>-6.9610236955353996E-2</v>
      </c>
      <c r="S122" s="14"/>
      <c r="T122" s="34">
        <f>SUM(T119:T121)</f>
        <v>-31303.756570702826</v>
      </c>
      <c r="U122" s="14"/>
      <c r="V122" s="31">
        <f>IF(T$12=0,0,T122/T$12)</f>
        <v>-1.2762639947448216E-2</v>
      </c>
      <c r="W122" s="16"/>
      <c r="X122" s="34">
        <f>+P122-T122</f>
        <v>-138369.76342929603</v>
      </c>
      <c r="Y122" s="16"/>
      <c r="Z122" s="31">
        <f>IF(T122=0,0,X122/T122)</f>
        <v>4.4202287069532176</v>
      </c>
    </row>
    <row r="123" spans="1:26" ht="15.75" thickTop="1" x14ac:dyDescent="0.25">
      <c r="A123" s="9"/>
      <c r="C123" s="9"/>
      <c r="D123" s="18"/>
      <c r="E123" s="18"/>
      <c r="G123" s="18"/>
      <c r="H123" s="18"/>
      <c r="I123" s="18"/>
      <c r="J123" s="42"/>
      <c r="K123" s="18"/>
      <c r="L123" s="18"/>
      <c r="M123" s="18"/>
      <c r="P123" s="18"/>
      <c r="Q123" s="18"/>
      <c r="R123" s="42"/>
      <c r="S123" s="18"/>
      <c r="T123" s="18"/>
      <c r="U123" s="18"/>
      <c r="V123" s="42"/>
      <c r="W123" s="18"/>
      <c r="X123" s="18"/>
    </row>
    <row r="124" spans="1:26" x14ac:dyDescent="0.25">
      <c r="A124" s="9"/>
      <c r="B124" s="59">
        <v>43992.371689618056</v>
      </c>
      <c r="D124" s="18"/>
      <c r="E124" s="18"/>
      <c r="G124" s="18"/>
      <c r="H124" s="18"/>
      <c r="I124" s="18"/>
      <c r="J124" s="42"/>
      <c r="K124" s="18"/>
      <c r="L124" s="18"/>
      <c r="M124" s="18"/>
      <c r="P124" s="18"/>
      <c r="Q124" s="18"/>
      <c r="R124" s="42"/>
      <c r="S124" s="18"/>
      <c r="T124" s="18"/>
      <c r="U124" s="18"/>
      <c r="V124" s="42"/>
      <c r="W124" s="18"/>
      <c r="X124" s="18"/>
    </row>
    <row r="125" spans="1:26" x14ac:dyDescent="0.25">
      <c r="A125" s="9"/>
      <c r="B125" s="56" t="s">
        <v>314</v>
      </c>
      <c r="D125" s="18"/>
      <c r="E125" s="18"/>
      <c r="G125" s="18"/>
      <c r="H125" s="18"/>
      <c r="I125" s="18"/>
      <c r="J125" s="42"/>
      <c r="K125" s="18"/>
      <c r="L125" s="18"/>
      <c r="M125" s="18"/>
      <c r="P125" s="18"/>
      <c r="Q125" s="18"/>
      <c r="R125" s="42"/>
      <c r="S125" s="18"/>
      <c r="T125" s="18"/>
      <c r="U125" s="18"/>
      <c r="V125" s="42"/>
      <c r="W125" s="18"/>
      <c r="X125" s="18"/>
    </row>
    <row r="126" spans="1:26" x14ac:dyDescent="0.25">
      <c r="A126" s="9"/>
      <c r="B126" s="54"/>
      <c r="D126" s="18"/>
      <c r="E126" s="18"/>
      <c r="G126" s="18"/>
      <c r="H126" s="18"/>
      <c r="I126" s="18"/>
      <c r="J126" s="42"/>
      <c r="K126" s="18"/>
      <c r="L126" s="18"/>
      <c r="M126" s="18"/>
      <c r="P126" s="18"/>
      <c r="Q126" s="18"/>
      <c r="R126" s="42"/>
      <c r="S126" s="18"/>
      <c r="T126" s="18"/>
      <c r="U126" s="18"/>
      <c r="V126" s="42"/>
      <c r="W126" s="18"/>
      <c r="X126" s="18"/>
    </row>
    <row r="127" spans="1:26" x14ac:dyDescent="0.25">
      <c r="D127" s="18"/>
      <c r="E127" s="18"/>
      <c r="G127" s="18"/>
      <c r="H127" s="18"/>
      <c r="I127" s="18"/>
      <c r="J127" s="42"/>
      <c r="K127" s="18"/>
      <c r="L127" s="18"/>
      <c r="M127" s="18"/>
      <c r="P127" s="18"/>
      <c r="Q127" s="18"/>
      <c r="R127" s="42"/>
      <c r="S127" s="18"/>
      <c r="T127" s="18"/>
      <c r="U127" s="18"/>
      <c r="V127" s="42"/>
      <c r="W127" s="18"/>
      <c r="X127" s="18"/>
    </row>
  </sheetData>
  <pageMargins left="0.25" right="0.25" top="0.75" bottom="0.75" header="0.3" footer="0.3"/>
  <pageSetup scale="55" fitToWidth="2" orientation="landscape"/>
  <drawing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132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63" t="s">
        <v>13</v>
      </c>
    </row>
    <row r="3" spans="1:26" x14ac:dyDescent="0.25">
      <c r="D3" s="63" t="s">
        <v>296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61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63" t="str">
        <f>CONCATENATE("Period ",RIGHT(202011,2),", ",2020)</f>
        <v>Period 11, 2020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61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4">
        <v>43981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61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51"/>
      <c r="C6" s="51"/>
      <c r="D6" s="23" t="s">
        <v>307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57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5" t="s">
        <v>294</v>
      </c>
      <c r="E9" s="15"/>
      <c r="F9" s="38"/>
      <c r="G9" s="15"/>
      <c r="H9" s="15"/>
      <c r="I9" s="15"/>
      <c r="J9" s="46"/>
      <c r="K9" s="15"/>
      <c r="L9" s="15"/>
      <c r="M9" s="15"/>
      <c r="N9" s="38"/>
      <c r="P9" s="15" t="s">
        <v>295</v>
      </c>
      <c r="Q9" s="15"/>
      <c r="R9" s="38"/>
      <c r="S9" s="15"/>
      <c r="T9" s="15"/>
      <c r="U9" s="15"/>
      <c r="V9" s="46"/>
      <c r="W9" s="15"/>
      <c r="X9" s="15"/>
      <c r="Y9" s="15"/>
      <c r="Z9" s="38"/>
    </row>
    <row r="10" spans="1:26" x14ac:dyDescent="0.25">
      <c r="A10" s="10"/>
      <c r="B10" s="55"/>
      <c r="C10" s="10"/>
      <c r="D10" s="43" t="s">
        <v>10</v>
      </c>
      <c r="E10" s="33"/>
      <c r="F10" s="40" t="s">
        <v>15</v>
      </c>
      <c r="G10" s="33"/>
      <c r="H10" s="47" t="s">
        <v>11</v>
      </c>
      <c r="I10" s="33"/>
      <c r="J10" s="45" t="s">
        <v>16</v>
      </c>
      <c r="K10" s="10"/>
      <c r="L10" s="43" t="s">
        <v>12</v>
      </c>
      <c r="M10" s="10"/>
      <c r="N10" s="40" t="s">
        <v>17</v>
      </c>
      <c r="O10" s="10"/>
      <c r="P10" s="53" t="s">
        <v>10</v>
      </c>
      <c r="Q10" s="33"/>
      <c r="R10" s="40" t="s">
        <v>15</v>
      </c>
      <c r="S10" s="33"/>
      <c r="T10" s="47" t="s">
        <v>11</v>
      </c>
      <c r="U10" s="33"/>
      <c r="V10" s="45" t="s">
        <v>16</v>
      </c>
      <c r="W10" s="10"/>
      <c r="X10" s="43" t="s">
        <v>12</v>
      </c>
      <c r="Y10" s="10"/>
      <c r="Z10" s="40" t="s">
        <v>17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28.36</v>
      </c>
      <c r="E12" s="4"/>
      <c r="F12" s="13"/>
      <c r="G12" s="4"/>
      <c r="H12" s="4">
        <f>SUM(OSRRefH13x_0)</f>
        <v>265980</v>
      </c>
      <c r="I12" s="4"/>
      <c r="J12" s="13"/>
      <c r="K12" s="4"/>
      <c r="L12" s="4">
        <f t="shared" ref="L12:L24" si="0">+D12-H12</f>
        <v>-265951.64</v>
      </c>
      <c r="M12" s="4"/>
      <c r="N12" s="13">
        <f t="shared" ref="N12:N24" si="1">IF(H12=0,0,L12/H12)</f>
        <v>-0.9998933754417626</v>
      </c>
      <c r="O12" s="10"/>
      <c r="P12" s="4">
        <f>SUM(OSRRefP13x_0)</f>
        <v>2364609.25</v>
      </c>
      <c r="Q12" s="4"/>
      <c r="R12" s="13"/>
      <c r="S12" s="4"/>
      <c r="T12" s="4">
        <f>SUM(OSRRefT13x_0)</f>
        <v>3178928.2</v>
      </c>
      <c r="U12" s="4"/>
      <c r="V12" s="13"/>
      <c r="W12" s="4"/>
      <c r="X12" s="4">
        <f t="shared" ref="X12:X24" si="2">+P12-T12</f>
        <v>-814318.95000000019</v>
      </c>
      <c r="Y12" s="4"/>
      <c r="Z12" s="13">
        <f t="shared" ref="Z12:Z24" si="3">IF(T12=0,0,X12/T12)</f>
        <v>-0.25616147920547566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 t="shared" ref="D13:D17" si="4">0</f>
        <v>0</v>
      </c>
      <c r="E13" s="2"/>
      <c r="F13" s="19"/>
      <c r="G13" s="2"/>
      <c r="H13" s="2">
        <v>59500</v>
      </c>
      <c r="I13" s="2"/>
      <c r="J13" s="19"/>
      <c r="K13" s="2"/>
      <c r="L13" s="2">
        <f t="shared" si="0"/>
        <v>-59500</v>
      </c>
      <c r="M13" s="2"/>
      <c r="N13" s="19">
        <f t="shared" si="1"/>
        <v>-1</v>
      </c>
      <c r="O13" s="11"/>
      <c r="P13" s="2">
        <f>0</f>
        <v>0</v>
      </c>
      <c r="Q13" s="2"/>
      <c r="R13" s="19"/>
      <c r="S13" s="2"/>
      <c r="T13" s="2">
        <v>760476.20000000007</v>
      </c>
      <c r="U13" s="2"/>
      <c r="V13" s="19"/>
      <c r="W13" s="2"/>
      <c r="X13" s="2">
        <f t="shared" si="2"/>
        <v>-760476.20000000007</v>
      </c>
      <c r="Y13" s="2"/>
      <c r="Z13" s="19">
        <f t="shared" si="3"/>
        <v>-1</v>
      </c>
    </row>
    <row r="14" spans="1:26" s="24" customFormat="1" hidden="1" outlineLevel="1" x14ac:dyDescent="0.25">
      <c r="A14" s="44"/>
      <c r="B14" s="11" t="str">
        <f>CONCATENATE("          ", "4032", " - ", "TAXABLE SALES-JUICE")</f>
        <v xml:space="preserve">          4032 - TAXABLE SALES-JUICE</v>
      </c>
      <c r="C14" s="11"/>
      <c r="D14" s="2">
        <f t="shared" si="4"/>
        <v>0</v>
      </c>
      <c r="E14" s="2"/>
      <c r="F14" s="19"/>
      <c r="G14" s="2"/>
      <c r="H14" s="2"/>
      <c r="I14" s="2"/>
      <c r="J14" s="19"/>
      <c r="K14" s="2"/>
      <c r="L14" s="2">
        <f t="shared" si="0"/>
        <v>0</v>
      </c>
      <c r="M14" s="2"/>
      <c r="N14" s="19">
        <f t="shared" si="1"/>
        <v>0</v>
      </c>
      <c r="O14" s="11"/>
      <c r="P14" s="2">
        <f>--275749.46</f>
        <v>275749.46000000002</v>
      </c>
      <c r="Q14" s="2"/>
      <c r="R14" s="19"/>
      <c r="S14" s="2"/>
      <c r="T14" s="2"/>
      <c r="U14" s="2"/>
      <c r="V14" s="19"/>
      <c r="W14" s="2"/>
      <c r="X14" s="2">
        <f t="shared" si="2"/>
        <v>275749.46000000002</v>
      </c>
      <c r="Y14" s="2"/>
      <c r="Z14" s="19">
        <f t="shared" si="3"/>
        <v>0</v>
      </c>
    </row>
    <row r="15" spans="1:26" s="24" customFormat="1" hidden="1" outlineLevel="1" x14ac:dyDescent="0.25">
      <c r="A15" s="44"/>
      <c r="B15" s="11" t="str">
        <f>CONCATENATE("          ", "4034", " - ", "TAXABLE SALES-SODA")</f>
        <v xml:space="preserve">          4034 - TAXABLE SALES-SODA</v>
      </c>
      <c r="C15" s="11"/>
      <c r="D15" s="2">
        <f t="shared" si="4"/>
        <v>0</v>
      </c>
      <c r="E15" s="2"/>
      <c r="F15" s="19"/>
      <c r="G15" s="2"/>
      <c r="H15" s="2"/>
      <c r="I15" s="2"/>
      <c r="J15" s="19"/>
      <c r="K15" s="2"/>
      <c r="L15" s="2">
        <f t="shared" si="0"/>
        <v>0</v>
      </c>
      <c r="M15" s="2"/>
      <c r="N15" s="19">
        <f t="shared" si="1"/>
        <v>0</v>
      </c>
      <c r="O15" s="11"/>
      <c r="P15" s="2">
        <f>--3121.95</f>
        <v>3121.95</v>
      </c>
      <c r="Q15" s="2"/>
      <c r="R15" s="19"/>
      <c r="S15" s="2"/>
      <c r="T15" s="2"/>
      <c r="U15" s="2"/>
      <c r="V15" s="19"/>
      <c r="W15" s="2"/>
      <c r="X15" s="2">
        <f t="shared" si="2"/>
        <v>3121.95</v>
      </c>
      <c r="Y15" s="2"/>
      <c r="Z15" s="19">
        <f t="shared" si="3"/>
        <v>0</v>
      </c>
    </row>
    <row r="16" spans="1:26" s="24" customFormat="1" hidden="1" outlineLevel="1" x14ac:dyDescent="0.25">
      <c r="A16" s="44"/>
      <c r="B16" s="11" t="str">
        <f>CONCATENATE("          ", "4051", " - ", "TAXABLE SALES-FOOD")</f>
        <v xml:space="preserve">          4051 - TAXABLE SALES-FOOD</v>
      </c>
      <c r="C16" s="11"/>
      <c r="D16" s="2">
        <f t="shared" si="4"/>
        <v>0</v>
      </c>
      <c r="E16" s="2"/>
      <c r="F16" s="19"/>
      <c r="G16" s="2"/>
      <c r="H16" s="2"/>
      <c r="I16" s="2"/>
      <c r="J16" s="19"/>
      <c r="K16" s="2"/>
      <c r="L16" s="2">
        <f t="shared" si="0"/>
        <v>0</v>
      </c>
      <c r="M16" s="2"/>
      <c r="N16" s="19">
        <f t="shared" si="1"/>
        <v>0</v>
      </c>
      <c r="O16" s="11"/>
      <c r="P16" s="2">
        <f>--149404.53</f>
        <v>149404.53</v>
      </c>
      <c r="Q16" s="2"/>
      <c r="R16" s="19"/>
      <c r="S16" s="2"/>
      <c r="T16" s="2"/>
      <c r="U16" s="2"/>
      <c r="V16" s="19"/>
      <c r="W16" s="2"/>
      <c r="X16" s="2">
        <f t="shared" si="2"/>
        <v>149404.53</v>
      </c>
      <c r="Y16" s="2"/>
      <c r="Z16" s="19">
        <f t="shared" si="3"/>
        <v>0</v>
      </c>
    </row>
    <row r="17" spans="1:26" s="24" customFormat="1" hidden="1" outlineLevel="1" x14ac:dyDescent="0.25">
      <c r="A17" s="44"/>
      <c r="B17" s="11" t="str">
        <f>CONCATENATE("          ", "4100", " - ", "NON-TAXABLE SALES")</f>
        <v xml:space="preserve">          4100 - NON-TAXABLE SALES</v>
      </c>
      <c r="C17" s="11"/>
      <c r="D17" s="2">
        <f t="shared" si="4"/>
        <v>0</v>
      </c>
      <c r="E17" s="2"/>
      <c r="F17" s="19"/>
      <c r="G17" s="2"/>
      <c r="H17" s="2">
        <v>206480</v>
      </c>
      <c r="I17" s="2"/>
      <c r="J17" s="19"/>
      <c r="K17" s="2"/>
      <c r="L17" s="2">
        <f t="shared" si="0"/>
        <v>-206480</v>
      </c>
      <c r="M17" s="2"/>
      <c r="N17" s="19">
        <f t="shared" si="1"/>
        <v>-1</v>
      </c>
      <c r="O17" s="11"/>
      <c r="P17" s="2">
        <f>0</f>
        <v>0</v>
      </c>
      <c r="Q17" s="2"/>
      <c r="R17" s="19"/>
      <c r="S17" s="2"/>
      <c r="T17" s="2">
        <v>2418452</v>
      </c>
      <c r="U17" s="2"/>
      <c r="V17" s="19"/>
      <c r="W17" s="2"/>
      <c r="X17" s="2">
        <f t="shared" si="2"/>
        <v>-2418452</v>
      </c>
      <c r="Y17" s="2"/>
      <c r="Z17" s="19">
        <f t="shared" si="3"/>
        <v>-1</v>
      </c>
    </row>
    <row r="18" spans="1:26" s="24" customFormat="1" hidden="1" outlineLevel="1" x14ac:dyDescent="0.25">
      <c r="A18" s="44"/>
      <c r="B18" s="11" t="str">
        <f>CONCATENATE("          ", "4131", " - ", "NON-TAXABLE SALES-FOOD")</f>
        <v xml:space="preserve">          4131 - NON-TAXABLE SALES-FOOD</v>
      </c>
      <c r="C18" s="11"/>
      <c r="D18" s="2">
        <f>--2.48</f>
        <v>2.48</v>
      </c>
      <c r="E18" s="2"/>
      <c r="F18" s="19"/>
      <c r="G18" s="2"/>
      <c r="H18" s="2"/>
      <c r="I18" s="2"/>
      <c r="J18" s="19"/>
      <c r="K18" s="2"/>
      <c r="L18" s="2">
        <f t="shared" si="0"/>
        <v>2.48</v>
      </c>
      <c r="M18" s="2"/>
      <c r="N18" s="19">
        <f t="shared" si="1"/>
        <v>0</v>
      </c>
      <c r="O18" s="11"/>
      <c r="P18" s="2">
        <f>--2.48</f>
        <v>2.48</v>
      </c>
      <c r="Q18" s="2"/>
      <c r="R18" s="19"/>
      <c r="S18" s="2"/>
      <c r="T18" s="2"/>
      <c r="U18" s="2"/>
      <c r="V18" s="19"/>
      <c r="W18" s="2"/>
      <c r="X18" s="2">
        <f t="shared" si="2"/>
        <v>2.48</v>
      </c>
      <c r="Y18" s="2"/>
      <c r="Z18" s="19">
        <f t="shared" si="3"/>
        <v>0</v>
      </c>
    </row>
    <row r="19" spans="1:26" s="24" customFormat="1" hidden="1" outlineLevel="1" x14ac:dyDescent="0.25">
      <c r="A19" s="44"/>
      <c r="B19" s="11" t="str">
        <f>CONCATENATE("          ", "4132", " - ", "NON-TAXABLE SALES-JUICE")</f>
        <v xml:space="preserve">          4132 - NON-TAXABLE SALES-JUICE</v>
      </c>
      <c r="C19" s="11"/>
      <c r="D19" s="2">
        <f t="shared" ref="D19:D20" si="5">0</f>
        <v>0</v>
      </c>
      <c r="E19" s="2"/>
      <c r="F19" s="19"/>
      <c r="G19" s="2"/>
      <c r="H19" s="2"/>
      <c r="I19" s="2"/>
      <c r="J19" s="19"/>
      <c r="K19" s="2"/>
      <c r="L19" s="2">
        <f t="shared" si="0"/>
        <v>0</v>
      </c>
      <c r="M19" s="2"/>
      <c r="N19" s="19">
        <f t="shared" si="1"/>
        <v>0</v>
      </c>
      <c r="O19" s="11"/>
      <c r="P19" s="2">
        <f>--1093778.15</f>
        <v>1093778.1499999999</v>
      </c>
      <c r="Q19" s="2"/>
      <c r="R19" s="19"/>
      <c r="S19" s="2"/>
      <c r="T19" s="2"/>
      <c r="U19" s="2"/>
      <c r="V19" s="19"/>
      <c r="W19" s="2"/>
      <c r="X19" s="2">
        <f t="shared" si="2"/>
        <v>1093778.1499999999</v>
      </c>
      <c r="Y19" s="2"/>
      <c r="Z19" s="19">
        <f t="shared" si="3"/>
        <v>0</v>
      </c>
    </row>
    <row r="20" spans="1:26" s="24" customFormat="1" hidden="1" outlineLevel="1" x14ac:dyDescent="0.25">
      <c r="A20" s="44"/>
      <c r="B20" s="11" t="str">
        <f>CONCATENATE("          ", "4133", " - ", "NON-TAXABLE SALES-CANDY")</f>
        <v xml:space="preserve">          4133 - NON-TAXABLE SALES-CANDY</v>
      </c>
      <c r="C20" s="11"/>
      <c r="D20" s="2">
        <f t="shared" si="5"/>
        <v>0</v>
      </c>
      <c r="E20" s="2"/>
      <c r="F20" s="19"/>
      <c r="G20" s="2"/>
      <c r="H20" s="2"/>
      <c r="I20" s="2"/>
      <c r="J20" s="19"/>
      <c r="K20" s="2"/>
      <c r="L20" s="2">
        <f t="shared" si="0"/>
        <v>0</v>
      </c>
      <c r="M20" s="2"/>
      <c r="N20" s="19">
        <f t="shared" si="1"/>
        <v>0</v>
      </c>
      <c r="O20" s="11"/>
      <c r="P20" s="2">
        <f>--1.59</f>
        <v>1.59</v>
      </c>
      <c r="Q20" s="2"/>
      <c r="R20" s="19"/>
      <c r="S20" s="2"/>
      <c r="T20" s="2"/>
      <c r="U20" s="2"/>
      <c r="V20" s="19"/>
      <c r="W20" s="2"/>
      <c r="X20" s="2">
        <f t="shared" si="2"/>
        <v>1.59</v>
      </c>
      <c r="Y20" s="2"/>
      <c r="Z20" s="19">
        <f t="shared" si="3"/>
        <v>0</v>
      </c>
    </row>
    <row r="21" spans="1:26" s="24" customFormat="1" hidden="1" outlineLevel="1" x14ac:dyDescent="0.25">
      <c r="A21" s="44"/>
      <c r="B21" s="11" t="str">
        <f>CONCATENATE("          ", "4134", " - ", "NON-TAXABLE SALES-SODA")</f>
        <v xml:space="preserve">          4134 - NON-TAXABLE SALES-SODA</v>
      </c>
      <c r="C21" s="11"/>
      <c r="D21" s="2">
        <f>--23.64</f>
        <v>23.64</v>
      </c>
      <c r="E21" s="2"/>
      <c r="F21" s="19"/>
      <c r="G21" s="2"/>
      <c r="H21" s="2"/>
      <c r="I21" s="2"/>
      <c r="J21" s="19"/>
      <c r="K21" s="2"/>
      <c r="L21" s="2">
        <f t="shared" si="0"/>
        <v>23.64</v>
      </c>
      <c r="M21" s="2"/>
      <c r="N21" s="19">
        <f t="shared" si="1"/>
        <v>0</v>
      </c>
      <c r="O21" s="11"/>
      <c r="P21" s="2">
        <f>--94.84</f>
        <v>94.84</v>
      </c>
      <c r="Q21" s="2"/>
      <c r="R21" s="19"/>
      <c r="S21" s="2"/>
      <c r="T21" s="2"/>
      <c r="U21" s="2"/>
      <c r="V21" s="19"/>
      <c r="W21" s="2"/>
      <c r="X21" s="2">
        <f t="shared" si="2"/>
        <v>94.84</v>
      </c>
      <c r="Y21" s="2"/>
      <c r="Z21" s="19">
        <f t="shared" si="3"/>
        <v>0</v>
      </c>
    </row>
    <row r="22" spans="1:26" s="24" customFormat="1" hidden="1" outlineLevel="1" x14ac:dyDescent="0.25">
      <c r="A22" s="44"/>
      <c r="B22" s="11" t="str">
        <f>CONCATENATE("          ", "4137", " - ", "NON-TAXABLE SALES-WATER")</f>
        <v xml:space="preserve">          4137 - NON-TAXABLE SALES-WATER</v>
      </c>
      <c r="C22" s="11"/>
      <c r="D22" s="2">
        <f>--2.24</f>
        <v>2.2400000000000002</v>
      </c>
      <c r="E22" s="2"/>
      <c r="F22" s="19"/>
      <c r="G22" s="2"/>
      <c r="H22" s="2"/>
      <c r="I22" s="2"/>
      <c r="J22" s="19"/>
      <c r="K22" s="2"/>
      <c r="L22" s="2">
        <f t="shared" si="0"/>
        <v>2.2400000000000002</v>
      </c>
      <c r="M22" s="2"/>
      <c r="N22" s="19">
        <f t="shared" si="1"/>
        <v>0</v>
      </c>
      <c r="O22" s="11"/>
      <c r="P22" s="2">
        <f>--1575.68</f>
        <v>1575.68</v>
      </c>
      <c r="Q22" s="2"/>
      <c r="R22" s="19"/>
      <c r="S22" s="2"/>
      <c r="T22" s="2"/>
      <c r="U22" s="2"/>
      <c r="V22" s="19"/>
      <c r="W22" s="2"/>
      <c r="X22" s="2">
        <f t="shared" si="2"/>
        <v>1575.68</v>
      </c>
      <c r="Y22" s="2"/>
      <c r="Z22" s="19">
        <f t="shared" si="3"/>
        <v>0</v>
      </c>
    </row>
    <row r="23" spans="1:26" s="24" customFormat="1" hidden="1" outlineLevel="1" x14ac:dyDescent="0.25">
      <c r="A23" s="44"/>
      <c r="B23" s="11" t="str">
        <f>CONCATENATE("          ", "4151", " - ", "NON-TAXABLE SALES-FOOD")</f>
        <v xml:space="preserve">          4151 - NON-TAXABLE SALES-FOOD</v>
      </c>
      <c r="C23" s="11"/>
      <c r="D23" s="2">
        <f t="shared" ref="D23:D24" si="6">0</f>
        <v>0</v>
      </c>
      <c r="E23" s="2"/>
      <c r="F23" s="19"/>
      <c r="G23" s="2"/>
      <c r="H23" s="2"/>
      <c r="I23" s="2"/>
      <c r="J23" s="19"/>
      <c r="K23" s="2"/>
      <c r="L23" s="2">
        <f t="shared" si="0"/>
        <v>0</v>
      </c>
      <c r="M23" s="2"/>
      <c r="N23" s="19">
        <f t="shared" si="1"/>
        <v>0</v>
      </c>
      <c r="O23" s="11"/>
      <c r="P23" s="2">
        <f>--828068.07</f>
        <v>828068.07</v>
      </c>
      <c r="Q23" s="2"/>
      <c r="R23" s="19"/>
      <c r="S23" s="2"/>
      <c r="T23" s="2"/>
      <c r="U23" s="2"/>
      <c r="V23" s="19"/>
      <c r="W23" s="2"/>
      <c r="X23" s="2">
        <f t="shared" si="2"/>
        <v>828068.07</v>
      </c>
      <c r="Y23" s="2"/>
      <c r="Z23" s="19">
        <f t="shared" si="3"/>
        <v>0</v>
      </c>
    </row>
    <row r="24" spans="1:26" s="24" customFormat="1" hidden="1" outlineLevel="1" x14ac:dyDescent="0.25">
      <c r="A24" s="44"/>
      <c r="B24" s="11" t="str">
        <f>CONCATENATE("          ", "4153", " - ", "NON-TAXABLE SALES-FOOD")</f>
        <v xml:space="preserve">          4153 - NON-TAXABLE SALES-FOOD</v>
      </c>
      <c r="C24" s="11"/>
      <c r="D24" s="2">
        <f t="shared" si="6"/>
        <v>0</v>
      </c>
      <c r="E24" s="2"/>
      <c r="F24" s="19"/>
      <c r="G24" s="2"/>
      <c r="H24" s="2"/>
      <c r="I24" s="2"/>
      <c r="J24" s="19"/>
      <c r="K24" s="2"/>
      <c r="L24" s="2">
        <f t="shared" si="0"/>
        <v>0</v>
      </c>
      <c r="M24" s="2"/>
      <c r="N24" s="19">
        <f t="shared" si="1"/>
        <v>0</v>
      </c>
      <c r="O24" s="11"/>
      <c r="P24" s="2">
        <f>--12812.5</f>
        <v>12812.5</v>
      </c>
      <c r="Q24" s="2"/>
      <c r="R24" s="19"/>
      <c r="S24" s="2"/>
      <c r="T24" s="2"/>
      <c r="U24" s="2"/>
      <c r="V24" s="19"/>
      <c r="W24" s="2"/>
      <c r="X24" s="2">
        <f t="shared" si="2"/>
        <v>12812.5</v>
      </c>
      <c r="Y24" s="2"/>
      <c r="Z24" s="19">
        <f t="shared" si="3"/>
        <v>0</v>
      </c>
    </row>
    <row r="25" spans="1:26" x14ac:dyDescent="0.25">
      <c r="A25" s="9"/>
      <c r="B25" s="10"/>
      <c r="C25" s="9"/>
      <c r="D25" s="3"/>
      <c r="E25" s="3"/>
      <c r="F25" s="8"/>
      <c r="G25" s="3"/>
      <c r="H25" s="3"/>
      <c r="I25" s="3"/>
      <c r="J25" s="8"/>
      <c r="K25" s="3"/>
      <c r="L25" s="3"/>
      <c r="M25" s="3"/>
      <c r="N25" s="8"/>
      <c r="P25" s="3"/>
      <c r="Q25" s="3"/>
      <c r="R25" s="8"/>
      <c r="S25" s="3"/>
      <c r="T25" s="3"/>
      <c r="U25" s="3"/>
      <c r="V25" s="8"/>
      <c r="W25" s="3"/>
      <c r="X25" s="3"/>
      <c r="Y25" s="3"/>
      <c r="Z25" s="8"/>
    </row>
    <row r="26" spans="1:26" s="23" customFormat="1" collapsed="1" x14ac:dyDescent="0.25">
      <c r="A26" s="10"/>
      <c r="B26" s="28" t="s">
        <v>8</v>
      </c>
      <c r="C26" s="10"/>
      <c r="D26" s="4">
        <f>SUM(OSRRefD16x_0)</f>
        <v>-1756.38</v>
      </c>
      <c r="E26" s="4"/>
      <c r="F26" s="13">
        <f t="shared" ref="F26:F29" si="7">IF(D$12=0,0,D26/D$12)</f>
        <v>-61.931593794076171</v>
      </c>
      <c r="G26" s="4"/>
      <c r="H26" s="4">
        <f>SUM(OSRRefH16x_0)</f>
        <v>128119</v>
      </c>
      <c r="I26" s="4"/>
      <c r="J26" s="13">
        <f t="shared" ref="J26:J29" si="8">IF(H$12=0,0,H26/H$12)</f>
        <v>0.48168659297691557</v>
      </c>
      <c r="K26" s="4"/>
      <c r="L26" s="4">
        <f t="shared" ref="L26:L29" si="9">+D26-H26</f>
        <v>-129875.38</v>
      </c>
      <c r="M26" s="4"/>
      <c r="N26" s="13">
        <f t="shared" ref="N26:N29" si="10">IF(H26=0,0,L26/H26)</f>
        <v>-1.0137089736885241</v>
      </c>
      <c r="O26" s="10"/>
      <c r="P26" s="4">
        <f>SUM(OSRRefP16x_0)</f>
        <v>1232330.8400000001</v>
      </c>
      <c r="Q26" s="4"/>
      <c r="R26" s="13">
        <f t="shared" ref="R26:R29" si="11">IF(P$12=0,0,P26/P$12)</f>
        <v>0.52115622908943626</v>
      </c>
      <c r="S26" s="4"/>
      <c r="T26" s="4">
        <f>SUM(OSRRefT16x_0)</f>
        <v>1531465</v>
      </c>
      <c r="U26" s="4"/>
      <c r="V26" s="13">
        <f t="shared" ref="V26:V29" si="12">IF(T$12=0,0,T26/T$12)</f>
        <v>0.48175513998711889</v>
      </c>
      <c r="W26" s="4"/>
      <c r="X26" s="4">
        <f t="shared" ref="X26:X29" si="13">+P26-T26</f>
        <v>-299134.15999999992</v>
      </c>
      <c r="Y26" s="4"/>
      <c r="Z26" s="13">
        <f t="shared" ref="Z26:Z29" si="14">IF(T26=0,0,X26/T26)</f>
        <v>-0.19532549552226131</v>
      </c>
    </row>
    <row r="27" spans="1:26" s="24" customFormat="1" hidden="1" outlineLevel="1" x14ac:dyDescent="0.25">
      <c r="A27" s="44"/>
      <c r="B27" s="11" t="str">
        <f>CONCATENATE("          ", "5000", " - ", "PURCHASES @ COST")</f>
        <v xml:space="preserve">          5000 - PURCHASES @ COST</v>
      </c>
      <c r="C27" s="11"/>
      <c r="D27" s="2"/>
      <c r="E27" s="2"/>
      <c r="F27" s="19">
        <f t="shared" si="7"/>
        <v>0</v>
      </c>
      <c r="G27" s="2"/>
      <c r="H27" s="2">
        <v>128119</v>
      </c>
      <c r="I27" s="2"/>
      <c r="J27" s="19">
        <f t="shared" si="8"/>
        <v>0.48168659297691557</v>
      </c>
      <c r="K27" s="2"/>
      <c r="L27" s="2">
        <f t="shared" si="9"/>
        <v>-128119</v>
      </c>
      <c r="M27" s="2"/>
      <c r="N27" s="19">
        <f t="shared" si="10"/>
        <v>-1</v>
      </c>
      <c r="O27" s="11"/>
      <c r="P27" s="2"/>
      <c r="Q27" s="2"/>
      <c r="R27" s="19">
        <f t="shared" si="11"/>
        <v>0</v>
      </c>
      <c r="S27" s="2"/>
      <c r="T27" s="2">
        <v>1531465</v>
      </c>
      <c r="U27" s="2"/>
      <c r="V27" s="19">
        <f t="shared" si="12"/>
        <v>0.48175513998711889</v>
      </c>
      <c r="W27" s="2"/>
      <c r="X27" s="2">
        <f t="shared" si="13"/>
        <v>-1531465</v>
      </c>
      <c r="Y27" s="2"/>
      <c r="Z27" s="19">
        <f t="shared" si="14"/>
        <v>-1</v>
      </c>
    </row>
    <row r="28" spans="1:26" s="24" customFormat="1" hidden="1" outlineLevel="1" x14ac:dyDescent="0.25">
      <c r="A28" s="44"/>
      <c r="B28" s="11" t="str">
        <f>CONCATENATE("          ", "5053", " - ", "PURCHASES @ COST-FOOD")</f>
        <v xml:space="preserve">          5053 - PURCHASES @ COST-FOOD</v>
      </c>
      <c r="C28" s="11"/>
      <c r="D28" s="2">
        <v>-1756.38</v>
      </c>
      <c r="E28" s="2"/>
      <c r="F28" s="19">
        <f t="shared" si="7"/>
        <v>-61.931593794076171</v>
      </c>
      <c r="G28" s="2"/>
      <c r="H28" s="2"/>
      <c r="I28" s="2"/>
      <c r="J28" s="19">
        <f t="shared" si="8"/>
        <v>0</v>
      </c>
      <c r="K28" s="2"/>
      <c r="L28" s="2">
        <f t="shared" si="9"/>
        <v>-1756.38</v>
      </c>
      <c r="M28" s="2"/>
      <c r="N28" s="19">
        <f t="shared" si="10"/>
        <v>0</v>
      </c>
      <c r="O28" s="11"/>
      <c r="P28" s="2">
        <v>1158504.04</v>
      </c>
      <c r="Q28" s="2"/>
      <c r="R28" s="19">
        <f t="shared" si="11"/>
        <v>0.48993466468085584</v>
      </c>
      <c r="S28" s="2"/>
      <c r="T28" s="2"/>
      <c r="U28" s="2"/>
      <c r="V28" s="19">
        <f t="shared" si="12"/>
        <v>0</v>
      </c>
      <c r="W28" s="2"/>
      <c r="X28" s="2">
        <f t="shared" si="13"/>
        <v>1158504.04</v>
      </c>
      <c r="Y28" s="2"/>
      <c r="Z28" s="19">
        <f t="shared" si="14"/>
        <v>0</v>
      </c>
    </row>
    <row r="29" spans="1:26" s="24" customFormat="1" hidden="1" outlineLevel="1" x14ac:dyDescent="0.25">
      <c r="A29" s="44"/>
      <c r="B29" s="11" t="str">
        <f>CONCATENATE("          ", "5059", " - ", "PURCHASES @ COST-FOOD")</f>
        <v xml:space="preserve">          5059 - PURCHASES @ COST-FOOD</v>
      </c>
      <c r="C29" s="11"/>
      <c r="D29" s="2"/>
      <c r="E29" s="2"/>
      <c r="F29" s="19">
        <f t="shared" si="7"/>
        <v>0</v>
      </c>
      <c r="G29" s="2"/>
      <c r="H29" s="2"/>
      <c r="I29" s="2"/>
      <c r="J29" s="19">
        <f t="shared" si="8"/>
        <v>0</v>
      </c>
      <c r="K29" s="2"/>
      <c r="L29" s="2">
        <f t="shared" si="9"/>
        <v>0</v>
      </c>
      <c r="M29" s="2"/>
      <c r="N29" s="19">
        <f t="shared" si="10"/>
        <v>0</v>
      </c>
      <c r="O29" s="11"/>
      <c r="P29" s="2">
        <v>73826.8</v>
      </c>
      <c r="Q29" s="2"/>
      <c r="R29" s="19">
        <f t="shared" si="11"/>
        <v>3.1221564408580402E-2</v>
      </c>
      <c r="S29" s="2"/>
      <c r="T29" s="2"/>
      <c r="U29" s="2"/>
      <c r="V29" s="19">
        <f t="shared" si="12"/>
        <v>0</v>
      </c>
      <c r="W29" s="2"/>
      <c r="X29" s="2">
        <f t="shared" si="13"/>
        <v>73826.8</v>
      </c>
      <c r="Y29" s="2"/>
      <c r="Z29" s="19">
        <f t="shared" si="14"/>
        <v>0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x14ac:dyDescent="0.25">
      <c r="A31" s="10"/>
      <c r="B31" s="29" t="s">
        <v>6</v>
      </c>
      <c r="C31" s="29"/>
      <c r="D31" s="20">
        <f>D12-D26</f>
        <v>1784.74</v>
      </c>
      <c r="E31" s="14"/>
      <c r="F31" s="22">
        <f>IF(D$12=0,0,D31/D$12)</f>
        <v>62.931593794076164</v>
      </c>
      <c r="G31" s="14"/>
      <c r="H31" s="20">
        <f>H12-H26</f>
        <v>137861</v>
      </c>
      <c r="I31" s="14"/>
      <c r="J31" s="22">
        <f>IF(H$12=0,0,H31/H$12)</f>
        <v>0.51831340702308448</v>
      </c>
      <c r="K31" s="16"/>
      <c r="L31" s="20">
        <f>+D31-H31</f>
        <v>-136076.26</v>
      </c>
      <c r="M31" s="16"/>
      <c r="N31" s="22">
        <f>IF(H31=0,0,L31/H31)</f>
        <v>-0.98705406169982812</v>
      </c>
      <c r="O31" s="28"/>
      <c r="P31" s="20">
        <f>P12-P26</f>
        <v>1132278.4099999999</v>
      </c>
      <c r="Q31" s="14"/>
      <c r="R31" s="22">
        <f>IF(P$12=0,0,P31/P$12)</f>
        <v>0.47884377091056374</v>
      </c>
      <c r="S31" s="14"/>
      <c r="T31" s="20">
        <f>T12-T26</f>
        <v>1647463.2000000002</v>
      </c>
      <c r="U31" s="14"/>
      <c r="V31" s="22">
        <f>IF(T$12=0,0,T31/T$12)</f>
        <v>0.51824486001288106</v>
      </c>
      <c r="W31" s="16"/>
      <c r="X31" s="20">
        <f>+P31-T31</f>
        <v>-515184.79000000027</v>
      </c>
      <c r="Y31" s="16"/>
      <c r="Z31" s="22">
        <f>IF(T31=0,0,X31/T31)</f>
        <v>-0.31271398960535218</v>
      </c>
    </row>
    <row r="32" spans="1:26" x14ac:dyDescent="0.25">
      <c r="A32" s="9"/>
      <c r="B32" s="10"/>
      <c r="C32" s="9"/>
      <c r="D32" s="1"/>
      <c r="E32" s="1"/>
      <c r="F32" s="5"/>
      <c r="G32" s="1"/>
      <c r="H32" s="1"/>
      <c r="I32" s="1"/>
      <c r="J32" s="5"/>
      <c r="K32" s="1"/>
      <c r="L32" s="1"/>
      <c r="M32" s="1"/>
      <c r="N32" s="5"/>
      <c r="O32" s="36"/>
      <c r="P32" s="1"/>
      <c r="Q32" s="1"/>
      <c r="R32" s="5"/>
      <c r="S32" s="1"/>
      <c r="T32" s="1"/>
      <c r="U32" s="1"/>
      <c r="V32" s="5"/>
      <c r="W32" s="1"/>
      <c r="X32" s="1"/>
      <c r="Y32" s="1"/>
      <c r="Z32" s="5"/>
    </row>
    <row r="33" spans="1:26" s="23" customFormat="1" x14ac:dyDescent="0.25">
      <c r="A33" s="10"/>
      <c r="B33" s="28" t="s">
        <v>9</v>
      </c>
      <c r="C33" s="10"/>
      <c r="D33" s="21">
        <f>SUM(OSRRefD22x_0)</f>
        <v>35469.49</v>
      </c>
      <c r="E33" s="21"/>
      <c r="F33" s="30">
        <f t="shared" ref="F33:F43" si="15">IF(D$12=0,0,D33/D$12)</f>
        <v>1250.6872355430182</v>
      </c>
      <c r="G33" s="21"/>
      <c r="H33" s="21">
        <f>SUM(OSRRefH22x_0)</f>
        <v>111056.66554244769</v>
      </c>
      <c r="I33" s="21"/>
      <c r="J33" s="30">
        <f t="shared" ref="J33:J43" si="16">IF(H$12=0,0,H33/H$12)</f>
        <v>0.41753765524643843</v>
      </c>
      <c r="K33" s="4"/>
      <c r="L33" s="21">
        <f t="shared" ref="L33:L43" si="17">+D33-H33</f>
        <v>-75587.175542447687</v>
      </c>
      <c r="M33" s="4"/>
      <c r="N33" s="30">
        <f t="shared" ref="N33:N43" si="18">IF(H33=0,0,L33/H33)</f>
        <v>-0.68061808963242298</v>
      </c>
      <c r="O33" s="10"/>
      <c r="P33" s="21">
        <f>SUM(OSRRefP22x_0)</f>
        <v>1031678.3099999999</v>
      </c>
      <c r="Q33" s="21"/>
      <c r="R33" s="30">
        <f t="shared" ref="R33:R43" si="19">IF(P$12=0,0,P33/P$12)</f>
        <v>0.43629970152573833</v>
      </c>
      <c r="S33" s="21"/>
      <c r="T33" s="21">
        <f>SUM(OSRRefT22x_0)</f>
        <v>1196252.4922085125</v>
      </c>
      <c r="U33" s="21"/>
      <c r="V33" s="30">
        <f t="shared" ref="V33:V43" si="20">IF(T$12=0,0,T33/T$12)</f>
        <v>0.37630686097550503</v>
      </c>
      <c r="W33" s="4"/>
      <c r="X33" s="21">
        <f t="shared" ref="X33:X43" si="21">+P33-T33</f>
        <v>-164574.18220851256</v>
      </c>
      <c r="Y33" s="4"/>
      <c r="Z33" s="30">
        <f t="shared" ref="Z33:Z43" si="22">IF(T33=0,0,X33/T33)</f>
        <v>-0.13757478732995315</v>
      </c>
    </row>
    <row r="34" spans="1:26" s="27" customFormat="1" outlineLevel="1" collapsed="1" x14ac:dyDescent="0.25">
      <c r="A34" s="25"/>
      <c r="B34" s="12" t="str">
        <f>CONCATENATE("     ","*Benefits                                         ")</f>
        <v xml:space="preserve">     *Benefits                                         </v>
      </c>
      <c r="C34" s="12"/>
      <c r="D34" s="1">
        <f>SUM(OSRRefD22_0x_0)</f>
        <v>8924.130000000001</v>
      </c>
      <c r="E34" s="1"/>
      <c r="F34" s="5">
        <f t="shared" si="15"/>
        <v>314.67313117066294</v>
      </c>
      <c r="G34" s="1"/>
      <c r="H34" s="1">
        <f>SUM(OSRRefH22_0x_0)</f>
        <v>12974.245050139998</v>
      </c>
      <c r="I34" s="1"/>
      <c r="J34" s="5">
        <f t="shared" si="16"/>
        <v>4.8779024927212568E-2</v>
      </c>
      <c r="K34" s="1"/>
      <c r="L34" s="1">
        <f t="shared" si="17"/>
        <v>-4050.115050139997</v>
      </c>
      <c r="M34" s="1"/>
      <c r="N34" s="5">
        <f t="shared" si="18"/>
        <v>-0.31216575873879415</v>
      </c>
      <c r="O34" s="12"/>
      <c r="P34" s="1">
        <f>SUM(OSRRefP22_0x_0)</f>
        <v>137348.59</v>
      </c>
      <c r="Q34" s="1"/>
      <c r="R34" s="5">
        <f t="shared" si="19"/>
        <v>5.8085110679491757E-2</v>
      </c>
      <c r="S34" s="1"/>
      <c r="T34" s="1">
        <f>SUM(OSRRefT22_0x_0)</f>
        <v>144525.71542081999</v>
      </c>
      <c r="U34" s="1"/>
      <c r="V34" s="5">
        <f t="shared" si="20"/>
        <v>4.5463661438097276E-2</v>
      </c>
      <c r="W34" s="1"/>
      <c r="X34" s="1">
        <f t="shared" si="21"/>
        <v>-7177.1254208199971</v>
      </c>
      <c r="Y34" s="1"/>
      <c r="Z34" s="5">
        <f t="shared" si="22"/>
        <v>-4.9659850497346711E-2</v>
      </c>
    </row>
    <row r="35" spans="1:26" s="24" customFormat="1" hidden="1" outlineLevel="2" x14ac:dyDescent="0.25">
      <c r="A35" s="26"/>
      <c r="B35" s="11" t="str">
        <f>CONCATENATE("          ", "6111", " - ", "F.I.C.A.")</f>
        <v xml:space="preserve">          6111 - F.I.C.A.</v>
      </c>
      <c r="C35" s="11"/>
      <c r="D35" s="7">
        <v>994.16</v>
      </c>
      <c r="E35" s="2"/>
      <c r="F35" s="6">
        <f t="shared" si="15"/>
        <v>35.055007052186177</v>
      </c>
      <c r="G35" s="2"/>
      <c r="H35" s="7">
        <v>1502.388769647692</v>
      </c>
      <c r="I35" s="2"/>
      <c r="J35" s="6">
        <f t="shared" si="16"/>
        <v>5.6485027808395065E-3</v>
      </c>
      <c r="K35" s="2"/>
      <c r="L35" s="7">
        <f t="shared" si="17"/>
        <v>-508.22876964769205</v>
      </c>
      <c r="M35" s="2"/>
      <c r="N35" s="6">
        <f t="shared" si="18"/>
        <v>-0.338280463695739</v>
      </c>
      <c r="O35" s="11"/>
      <c r="P35" s="7">
        <v>23050.880000000001</v>
      </c>
      <c r="Q35" s="2"/>
      <c r="R35" s="6">
        <f t="shared" si="19"/>
        <v>9.7482829351191961E-3</v>
      </c>
      <c r="S35" s="2"/>
      <c r="T35" s="7">
        <v>18841.023379712304</v>
      </c>
      <c r="U35" s="2"/>
      <c r="V35" s="6">
        <f t="shared" si="20"/>
        <v>5.9268477280211311E-3</v>
      </c>
      <c r="W35" s="2"/>
      <c r="X35" s="7">
        <f t="shared" si="21"/>
        <v>4209.8566202876973</v>
      </c>
      <c r="Y35" s="2"/>
      <c r="Z35" s="6">
        <f t="shared" si="22"/>
        <v>0.22344097427429552</v>
      </c>
    </row>
    <row r="36" spans="1:26" s="24" customFormat="1" hidden="1" outlineLevel="2" x14ac:dyDescent="0.25">
      <c r="A36" s="26"/>
      <c r="B36" s="11" t="str">
        <f>CONCATENATE("          ", "6112", " - ", "COMPENSATION INSURANCE")</f>
        <v xml:space="preserve">          6112 - COMPENSATION INSURANCE</v>
      </c>
      <c r="C36" s="11"/>
      <c r="D36" s="7">
        <v>370.37</v>
      </c>
      <c r="E36" s="2"/>
      <c r="F36" s="6">
        <f t="shared" si="15"/>
        <v>13.059590973201693</v>
      </c>
      <c r="G36" s="2"/>
      <c r="H36" s="7">
        <v>1246.467835846154</v>
      </c>
      <c r="I36" s="2"/>
      <c r="J36" s="6">
        <f t="shared" si="16"/>
        <v>4.6863216627045417E-3</v>
      </c>
      <c r="K36" s="2"/>
      <c r="L36" s="7">
        <f t="shared" si="17"/>
        <v>-876.097835846154</v>
      </c>
      <c r="M36" s="2"/>
      <c r="N36" s="6">
        <f t="shared" si="18"/>
        <v>-0.70286437455598083</v>
      </c>
      <c r="O36" s="11"/>
      <c r="P36" s="7">
        <v>9269.2900000000009</v>
      </c>
      <c r="Q36" s="2"/>
      <c r="R36" s="6">
        <f t="shared" si="19"/>
        <v>3.9200091939080427E-3</v>
      </c>
      <c r="S36" s="2"/>
      <c r="T36" s="7">
        <v>12813.157503153845</v>
      </c>
      <c r="U36" s="2"/>
      <c r="V36" s="6">
        <f t="shared" si="20"/>
        <v>4.0306533199314931E-3</v>
      </c>
      <c r="W36" s="2"/>
      <c r="X36" s="7">
        <f t="shared" si="21"/>
        <v>-3543.8675031538442</v>
      </c>
      <c r="Y36" s="2"/>
      <c r="Z36" s="6">
        <f t="shared" si="22"/>
        <v>-0.27658034346971483</v>
      </c>
    </row>
    <row r="37" spans="1:26" s="24" customFormat="1" hidden="1" outlineLevel="2" x14ac:dyDescent="0.25">
      <c r="A37" s="26"/>
      <c r="B37" s="11" t="str">
        <f>CONCATENATE("          ", "6113", " - ", "GROUP INSURANCE")</f>
        <v xml:space="preserve">          6113 - GROUP INSURANCE</v>
      </c>
      <c r="C37" s="11"/>
      <c r="D37" s="7">
        <v>4620.57</v>
      </c>
      <c r="E37" s="2"/>
      <c r="F37" s="6">
        <f t="shared" si="15"/>
        <v>162.92559943582509</v>
      </c>
      <c r="G37" s="2"/>
      <c r="H37" s="7">
        <v>5998</v>
      </c>
      <c r="I37" s="2"/>
      <c r="J37" s="6">
        <f t="shared" si="16"/>
        <v>2.2550567711858035E-2</v>
      </c>
      <c r="K37" s="2"/>
      <c r="L37" s="7">
        <f t="shared" si="17"/>
        <v>-1377.4300000000003</v>
      </c>
      <c r="M37" s="2"/>
      <c r="N37" s="6">
        <f t="shared" si="18"/>
        <v>-0.22964821607202407</v>
      </c>
      <c r="O37" s="11"/>
      <c r="P37" s="7">
        <v>59938.279999999992</v>
      </c>
      <c r="Q37" s="2"/>
      <c r="R37" s="6">
        <f t="shared" si="19"/>
        <v>2.5348069665210009E-2</v>
      </c>
      <c r="S37" s="2"/>
      <c r="T37" s="7">
        <v>65978</v>
      </c>
      <c r="U37" s="2"/>
      <c r="V37" s="6">
        <f t="shared" si="20"/>
        <v>2.0754794021456663E-2</v>
      </c>
      <c r="W37" s="2"/>
      <c r="X37" s="7">
        <f t="shared" si="21"/>
        <v>-6039.7200000000084</v>
      </c>
      <c r="Y37" s="2"/>
      <c r="Z37" s="6">
        <f t="shared" si="22"/>
        <v>-9.1541422898542071E-2</v>
      </c>
    </row>
    <row r="38" spans="1:26" s="24" customFormat="1" hidden="1" outlineLevel="2" x14ac:dyDescent="0.25">
      <c r="A38" s="26"/>
      <c r="B38" s="11" t="str">
        <f>CONCATENATE("          ", "6114", " - ", "STATE UNEMPLOYMENT INSURANCE")</f>
        <v xml:space="preserve">          6114 - STATE UNEMPLOYMENT INSURANCE</v>
      </c>
      <c r="C38" s="11"/>
      <c r="D38" s="7">
        <v>50.67</v>
      </c>
      <c r="E38" s="2"/>
      <c r="F38" s="6">
        <f t="shared" si="15"/>
        <v>1.7866713681241186</v>
      </c>
      <c r="G38" s="2"/>
      <c r="H38" s="7">
        <v>170.5692828</v>
      </c>
      <c r="I38" s="2"/>
      <c r="J38" s="6">
        <f t="shared" si="16"/>
        <v>6.4128612226483197E-4</v>
      </c>
      <c r="K38" s="2"/>
      <c r="L38" s="7">
        <f t="shared" si="17"/>
        <v>-119.89928279999999</v>
      </c>
      <c r="M38" s="2"/>
      <c r="N38" s="6">
        <f t="shared" si="18"/>
        <v>-0.70293596145671311</v>
      </c>
      <c r="O38" s="11"/>
      <c r="P38" s="7">
        <v>1401.68</v>
      </c>
      <c r="Q38" s="2"/>
      <c r="R38" s="6">
        <f t="shared" si="19"/>
        <v>5.9277447214587363E-4</v>
      </c>
      <c r="S38" s="2"/>
      <c r="T38" s="7">
        <v>1753.3794478000002</v>
      </c>
      <c r="U38" s="2"/>
      <c r="V38" s="6">
        <f t="shared" si="20"/>
        <v>5.5156308588536222E-4</v>
      </c>
      <c r="W38" s="2"/>
      <c r="X38" s="7">
        <f t="shared" si="21"/>
        <v>-351.69944780000014</v>
      </c>
      <c r="Y38" s="2"/>
      <c r="Z38" s="6">
        <f t="shared" si="22"/>
        <v>-0.20058376311030929</v>
      </c>
    </row>
    <row r="39" spans="1:26" s="24" customFormat="1" hidden="1" outlineLevel="2" x14ac:dyDescent="0.25">
      <c r="A39" s="26"/>
      <c r="B39" s="11" t="str">
        <f>CONCATENATE("          ", "6115", " - ", "P.E.R.S.")</f>
        <v xml:space="preserve">          6115 - P.E.R.S.</v>
      </c>
      <c r="C39" s="11"/>
      <c r="D39" s="7">
        <v>1284.74</v>
      </c>
      <c r="E39" s="2"/>
      <c r="F39" s="6">
        <f t="shared" si="15"/>
        <v>45.301128349788435</v>
      </c>
      <c r="G39" s="2"/>
      <c r="H39" s="7">
        <v>1534.1686464615379</v>
      </c>
      <c r="I39" s="2"/>
      <c r="J39" s="6">
        <f t="shared" si="16"/>
        <v>5.7679849855686062E-3</v>
      </c>
      <c r="K39" s="2"/>
      <c r="L39" s="7">
        <f t="shared" si="17"/>
        <v>-249.42864646153794</v>
      </c>
      <c r="M39" s="2"/>
      <c r="N39" s="6">
        <f t="shared" si="18"/>
        <v>-0.16258228652816573</v>
      </c>
      <c r="O39" s="11"/>
      <c r="P39" s="7">
        <v>16690.21</v>
      </c>
      <c r="Q39" s="2"/>
      <c r="R39" s="6">
        <f t="shared" si="19"/>
        <v>7.0583374398962527E-3</v>
      </c>
      <c r="S39" s="2"/>
      <c r="T39" s="7">
        <v>18182.293435538464</v>
      </c>
      <c r="U39" s="2"/>
      <c r="V39" s="6">
        <f t="shared" si="20"/>
        <v>5.7196301053727677E-3</v>
      </c>
      <c r="W39" s="2"/>
      <c r="X39" s="7">
        <f t="shared" si="21"/>
        <v>-1492.083435538465</v>
      </c>
      <c r="Y39" s="2"/>
      <c r="Z39" s="6">
        <f t="shared" si="22"/>
        <v>-8.2062443928118095E-2</v>
      </c>
    </row>
    <row r="40" spans="1:26" s="24" customFormat="1" hidden="1" outlineLevel="2" x14ac:dyDescent="0.25">
      <c r="A40" s="26"/>
      <c r="B40" s="11" t="str">
        <f>CONCATENATE("          ", "6116", " - ", "EDUCATIONAL BENEFITS")</f>
        <v xml:space="preserve">          6116 - EDUCATIONAL BENEFITS</v>
      </c>
      <c r="C40" s="11"/>
      <c r="D40" s="7"/>
      <c r="E40" s="2"/>
      <c r="F40" s="6">
        <f t="shared" si="15"/>
        <v>0</v>
      </c>
      <c r="G40" s="2"/>
      <c r="H40" s="7">
        <v>0</v>
      </c>
      <c r="I40" s="2"/>
      <c r="J40" s="6">
        <f t="shared" si="16"/>
        <v>0</v>
      </c>
      <c r="K40" s="2"/>
      <c r="L40" s="7">
        <f t="shared" si="17"/>
        <v>0</v>
      </c>
      <c r="M40" s="2"/>
      <c r="N40" s="6">
        <f t="shared" si="18"/>
        <v>0</v>
      </c>
      <c r="O40" s="11"/>
      <c r="P40" s="7"/>
      <c r="Q40" s="2"/>
      <c r="R40" s="6">
        <f t="shared" si="19"/>
        <v>0</v>
      </c>
      <c r="S40" s="2"/>
      <c r="T40" s="7">
        <v>0</v>
      </c>
      <c r="U40" s="2"/>
      <c r="V40" s="6">
        <f t="shared" si="20"/>
        <v>0</v>
      </c>
      <c r="W40" s="2"/>
      <c r="X40" s="7">
        <f t="shared" si="21"/>
        <v>0</v>
      </c>
      <c r="Y40" s="2"/>
      <c r="Z40" s="6">
        <f t="shared" si="22"/>
        <v>0</v>
      </c>
    </row>
    <row r="41" spans="1:26" s="24" customFormat="1" hidden="1" outlineLevel="2" x14ac:dyDescent="0.25">
      <c r="A41" s="26"/>
      <c r="B41" s="11" t="str">
        <f>CONCATENATE("          ", "6118", " - ", "VACATION")</f>
        <v xml:space="preserve">          6118 - VACATION</v>
      </c>
      <c r="C41" s="11"/>
      <c r="D41" s="7">
        <v>950.98</v>
      </c>
      <c r="E41" s="2"/>
      <c r="F41" s="6">
        <f t="shared" si="15"/>
        <v>33.532440056417492</v>
      </c>
      <c r="G41" s="2"/>
      <c r="H41" s="7">
        <v>647.28014769230754</v>
      </c>
      <c r="I41" s="2"/>
      <c r="J41" s="6">
        <f t="shared" si="16"/>
        <v>2.4335669888424223E-3</v>
      </c>
      <c r="K41" s="2"/>
      <c r="L41" s="7">
        <f t="shared" si="17"/>
        <v>303.69985230769248</v>
      </c>
      <c r="M41" s="2"/>
      <c r="N41" s="6">
        <f t="shared" si="18"/>
        <v>0.46919383112620949</v>
      </c>
      <c r="O41" s="11"/>
      <c r="P41" s="7">
        <v>13027.97</v>
      </c>
      <c r="Q41" s="2"/>
      <c r="R41" s="6">
        <f t="shared" si="19"/>
        <v>5.5095656925134668E-3</v>
      </c>
      <c r="S41" s="2"/>
      <c r="T41" s="7">
        <v>7656.8047123076922</v>
      </c>
      <c r="U41" s="2"/>
      <c r="V41" s="6">
        <f t="shared" si="20"/>
        <v>2.4086120322905349E-3</v>
      </c>
      <c r="W41" s="2"/>
      <c r="X41" s="7">
        <f t="shared" si="21"/>
        <v>5371.1652876923072</v>
      </c>
      <c r="Y41" s="2"/>
      <c r="Z41" s="6">
        <f t="shared" si="22"/>
        <v>0.70148913149875625</v>
      </c>
    </row>
    <row r="42" spans="1:26" s="24" customFormat="1" hidden="1" outlineLevel="2" x14ac:dyDescent="0.25">
      <c r="A42" s="26"/>
      <c r="B42" s="11" t="str">
        <f>CONCATENATE("          ", "6119", " - ", "SICK LEAVE")</f>
        <v xml:space="preserve">          6119 - SICK LEAVE</v>
      </c>
      <c r="C42" s="11"/>
      <c r="D42" s="7">
        <v>640.52</v>
      </c>
      <c r="E42" s="2"/>
      <c r="F42" s="6">
        <f t="shared" si="15"/>
        <v>22.585331452750353</v>
      </c>
      <c r="G42" s="2"/>
      <c r="H42" s="7">
        <v>1875.370367692308</v>
      </c>
      <c r="I42" s="2"/>
      <c r="J42" s="6">
        <f t="shared" si="16"/>
        <v>7.050794675134627E-3</v>
      </c>
      <c r="K42" s="2"/>
      <c r="L42" s="7">
        <f t="shared" si="17"/>
        <v>-1234.8503676923081</v>
      </c>
      <c r="M42" s="2"/>
      <c r="N42" s="6">
        <f t="shared" si="18"/>
        <v>-0.65845679816932567</v>
      </c>
      <c r="O42" s="11"/>
      <c r="P42" s="7">
        <v>8872.94</v>
      </c>
      <c r="Q42" s="2"/>
      <c r="R42" s="6">
        <f t="shared" si="19"/>
        <v>3.7523916477955081E-3</v>
      </c>
      <c r="S42" s="2"/>
      <c r="T42" s="7">
        <v>19176.056942307696</v>
      </c>
      <c r="U42" s="2"/>
      <c r="V42" s="6">
        <f t="shared" si="20"/>
        <v>6.0322397159859398E-3</v>
      </c>
      <c r="W42" s="2"/>
      <c r="X42" s="7">
        <f t="shared" si="21"/>
        <v>-10303.116942307695</v>
      </c>
      <c r="Y42" s="2"/>
      <c r="Z42" s="6">
        <f t="shared" si="22"/>
        <v>-0.53729069397870655</v>
      </c>
    </row>
    <row r="43" spans="1:26" s="24" customFormat="1" hidden="1" outlineLevel="2" x14ac:dyDescent="0.25">
      <c r="A43" s="26"/>
      <c r="B43" s="11" t="str">
        <f>CONCATENATE("          ", "6156", " - ", "EMPLOYEE MEALS")</f>
        <v xml:space="preserve">          6156 - EMPLOYEE MEALS</v>
      </c>
      <c r="C43" s="11"/>
      <c r="D43" s="7">
        <v>12.12</v>
      </c>
      <c r="E43" s="2"/>
      <c r="F43" s="6">
        <f t="shared" si="15"/>
        <v>0.42736248236953456</v>
      </c>
      <c r="G43" s="2"/>
      <c r="H43" s="7"/>
      <c r="I43" s="2"/>
      <c r="J43" s="6">
        <f t="shared" si="16"/>
        <v>0</v>
      </c>
      <c r="K43" s="2"/>
      <c r="L43" s="7">
        <f t="shared" si="17"/>
        <v>12.12</v>
      </c>
      <c r="M43" s="2"/>
      <c r="N43" s="6">
        <f t="shared" si="18"/>
        <v>0</v>
      </c>
      <c r="O43" s="11"/>
      <c r="P43" s="7">
        <v>5097.34</v>
      </c>
      <c r="Q43" s="2"/>
      <c r="R43" s="6">
        <f t="shared" si="19"/>
        <v>2.155679632903407E-3</v>
      </c>
      <c r="S43" s="2"/>
      <c r="T43" s="7">
        <v>125</v>
      </c>
      <c r="U43" s="2"/>
      <c r="V43" s="6">
        <f t="shared" si="20"/>
        <v>3.9321429153385719E-5</v>
      </c>
      <c r="W43" s="2"/>
      <c r="X43" s="7">
        <f t="shared" si="21"/>
        <v>4972.34</v>
      </c>
      <c r="Y43" s="2"/>
      <c r="Z43" s="6">
        <f t="shared" si="22"/>
        <v>39.77872</v>
      </c>
    </row>
    <row r="44" spans="1:26" s="27" customFormat="1" outlineLevel="1" collapsed="1" x14ac:dyDescent="0.25">
      <c r="A44" s="25"/>
      <c r="B44" s="12" t="str">
        <f>CONCATENATE("     ","*Payroll                                          ")</f>
        <v xml:space="preserve">     *Payroll                                          </v>
      </c>
      <c r="C44" s="12"/>
      <c r="D44" s="1">
        <f>SUM(OSRRefD22_1x_0)</f>
        <v>8818.33</v>
      </c>
      <c r="E44" s="1"/>
      <c r="F44" s="5">
        <f t="shared" ref="F44:F54" si="23">IF(D$12=0,0,D44/D$12)</f>
        <v>310.94252468265165</v>
      </c>
      <c r="G44" s="1"/>
      <c r="H44" s="1">
        <f>SUM(OSRRefH22_1x_0)</f>
        <v>64293.42049230769</v>
      </c>
      <c r="I44" s="1"/>
      <c r="J44" s="5">
        <f t="shared" ref="J44:J54" si="24">IF(H$12=0,0,H44/H$12)</f>
        <v>0.24172276296077785</v>
      </c>
      <c r="K44" s="1"/>
      <c r="L44" s="1">
        <f t="shared" ref="L44:L54" si="25">+D44-H44</f>
        <v>-55475.090492307689</v>
      </c>
      <c r="M44" s="1"/>
      <c r="N44" s="5">
        <f t="shared" ref="N44:N54" si="26">IF(H44=0,0,L44/H44)</f>
        <v>-0.86284241945013551</v>
      </c>
      <c r="O44" s="12"/>
      <c r="P44" s="1">
        <f>SUM(OSRRefP22_1x_0)</f>
        <v>507809.64</v>
      </c>
      <c r="Q44" s="1"/>
      <c r="R44" s="5">
        <f t="shared" ref="R44:R54" si="27">IF(P$12=0,0,P44/P$12)</f>
        <v>0.21475414595455888</v>
      </c>
      <c r="S44" s="1"/>
      <c r="T44" s="1">
        <f>SUM(OSRRefT22_1x_0)</f>
        <v>658953.77678769245</v>
      </c>
      <c r="U44" s="1"/>
      <c r="V44" s="5">
        <f t="shared" ref="V44:V54" si="28">IF(T$12=0,0,T44/T$12)</f>
        <v>0.20728803399450557</v>
      </c>
      <c r="W44" s="1"/>
      <c r="X44" s="1">
        <f t="shared" ref="X44:X54" si="29">+P44-T44</f>
        <v>-151144.13678769243</v>
      </c>
      <c r="Y44" s="1"/>
      <c r="Z44" s="5">
        <f t="shared" ref="Z44:Z54" si="30">IF(T44=0,0,X44/T44)</f>
        <v>-0.22936986191125419</v>
      </c>
    </row>
    <row r="45" spans="1:26" s="24" customFormat="1" hidden="1" outlineLevel="2" x14ac:dyDescent="0.25">
      <c r="A45" s="26"/>
      <c r="B45" s="11" t="str">
        <f>CONCATENATE("          ", "6001", " - ", "ADMINISTRATIVE SALARIES")</f>
        <v xml:space="preserve">          6001 - ADMINISTRATIVE SALARIES</v>
      </c>
      <c r="C45" s="11"/>
      <c r="D45" s="7"/>
      <c r="E45" s="2"/>
      <c r="F45" s="6">
        <f t="shared" si="23"/>
        <v>0</v>
      </c>
      <c r="G45" s="2"/>
      <c r="H45" s="7">
        <v>13189.7717923077</v>
      </c>
      <c r="I45" s="2"/>
      <c r="J45" s="6">
        <f t="shared" si="24"/>
        <v>4.9589336763319419E-2</v>
      </c>
      <c r="K45" s="2"/>
      <c r="L45" s="7">
        <f t="shared" si="25"/>
        <v>-13189.7717923077</v>
      </c>
      <c r="M45" s="2"/>
      <c r="N45" s="6">
        <f t="shared" si="26"/>
        <v>-1</v>
      </c>
      <c r="O45" s="11"/>
      <c r="P45" s="7"/>
      <c r="Q45" s="2"/>
      <c r="R45" s="6">
        <f t="shared" si="27"/>
        <v>0</v>
      </c>
      <c r="S45" s="2"/>
      <c r="T45" s="7">
        <v>155761.6358576924</v>
      </c>
      <c r="U45" s="2"/>
      <c r="V45" s="6">
        <f t="shared" si="28"/>
        <v>4.8998161033549731E-2</v>
      </c>
      <c r="W45" s="2"/>
      <c r="X45" s="7">
        <f t="shared" si="29"/>
        <v>-155761.6358576924</v>
      </c>
      <c r="Y45" s="2"/>
      <c r="Z45" s="6">
        <f t="shared" si="30"/>
        <v>-1</v>
      </c>
    </row>
    <row r="46" spans="1:26" s="24" customFormat="1" hidden="1" outlineLevel="2" x14ac:dyDescent="0.25">
      <c r="A46" s="26"/>
      <c r="B46" s="11" t="str">
        <f>CONCATENATE("          ", "6002", " - ", "STAFF SALARIES")</f>
        <v xml:space="preserve">          6002 - STAFF SALARIES</v>
      </c>
      <c r="C46" s="11"/>
      <c r="D46" s="7">
        <v>8818.33</v>
      </c>
      <c r="E46" s="2"/>
      <c r="F46" s="6">
        <f t="shared" si="23"/>
        <v>310.94252468265165</v>
      </c>
      <c r="G46" s="2"/>
      <c r="H46" s="7">
        <v>3559.68</v>
      </c>
      <c r="I46" s="2"/>
      <c r="J46" s="6">
        <f t="shared" si="24"/>
        <v>1.338326189939093E-2</v>
      </c>
      <c r="K46" s="2"/>
      <c r="L46" s="7">
        <f t="shared" si="25"/>
        <v>5258.65</v>
      </c>
      <c r="M46" s="2"/>
      <c r="N46" s="6">
        <f t="shared" si="26"/>
        <v>1.4772816657677095</v>
      </c>
      <c r="O46" s="11"/>
      <c r="P46" s="7">
        <v>161213.56</v>
      </c>
      <c r="Q46" s="2"/>
      <c r="R46" s="6">
        <f t="shared" si="27"/>
        <v>6.8177674598879287E-2</v>
      </c>
      <c r="S46" s="2"/>
      <c r="T46" s="7">
        <v>42716.160000000003</v>
      </c>
      <c r="U46" s="2"/>
      <c r="V46" s="6">
        <f t="shared" si="28"/>
        <v>1.3437283673157514E-2</v>
      </c>
      <c r="W46" s="2"/>
      <c r="X46" s="7">
        <f t="shared" si="29"/>
        <v>118497.4</v>
      </c>
      <c r="Y46" s="2"/>
      <c r="Z46" s="6">
        <f t="shared" si="30"/>
        <v>2.7740648972192252</v>
      </c>
    </row>
    <row r="47" spans="1:26" s="24" customFormat="1" hidden="1" outlineLevel="2" x14ac:dyDescent="0.25">
      <c r="A47" s="26"/>
      <c r="B47" s="11" t="str">
        <f>CONCATENATE("          ", "6003", " - ", "STAFF HOURLY-9 MONTH")</f>
        <v xml:space="preserve">          6003 - STAFF HOURLY-9 MONTH</v>
      </c>
      <c r="C47" s="11"/>
      <c r="D47" s="7"/>
      <c r="E47" s="2"/>
      <c r="F47" s="6">
        <f t="shared" si="23"/>
        <v>0</v>
      </c>
      <c r="G47" s="2"/>
      <c r="H47" s="7">
        <v>0</v>
      </c>
      <c r="I47" s="2"/>
      <c r="J47" s="6">
        <f t="shared" si="24"/>
        <v>0</v>
      </c>
      <c r="K47" s="2"/>
      <c r="L47" s="7">
        <f t="shared" si="25"/>
        <v>0</v>
      </c>
      <c r="M47" s="2"/>
      <c r="N47" s="6">
        <f t="shared" si="26"/>
        <v>0</v>
      </c>
      <c r="O47" s="11"/>
      <c r="P47" s="7"/>
      <c r="Q47" s="2"/>
      <c r="R47" s="6">
        <f t="shared" si="27"/>
        <v>0</v>
      </c>
      <c r="S47" s="2"/>
      <c r="T47" s="7">
        <v>0</v>
      </c>
      <c r="U47" s="2"/>
      <c r="V47" s="6">
        <f t="shared" si="28"/>
        <v>0</v>
      </c>
      <c r="W47" s="2"/>
      <c r="X47" s="7">
        <f t="shared" si="29"/>
        <v>0</v>
      </c>
      <c r="Y47" s="2"/>
      <c r="Z47" s="6">
        <f t="shared" si="30"/>
        <v>0</v>
      </c>
    </row>
    <row r="48" spans="1:26" s="24" customFormat="1" hidden="1" outlineLevel="2" x14ac:dyDescent="0.25">
      <c r="A48" s="26"/>
      <c r="B48" s="11" t="str">
        <f>CONCATENATE("          ", "6004", " - ", "STAFF HOURLY")</f>
        <v xml:space="preserve">          6004 - STAFF HOURLY</v>
      </c>
      <c r="C48" s="11"/>
      <c r="D48" s="7"/>
      <c r="E48" s="2"/>
      <c r="F48" s="6">
        <f t="shared" si="23"/>
        <v>0</v>
      </c>
      <c r="G48" s="2"/>
      <c r="H48" s="7">
        <v>1792.2</v>
      </c>
      <c r="I48" s="2"/>
      <c r="J48" s="6">
        <f t="shared" si="24"/>
        <v>6.7381006090683508E-3</v>
      </c>
      <c r="K48" s="2"/>
      <c r="L48" s="7">
        <f t="shared" si="25"/>
        <v>-1792.2</v>
      </c>
      <c r="M48" s="2"/>
      <c r="N48" s="6">
        <f t="shared" si="26"/>
        <v>-1</v>
      </c>
      <c r="O48" s="11"/>
      <c r="P48" s="7">
        <v>-3363.69</v>
      </c>
      <c r="Q48" s="2"/>
      <c r="R48" s="6">
        <f t="shared" si="27"/>
        <v>-1.4225141003740894E-3</v>
      </c>
      <c r="S48" s="2"/>
      <c r="T48" s="7">
        <v>20254.95</v>
      </c>
      <c r="U48" s="2"/>
      <c r="V48" s="6">
        <f t="shared" si="28"/>
        <v>6.371628651442961E-3</v>
      </c>
      <c r="W48" s="2"/>
      <c r="X48" s="7">
        <f t="shared" si="29"/>
        <v>-23618.639999999999</v>
      </c>
      <c r="Y48" s="2"/>
      <c r="Z48" s="6">
        <f t="shared" si="30"/>
        <v>-1.1660675538572052</v>
      </c>
    </row>
    <row r="49" spans="1:26" s="24" customFormat="1" hidden="1" outlineLevel="2" x14ac:dyDescent="0.25">
      <c r="A49" s="26"/>
      <c r="B49" s="11" t="str">
        <f>CONCATENATE("          ", "6005", " - ", "TEMPORARY WAGES-HOURLY")</f>
        <v xml:space="preserve">          6005 - TEMPORARY WAGES-HOURLY</v>
      </c>
      <c r="C49" s="11"/>
      <c r="D49" s="7"/>
      <c r="E49" s="2"/>
      <c r="F49" s="6">
        <f t="shared" si="23"/>
        <v>0</v>
      </c>
      <c r="G49" s="2"/>
      <c r="H49" s="7">
        <v>1638.2911999999999</v>
      </c>
      <c r="I49" s="2"/>
      <c r="J49" s="6">
        <f t="shared" si="24"/>
        <v>6.1594525904203317E-3</v>
      </c>
      <c r="K49" s="2"/>
      <c r="L49" s="7">
        <f t="shared" si="25"/>
        <v>-1638.2911999999999</v>
      </c>
      <c r="M49" s="2"/>
      <c r="N49" s="6">
        <f t="shared" si="26"/>
        <v>-1</v>
      </c>
      <c r="O49" s="11"/>
      <c r="P49" s="7">
        <v>67287.22</v>
      </c>
      <c r="Q49" s="2"/>
      <c r="R49" s="6">
        <f t="shared" si="27"/>
        <v>2.8455957363780083E-2</v>
      </c>
      <c r="S49" s="2"/>
      <c r="T49" s="7">
        <v>15224.809600000001</v>
      </c>
      <c r="U49" s="2"/>
      <c r="V49" s="6">
        <f t="shared" si="28"/>
        <v>4.7892901764814942E-3</v>
      </c>
      <c r="W49" s="2"/>
      <c r="X49" s="7">
        <f t="shared" si="29"/>
        <v>52062.410400000001</v>
      </c>
      <c r="Y49" s="2"/>
      <c r="Z49" s="6">
        <f t="shared" si="30"/>
        <v>3.4195771091941931</v>
      </c>
    </row>
    <row r="50" spans="1:26" s="24" customFormat="1" hidden="1" outlineLevel="2" x14ac:dyDescent="0.25">
      <c r="A50" s="26"/>
      <c r="B50" s="11" t="str">
        <f>CONCATENATE("          ", "6006", " - ", "TEMPORARY PART TIME")</f>
        <v xml:space="preserve">          6006 - TEMPORARY PART TIME</v>
      </c>
      <c r="C50" s="11"/>
      <c r="D50" s="7"/>
      <c r="E50" s="2"/>
      <c r="F50" s="6">
        <f t="shared" si="23"/>
        <v>0</v>
      </c>
      <c r="G50" s="2"/>
      <c r="H50" s="7">
        <v>0</v>
      </c>
      <c r="I50" s="2"/>
      <c r="J50" s="6">
        <f t="shared" si="24"/>
        <v>0</v>
      </c>
      <c r="K50" s="2"/>
      <c r="L50" s="7">
        <f t="shared" si="25"/>
        <v>0</v>
      </c>
      <c r="M50" s="2"/>
      <c r="N50" s="6">
        <f t="shared" si="26"/>
        <v>0</v>
      </c>
      <c r="O50" s="11"/>
      <c r="P50" s="7">
        <v>21785.59</v>
      </c>
      <c r="Q50" s="2"/>
      <c r="R50" s="6">
        <f t="shared" si="27"/>
        <v>9.2131881832061679E-3</v>
      </c>
      <c r="S50" s="2"/>
      <c r="T50" s="7">
        <v>0</v>
      </c>
      <c r="U50" s="2"/>
      <c r="V50" s="6">
        <f t="shared" si="28"/>
        <v>0</v>
      </c>
      <c r="W50" s="2"/>
      <c r="X50" s="7">
        <f t="shared" si="29"/>
        <v>21785.59</v>
      </c>
      <c r="Y50" s="2"/>
      <c r="Z50" s="6">
        <f t="shared" si="30"/>
        <v>0</v>
      </c>
    </row>
    <row r="51" spans="1:26" s="24" customFormat="1" hidden="1" outlineLevel="2" x14ac:dyDescent="0.25">
      <c r="A51" s="26"/>
      <c r="B51" s="11" t="str">
        <f>CONCATENATE("          ", "6007", " - ", "STUDENT HOURLY")</f>
        <v xml:space="preserve">          6007 - STUDENT HOURLY</v>
      </c>
      <c r="C51" s="11"/>
      <c r="D51" s="7"/>
      <c r="E51" s="2"/>
      <c r="F51" s="6">
        <f t="shared" si="23"/>
        <v>0</v>
      </c>
      <c r="G51" s="2"/>
      <c r="H51" s="7">
        <v>0</v>
      </c>
      <c r="I51" s="2"/>
      <c r="J51" s="6">
        <f t="shared" si="24"/>
        <v>0</v>
      </c>
      <c r="K51" s="2"/>
      <c r="L51" s="7">
        <f t="shared" si="25"/>
        <v>0</v>
      </c>
      <c r="M51" s="2"/>
      <c r="N51" s="6">
        <f t="shared" si="26"/>
        <v>0</v>
      </c>
      <c r="O51" s="11"/>
      <c r="P51" s="7">
        <v>250050.06999999998</v>
      </c>
      <c r="Q51" s="2"/>
      <c r="R51" s="6">
        <f t="shared" si="27"/>
        <v>0.10574688820150728</v>
      </c>
      <c r="S51" s="2"/>
      <c r="T51" s="7">
        <v>14410.143749999999</v>
      </c>
      <c r="U51" s="2"/>
      <c r="V51" s="6">
        <f t="shared" si="28"/>
        <v>4.5330195724458322E-3</v>
      </c>
      <c r="W51" s="2"/>
      <c r="X51" s="7">
        <f t="shared" si="29"/>
        <v>235639.92624999999</v>
      </c>
      <c r="Y51" s="2"/>
      <c r="Z51" s="6">
        <f t="shared" si="30"/>
        <v>16.352364718776659</v>
      </c>
    </row>
    <row r="52" spans="1:26" s="24" customFormat="1" hidden="1" outlineLevel="2" x14ac:dyDescent="0.25">
      <c r="A52" s="26"/>
      <c r="B52" s="11" t="str">
        <f>CONCATENATE("          ", "6008", " - ", "STUDENT HOURLY-FICA EXEMPT")</f>
        <v xml:space="preserve">          6008 - STUDENT HOURLY-FICA EXEMPT</v>
      </c>
      <c r="C52" s="11"/>
      <c r="D52" s="7"/>
      <c r="E52" s="2"/>
      <c r="F52" s="6">
        <f t="shared" si="23"/>
        <v>0</v>
      </c>
      <c r="G52" s="2"/>
      <c r="H52" s="7">
        <v>44113.477499999994</v>
      </c>
      <c r="I52" s="2"/>
      <c r="J52" s="6">
        <f t="shared" si="24"/>
        <v>0.16585261109857882</v>
      </c>
      <c r="K52" s="2"/>
      <c r="L52" s="7">
        <f t="shared" si="25"/>
        <v>-44113.477499999994</v>
      </c>
      <c r="M52" s="2"/>
      <c r="N52" s="6">
        <f t="shared" si="26"/>
        <v>-1</v>
      </c>
      <c r="O52" s="11"/>
      <c r="P52" s="7">
        <v>10836.89</v>
      </c>
      <c r="Q52" s="2"/>
      <c r="R52" s="6">
        <f t="shared" si="27"/>
        <v>4.582951707560139E-3</v>
      </c>
      <c r="S52" s="2"/>
      <c r="T52" s="7">
        <v>410586.07758000004</v>
      </c>
      <c r="U52" s="2"/>
      <c r="V52" s="6">
        <f t="shared" si="28"/>
        <v>0.12915865088742803</v>
      </c>
      <c r="W52" s="2"/>
      <c r="X52" s="7">
        <f t="shared" si="29"/>
        <v>-399749.18758000003</v>
      </c>
      <c r="Y52" s="2"/>
      <c r="Z52" s="6">
        <f t="shared" si="30"/>
        <v>-0.97360628966312546</v>
      </c>
    </row>
    <row r="53" spans="1:26" s="24" customFormat="1" hidden="1" outlineLevel="2" x14ac:dyDescent="0.25">
      <c r="A53" s="26"/>
      <c r="B53" s="11" t="str">
        <f>CONCATENATE("          ", "6009", " - ", "TEMPORARY-SEASONAL")</f>
        <v xml:space="preserve">          6009 - TEMPORARY-SEASONAL</v>
      </c>
      <c r="C53" s="11"/>
      <c r="D53" s="7"/>
      <c r="E53" s="2"/>
      <c r="F53" s="6">
        <f t="shared" si="23"/>
        <v>0</v>
      </c>
      <c r="G53" s="2"/>
      <c r="H53" s="7">
        <v>0</v>
      </c>
      <c r="I53" s="2"/>
      <c r="J53" s="6">
        <f t="shared" si="24"/>
        <v>0</v>
      </c>
      <c r="K53" s="2"/>
      <c r="L53" s="7">
        <f t="shared" si="25"/>
        <v>0</v>
      </c>
      <c r="M53" s="2"/>
      <c r="N53" s="6">
        <f t="shared" si="26"/>
        <v>0</v>
      </c>
      <c r="O53" s="11"/>
      <c r="P53" s="7"/>
      <c r="Q53" s="2"/>
      <c r="R53" s="6">
        <f t="shared" si="27"/>
        <v>0</v>
      </c>
      <c r="S53" s="2"/>
      <c r="T53" s="7">
        <v>0</v>
      </c>
      <c r="U53" s="2"/>
      <c r="V53" s="6">
        <f t="shared" si="28"/>
        <v>0</v>
      </c>
      <c r="W53" s="2"/>
      <c r="X53" s="7">
        <f t="shared" si="29"/>
        <v>0</v>
      </c>
      <c r="Y53" s="2"/>
      <c r="Z53" s="6">
        <f t="shared" si="30"/>
        <v>0</v>
      </c>
    </row>
    <row r="54" spans="1:26" s="24" customFormat="1" hidden="1" outlineLevel="2" x14ac:dyDescent="0.25">
      <c r="A54" s="26"/>
      <c r="B54" s="11" t="str">
        <f>CONCATENATE("          ", "6010", " - ", "GRATUITY")</f>
        <v xml:space="preserve">          6010 - GRATUITY</v>
      </c>
      <c r="C54" s="11"/>
      <c r="D54" s="7"/>
      <c r="E54" s="2"/>
      <c r="F54" s="6">
        <f t="shared" si="23"/>
        <v>0</v>
      </c>
      <c r="G54" s="2"/>
      <c r="H54" s="7">
        <v>0</v>
      </c>
      <c r="I54" s="2"/>
      <c r="J54" s="6">
        <f t="shared" si="24"/>
        <v>0</v>
      </c>
      <c r="K54" s="2"/>
      <c r="L54" s="7">
        <f t="shared" si="25"/>
        <v>0</v>
      </c>
      <c r="M54" s="2"/>
      <c r="N54" s="6">
        <f t="shared" si="26"/>
        <v>0</v>
      </c>
      <c r="O54" s="11"/>
      <c r="P54" s="7"/>
      <c r="Q54" s="2"/>
      <c r="R54" s="6">
        <f t="shared" si="27"/>
        <v>0</v>
      </c>
      <c r="S54" s="2"/>
      <c r="T54" s="7">
        <v>0</v>
      </c>
      <c r="U54" s="2"/>
      <c r="V54" s="6">
        <f t="shared" si="28"/>
        <v>0</v>
      </c>
      <c r="W54" s="2"/>
      <c r="X54" s="7">
        <f t="shared" si="29"/>
        <v>0</v>
      </c>
      <c r="Y54" s="2"/>
      <c r="Z54" s="6">
        <f t="shared" si="30"/>
        <v>0</v>
      </c>
    </row>
    <row r="55" spans="1:26" s="27" customFormat="1" outlineLevel="1" collapsed="1" x14ac:dyDescent="0.25">
      <c r="A55" s="25"/>
      <c r="B55" s="12" t="str">
        <f>CONCATENATE("     ","Advertising/Promo                                 ")</f>
        <v xml:space="preserve">     Advertising/Promo                                 </v>
      </c>
      <c r="C55" s="12"/>
      <c r="D55" s="1">
        <f>SUM(OSRRefD22_2x_0)</f>
        <v>0</v>
      </c>
      <c r="E55" s="1"/>
      <c r="F55" s="5">
        <f t="shared" ref="F55:F64" si="31">IF(D$12=0,0,D55/D$12)</f>
        <v>0</v>
      </c>
      <c r="G55" s="1"/>
      <c r="H55" s="1">
        <f>SUM(OSRRefH22_2x_0)</f>
        <v>150</v>
      </c>
      <c r="I55" s="1"/>
      <c r="J55" s="5">
        <f t="shared" ref="J55:J64" si="32">IF(H$12=0,0,H55/H$12)</f>
        <v>5.6395217685540266E-4</v>
      </c>
      <c r="K55" s="1"/>
      <c r="L55" s="1">
        <f t="shared" ref="L55:L64" si="33">+D55-H55</f>
        <v>-150</v>
      </c>
      <c r="M55" s="1"/>
      <c r="N55" s="5">
        <f t="shared" ref="N55:N64" si="34">IF(H55=0,0,L55/H55)</f>
        <v>-1</v>
      </c>
      <c r="O55" s="12"/>
      <c r="P55" s="1">
        <f>SUM(OSRRefP22_2x_0)</f>
        <v>3607.19</v>
      </c>
      <c r="Q55" s="1"/>
      <c r="R55" s="5">
        <f t="shared" ref="R55:R64" si="35">IF(P$12=0,0,P55/P$12)</f>
        <v>1.5254909452798596E-3</v>
      </c>
      <c r="S55" s="1"/>
      <c r="T55" s="1">
        <f>SUM(OSRRefT22_2x_0)</f>
        <v>1275</v>
      </c>
      <c r="U55" s="1"/>
      <c r="V55" s="5">
        <f t="shared" ref="V55:V64" si="36">IF(T$12=0,0,T55/T$12)</f>
        <v>4.0107857736453435E-4</v>
      </c>
      <c r="W55" s="1"/>
      <c r="X55" s="1">
        <f t="shared" ref="X55:X64" si="37">+P55-T55</f>
        <v>2332.19</v>
      </c>
      <c r="Y55" s="1"/>
      <c r="Z55" s="5">
        <f t="shared" ref="Z55:Z64" si="38">IF(T55=0,0,X55/T55)</f>
        <v>1.8291686274509804</v>
      </c>
    </row>
    <row r="56" spans="1:26" s="24" customFormat="1" hidden="1" outlineLevel="2" x14ac:dyDescent="0.25">
      <c r="A56" s="26"/>
      <c r="B56" s="11" t="str">
        <f>CONCATENATE("          ", "6362", " - ", "ADVERTISING EXPENSE")</f>
        <v xml:space="preserve">          6362 - ADVERTISING EXPENSE</v>
      </c>
      <c r="C56" s="11"/>
      <c r="D56" s="7"/>
      <c r="E56" s="2"/>
      <c r="F56" s="6">
        <f t="shared" si="31"/>
        <v>0</v>
      </c>
      <c r="G56" s="2"/>
      <c r="H56" s="7">
        <v>150</v>
      </c>
      <c r="I56" s="2"/>
      <c r="J56" s="6">
        <f t="shared" si="32"/>
        <v>5.6395217685540266E-4</v>
      </c>
      <c r="K56" s="2"/>
      <c r="L56" s="7">
        <f t="shared" si="33"/>
        <v>-150</v>
      </c>
      <c r="M56" s="2"/>
      <c r="N56" s="6">
        <f t="shared" si="34"/>
        <v>-1</v>
      </c>
      <c r="O56" s="11"/>
      <c r="P56" s="7">
        <v>3607.19</v>
      </c>
      <c r="Q56" s="2"/>
      <c r="R56" s="6">
        <f t="shared" si="35"/>
        <v>1.5254909452798596E-3</v>
      </c>
      <c r="S56" s="2"/>
      <c r="T56" s="7">
        <v>1275</v>
      </c>
      <c r="U56" s="2"/>
      <c r="V56" s="6">
        <f t="shared" si="36"/>
        <v>4.0107857736453435E-4</v>
      </c>
      <c r="W56" s="2"/>
      <c r="X56" s="7">
        <f t="shared" si="37"/>
        <v>2332.19</v>
      </c>
      <c r="Y56" s="2"/>
      <c r="Z56" s="6">
        <f t="shared" si="38"/>
        <v>1.8291686274509804</v>
      </c>
    </row>
    <row r="57" spans="1:26" s="27" customFormat="1" outlineLevel="1" collapsed="1" x14ac:dyDescent="0.25">
      <c r="A57" s="25"/>
      <c r="B57" s="12" t="str">
        <f>CONCATENATE("     ","Bad Debts/Over/Short                              ")</f>
        <v xml:space="preserve">     Bad Debts/Over/Short                              </v>
      </c>
      <c r="C57" s="12"/>
      <c r="D57" s="1">
        <f>SUM(OSRRefD22_3x_0)</f>
        <v>0</v>
      </c>
      <c r="E57" s="1"/>
      <c r="F57" s="5">
        <f t="shared" si="31"/>
        <v>0</v>
      </c>
      <c r="G57" s="1"/>
      <c r="H57" s="1">
        <f>SUM(OSRRefH22_3x_0)</f>
        <v>10</v>
      </c>
      <c r="I57" s="1"/>
      <c r="J57" s="5">
        <f t="shared" si="32"/>
        <v>3.7596811790360177E-5</v>
      </c>
      <c r="K57" s="1"/>
      <c r="L57" s="1">
        <f t="shared" si="33"/>
        <v>-10</v>
      </c>
      <c r="M57" s="1"/>
      <c r="N57" s="5">
        <f t="shared" si="34"/>
        <v>-1</v>
      </c>
      <c r="O57" s="12"/>
      <c r="P57" s="1">
        <f>SUM(OSRRefP22_3x_0)</f>
        <v>-428.92</v>
      </c>
      <c r="Q57" s="1"/>
      <c r="R57" s="5">
        <f t="shared" si="35"/>
        <v>-1.8139149206153194E-4</v>
      </c>
      <c r="S57" s="1"/>
      <c r="T57" s="1">
        <f>SUM(OSRRefT22_3x_0)</f>
        <v>110</v>
      </c>
      <c r="U57" s="1"/>
      <c r="V57" s="5">
        <f t="shared" si="36"/>
        <v>3.4602857654979437E-5</v>
      </c>
      <c r="W57" s="1"/>
      <c r="X57" s="1">
        <f t="shared" si="37"/>
        <v>-538.92000000000007</v>
      </c>
      <c r="Y57" s="1"/>
      <c r="Z57" s="5">
        <f t="shared" si="38"/>
        <v>-4.8992727272727281</v>
      </c>
    </row>
    <row r="58" spans="1:26" s="24" customFormat="1" hidden="1" outlineLevel="2" x14ac:dyDescent="0.25">
      <c r="A58" s="26"/>
      <c r="B58" s="11" t="str">
        <f>CONCATENATE("          ", "6272", " - ", "CASH (OVER/SHORT)")</f>
        <v xml:space="preserve">          6272 - CASH (OVER/SHORT)</v>
      </c>
      <c r="C58" s="11"/>
      <c r="D58" s="7"/>
      <c r="E58" s="2"/>
      <c r="F58" s="6">
        <f t="shared" si="31"/>
        <v>0</v>
      </c>
      <c r="G58" s="2"/>
      <c r="H58" s="7">
        <v>10</v>
      </c>
      <c r="I58" s="2"/>
      <c r="J58" s="6">
        <f t="shared" si="32"/>
        <v>3.7596811790360177E-5</v>
      </c>
      <c r="K58" s="2"/>
      <c r="L58" s="7">
        <f t="shared" si="33"/>
        <v>-10</v>
      </c>
      <c r="M58" s="2"/>
      <c r="N58" s="6">
        <f t="shared" si="34"/>
        <v>-1</v>
      </c>
      <c r="O58" s="11"/>
      <c r="P58" s="7">
        <v>-428.92</v>
      </c>
      <c r="Q58" s="2"/>
      <c r="R58" s="6">
        <f t="shared" si="35"/>
        <v>-1.8139149206153194E-4</v>
      </c>
      <c r="S58" s="2"/>
      <c r="T58" s="7">
        <v>110</v>
      </c>
      <c r="U58" s="2"/>
      <c r="V58" s="6">
        <f t="shared" si="36"/>
        <v>3.4602857654979437E-5</v>
      </c>
      <c r="W58" s="2"/>
      <c r="X58" s="7">
        <f t="shared" si="37"/>
        <v>-538.92000000000007</v>
      </c>
      <c r="Y58" s="2"/>
      <c r="Z58" s="6">
        <f t="shared" si="38"/>
        <v>-4.8992727272727281</v>
      </c>
    </row>
    <row r="59" spans="1:26" s="27" customFormat="1" outlineLevel="1" collapsed="1" x14ac:dyDescent="0.25">
      <c r="A59" s="25"/>
      <c r="B59" s="12" t="str">
        <f>CONCATENATE("     ","Bank/card Fees                                    ")</f>
        <v xml:space="preserve">     Bank/card Fees                                    </v>
      </c>
      <c r="C59" s="12"/>
      <c r="D59" s="1">
        <f>SUM(OSRRefD22_4x_0)</f>
        <v>60</v>
      </c>
      <c r="E59" s="1"/>
      <c r="F59" s="5">
        <f t="shared" si="31"/>
        <v>2.1156558533145278</v>
      </c>
      <c r="G59" s="1"/>
      <c r="H59" s="1">
        <f>SUM(OSRRefH22_4x_0)</f>
        <v>9056</v>
      </c>
      <c r="I59" s="1"/>
      <c r="J59" s="5">
        <f t="shared" si="32"/>
        <v>3.4047672757350177E-2</v>
      </c>
      <c r="K59" s="1"/>
      <c r="L59" s="1">
        <f t="shared" si="33"/>
        <v>-8996</v>
      </c>
      <c r="M59" s="1"/>
      <c r="N59" s="5">
        <f t="shared" si="34"/>
        <v>-0.99337455830388688</v>
      </c>
      <c r="O59" s="12"/>
      <c r="P59" s="1">
        <f>SUM(OSRRefP22_4x_0)</f>
        <v>89220.63</v>
      </c>
      <c r="Q59" s="1"/>
      <c r="R59" s="5">
        <f t="shared" si="35"/>
        <v>3.7731659046838291E-2</v>
      </c>
      <c r="S59" s="1"/>
      <c r="T59" s="1">
        <f>SUM(OSRRefT22_4x_0)</f>
        <v>103383</v>
      </c>
      <c r="U59" s="1"/>
      <c r="V59" s="5">
        <f t="shared" si="36"/>
        <v>3.252133848131581E-2</v>
      </c>
      <c r="W59" s="1"/>
      <c r="X59" s="1">
        <f t="shared" si="37"/>
        <v>-14162.369999999995</v>
      </c>
      <c r="Y59" s="1"/>
      <c r="Z59" s="5">
        <f t="shared" si="38"/>
        <v>-0.13698935028002665</v>
      </c>
    </row>
    <row r="60" spans="1:26" s="24" customFormat="1" hidden="1" outlineLevel="2" x14ac:dyDescent="0.25">
      <c r="A60" s="26"/>
      <c r="B60" s="11" t="str">
        <f>CONCATENATE("          ", "6381", " - ", "BANK/CREDIT CARD FEES")</f>
        <v xml:space="preserve">          6381 - BANK/CREDIT CARD FEES</v>
      </c>
      <c r="C60" s="11"/>
      <c r="D60" s="7">
        <v>60</v>
      </c>
      <c r="E60" s="2"/>
      <c r="F60" s="6">
        <f t="shared" si="31"/>
        <v>2.1156558533145278</v>
      </c>
      <c r="G60" s="2"/>
      <c r="H60" s="7">
        <v>9056</v>
      </c>
      <c r="I60" s="2"/>
      <c r="J60" s="6">
        <f t="shared" si="32"/>
        <v>3.4047672757350177E-2</v>
      </c>
      <c r="K60" s="2"/>
      <c r="L60" s="7">
        <f t="shared" si="33"/>
        <v>-8996</v>
      </c>
      <c r="M60" s="2"/>
      <c r="N60" s="6">
        <f t="shared" si="34"/>
        <v>-0.99337455830388688</v>
      </c>
      <c r="O60" s="11"/>
      <c r="P60" s="7">
        <v>89220.63</v>
      </c>
      <c r="Q60" s="2"/>
      <c r="R60" s="6">
        <f t="shared" si="35"/>
        <v>3.7731659046838291E-2</v>
      </c>
      <c r="S60" s="2"/>
      <c r="T60" s="7">
        <v>103383</v>
      </c>
      <c r="U60" s="2"/>
      <c r="V60" s="6">
        <f t="shared" si="36"/>
        <v>3.252133848131581E-2</v>
      </c>
      <c r="W60" s="2"/>
      <c r="X60" s="7">
        <f t="shared" si="37"/>
        <v>-14162.369999999995</v>
      </c>
      <c r="Y60" s="2"/>
      <c r="Z60" s="6">
        <f t="shared" si="38"/>
        <v>-0.13698935028002665</v>
      </c>
    </row>
    <row r="61" spans="1:26" s="27" customFormat="1" outlineLevel="1" collapsed="1" x14ac:dyDescent="0.25">
      <c r="A61" s="25"/>
      <c r="B61" s="12" t="str">
        <f>CONCATENATE("     ","Depreciation                                      ")</f>
        <v xml:space="preserve">     Depreciation                                      </v>
      </c>
      <c r="C61" s="12"/>
      <c r="D61" s="1">
        <f>SUM(OSRRefD22_5x_0)</f>
        <v>8990.73</v>
      </c>
      <c r="E61" s="1"/>
      <c r="F61" s="5">
        <f t="shared" si="31"/>
        <v>317.021509167842</v>
      </c>
      <c r="G61" s="1"/>
      <c r="H61" s="1">
        <f>SUM(OSRRefH22_5x_0)</f>
        <v>9234</v>
      </c>
      <c r="I61" s="1"/>
      <c r="J61" s="5">
        <f t="shared" si="32"/>
        <v>3.4716896007218591E-2</v>
      </c>
      <c r="K61" s="1"/>
      <c r="L61" s="1">
        <f t="shared" si="33"/>
        <v>-243.27000000000044</v>
      </c>
      <c r="M61" s="1"/>
      <c r="N61" s="5">
        <f t="shared" si="34"/>
        <v>-2.634502923976613E-2</v>
      </c>
      <c r="O61" s="12"/>
      <c r="P61" s="1">
        <f>SUM(OSRRefP22_5x_0)</f>
        <v>94718.959999999992</v>
      </c>
      <c r="Q61" s="1"/>
      <c r="R61" s="5">
        <f t="shared" si="35"/>
        <v>4.0056918495095961E-2</v>
      </c>
      <c r="S61" s="1"/>
      <c r="T61" s="1">
        <f>SUM(OSRRefT22_5x_0)</f>
        <v>98820</v>
      </c>
      <c r="U61" s="1"/>
      <c r="V61" s="5">
        <f t="shared" si="36"/>
        <v>3.1085949031500616E-2</v>
      </c>
      <c r="W61" s="1"/>
      <c r="X61" s="1">
        <f t="shared" si="37"/>
        <v>-4101.0400000000081</v>
      </c>
      <c r="Y61" s="1"/>
      <c r="Z61" s="5">
        <f t="shared" si="38"/>
        <v>-4.1500101194090346E-2</v>
      </c>
    </row>
    <row r="62" spans="1:26" s="24" customFormat="1" hidden="1" outlineLevel="2" x14ac:dyDescent="0.25">
      <c r="A62" s="26"/>
      <c r="B62" s="11" t="str">
        <f>CONCATENATE("          ", "6321", " - ", "BUILDING DEPRECIATION")</f>
        <v xml:space="preserve">          6321 - BUILDING DEPRECIATION</v>
      </c>
      <c r="C62" s="11"/>
      <c r="D62" s="7">
        <v>5080.51</v>
      </c>
      <c r="E62" s="2"/>
      <c r="F62" s="6">
        <f t="shared" si="31"/>
        <v>179.14351198871651</v>
      </c>
      <c r="G62" s="2"/>
      <c r="H62" s="7">
        <v>5081</v>
      </c>
      <c r="I62" s="2"/>
      <c r="J62" s="6">
        <f t="shared" si="32"/>
        <v>1.9102940070682008E-2</v>
      </c>
      <c r="K62" s="2"/>
      <c r="L62" s="7">
        <f t="shared" si="33"/>
        <v>-0.48999999999978172</v>
      </c>
      <c r="M62" s="2"/>
      <c r="N62" s="6">
        <f t="shared" si="34"/>
        <v>-9.6437709112336489E-5</v>
      </c>
      <c r="O62" s="11"/>
      <c r="P62" s="7">
        <v>55885.61</v>
      </c>
      <c r="Q62" s="2"/>
      <c r="R62" s="6">
        <f t="shared" si="35"/>
        <v>2.3634183956609323E-2</v>
      </c>
      <c r="S62" s="2"/>
      <c r="T62" s="7">
        <v>55891</v>
      </c>
      <c r="U62" s="2"/>
      <c r="V62" s="6">
        <f t="shared" si="36"/>
        <v>1.758171197449505E-2</v>
      </c>
      <c r="W62" s="2"/>
      <c r="X62" s="7">
        <f t="shared" si="37"/>
        <v>-5.3899999999994179</v>
      </c>
      <c r="Y62" s="2"/>
      <c r="Z62" s="6">
        <f t="shared" si="38"/>
        <v>-9.6437709112369042E-5</v>
      </c>
    </row>
    <row r="63" spans="1:26" s="24" customFormat="1" hidden="1" outlineLevel="2" x14ac:dyDescent="0.25">
      <c r="A63" s="26"/>
      <c r="B63" s="11" t="str">
        <f>CONCATENATE("          ", "6322", " - ", "EQUIPMENT DEPRECIATION EXPENSE")</f>
        <v xml:space="preserve">          6322 - EQUIPMENT DEPRECIATION EXPENSE</v>
      </c>
      <c r="C63" s="11"/>
      <c r="D63" s="7">
        <v>3910.22</v>
      </c>
      <c r="E63" s="2"/>
      <c r="F63" s="6">
        <f t="shared" si="31"/>
        <v>137.87799717912552</v>
      </c>
      <c r="G63" s="2"/>
      <c r="H63" s="7">
        <v>3175</v>
      </c>
      <c r="I63" s="2"/>
      <c r="J63" s="6">
        <f t="shared" si="32"/>
        <v>1.1936987743439357E-2</v>
      </c>
      <c r="K63" s="2"/>
      <c r="L63" s="7">
        <f t="shared" si="33"/>
        <v>735.2199999999998</v>
      </c>
      <c r="M63" s="2"/>
      <c r="N63" s="6">
        <f t="shared" si="34"/>
        <v>0.2315653543307086</v>
      </c>
      <c r="O63" s="11"/>
      <c r="P63" s="7">
        <v>38833.35</v>
      </c>
      <c r="Q63" s="2"/>
      <c r="R63" s="6">
        <f t="shared" si="35"/>
        <v>1.6422734538486642E-2</v>
      </c>
      <c r="S63" s="2"/>
      <c r="T63" s="7">
        <v>34925</v>
      </c>
      <c r="U63" s="2"/>
      <c r="V63" s="6">
        <f t="shared" si="36"/>
        <v>1.098640730545597E-2</v>
      </c>
      <c r="W63" s="2"/>
      <c r="X63" s="7">
        <f t="shared" si="37"/>
        <v>3908.3499999999985</v>
      </c>
      <c r="Y63" s="2"/>
      <c r="Z63" s="6">
        <f t="shared" si="38"/>
        <v>0.1119069434502505</v>
      </c>
    </row>
    <row r="64" spans="1:26" s="24" customFormat="1" hidden="1" outlineLevel="2" x14ac:dyDescent="0.25">
      <c r="A64" s="26"/>
      <c r="B64" s="11" t="str">
        <f>CONCATENATE("          ", "6324", " - ", "FURNITURE + FIXT DEPRECIATION")</f>
        <v xml:space="preserve">          6324 - FURNITURE + FIXT DEPRECIATION</v>
      </c>
      <c r="C64" s="11"/>
      <c r="D64" s="7"/>
      <c r="E64" s="2"/>
      <c r="F64" s="6">
        <f t="shared" si="31"/>
        <v>0</v>
      </c>
      <c r="G64" s="2"/>
      <c r="H64" s="7">
        <v>978</v>
      </c>
      <c r="I64" s="2"/>
      <c r="J64" s="6">
        <f t="shared" si="32"/>
        <v>3.6769681930972254E-3</v>
      </c>
      <c r="K64" s="2"/>
      <c r="L64" s="7">
        <f t="shared" si="33"/>
        <v>-978</v>
      </c>
      <c r="M64" s="2"/>
      <c r="N64" s="6">
        <f t="shared" si="34"/>
        <v>-1</v>
      </c>
      <c r="O64" s="11"/>
      <c r="P64" s="7"/>
      <c r="Q64" s="2"/>
      <c r="R64" s="6">
        <f t="shared" si="35"/>
        <v>0</v>
      </c>
      <c r="S64" s="2"/>
      <c r="T64" s="7">
        <v>8004</v>
      </c>
      <c r="U64" s="2"/>
      <c r="V64" s="6">
        <f t="shared" si="36"/>
        <v>2.5178297515495943E-3</v>
      </c>
      <c r="W64" s="2"/>
      <c r="X64" s="7">
        <f t="shared" si="37"/>
        <v>-8004</v>
      </c>
      <c r="Y64" s="2"/>
      <c r="Z64" s="6">
        <f t="shared" si="38"/>
        <v>-1</v>
      </c>
    </row>
    <row r="65" spans="1:26" s="27" customFormat="1" outlineLevel="1" collapsed="1" x14ac:dyDescent="0.25">
      <c r="A65" s="25"/>
      <c r="B65" s="12" t="str">
        <f>CONCATENATE("     ","Discounts and Markdowns                           ")</f>
        <v xml:space="preserve">     Discounts and Markdowns                           </v>
      </c>
      <c r="C65" s="12"/>
      <c r="D65" s="1">
        <f>SUM(OSRRefD22_6x_0)</f>
        <v>0</v>
      </c>
      <c r="E65" s="1"/>
      <c r="F65" s="5">
        <f t="shared" ref="F65:F86" si="39">IF(D$12=0,0,D65/D$12)</f>
        <v>0</v>
      </c>
      <c r="G65" s="1"/>
      <c r="H65" s="1">
        <f>SUM(OSRRefH22_6x_0)</f>
        <v>0</v>
      </c>
      <c r="I65" s="1"/>
      <c r="J65" s="5">
        <f t="shared" ref="J65:J86" si="40">IF(H$12=0,0,H65/H$12)</f>
        <v>0</v>
      </c>
      <c r="K65" s="1"/>
      <c r="L65" s="1">
        <f t="shared" ref="L65:L86" si="41">+D65-H65</f>
        <v>0</v>
      </c>
      <c r="M65" s="1"/>
      <c r="N65" s="5">
        <f t="shared" ref="N65:N86" si="42">IF(H65=0,0,L65/H65)</f>
        <v>0</v>
      </c>
      <c r="O65" s="12"/>
      <c r="P65" s="1">
        <f>SUM(OSRRefP22_6x_0)</f>
        <v>125.87</v>
      </c>
      <c r="Q65" s="1"/>
      <c r="R65" s="5">
        <f t="shared" ref="R65:R86" si="43">IF(P$12=0,0,P65/P$12)</f>
        <v>5.3230782210633746E-5</v>
      </c>
      <c r="S65" s="1"/>
      <c r="T65" s="1">
        <f>SUM(OSRRefT22_6x_0)</f>
        <v>0</v>
      </c>
      <c r="U65" s="1"/>
      <c r="V65" s="5">
        <f t="shared" ref="V65:V86" si="44">IF(T$12=0,0,T65/T$12)</f>
        <v>0</v>
      </c>
      <c r="W65" s="1"/>
      <c r="X65" s="1">
        <f t="shared" ref="X65:X86" si="45">+P65-T65</f>
        <v>125.87</v>
      </c>
      <c r="Y65" s="1"/>
      <c r="Z65" s="5">
        <f t="shared" ref="Z65:Z86" si="46">IF(T65=0,0,X65/T65)</f>
        <v>0</v>
      </c>
    </row>
    <row r="66" spans="1:26" s="24" customFormat="1" hidden="1" outlineLevel="2" x14ac:dyDescent="0.25">
      <c r="A66" s="26"/>
      <c r="B66" s="11" t="str">
        <f>CONCATENATE("          ", "6382", " - ", "DISCOUNTS/MARK DOWNS")</f>
        <v xml:space="preserve">          6382 - DISCOUNTS/MARK DOWNS</v>
      </c>
      <c r="C66" s="11"/>
      <c r="D66" s="7"/>
      <c r="E66" s="2"/>
      <c r="F66" s="6">
        <f t="shared" si="39"/>
        <v>0</v>
      </c>
      <c r="G66" s="2"/>
      <c r="H66" s="7"/>
      <c r="I66" s="2"/>
      <c r="J66" s="6">
        <f t="shared" si="40"/>
        <v>0</v>
      </c>
      <c r="K66" s="2"/>
      <c r="L66" s="7">
        <f t="shared" si="41"/>
        <v>0</v>
      </c>
      <c r="M66" s="2"/>
      <c r="N66" s="6">
        <f t="shared" si="42"/>
        <v>0</v>
      </c>
      <c r="O66" s="11"/>
      <c r="P66" s="7">
        <v>125.87</v>
      </c>
      <c r="Q66" s="2"/>
      <c r="R66" s="6">
        <f t="shared" si="43"/>
        <v>5.3230782210633746E-5</v>
      </c>
      <c r="S66" s="2"/>
      <c r="T66" s="7"/>
      <c r="U66" s="2"/>
      <c r="V66" s="6">
        <f t="shared" si="44"/>
        <v>0</v>
      </c>
      <c r="W66" s="2"/>
      <c r="X66" s="7">
        <f t="shared" si="45"/>
        <v>125.87</v>
      </c>
      <c r="Y66" s="2"/>
      <c r="Z66" s="6">
        <f t="shared" si="46"/>
        <v>0</v>
      </c>
    </row>
    <row r="67" spans="1:26" s="27" customFormat="1" outlineLevel="1" collapsed="1" x14ac:dyDescent="0.25">
      <c r="A67" s="25"/>
      <c r="B67" s="12" t="str">
        <f>CONCATENATE("     ","Employees' Appreciation                           ")</f>
        <v xml:space="preserve">     Employees' Appreciation                           </v>
      </c>
      <c r="C67" s="12"/>
      <c r="D67" s="1">
        <f>SUM(OSRRefD22_7x_0)</f>
        <v>0</v>
      </c>
      <c r="E67" s="1"/>
      <c r="F67" s="5">
        <f t="shared" si="39"/>
        <v>0</v>
      </c>
      <c r="G67" s="1"/>
      <c r="H67" s="1">
        <f>SUM(OSRRefH22_7x_0)</f>
        <v>25</v>
      </c>
      <c r="I67" s="1"/>
      <c r="J67" s="5">
        <f t="shared" si="40"/>
        <v>9.3992029475900444E-5</v>
      </c>
      <c r="K67" s="1"/>
      <c r="L67" s="1">
        <f t="shared" si="41"/>
        <v>-25</v>
      </c>
      <c r="M67" s="1"/>
      <c r="N67" s="5">
        <f t="shared" si="42"/>
        <v>-1</v>
      </c>
      <c r="O67" s="12"/>
      <c r="P67" s="1">
        <f>SUM(OSRRefP22_7x_0)</f>
        <v>163.84</v>
      </c>
      <c r="Q67" s="1"/>
      <c r="R67" s="5">
        <f t="shared" si="43"/>
        <v>6.9288403570272759E-5</v>
      </c>
      <c r="S67" s="1"/>
      <c r="T67" s="1">
        <f>SUM(OSRRefT22_7x_0)</f>
        <v>275</v>
      </c>
      <c r="U67" s="1"/>
      <c r="V67" s="5">
        <f t="shared" si="44"/>
        <v>8.650714413744859E-5</v>
      </c>
      <c r="W67" s="1"/>
      <c r="X67" s="1">
        <f t="shared" si="45"/>
        <v>-111.16</v>
      </c>
      <c r="Y67" s="1"/>
      <c r="Z67" s="5">
        <f t="shared" si="46"/>
        <v>-0.40421818181818181</v>
      </c>
    </row>
    <row r="68" spans="1:26" s="24" customFormat="1" hidden="1" outlineLevel="2" x14ac:dyDescent="0.25">
      <c r="A68" s="26"/>
      <c r="B68" s="11" t="str">
        <f>CONCATENATE("          ", "6277", " - ", "EMPLOYEE APPRECIATION")</f>
        <v xml:space="preserve">          6277 - EMPLOYEE APPRECIATION</v>
      </c>
      <c r="C68" s="11"/>
      <c r="D68" s="7"/>
      <c r="E68" s="2"/>
      <c r="F68" s="6">
        <f t="shared" si="39"/>
        <v>0</v>
      </c>
      <c r="G68" s="2"/>
      <c r="H68" s="7">
        <v>25</v>
      </c>
      <c r="I68" s="2"/>
      <c r="J68" s="6">
        <f t="shared" si="40"/>
        <v>9.3992029475900444E-5</v>
      </c>
      <c r="K68" s="2"/>
      <c r="L68" s="7">
        <f t="shared" si="41"/>
        <v>-25</v>
      </c>
      <c r="M68" s="2"/>
      <c r="N68" s="6">
        <f t="shared" si="42"/>
        <v>-1</v>
      </c>
      <c r="O68" s="11"/>
      <c r="P68" s="7">
        <v>163.84</v>
      </c>
      <c r="Q68" s="2"/>
      <c r="R68" s="6">
        <f t="shared" si="43"/>
        <v>6.9288403570272759E-5</v>
      </c>
      <c r="S68" s="2"/>
      <c r="T68" s="7">
        <v>275</v>
      </c>
      <c r="U68" s="2"/>
      <c r="V68" s="6">
        <f t="shared" si="44"/>
        <v>8.650714413744859E-5</v>
      </c>
      <c r="W68" s="2"/>
      <c r="X68" s="7">
        <f t="shared" si="45"/>
        <v>-111.16</v>
      </c>
      <c r="Y68" s="2"/>
      <c r="Z68" s="6">
        <f t="shared" si="46"/>
        <v>-0.40421818181818181</v>
      </c>
    </row>
    <row r="69" spans="1:26" s="27" customFormat="1" outlineLevel="1" collapsed="1" x14ac:dyDescent="0.25">
      <c r="A69" s="25"/>
      <c r="B69" s="12" t="str">
        <f>CONCATENATE("     ","Equipment Rental                                  ")</f>
        <v xml:space="preserve">     Equipment Rental                                  </v>
      </c>
      <c r="C69" s="12"/>
      <c r="D69" s="1">
        <f>SUM(OSRRefD22_8x_0)</f>
        <v>36.270000000000003</v>
      </c>
      <c r="E69" s="1"/>
      <c r="F69" s="5">
        <f t="shared" si="39"/>
        <v>1.2789139633286319</v>
      </c>
      <c r="G69" s="1"/>
      <c r="H69" s="1">
        <f>SUM(OSRRefH22_8x_0)</f>
        <v>80</v>
      </c>
      <c r="I69" s="1"/>
      <c r="J69" s="5">
        <f t="shared" si="40"/>
        <v>3.0077449432288142E-4</v>
      </c>
      <c r="K69" s="1"/>
      <c r="L69" s="1">
        <f t="shared" si="41"/>
        <v>-43.73</v>
      </c>
      <c r="M69" s="1"/>
      <c r="N69" s="5">
        <f t="shared" si="42"/>
        <v>-0.54662499999999992</v>
      </c>
      <c r="O69" s="12"/>
      <c r="P69" s="1">
        <f>SUM(OSRRefP22_8x_0)</f>
        <v>986.12</v>
      </c>
      <c r="Q69" s="1"/>
      <c r="R69" s="5">
        <f t="shared" si="43"/>
        <v>4.1703296221140979E-4</v>
      </c>
      <c r="S69" s="1"/>
      <c r="T69" s="1">
        <f>SUM(OSRRefT22_8x_0)</f>
        <v>880</v>
      </c>
      <c r="U69" s="1"/>
      <c r="V69" s="5">
        <f t="shared" si="44"/>
        <v>2.768228612398355E-4</v>
      </c>
      <c r="W69" s="1"/>
      <c r="X69" s="1">
        <f t="shared" si="45"/>
        <v>106.12</v>
      </c>
      <c r="Y69" s="1"/>
      <c r="Z69" s="5">
        <f t="shared" si="46"/>
        <v>0.1205909090909091</v>
      </c>
    </row>
    <row r="70" spans="1:26" s="24" customFormat="1" hidden="1" outlineLevel="2" x14ac:dyDescent="0.25">
      <c r="A70" s="26"/>
      <c r="B70" s="11" t="str">
        <f>CONCATENATE("          ", "6351", " - ", "EQUIPMENT RENTAL")</f>
        <v xml:space="preserve">          6351 - EQUIPMENT RENTAL</v>
      </c>
      <c r="C70" s="11"/>
      <c r="D70" s="7">
        <v>36.270000000000003</v>
      </c>
      <c r="E70" s="2"/>
      <c r="F70" s="6">
        <f t="shared" si="39"/>
        <v>1.2789139633286319</v>
      </c>
      <c r="G70" s="2"/>
      <c r="H70" s="7">
        <v>80</v>
      </c>
      <c r="I70" s="2"/>
      <c r="J70" s="6">
        <f t="shared" si="40"/>
        <v>3.0077449432288142E-4</v>
      </c>
      <c r="K70" s="2"/>
      <c r="L70" s="7">
        <f t="shared" si="41"/>
        <v>-43.73</v>
      </c>
      <c r="M70" s="2"/>
      <c r="N70" s="6">
        <f t="shared" si="42"/>
        <v>-0.54662499999999992</v>
      </c>
      <c r="O70" s="11"/>
      <c r="P70" s="7">
        <v>986.12</v>
      </c>
      <c r="Q70" s="2"/>
      <c r="R70" s="6">
        <f t="shared" si="43"/>
        <v>4.1703296221140979E-4</v>
      </c>
      <c r="S70" s="2"/>
      <c r="T70" s="7">
        <v>880</v>
      </c>
      <c r="U70" s="2"/>
      <c r="V70" s="6">
        <f t="shared" si="44"/>
        <v>2.768228612398355E-4</v>
      </c>
      <c r="W70" s="2"/>
      <c r="X70" s="7">
        <f t="shared" si="45"/>
        <v>106.12</v>
      </c>
      <c r="Y70" s="2"/>
      <c r="Z70" s="6">
        <f t="shared" si="46"/>
        <v>0.1205909090909091</v>
      </c>
    </row>
    <row r="71" spans="1:26" s="27" customFormat="1" outlineLevel="1" collapsed="1" x14ac:dyDescent="0.25">
      <c r="A71" s="25"/>
      <c r="B71" s="12" t="str">
        <f>CONCATENATE("     ","Freight out/Postage                               ")</f>
        <v xml:space="preserve">     Freight out/Postage                               </v>
      </c>
      <c r="C71" s="12"/>
      <c r="D71" s="1">
        <f>SUM(OSRRefD22_9x_0)</f>
        <v>0</v>
      </c>
      <c r="E71" s="1"/>
      <c r="F71" s="5">
        <f t="shared" si="39"/>
        <v>0</v>
      </c>
      <c r="G71" s="1"/>
      <c r="H71" s="1">
        <f>SUM(OSRRefH22_9x_0)</f>
        <v>0</v>
      </c>
      <c r="I71" s="1"/>
      <c r="J71" s="5">
        <f t="shared" si="40"/>
        <v>0</v>
      </c>
      <c r="K71" s="1"/>
      <c r="L71" s="1">
        <f t="shared" si="41"/>
        <v>0</v>
      </c>
      <c r="M71" s="1"/>
      <c r="N71" s="5">
        <f t="shared" si="42"/>
        <v>0</v>
      </c>
      <c r="O71" s="12"/>
      <c r="P71" s="1">
        <f>SUM(OSRRefP22_9x_0)</f>
        <v>331.18</v>
      </c>
      <c r="Q71" s="1"/>
      <c r="R71" s="5">
        <f t="shared" si="43"/>
        <v>1.4005696712892415E-4</v>
      </c>
      <c r="S71" s="1"/>
      <c r="T71" s="1">
        <f>SUM(OSRRefT22_9x_0)</f>
        <v>0</v>
      </c>
      <c r="U71" s="1"/>
      <c r="V71" s="5">
        <f t="shared" si="44"/>
        <v>0</v>
      </c>
      <c r="W71" s="1"/>
      <c r="X71" s="1">
        <f t="shared" si="45"/>
        <v>331.18</v>
      </c>
      <c r="Y71" s="1"/>
      <c r="Z71" s="5">
        <f t="shared" si="46"/>
        <v>0</v>
      </c>
    </row>
    <row r="72" spans="1:26" s="24" customFormat="1" hidden="1" outlineLevel="2" x14ac:dyDescent="0.25">
      <c r="A72" s="26"/>
      <c r="B72" s="11" t="str">
        <f>CONCATENATE("          ", "6305", " - ", "FREIGHT OUT")</f>
        <v xml:space="preserve">          6305 - FREIGHT OUT</v>
      </c>
      <c r="C72" s="11"/>
      <c r="D72" s="7"/>
      <c r="E72" s="2"/>
      <c r="F72" s="6">
        <f t="shared" si="39"/>
        <v>0</v>
      </c>
      <c r="G72" s="2"/>
      <c r="H72" s="7"/>
      <c r="I72" s="2"/>
      <c r="J72" s="6">
        <f t="shared" si="40"/>
        <v>0</v>
      </c>
      <c r="K72" s="2"/>
      <c r="L72" s="7">
        <f t="shared" si="41"/>
        <v>0</v>
      </c>
      <c r="M72" s="2"/>
      <c r="N72" s="6">
        <f t="shared" si="42"/>
        <v>0</v>
      </c>
      <c r="O72" s="11"/>
      <c r="P72" s="7">
        <v>331.18</v>
      </c>
      <c r="Q72" s="2"/>
      <c r="R72" s="6">
        <f t="shared" si="43"/>
        <v>1.4005696712892415E-4</v>
      </c>
      <c r="S72" s="2"/>
      <c r="T72" s="7"/>
      <c r="U72" s="2"/>
      <c r="V72" s="6">
        <f t="shared" si="44"/>
        <v>0</v>
      </c>
      <c r="W72" s="2"/>
      <c r="X72" s="7">
        <f t="shared" si="45"/>
        <v>331.18</v>
      </c>
      <c r="Y72" s="2"/>
      <c r="Z72" s="6">
        <f t="shared" si="46"/>
        <v>0</v>
      </c>
    </row>
    <row r="73" spans="1:26" s="27" customFormat="1" outlineLevel="1" collapsed="1" x14ac:dyDescent="0.25">
      <c r="A73" s="25"/>
      <c r="B73" s="12" t="str">
        <f>CONCATENATE("     ","General                                           ")</f>
        <v xml:space="preserve">     General                                           </v>
      </c>
      <c r="C73" s="12"/>
      <c r="D73" s="1">
        <f>SUM(OSRRefD22_10x_0)</f>
        <v>0</v>
      </c>
      <c r="E73" s="1"/>
      <c r="F73" s="5">
        <f t="shared" si="39"/>
        <v>0</v>
      </c>
      <c r="G73" s="1"/>
      <c r="H73" s="1">
        <f>SUM(OSRRefH22_10x_0)</f>
        <v>919</v>
      </c>
      <c r="I73" s="1"/>
      <c r="J73" s="5">
        <f t="shared" si="40"/>
        <v>3.4551470035341005E-3</v>
      </c>
      <c r="K73" s="1"/>
      <c r="L73" s="1">
        <f t="shared" si="41"/>
        <v>-919</v>
      </c>
      <c r="M73" s="1"/>
      <c r="N73" s="5">
        <f t="shared" si="42"/>
        <v>-1</v>
      </c>
      <c r="O73" s="12"/>
      <c r="P73" s="1">
        <f>SUM(OSRRefP22_10x_0)</f>
        <v>10781.14</v>
      </c>
      <c r="Q73" s="1"/>
      <c r="R73" s="5">
        <f t="shared" si="43"/>
        <v>4.5593748734595362E-3</v>
      </c>
      <c r="S73" s="1"/>
      <c r="T73" s="1">
        <f>SUM(OSRRefT22_10x_0)</f>
        <v>12106</v>
      </c>
      <c r="U73" s="1"/>
      <c r="V73" s="5">
        <f t="shared" si="44"/>
        <v>3.8082017706471002E-3</v>
      </c>
      <c r="W73" s="1"/>
      <c r="X73" s="1">
        <f t="shared" si="45"/>
        <v>-1324.8600000000006</v>
      </c>
      <c r="Y73" s="1"/>
      <c r="Z73" s="5">
        <f t="shared" si="46"/>
        <v>-0.10943829506030073</v>
      </c>
    </row>
    <row r="74" spans="1:26" s="24" customFormat="1" hidden="1" outlineLevel="2" x14ac:dyDescent="0.25">
      <c r="A74" s="26"/>
      <c r="B74" s="11" t="str">
        <f>CONCATENATE("          ", "6279", " - ", "GENERAL EXPENSE")</f>
        <v xml:space="preserve">          6279 - GENERAL EXPENSE</v>
      </c>
      <c r="C74" s="11"/>
      <c r="D74" s="7"/>
      <c r="E74" s="2"/>
      <c r="F74" s="6">
        <f t="shared" si="39"/>
        <v>0</v>
      </c>
      <c r="G74" s="2"/>
      <c r="H74" s="7">
        <v>919</v>
      </c>
      <c r="I74" s="2"/>
      <c r="J74" s="6">
        <f t="shared" si="40"/>
        <v>3.4551470035341005E-3</v>
      </c>
      <c r="K74" s="2"/>
      <c r="L74" s="7">
        <f t="shared" si="41"/>
        <v>-919</v>
      </c>
      <c r="M74" s="2"/>
      <c r="N74" s="6">
        <f t="shared" si="42"/>
        <v>-1</v>
      </c>
      <c r="O74" s="11"/>
      <c r="P74" s="7">
        <v>10781.14</v>
      </c>
      <c r="Q74" s="2"/>
      <c r="R74" s="6">
        <f t="shared" si="43"/>
        <v>4.5593748734595362E-3</v>
      </c>
      <c r="S74" s="2"/>
      <c r="T74" s="7">
        <v>12106</v>
      </c>
      <c r="U74" s="2"/>
      <c r="V74" s="6">
        <f t="shared" si="44"/>
        <v>3.8082017706471002E-3</v>
      </c>
      <c r="W74" s="2"/>
      <c r="X74" s="7">
        <f t="shared" si="45"/>
        <v>-1324.8600000000006</v>
      </c>
      <c r="Y74" s="2"/>
      <c r="Z74" s="6">
        <f t="shared" si="46"/>
        <v>-0.10943829506030073</v>
      </c>
    </row>
    <row r="75" spans="1:26" s="27" customFormat="1" outlineLevel="1" collapsed="1" x14ac:dyDescent="0.25">
      <c r="A75" s="25"/>
      <c r="B75" s="12" t="str">
        <f>CONCATENATE("     ","Insurance                                         ")</f>
        <v xml:space="preserve">     Insurance                                         </v>
      </c>
      <c r="C75" s="12"/>
      <c r="D75" s="1">
        <f>SUM(OSRRefD22_11x_0)</f>
        <v>243.54</v>
      </c>
      <c r="E75" s="1"/>
      <c r="F75" s="5">
        <f t="shared" si="39"/>
        <v>8.5874471086036674</v>
      </c>
      <c r="G75" s="1"/>
      <c r="H75" s="1">
        <f>SUM(OSRRefH22_11x_0)</f>
        <v>230</v>
      </c>
      <c r="I75" s="1"/>
      <c r="J75" s="5">
        <f t="shared" si="40"/>
        <v>8.6472667117828408E-4</v>
      </c>
      <c r="K75" s="1"/>
      <c r="L75" s="1">
        <f t="shared" si="41"/>
        <v>13.539999999999992</v>
      </c>
      <c r="M75" s="1"/>
      <c r="N75" s="5">
        <f t="shared" si="42"/>
        <v>5.886956521739127E-2</v>
      </c>
      <c r="O75" s="12"/>
      <c r="P75" s="1">
        <f>SUM(OSRRefP22_11x_0)</f>
        <v>2678.94</v>
      </c>
      <c r="Q75" s="1"/>
      <c r="R75" s="5">
        <f t="shared" si="43"/>
        <v>1.1329313712191561E-3</v>
      </c>
      <c r="S75" s="1"/>
      <c r="T75" s="1">
        <f>SUM(OSRRefT22_11x_0)</f>
        <v>2530</v>
      </c>
      <c r="U75" s="1"/>
      <c r="V75" s="5">
        <f t="shared" si="44"/>
        <v>7.9586572606452695E-4</v>
      </c>
      <c r="W75" s="1"/>
      <c r="X75" s="1">
        <f t="shared" si="45"/>
        <v>148.94000000000005</v>
      </c>
      <c r="Y75" s="1"/>
      <c r="Z75" s="5">
        <f t="shared" si="46"/>
        <v>5.8869565217391326E-2</v>
      </c>
    </row>
    <row r="76" spans="1:26" s="24" customFormat="1" hidden="1" outlineLevel="2" x14ac:dyDescent="0.25">
      <c r="A76" s="26"/>
      <c r="B76" s="11" t="str">
        <f>CONCATENATE("          ", "6314", " - ", "LIABILITY INSURANCE")</f>
        <v xml:space="preserve">          6314 - LIABILITY INSURANCE</v>
      </c>
      <c r="C76" s="11"/>
      <c r="D76" s="7">
        <v>243.54</v>
      </c>
      <c r="E76" s="2"/>
      <c r="F76" s="6">
        <f t="shared" si="39"/>
        <v>8.5874471086036674</v>
      </c>
      <c r="G76" s="2"/>
      <c r="H76" s="7">
        <v>230</v>
      </c>
      <c r="I76" s="2"/>
      <c r="J76" s="6">
        <f t="shared" si="40"/>
        <v>8.6472667117828408E-4</v>
      </c>
      <c r="K76" s="2"/>
      <c r="L76" s="7">
        <f t="shared" si="41"/>
        <v>13.539999999999992</v>
      </c>
      <c r="M76" s="2"/>
      <c r="N76" s="6">
        <f t="shared" si="42"/>
        <v>5.886956521739127E-2</v>
      </c>
      <c r="O76" s="11"/>
      <c r="P76" s="7">
        <v>2678.94</v>
      </c>
      <c r="Q76" s="2"/>
      <c r="R76" s="6">
        <f t="shared" si="43"/>
        <v>1.1329313712191561E-3</v>
      </c>
      <c r="S76" s="2"/>
      <c r="T76" s="7">
        <v>2530</v>
      </c>
      <c r="U76" s="2"/>
      <c r="V76" s="6">
        <f t="shared" si="44"/>
        <v>7.9586572606452695E-4</v>
      </c>
      <c r="W76" s="2"/>
      <c r="X76" s="7">
        <f t="shared" si="45"/>
        <v>148.94000000000005</v>
      </c>
      <c r="Y76" s="2"/>
      <c r="Z76" s="6">
        <f t="shared" si="46"/>
        <v>5.8869565217391326E-2</v>
      </c>
    </row>
    <row r="77" spans="1:26" s="27" customFormat="1" outlineLevel="1" collapsed="1" x14ac:dyDescent="0.25">
      <c r="A77" s="25"/>
      <c r="B77" s="12" t="str">
        <f>CONCATENATE("     ","Interest                                          ")</f>
        <v xml:space="preserve">     Interest                                          </v>
      </c>
      <c r="C77" s="12"/>
      <c r="D77" s="1">
        <f>SUM(OSRRefD22_12x_0)</f>
        <v>4175</v>
      </c>
      <c r="E77" s="1"/>
      <c r="F77" s="5">
        <f t="shared" si="39"/>
        <v>147.21438645980254</v>
      </c>
      <c r="G77" s="1"/>
      <c r="H77" s="1">
        <f>SUM(OSRRefH22_12x_0)</f>
        <v>4044</v>
      </c>
      <c r="I77" s="1"/>
      <c r="J77" s="5">
        <f t="shared" si="40"/>
        <v>1.5204150688021657E-2</v>
      </c>
      <c r="K77" s="1"/>
      <c r="L77" s="1">
        <f t="shared" si="41"/>
        <v>131</v>
      </c>
      <c r="M77" s="1"/>
      <c r="N77" s="5">
        <f t="shared" si="42"/>
        <v>3.2393669634025714E-2</v>
      </c>
      <c r="O77" s="12"/>
      <c r="P77" s="1">
        <f>SUM(OSRRefP22_12x_0)</f>
        <v>44668.77</v>
      </c>
      <c r="Q77" s="1"/>
      <c r="R77" s="5">
        <f t="shared" si="43"/>
        <v>1.8890550309739334E-2</v>
      </c>
      <c r="S77" s="1"/>
      <c r="T77" s="1">
        <f>SUM(OSRRefT22_12x_0)</f>
        <v>45796</v>
      </c>
      <c r="U77" s="1"/>
      <c r="V77" s="5">
        <f t="shared" si="44"/>
        <v>1.440611335606762E-2</v>
      </c>
      <c r="W77" s="1"/>
      <c r="X77" s="1">
        <f t="shared" si="45"/>
        <v>-1127.2300000000032</v>
      </c>
      <c r="Y77" s="1"/>
      <c r="Z77" s="5">
        <f t="shared" si="46"/>
        <v>-2.461415844178538E-2</v>
      </c>
    </row>
    <row r="78" spans="1:26" s="24" customFormat="1" hidden="1" outlineLevel="2" x14ac:dyDescent="0.25">
      <c r="A78" s="26"/>
      <c r="B78" s="11" t="str">
        <f>CONCATENATE("          ", "6401", " - ", "INTEREST EXPENSE")</f>
        <v xml:space="preserve">          6401 - INTEREST EXPENSE</v>
      </c>
      <c r="C78" s="11"/>
      <c r="D78" s="7">
        <v>4175</v>
      </c>
      <c r="E78" s="2"/>
      <c r="F78" s="6">
        <f t="shared" si="39"/>
        <v>147.21438645980254</v>
      </c>
      <c r="G78" s="2"/>
      <c r="H78" s="7">
        <v>4044</v>
      </c>
      <c r="I78" s="2"/>
      <c r="J78" s="6">
        <f t="shared" si="40"/>
        <v>1.5204150688021657E-2</v>
      </c>
      <c r="K78" s="2"/>
      <c r="L78" s="7">
        <f t="shared" si="41"/>
        <v>131</v>
      </c>
      <c r="M78" s="2"/>
      <c r="N78" s="6">
        <f t="shared" si="42"/>
        <v>3.2393669634025714E-2</v>
      </c>
      <c r="O78" s="11"/>
      <c r="P78" s="7">
        <v>44668.77</v>
      </c>
      <c r="Q78" s="2"/>
      <c r="R78" s="6">
        <f t="shared" si="43"/>
        <v>1.8890550309739334E-2</v>
      </c>
      <c r="S78" s="2"/>
      <c r="T78" s="7">
        <v>45796</v>
      </c>
      <c r="U78" s="2"/>
      <c r="V78" s="6">
        <f t="shared" si="44"/>
        <v>1.440611335606762E-2</v>
      </c>
      <c r="W78" s="2"/>
      <c r="X78" s="7">
        <f t="shared" si="45"/>
        <v>-1127.2300000000032</v>
      </c>
      <c r="Y78" s="2"/>
      <c r="Z78" s="6">
        <f t="shared" si="46"/>
        <v>-2.461415844178538E-2</v>
      </c>
    </row>
    <row r="79" spans="1:26" s="27" customFormat="1" outlineLevel="1" collapsed="1" x14ac:dyDescent="0.25">
      <c r="A79" s="25"/>
      <c r="B79" s="12" t="str">
        <f>CONCATENATE("     ","R/H Commissions                                   ")</f>
        <v xml:space="preserve">     R/H Commissions                                   </v>
      </c>
      <c r="C79" s="12"/>
      <c r="D79" s="1">
        <f>SUM(OSRRefD22_13x_0)</f>
        <v>0</v>
      </c>
      <c r="E79" s="1"/>
      <c r="F79" s="5">
        <f t="shared" si="39"/>
        <v>0</v>
      </c>
      <c r="G79" s="1"/>
      <c r="H79" s="1">
        <f>SUM(OSRRefH22_13x_0)</f>
        <v>0</v>
      </c>
      <c r="I79" s="1"/>
      <c r="J79" s="5">
        <f t="shared" si="40"/>
        <v>0</v>
      </c>
      <c r="K79" s="1"/>
      <c r="L79" s="1">
        <f t="shared" si="41"/>
        <v>0</v>
      </c>
      <c r="M79" s="1"/>
      <c r="N79" s="5">
        <f t="shared" si="42"/>
        <v>0</v>
      </c>
      <c r="O79" s="12"/>
      <c r="P79" s="1">
        <f>SUM(OSRRefP22_13x_0)</f>
        <v>0</v>
      </c>
      <c r="Q79" s="1"/>
      <c r="R79" s="5">
        <f t="shared" si="43"/>
        <v>0</v>
      </c>
      <c r="S79" s="1"/>
      <c r="T79" s="1">
        <f>SUM(OSRRefT22_13x_0)</f>
        <v>0</v>
      </c>
      <c r="U79" s="1"/>
      <c r="V79" s="5">
        <f t="shared" si="44"/>
        <v>0</v>
      </c>
      <c r="W79" s="1"/>
      <c r="X79" s="1">
        <f t="shared" si="45"/>
        <v>0</v>
      </c>
      <c r="Y79" s="1"/>
      <c r="Z79" s="5">
        <f t="shared" si="46"/>
        <v>0</v>
      </c>
    </row>
    <row r="80" spans="1:26" s="24" customFormat="1" hidden="1" outlineLevel="2" x14ac:dyDescent="0.25">
      <c r="A80" s="26"/>
      <c r="B80" s="11" t="str">
        <f>CONCATENATE("          ", "6387", " - ", "COMMISSION DUE HOUSING")</f>
        <v xml:space="preserve">          6387 - COMMISSION DUE HOUSING</v>
      </c>
      <c r="C80" s="11"/>
      <c r="D80" s="7"/>
      <c r="E80" s="2"/>
      <c r="F80" s="6">
        <f t="shared" si="39"/>
        <v>0</v>
      </c>
      <c r="G80" s="2"/>
      <c r="H80" s="7"/>
      <c r="I80" s="2"/>
      <c r="J80" s="6">
        <f t="shared" si="40"/>
        <v>0</v>
      </c>
      <c r="K80" s="2"/>
      <c r="L80" s="7">
        <f t="shared" si="41"/>
        <v>0</v>
      </c>
      <c r="M80" s="2"/>
      <c r="N80" s="6">
        <f t="shared" si="42"/>
        <v>0</v>
      </c>
      <c r="O80" s="11"/>
      <c r="P80" s="7"/>
      <c r="Q80" s="2"/>
      <c r="R80" s="6">
        <f t="shared" si="43"/>
        <v>0</v>
      </c>
      <c r="S80" s="2"/>
      <c r="T80" s="7">
        <v>0</v>
      </c>
      <c r="U80" s="2"/>
      <c r="V80" s="6">
        <f t="shared" si="44"/>
        <v>0</v>
      </c>
      <c r="W80" s="2"/>
      <c r="X80" s="7">
        <f t="shared" si="45"/>
        <v>0</v>
      </c>
      <c r="Y80" s="2"/>
      <c r="Z80" s="6">
        <f t="shared" si="46"/>
        <v>0</v>
      </c>
    </row>
    <row r="81" spans="1:26" s="27" customFormat="1" outlineLevel="1" collapsed="1" x14ac:dyDescent="0.25">
      <c r="A81" s="25"/>
      <c r="B81" s="12" t="str">
        <f>CONCATENATE("     ","Rent                                              ")</f>
        <v xml:space="preserve">     Rent                                              </v>
      </c>
      <c r="C81" s="12"/>
      <c r="D81" s="1">
        <f>SUM(OSRRefD22_14x_0)</f>
        <v>1150</v>
      </c>
      <c r="E81" s="1"/>
      <c r="F81" s="5">
        <f t="shared" si="39"/>
        <v>40.550070521861777</v>
      </c>
      <c r="G81" s="1"/>
      <c r="H81" s="1">
        <f>SUM(OSRRefH22_14x_0)</f>
        <v>1150</v>
      </c>
      <c r="I81" s="1"/>
      <c r="J81" s="5">
        <f t="shared" si="40"/>
        <v>4.3236333558914208E-3</v>
      </c>
      <c r="K81" s="1"/>
      <c r="L81" s="1">
        <f t="shared" si="41"/>
        <v>0</v>
      </c>
      <c r="M81" s="1"/>
      <c r="N81" s="5">
        <f t="shared" si="42"/>
        <v>0</v>
      </c>
      <c r="O81" s="12"/>
      <c r="P81" s="1">
        <f>SUM(OSRRefP22_14x_0)</f>
        <v>12650</v>
      </c>
      <c r="Q81" s="1"/>
      <c r="R81" s="5">
        <f t="shared" si="43"/>
        <v>5.3497211008541896E-3</v>
      </c>
      <c r="S81" s="1"/>
      <c r="T81" s="1">
        <f>SUM(OSRRefT22_14x_0)</f>
        <v>12650</v>
      </c>
      <c r="U81" s="1"/>
      <c r="V81" s="5">
        <f t="shared" si="44"/>
        <v>3.9793286303226351E-3</v>
      </c>
      <c r="W81" s="1"/>
      <c r="X81" s="1">
        <f t="shared" si="45"/>
        <v>0</v>
      </c>
      <c r="Y81" s="1"/>
      <c r="Z81" s="5">
        <f t="shared" si="46"/>
        <v>0</v>
      </c>
    </row>
    <row r="82" spans="1:26" s="24" customFormat="1" hidden="1" outlineLevel="2" x14ac:dyDescent="0.25">
      <c r="A82" s="26"/>
      <c r="B82" s="11" t="str">
        <f>CONCATENATE("          ", "6273", " - ", "RENT")</f>
        <v xml:space="preserve">          6273 - RENT</v>
      </c>
      <c r="C82" s="11"/>
      <c r="D82" s="7">
        <v>1150</v>
      </c>
      <c r="E82" s="2"/>
      <c r="F82" s="6">
        <f t="shared" si="39"/>
        <v>40.550070521861777</v>
      </c>
      <c r="G82" s="2"/>
      <c r="H82" s="7">
        <v>1150</v>
      </c>
      <c r="I82" s="2"/>
      <c r="J82" s="6">
        <f t="shared" si="40"/>
        <v>4.3236333558914208E-3</v>
      </c>
      <c r="K82" s="2"/>
      <c r="L82" s="7">
        <f t="shared" si="41"/>
        <v>0</v>
      </c>
      <c r="M82" s="2"/>
      <c r="N82" s="6">
        <f t="shared" si="42"/>
        <v>0</v>
      </c>
      <c r="O82" s="11"/>
      <c r="P82" s="7">
        <v>12650</v>
      </c>
      <c r="Q82" s="2"/>
      <c r="R82" s="6">
        <f t="shared" si="43"/>
        <v>5.3497211008541896E-3</v>
      </c>
      <c r="S82" s="2"/>
      <c r="T82" s="7">
        <v>12650</v>
      </c>
      <c r="U82" s="2"/>
      <c r="V82" s="6">
        <f t="shared" si="44"/>
        <v>3.9793286303226351E-3</v>
      </c>
      <c r="W82" s="2"/>
      <c r="X82" s="7">
        <f t="shared" si="45"/>
        <v>0</v>
      </c>
      <c r="Y82" s="2"/>
      <c r="Z82" s="6">
        <f t="shared" si="46"/>
        <v>0</v>
      </c>
    </row>
    <row r="83" spans="1:26" s="27" customFormat="1" outlineLevel="1" collapsed="1" x14ac:dyDescent="0.25">
      <c r="A83" s="25"/>
      <c r="B83" s="12" t="str">
        <f>CONCATENATE("     ","Repair and Maintenance                            ")</f>
        <v xml:space="preserve">     Repair and Maintenance                            </v>
      </c>
      <c r="C83" s="12"/>
      <c r="D83" s="1">
        <f>SUM(OSRRefD22_15x_0)</f>
        <v>102.5</v>
      </c>
      <c r="E83" s="1"/>
      <c r="F83" s="5">
        <f t="shared" si="39"/>
        <v>3.6142454160789845</v>
      </c>
      <c r="G83" s="1"/>
      <c r="H83" s="1">
        <f>SUM(OSRRefH22_15x_0)</f>
        <v>1091</v>
      </c>
      <c r="I83" s="1"/>
      <c r="J83" s="5">
        <f t="shared" si="40"/>
        <v>4.1018121663282956E-3</v>
      </c>
      <c r="K83" s="1"/>
      <c r="L83" s="1">
        <f t="shared" si="41"/>
        <v>-988.5</v>
      </c>
      <c r="M83" s="1"/>
      <c r="N83" s="5">
        <f t="shared" si="42"/>
        <v>-0.90604949587534367</v>
      </c>
      <c r="O83" s="12"/>
      <c r="P83" s="1">
        <f>SUM(OSRRefP22_15x_0)</f>
        <v>17615.409999999996</v>
      </c>
      <c r="Q83" s="1"/>
      <c r="R83" s="5">
        <f t="shared" si="43"/>
        <v>7.4496071602527967E-3</v>
      </c>
      <c r="S83" s="1"/>
      <c r="T83" s="1">
        <f>SUM(OSRRefT22_15x_0)</f>
        <v>14797</v>
      </c>
      <c r="U83" s="1"/>
      <c r="V83" s="5">
        <f t="shared" si="44"/>
        <v>4.6547134974611881E-3</v>
      </c>
      <c r="W83" s="1"/>
      <c r="X83" s="1">
        <f t="shared" si="45"/>
        <v>2818.4099999999962</v>
      </c>
      <c r="Y83" s="1"/>
      <c r="Z83" s="5">
        <f t="shared" si="46"/>
        <v>0.19047171723998083</v>
      </c>
    </row>
    <row r="84" spans="1:26" s="24" customFormat="1" hidden="1" outlineLevel="2" x14ac:dyDescent="0.25">
      <c r="A84" s="26"/>
      <c r="B84" s="11" t="str">
        <f>CONCATENATE("          ", "6371", " - ", "COMPUTER SOFTWARE MAINTENANCE")</f>
        <v xml:space="preserve">          6371 - COMPUTER SOFTWARE MAINTENANCE</v>
      </c>
      <c r="C84" s="11"/>
      <c r="D84" s="7"/>
      <c r="E84" s="2"/>
      <c r="F84" s="6">
        <f t="shared" si="39"/>
        <v>0</v>
      </c>
      <c r="G84" s="2"/>
      <c r="H84" s="7"/>
      <c r="I84" s="2"/>
      <c r="J84" s="6">
        <f t="shared" si="40"/>
        <v>0</v>
      </c>
      <c r="K84" s="2"/>
      <c r="L84" s="7">
        <f t="shared" si="41"/>
        <v>0</v>
      </c>
      <c r="M84" s="2"/>
      <c r="N84" s="6">
        <f t="shared" si="42"/>
        <v>0</v>
      </c>
      <c r="O84" s="11"/>
      <c r="P84" s="7">
        <v>1311.93</v>
      </c>
      <c r="Q84" s="2"/>
      <c r="R84" s="6">
        <f t="shared" si="43"/>
        <v>5.5481894101530734E-4</v>
      </c>
      <c r="S84" s="2"/>
      <c r="T84" s="7">
        <v>0</v>
      </c>
      <c r="U84" s="2"/>
      <c r="V84" s="6">
        <f t="shared" si="44"/>
        <v>0</v>
      </c>
      <c r="W84" s="2"/>
      <c r="X84" s="7">
        <f t="shared" si="45"/>
        <v>1311.93</v>
      </c>
      <c r="Y84" s="2"/>
      <c r="Z84" s="6">
        <f t="shared" si="46"/>
        <v>0</v>
      </c>
    </row>
    <row r="85" spans="1:26" s="24" customFormat="1" hidden="1" outlineLevel="2" x14ac:dyDescent="0.25">
      <c r="A85" s="26"/>
      <c r="B85" s="11" t="str">
        <f>CONCATENATE("          ", "6373", " - ", "MAINTENANCE CONTRACTS")</f>
        <v xml:space="preserve">          6373 - MAINTENANCE CONTRACTS</v>
      </c>
      <c r="C85" s="11"/>
      <c r="D85" s="7"/>
      <c r="E85" s="2"/>
      <c r="F85" s="6">
        <f t="shared" si="39"/>
        <v>0</v>
      </c>
      <c r="G85" s="2"/>
      <c r="H85" s="7"/>
      <c r="I85" s="2"/>
      <c r="J85" s="6">
        <f t="shared" si="40"/>
        <v>0</v>
      </c>
      <c r="K85" s="2"/>
      <c r="L85" s="7">
        <f t="shared" si="41"/>
        <v>0</v>
      </c>
      <c r="M85" s="2"/>
      <c r="N85" s="6">
        <f t="shared" si="42"/>
        <v>0</v>
      </c>
      <c r="O85" s="11"/>
      <c r="P85" s="7">
        <v>884.07</v>
      </c>
      <c r="Q85" s="2"/>
      <c r="R85" s="6">
        <f t="shared" si="43"/>
        <v>3.7387572597882721E-4</v>
      </c>
      <c r="S85" s="2"/>
      <c r="T85" s="7"/>
      <c r="U85" s="2"/>
      <c r="V85" s="6">
        <f t="shared" si="44"/>
        <v>0</v>
      </c>
      <c r="W85" s="2"/>
      <c r="X85" s="7">
        <f t="shared" si="45"/>
        <v>884.07</v>
      </c>
      <c r="Y85" s="2"/>
      <c r="Z85" s="6">
        <f t="shared" si="46"/>
        <v>0</v>
      </c>
    </row>
    <row r="86" spans="1:26" s="24" customFormat="1" hidden="1" outlineLevel="2" x14ac:dyDescent="0.25">
      <c r="A86" s="26"/>
      <c r="B86" s="11" t="str">
        <f>CONCATENATE("          ", "6375", " - ", "OUTSIDE REPAIRS &amp; MAINTENANCE")</f>
        <v xml:space="preserve">          6375 - OUTSIDE REPAIRS &amp; MAINTENANCE</v>
      </c>
      <c r="C86" s="11"/>
      <c r="D86" s="7">
        <v>102.5</v>
      </c>
      <c r="E86" s="2"/>
      <c r="F86" s="6">
        <f t="shared" si="39"/>
        <v>3.6142454160789845</v>
      </c>
      <c r="G86" s="2"/>
      <c r="H86" s="7">
        <v>1091</v>
      </c>
      <c r="I86" s="2"/>
      <c r="J86" s="6">
        <f t="shared" si="40"/>
        <v>4.1018121663282956E-3</v>
      </c>
      <c r="K86" s="2"/>
      <c r="L86" s="7">
        <f t="shared" si="41"/>
        <v>-988.5</v>
      </c>
      <c r="M86" s="2"/>
      <c r="N86" s="6">
        <f t="shared" si="42"/>
        <v>-0.90604949587534367</v>
      </c>
      <c r="O86" s="11"/>
      <c r="P86" s="7">
        <v>15419.409999999998</v>
      </c>
      <c r="Q86" s="2"/>
      <c r="R86" s="6">
        <f t="shared" si="43"/>
        <v>6.5209124932586633E-3</v>
      </c>
      <c r="S86" s="2"/>
      <c r="T86" s="7">
        <v>14797</v>
      </c>
      <c r="U86" s="2"/>
      <c r="V86" s="6">
        <f t="shared" si="44"/>
        <v>4.6547134974611881E-3</v>
      </c>
      <c r="W86" s="2"/>
      <c r="X86" s="7">
        <f t="shared" si="45"/>
        <v>622.40999999999804</v>
      </c>
      <c r="Y86" s="2"/>
      <c r="Z86" s="6">
        <f t="shared" si="46"/>
        <v>4.2063256065418532E-2</v>
      </c>
    </row>
    <row r="87" spans="1:26" s="27" customFormat="1" outlineLevel="1" collapsed="1" x14ac:dyDescent="0.25">
      <c r="A87" s="25"/>
      <c r="B87" s="12" t="str">
        <f>CONCATENATE("     ","Royalty &amp; Commissions                             ")</f>
        <v xml:space="preserve">     Royalty &amp; Commissions                             </v>
      </c>
      <c r="C87" s="12"/>
      <c r="D87" s="1">
        <f>SUM(OSRRefD22_16x_0)</f>
        <v>0</v>
      </c>
      <c r="E87" s="1"/>
      <c r="F87" s="5">
        <f t="shared" ref="F87:F89" si="47">IF(D$12=0,0,D87/D$12)</f>
        <v>0</v>
      </c>
      <c r="G87" s="1"/>
      <c r="H87" s="1">
        <f>SUM(OSRRefH22_16x_0)</f>
        <v>2052</v>
      </c>
      <c r="I87" s="1"/>
      <c r="J87" s="5">
        <f t="shared" ref="J87:J89" si="48">IF(H$12=0,0,H87/H$12)</f>
        <v>7.7148657793819084E-3</v>
      </c>
      <c r="K87" s="1"/>
      <c r="L87" s="1">
        <f t="shared" ref="L87:L89" si="49">+D87-H87</f>
        <v>-2052</v>
      </c>
      <c r="M87" s="1"/>
      <c r="N87" s="5">
        <f t="shared" ref="N87:N89" si="50">IF(H87=0,0,L87/H87)</f>
        <v>-1</v>
      </c>
      <c r="O87" s="12"/>
      <c r="P87" s="1">
        <f>SUM(OSRRefP22_16x_0)</f>
        <v>24556.14</v>
      </c>
      <c r="Q87" s="1"/>
      <c r="R87" s="5">
        <f t="shared" ref="R87:R89" si="51">IF(P$12=0,0,P87/P$12)</f>
        <v>1.0384861684863999E-2</v>
      </c>
      <c r="S87" s="1"/>
      <c r="T87" s="1">
        <f>SUM(OSRRefT22_16x_0)</f>
        <v>28836</v>
      </c>
      <c r="U87" s="1"/>
      <c r="V87" s="5">
        <f t="shared" ref="V87:V89" si="52">IF(T$12=0,0,T87/T$12)</f>
        <v>9.0709818485362453E-3</v>
      </c>
      <c r="W87" s="1"/>
      <c r="X87" s="1">
        <f t="shared" ref="X87:X89" si="53">+P87-T87</f>
        <v>-4279.8600000000006</v>
      </c>
      <c r="Y87" s="1"/>
      <c r="Z87" s="5">
        <f t="shared" ref="Z87:Z89" si="54">IF(T87=0,0,X87/T87)</f>
        <v>-0.14842072409488141</v>
      </c>
    </row>
    <row r="88" spans="1:26" s="24" customFormat="1" hidden="1" outlineLevel="2" x14ac:dyDescent="0.25">
      <c r="A88" s="26"/>
      <c r="B88" s="11" t="str">
        <f>CONCATENATE("          ", "6254", " - ", "ROYALTY &amp; COMMISSIONS")</f>
        <v xml:space="preserve">          6254 - ROYALTY &amp; COMMISSIONS</v>
      </c>
      <c r="C88" s="11"/>
      <c r="D88" s="7"/>
      <c r="E88" s="2"/>
      <c r="F88" s="6">
        <f t="shared" si="47"/>
        <v>0</v>
      </c>
      <c r="G88" s="2"/>
      <c r="H88" s="7"/>
      <c r="I88" s="2"/>
      <c r="J88" s="6">
        <f t="shared" si="48"/>
        <v>0</v>
      </c>
      <c r="K88" s="2"/>
      <c r="L88" s="7">
        <f t="shared" si="49"/>
        <v>0</v>
      </c>
      <c r="M88" s="2"/>
      <c r="N88" s="6">
        <f t="shared" si="50"/>
        <v>0</v>
      </c>
      <c r="O88" s="11"/>
      <c r="P88" s="7">
        <v>24556.14</v>
      </c>
      <c r="Q88" s="2"/>
      <c r="R88" s="6">
        <f t="shared" si="51"/>
        <v>1.0384861684863999E-2</v>
      </c>
      <c r="S88" s="2"/>
      <c r="T88" s="7"/>
      <c r="U88" s="2"/>
      <c r="V88" s="6">
        <f t="shared" si="52"/>
        <v>0</v>
      </c>
      <c r="W88" s="2"/>
      <c r="X88" s="7">
        <f t="shared" si="53"/>
        <v>24556.14</v>
      </c>
      <c r="Y88" s="2"/>
      <c r="Z88" s="6">
        <f t="shared" si="54"/>
        <v>0</v>
      </c>
    </row>
    <row r="89" spans="1:26" s="24" customFormat="1" hidden="1" outlineLevel="2" x14ac:dyDescent="0.25">
      <c r="A89" s="26"/>
      <c r="B89" s="11" t="str">
        <f>CONCATENATE("          ", "6259", " - ", "ROYALTY &amp; COMMISSIONS")</f>
        <v xml:space="preserve">          6259 - ROYALTY &amp; COMMISSIONS</v>
      </c>
      <c r="C89" s="11"/>
      <c r="D89" s="7"/>
      <c r="E89" s="2"/>
      <c r="F89" s="6">
        <f t="shared" si="47"/>
        <v>0</v>
      </c>
      <c r="G89" s="2"/>
      <c r="H89" s="7">
        <v>2052</v>
      </c>
      <c r="I89" s="2"/>
      <c r="J89" s="6">
        <f t="shared" si="48"/>
        <v>7.7148657793819084E-3</v>
      </c>
      <c r="K89" s="2"/>
      <c r="L89" s="7">
        <f t="shared" si="49"/>
        <v>-2052</v>
      </c>
      <c r="M89" s="2"/>
      <c r="N89" s="6">
        <f t="shared" si="50"/>
        <v>-1</v>
      </c>
      <c r="O89" s="11"/>
      <c r="P89" s="7"/>
      <c r="Q89" s="2"/>
      <c r="R89" s="6">
        <f t="shared" si="51"/>
        <v>0</v>
      </c>
      <c r="S89" s="2"/>
      <c r="T89" s="7">
        <v>28836</v>
      </c>
      <c r="U89" s="2"/>
      <c r="V89" s="6">
        <f t="shared" si="52"/>
        <v>9.0709818485362453E-3</v>
      </c>
      <c r="W89" s="2"/>
      <c r="X89" s="7">
        <f t="shared" si="53"/>
        <v>-28836</v>
      </c>
      <c r="Y89" s="2"/>
      <c r="Z89" s="6">
        <f t="shared" si="54"/>
        <v>-1</v>
      </c>
    </row>
    <row r="90" spans="1:26" s="27" customFormat="1" outlineLevel="1" collapsed="1" x14ac:dyDescent="0.25">
      <c r="A90" s="25"/>
      <c r="B90" s="12" t="str">
        <f>CONCATENATE("     ","Services                                          ")</f>
        <v xml:space="preserve">     Services                                          </v>
      </c>
      <c r="C90" s="12"/>
      <c r="D90" s="1">
        <f>SUM(OSRRefD22_17x_0)</f>
        <v>924.63</v>
      </c>
      <c r="E90" s="1"/>
      <c r="F90" s="5">
        <f t="shared" ref="F90:F95" si="55">IF(D$12=0,0,D90/D$12)</f>
        <v>32.603314527503528</v>
      </c>
      <c r="G90" s="1"/>
      <c r="H90" s="1">
        <f>SUM(OSRRefH22_17x_0)</f>
        <v>810</v>
      </c>
      <c r="I90" s="1"/>
      <c r="J90" s="5">
        <f t="shared" ref="J90:J95" si="56">IF(H$12=0,0,H90/H$12)</f>
        <v>3.0453417550191744E-3</v>
      </c>
      <c r="K90" s="1"/>
      <c r="L90" s="1">
        <f t="shared" ref="L90:L95" si="57">+D90-H90</f>
        <v>114.63</v>
      </c>
      <c r="M90" s="1"/>
      <c r="N90" s="5">
        <f t="shared" ref="N90:N95" si="58">IF(H90=0,0,L90/H90)</f>
        <v>0.14151851851851852</v>
      </c>
      <c r="O90" s="12"/>
      <c r="P90" s="1">
        <f>SUM(OSRRefP22_17x_0)</f>
        <v>17105.14</v>
      </c>
      <c r="Q90" s="1"/>
      <c r="R90" s="5">
        <f t="shared" ref="R90:R95" si="59">IF(P$12=0,0,P90/P$12)</f>
        <v>7.233812521032809E-3</v>
      </c>
      <c r="S90" s="1"/>
      <c r="T90" s="1">
        <f>SUM(OSRRefT22_17x_0)</f>
        <v>9691</v>
      </c>
      <c r="U90" s="1"/>
      <c r="V90" s="5">
        <f t="shared" ref="V90:V95" si="60">IF(T$12=0,0,T90/T$12)</f>
        <v>3.0485117594036882E-3</v>
      </c>
      <c r="W90" s="1"/>
      <c r="X90" s="1">
        <f t="shared" ref="X90:X95" si="61">+P90-T90</f>
        <v>7414.1399999999994</v>
      </c>
      <c r="Y90" s="1"/>
      <c r="Z90" s="5">
        <f t="shared" ref="Z90:Z95" si="62">IF(T90=0,0,X90/T90)</f>
        <v>0.76505417397585385</v>
      </c>
    </row>
    <row r="91" spans="1:26" s="24" customFormat="1" hidden="1" outlineLevel="2" x14ac:dyDescent="0.25">
      <c r="A91" s="26"/>
      <c r="B91" s="11" t="str">
        <f>CONCATENATE("          ", "6281", " - ", "STORAGE FEE")</f>
        <v xml:space="preserve">          6281 - STORAGE FEE</v>
      </c>
      <c r="C91" s="11"/>
      <c r="D91" s="7"/>
      <c r="E91" s="2"/>
      <c r="F91" s="6">
        <f t="shared" si="55"/>
        <v>0</v>
      </c>
      <c r="G91" s="2"/>
      <c r="H91" s="7"/>
      <c r="I91" s="2"/>
      <c r="J91" s="6">
        <f t="shared" si="56"/>
        <v>0</v>
      </c>
      <c r="K91" s="2"/>
      <c r="L91" s="7">
        <f t="shared" si="57"/>
        <v>0</v>
      </c>
      <c r="M91" s="2"/>
      <c r="N91" s="6">
        <f t="shared" si="58"/>
        <v>0</v>
      </c>
      <c r="O91" s="11"/>
      <c r="P91" s="7"/>
      <c r="Q91" s="2"/>
      <c r="R91" s="6">
        <f t="shared" si="59"/>
        <v>0</v>
      </c>
      <c r="S91" s="2"/>
      <c r="T91" s="7">
        <v>0</v>
      </c>
      <c r="U91" s="2"/>
      <c r="V91" s="6">
        <f t="shared" si="60"/>
        <v>0</v>
      </c>
      <c r="W91" s="2"/>
      <c r="X91" s="7">
        <f t="shared" si="61"/>
        <v>0</v>
      </c>
      <c r="Y91" s="2"/>
      <c r="Z91" s="6">
        <f t="shared" si="62"/>
        <v>0</v>
      </c>
    </row>
    <row r="92" spans="1:26" s="24" customFormat="1" hidden="1" outlineLevel="2" x14ac:dyDescent="0.25">
      <c r="A92" s="26"/>
      <c r="B92" s="11" t="str">
        <f>CONCATENATE("          ", "6282", " - ", "JANITORIAL/EXTERMINATOR EXPENS")</f>
        <v xml:space="preserve">          6282 - JANITORIAL/EXTERMINATOR EXPENS</v>
      </c>
      <c r="C92" s="11"/>
      <c r="D92" s="7">
        <v>372</v>
      </c>
      <c r="E92" s="2"/>
      <c r="F92" s="6">
        <f t="shared" si="55"/>
        <v>13.117066290550071</v>
      </c>
      <c r="G92" s="2"/>
      <c r="H92" s="7">
        <v>433</v>
      </c>
      <c r="I92" s="2"/>
      <c r="J92" s="6">
        <f t="shared" si="56"/>
        <v>1.6279419505225957E-3</v>
      </c>
      <c r="K92" s="2"/>
      <c r="L92" s="7">
        <f t="shared" si="57"/>
        <v>-61</v>
      </c>
      <c r="M92" s="2"/>
      <c r="N92" s="6">
        <f t="shared" si="58"/>
        <v>-0.14087759815242495</v>
      </c>
      <c r="O92" s="11"/>
      <c r="P92" s="7">
        <v>6418.09</v>
      </c>
      <c r="Q92" s="2"/>
      <c r="R92" s="6">
        <f t="shared" si="59"/>
        <v>2.7142285770894283E-3</v>
      </c>
      <c r="S92" s="2"/>
      <c r="T92" s="7">
        <v>5263</v>
      </c>
      <c r="U92" s="2"/>
      <c r="V92" s="6">
        <f t="shared" si="60"/>
        <v>1.6555894530741525E-3</v>
      </c>
      <c r="W92" s="2"/>
      <c r="X92" s="7">
        <f t="shared" si="61"/>
        <v>1155.0900000000001</v>
      </c>
      <c r="Y92" s="2"/>
      <c r="Z92" s="6">
        <f t="shared" si="62"/>
        <v>0.21947368421052635</v>
      </c>
    </row>
    <row r="93" spans="1:26" s="24" customFormat="1" hidden="1" outlineLevel="2" x14ac:dyDescent="0.25">
      <c r="A93" s="26"/>
      <c r="B93" s="11" t="str">
        <f>CONCATENATE("          ", "6284", " - ", "TRASH REMOVAL EXPENSE")</f>
        <v xml:space="preserve">          6284 - TRASH REMOVAL EXPENSE</v>
      </c>
      <c r="C93" s="11"/>
      <c r="D93" s="7">
        <v>289</v>
      </c>
      <c r="E93" s="2"/>
      <c r="F93" s="6">
        <f t="shared" si="55"/>
        <v>10.190409026798308</v>
      </c>
      <c r="G93" s="2"/>
      <c r="H93" s="7">
        <v>150</v>
      </c>
      <c r="I93" s="2"/>
      <c r="J93" s="6">
        <f t="shared" si="56"/>
        <v>5.6395217685540266E-4</v>
      </c>
      <c r="K93" s="2"/>
      <c r="L93" s="7">
        <f t="shared" si="57"/>
        <v>139</v>
      </c>
      <c r="M93" s="2"/>
      <c r="N93" s="6">
        <f t="shared" si="58"/>
        <v>0.92666666666666664</v>
      </c>
      <c r="O93" s="11"/>
      <c r="P93" s="7">
        <v>3178</v>
      </c>
      <c r="Q93" s="2"/>
      <c r="R93" s="6">
        <f t="shared" si="59"/>
        <v>1.3439852694477957E-3</v>
      </c>
      <c r="S93" s="2"/>
      <c r="T93" s="7">
        <v>1650</v>
      </c>
      <c r="U93" s="2"/>
      <c r="V93" s="6">
        <f t="shared" si="60"/>
        <v>5.1904286482469151E-4</v>
      </c>
      <c r="W93" s="2"/>
      <c r="X93" s="7">
        <f t="shared" si="61"/>
        <v>1528</v>
      </c>
      <c r="Y93" s="2"/>
      <c r="Z93" s="6">
        <f t="shared" si="62"/>
        <v>0.92606060606060603</v>
      </c>
    </row>
    <row r="94" spans="1:26" s="24" customFormat="1" hidden="1" outlineLevel="2" x14ac:dyDescent="0.25">
      <c r="A94" s="26"/>
      <c r="B94" s="11" t="str">
        <f>CONCATENATE("          ", "6285", " - ", "JANITORIAL SERVICES")</f>
        <v xml:space="preserve">          6285 - JANITORIAL SERVICES</v>
      </c>
      <c r="C94" s="11"/>
      <c r="D94" s="7">
        <v>134.1</v>
      </c>
      <c r="E94" s="2"/>
      <c r="F94" s="6">
        <f t="shared" si="55"/>
        <v>4.7284908321579691</v>
      </c>
      <c r="G94" s="2"/>
      <c r="H94" s="7">
        <v>137</v>
      </c>
      <c r="I94" s="2"/>
      <c r="J94" s="6">
        <f t="shared" si="56"/>
        <v>5.1507632152793443E-4</v>
      </c>
      <c r="K94" s="2"/>
      <c r="L94" s="7">
        <f t="shared" si="57"/>
        <v>-2.9000000000000057</v>
      </c>
      <c r="M94" s="2"/>
      <c r="N94" s="6">
        <f t="shared" si="58"/>
        <v>-2.1167883211678874E-2</v>
      </c>
      <c r="O94" s="11"/>
      <c r="P94" s="7">
        <v>1321.88</v>
      </c>
      <c r="Q94" s="2"/>
      <c r="R94" s="6">
        <f t="shared" si="59"/>
        <v>5.5902682441084082E-4</v>
      </c>
      <c r="S94" s="2"/>
      <c r="T94" s="7">
        <v>1923</v>
      </c>
      <c r="U94" s="2"/>
      <c r="V94" s="6">
        <f t="shared" si="60"/>
        <v>6.0492086609568595E-4</v>
      </c>
      <c r="W94" s="2"/>
      <c r="X94" s="7">
        <f t="shared" si="61"/>
        <v>-601.11999999999989</v>
      </c>
      <c r="Y94" s="2"/>
      <c r="Z94" s="6">
        <f t="shared" si="62"/>
        <v>-0.31259490379615179</v>
      </c>
    </row>
    <row r="95" spans="1:26" s="24" customFormat="1" hidden="1" outlineLevel="2" x14ac:dyDescent="0.25">
      <c r="A95" s="26"/>
      <c r="B95" s="11" t="str">
        <f>CONCATENATE("          ", "6286", " - ", "LAUNDRY EXPENSE")</f>
        <v xml:space="preserve">          6286 - LAUNDRY EXPENSE</v>
      </c>
      <c r="C95" s="11"/>
      <c r="D95" s="7">
        <v>129.53</v>
      </c>
      <c r="E95" s="2"/>
      <c r="F95" s="6">
        <f t="shared" si="55"/>
        <v>4.5673483779971793</v>
      </c>
      <c r="G95" s="2"/>
      <c r="H95" s="7">
        <v>90</v>
      </c>
      <c r="I95" s="2"/>
      <c r="J95" s="6">
        <f t="shared" si="56"/>
        <v>3.383713061132416E-4</v>
      </c>
      <c r="K95" s="2"/>
      <c r="L95" s="7">
        <f t="shared" si="57"/>
        <v>39.53</v>
      </c>
      <c r="M95" s="2"/>
      <c r="N95" s="6">
        <f t="shared" si="58"/>
        <v>0.43922222222222224</v>
      </c>
      <c r="O95" s="11"/>
      <c r="P95" s="7">
        <v>6187.17</v>
      </c>
      <c r="Q95" s="2"/>
      <c r="R95" s="6">
        <f t="shared" si="59"/>
        <v>2.6165718500847446E-3</v>
      </c>
      <c r="S95" s="2"/>
      <c r="T95" s="7">
        <v>855</v>
      </c>
      <c r="U95" s="2"/>
      <c r="V95" s="6">
        <f t="shared" si="60"/>
        <v>2.6895857540915833E-4</v>
      </c>
      <c r="W95" s="2"/>
      <c r="X95" s="7">
        <f t="shared" si="61"/>
        <v>5332.17</v>
      </c>
      <c r="Y95" s="2"/>
      <c r="Z95" s="6">
        <f t="shared" si="62"/>
        <v>6.2364561403508771</v>
      </c>
    </row>
    <row r="96" spans="1:26" s="27" customFormat="1" outlineLevel="1" collapsed="1" x14ac:dyDescent="0.25">
      <c r="A96" s="25"/>
      <c r="B96" s="12" t="str">
        <f>CONCATENATE("     ","Subscriptions &amp; Dues                              ")</f>
        <v xml:space="preserve">     Subscriptions &amp; Dues                              </v>
      </c>
      <c r="C96" s="12"/>
      <c r="D96" s="1">
        <f>SUM(OSRRefD22_18x_0)</f>
        <v>0</v>
      </c>
      <c r="E96" s="1"/>
      <c r="F96" s="5">
        <f t="shared" ref="F96:F107" si="63">IF(D$12=0,0,D96/D$12)</f>
        <v>0</v>
      </c>
      <c r="G96" s="1"/>
      <c r="H96" s="1">
        <f>SUM(OSRRefH22_18x_0)</f>
        <v>180</v>
      </c>
      <c r="I96" s="1"/>
      <c r="J96" s="5">
        <f t="shared" ref="J96:J107" si="64">IF(H$12=0,0,H96/H$12)</f>
        <v>6.7674261222648319E-4</v>
      </c>
      <c r="K96" s="1"/>
      <c r="L96" s="1">
        <f t="shared" ref="L96:L107" si="65">+D96-H96</f>
        <v>-180</v>
      </c>
      <c r="M96" s="1"/>
      <c r="N96" s="5">
        <f t="shared" ref="N96:N107" si="66">IF(H96=0,0,L96/H96)</f>
        <v>-1</v>
      </c>
      <c r="O96" s="12"/>
      <c r="P96" s="1">
        <f>SUM(OSRRefP22_18x_0)</f>
        <v>1411.2</v>
      </c>
      <c r="Q96" s="1"/>
      <c r="R96" s="5">
        <f t="shared" ref="R96:R107" si="67">IF(P$12=0,0,P96/P$12)</f>
        <v>5.9680050731426349E-4</v>
      </c>
      <c r="S96" s="1"/>
      <c r="T96" s="1">
        <f>SUM(OSRRefT22_18x_0)</f>
        <v>1980</v>
      </c>
      <c r="U96" s="1"/>
      <c r="V96" s="5">
        <f t="shared" ref="V96:V107" si="68">IF(T$12=0,0,T96/T$12)</f>
        <v>6.2285143778962986E-4</v>
      </c>
      <c r="W96" s="1"/>
      <c r="X96" s="1">
        <f t="shared" ref="X96:X107" si="69">+P96-T96</f>
        <v>-568.79999999999995</v>
      </c>
      <c r="Y96" s="1"/>
      <c r="Z96" s="5">
        <f t="shared" ref="Z96:Z107" si="70">IF(T96=0,0,X96/T96)</f>
        <v>-0.28727272727272724</v>
      </c>
    </row>
    <row r="97" spans="1:26" s="24" customFormat="1" hidden="1" outlineLevel="2" x14ac:dyDescent="0.25">
      <c r="A97" s="26"/>
      <c r="B97" s="11" t="str">
        <f>CONCATENATE("          ", "6275", " - ", "SUBSCRIPTIONS")</f>
        <v xml:space="preserve">          6275 - SUBSCRIPTIONS</v>
      </c>
      <c r="C97" s="11"/>
      <c r="D97" s="7"/>
      <c r="E97" s="2"/>
      <c r="F97" s="6">
        <f t="shared" si="63"/>
        <v>0</v>
      </c>
      <c r="G97" s="2"/>
      <c r="H97" s="7">
        <v>180</v>
      </c>
      <c r="I97" s="2"/>
      <c r="J97" s="6">
        <f t="shared" si="64"/>
        <v>6.7674261222648319E-4</v>
      </c>
      <c r="K97" s="2"/>
      <c r="L97" s="7">
        <f t="shared" si="65"/>
        <v>-180</v>
      </c>
      <c r="M97" s="2"/>
      <c r="N97" s="6">
        <f t="shared" si="66"/>
        <v>-1</v>
      </c>
      <c r="O97" s="11"/>
      <c r="P97" s="7">
        <v>1411.2</v>
      </c>
      <c r="Q97" s="2"/>
      <c r="R97" s="6">
        <f t="shared" si="67"/>
        <v>5.9680050731426349E-4</v>
      </c>
      <c r="S97" s="2"/>
      <c r="T97" s="7">
        <v>1980</v>
      </c>
      <c r="U97" s="2"/>
      <c r="V97" s="6">
        <f t="shared" si="68"/>
        <v>6.2285143778962986E-4</v>
      </c>
      <c r="W97" s="2"/>
      <c r="X97" s="7">
        <f t="shared" si="69"/>
        <v>-568.79999999999995</v>
      </c>
      <c r="Y97" s="2"/>
      <c r="Z97" s="6">
        <f t="shared" si="70"/>
        <v>-0.28727272727272724</v>
      </c>
    </row>
    <row r="98" spans="1:26" s="27" customFormat="1" outlineLevel="1" collapsed="1" x14ac:dyDescent="0.25">
      <c r="A98" s="25"/>
      <c r="B98" s="12" t="str">
        <f>CONCATENATE("     ","Supplies                                          ")</f>
        <v xml:space="preserve">     Supplies                                          </v>
      </c>
      <c r="C98" s="12"/>
      <c r="D98" s="1">
        <f>SUM(OSRRefD22_19x_0)</f>
        <v>534.56000000000006</v>
      </c>
      <c r="E98" s="1"/>
      <c r="F98" s="5">
        <f t="shared" si="63"/>
        <v>18.849083215796899</v>
      </c>
      <c r="G98" s="1"/>
      <c r="H98" s="1">
        <f>SUM(OSRRefH22_19x_0)</f>
        <v>3295</v>
      </c>
      <c r="I98" s="1"/>
      <c r="J98" s="5">
        <f t="shared" si="64"/>
        <v>1.2388149484923679E-2</v>
      </c>
      <c r="K98" s="1"/>
      <c r="L98" s="1">
        <f t="shared" si="65"/>
        <v>-2760.44</v>
      </c>
      <c r="M98" s="1"/>
      <c r="N98" s="5">
        <f t="shared" si="66"/>
        <v>-0.83776631259484069</v>
      </c>
      <c r="O98" s="12"/>
      <c r="P98" s="1">
        <f>SUM(OSRRefP22_19x_0)</f>
        <v>50172.06</v>
      </c>
      <c r="Q98" s="1"/>
      <c r="R98" s="5">
        <f t="shared" si="67"/>
        <v>2.1217907356151974E-2</v>
      </c>
      <c r="S98" s="1"/>
      <c r="T98" s="1">
        <f>SUM(OSRRefT22_19x_0)</f>
        <v>40283</v>
      </c>
      <c r="U98" s="1"/>
      <c r="V98" s="5">
        <f t="shared" si="68"/>
        <v>1.2671881044686696E-2</v>
      </c>
      <c r="W98" s="1"/>
      <c r="X98" s="1">
        <f t="shared" si="69"/>
        <v>9889.0599999999977</v>
      </c>
      <c r="Y98" s="1"/>
      <c r="Z98" s="5">
        <f t="shared" si="70"/>
        <v>0.24548966065089486</v>
      </c>
    </row>
    <row r="99" spans="1:26" s="24" customFormat="1" hidden="1" outlineLevel="2" x14ac:dyDescent="0.25">
      <c r="A99" s="26"/>
      <c r="B99" s="11" t="str">
        <f>CONCATENATE("          ", "6234", " - ", "EXPENDABLE SUPPLIES &amp; EQUIPMEN")</f>
        <v xml:space="preserve">          6234 - EXPENDABLE SUPPLIES &amp; EQUIPMEN</v>
      </c>
      <c r="C99" s="11"/>
      <c r="D99" s="7"/>
      <c r="E99" s="2"/>
      <c r="F99" s="6">
        <f t="shared" si="63"/>
        <v>0</v>
      </c>
      <c r="G99" s="2"/>
      <c r="H99" s="7"/>
      <c r="I99" s="2"/>
      <c r="J99" s="6">
        <f t="shared" si="64"/>
        <v>0</v>
      </c>
      <c r="K99" s="2"/>
      <c r="L99" s="7">
        <f t="shared" si="65"/>
        <v>0</v>
      </c>
      <c r="M99" s="2"/>
      <c r="N99" s="6">
        <f t="shared" si="66"/>
        <v>0</v>
      </c>
      <c r="O99" s="11"/>
      <c r="P99" s="7">
        <v>1092.46</v>
      </c>
      <c r="Q99" s="2"/>
      <c r="R99" s="6">
        <f t="shared" si="67"/>
        <v>4.6200445168689076E-4</v>
      </c>
      <c r="S99" s="2"/>
      <c r="T99" s="7">
        <v>3000</v>
      </c>
      <c r="U99" s="2"/>
      <c r="V99" s="6">
        <f t="shared" si="68"/>
        <v>9.4371429968125725E-4</v>
      </c>
      <c r="W99" s="2"/>
      <c r="X99" s="7">
        <f t="shared" si="69"/>
        <v>-1907.54</v>
      </c>
      <c r="Y99" s="2"/>
      <c r="Z99" s="6">
        <f t="shared" si="70"/>
        <v>-0.63584666666666667</v>
      </c>
    </row>
    <row r="100" spans="1:26" s="24" customFormat="1" hidden="1" outlineLevel="2" x14ac:dyDescent="0.25">
      <c r="A100" s="26"/>
      <c r="B100" s="11" t="str">
        <f>CONCATENATE("          ", "6237", " - ", "JANITORIAL SUPPLIES")</f>
        <v xml:space="preserve">          6237 - JANITORIAL SUPPLIES</v>
      </c>
      <c r="C100" s="11"/>
      <c r="D100" s="7"/>
      <c r="E100" s="2"/>
      <c r="F100" s="6">
        <f t="shared" si="63"/>
        <v>0</v>
      </c>
      <c r="G100" s="2"/>
      <c r="H100" s="7">
        <v>100</v>
      </c>
      <c r="I100" s="2"/>
      <c r="J100" s="6">
        <f t="shared" si="64"/>
        <v>3.7596811790360177E-4</v>
      </c>
      <c r="K100" s="2"/>
      <c r="L100" s="7">
        <f t="shared" si="65"/>
        <v>-100</v>
      </c>
      <c r="M100" s="2"/>
      <c r="N100" s="6">
        <f t="shared" si="66"/>
        <v>-1</v>
      </c>
      <c r="O100" s="11"/>
      <c r="P100" s="7">
        <v>4418.97</v>
      </c>
      <c r="Q100" s="2"/>
      <c r="R100" s="6">
        <f t="shared" si="67"/>
        <v>1.8687950239558609E-3</v>
      </c>
      <c r="S100" s="2"/>
      <c r="T100" s="7">
        <v>1500</v>
      </c>
      <c r="U100" s="2"/>
      <c r="V100" s="6">
        <f t="shared" si="68"/>
        <v>4.7185714984062863E-4</v>
      </c>
      <c r="W100" s="2"/>
      <c r="X100" s="7">
        <f t="shared" si="69"/>
        <v>2918.9700000000003</v>
      </c>
      <c r="Y100" s="2"/>
      <c r="Z100" s="6">
        <f t="shared" si="70"/>
        <v>1.9459800000000003</v>
      </c>
    </row>
    <row r="101" spans="1:26" s="24" customFormat="1" hidden="1" outlineLevel="2" x14ac:dyDescent="0.25">
      <c r="A101" s="26"/>
      <c r="B101" s="11" t="str">
        <f>CONCATENATE("          ", "6239", " - ", "KITCHEN SUPPLIES")</f>
        <v xml:space="preserve">          6239 - KITCHEN SUPPLIES</v>
      </c>
      <c r="C101" s="11"/>
      <c r="D101" s="7"/>
      <c r="E101" s="2"/>
      <c r="F101" s="6">
        <f t="shared" si="63"/>
        <v>0</v>
      </c>
      <c r="G101" s="2"/>
      <c r="H101" s="7"/>
      <c r="I101" s="2"/>
      <c r="J101" s="6">
        <f t="shared" si="64"/>
        <v>0</v>
      </c>
      <c r="K101" s="2"/>
      <c r="L101" s="7">
        <f t="shared" si="65"/>
        <v>0</v>
      </c>
      <c r="M101" s="2"/>
      <c r="N101" s="6">
        <f t="shared" si="66"/>
        <v>0</v>
      </c>
      <c r="O101" s="11"/>
      <c r="P101" s="7">
        <v>441.2</v>
      </c>
      <c r="Q101" s="2"/>
      <c r="R101" s="6">
        <f t="shared" si="67"/>
        <v>1.8658473910647183E-4</v>
      </c>
      <c r="S101" s="2"/>
      <c r="T101" s="7"/>
      <c r="U101" s="2"/>
      <c r="V101" s="6">
        <f t="shared" si="68"/>
        <v>0</v>
      </c>
      <c r="W101" s="2"/>
      <c r="X101" s="7">
        <f t="shared" si="69"/>
        <v>441.2</v>
      </c>
      <c r="Y101" s="2"/>
      <c r="Z101" s="6">
        <f t="shared" si="70"/>
        <v>0</v>
      </c>
    </row>
    <row r="102" spans="1:26" s="24" customFormat="1" hidden="1" outlineLevel="2" x14ac:dyDescent="0.25">
      <c r="A102" s="26"/>
      <c r="B102" s="11" t="str">
        <f>CONCATENATE("          ", "6241", " - ", "OFFICE EXPENSE")</f>
        <v xml:space="preserve">          6241 - OFFICE EXPENSE</v>
      </c>
      <c r="C102" s="11"/>
      <c r="D102" s="7"/>
      <c r="E102" s="2"/>
      <c r="F102" s="6">
        <f t="shared" si="63"/>
        <v>0</v>
      </c>
      <c r="G102" s="2"/>
      <c r="H102" s="7"/>
      <c r="I102" s="2"/>
      <c r="J102" s="6">
        <f t="shared" si="64"/>
        <v>0</v>
      </c>
      <c r="K102" s="2"/>
      <c r="L102" s="7">
        <f t="shared" si="65"/>
        <v>0</v>
      </c>
      <c r="M102" s="2"/>
      <c r="N102" s="6">
        <f t="shared" si="66"/>
        <v>0</v>
      </c>
      <c r="O102" s="11"/>
      <c r="P102" s="7">
        <v>2377.21</v>
      </c>
      <c r="Q102" s="2"/>
      <c r="R102" s="6">
        <f t="shared" si="67"/>
        <v>1.0053288931353036E-3</v>
      </c>
      <c r="S102" s="2"/>
      <c r="T102" s="7">
        <v>480</v>
      </c>
      <c r="U102" s="2"/>
      <c r="V102" s="6">
        <f t="shared" si="68"/>
        <v>1.5099428794900118E-4</v>
      </c>
      <c r="W102" s="2"/>
      <c r="X102" s="7">
        <f t="shared" si="69"/>
        <v>1897.21</v>
      </c>
      <c r="Y102" s="2"/>
      <c r="Z102" s="6">
        <f t="shared" si="70"/>
        <v>3.9525208333333333</v>
      </c>
    </row>
    <row r="103" spans="1:26" s="24" customFormat="1" hidden="1" outlineLevel="2" x14ac:dyDescent="0.25">
      <c r="A103" s="26"/>
      <c r="B103" s="11" t="str">
        <f>CONCATENATE("          ", "6243", " - ", "PAPER SUPPLIES")</f>
        <v xml:space="preserve">          6243 - PAPER SUPPLIES</v>
      </c>
      <c r="C103" s="11"/>
      <c r="D103" s="7"/>
      <c r="E103" s="2"/>
      <c r="F103" s="6">
        <f t="shared" si="63"/>
        <v>0</v>
      </c>
      <c r="G103" s="2"/>
      <c r="H103" s="7"/>
      <c r="I103" s="2"/>
      <c r="J103" s="6">
        <f t="shared" si="64"/>
        <v>0</v>
      </c>
      <c r="K103" s="2"/>
      <c r="L103" s="7">
        <f t="shared" si="65"/>
        <v>0</v>
      </c>
      <c r="M103" s="2"/>
      <c r="N103" s="6">
        <f t="shared" si="66"/>
        <v>0</v>
      </c>
      <c r="O103" s="11"/>
      <c r="P103" s="7">
        <v>4964.92</v>
      </c>
      <c r="Q103" s="2"/>
      <c r="R103" s="6">
        <f t="shared" si="67"/>
        <v>2.0996788370002358E-3</v>
      </c>
      <c r="S103" s="2"/>
      <c r="T103" s="7"/>
      <c r="U103" s="2"/>
      <c r="V103" s="6">
        <f t="shared" si="68"/>
        <v>0</v>
      </c>
      <c r="W103" s="2"/>
      <c r="X103" s="7">
        <f t="shared" si="69"/>
        <v>4964.92</v>
      </c>
      <c r="Y103" s="2"/>
      <c r="Z103" s="6">
        <f t="shared" si="70"/>
        <v>0</v>
      </c>
    </row>
    <row r="104" spans="1:26" s="24" customFormat="1" hidden="1" outlineLevel="2" x14ac:dyDescent="0.25">
      <c r="A104" s="26"/>
      <c r="B104" s="11" t="str">
        <f>CONCATENATE("          ", "6244", " - ", "SAFETY SUPPLY EXPENSE")</f>
        <v xml:space="preserve">          6244 - SAFETY SUPPLY EXPENSE</v>
      </c>
      <c r="C104" s="11"/>
      <c r="D104" s="7"/>
      <c r="E104" s="2"/>
      <c r="F104" s="6">
        <f t="shared" si="63"/>
        <v>0</v>
      </c>
      <c r="G104" s="2"/>
      <c r="H104" s="7"/>
      <c r="I104" s="2"/>
      <c r="J104" s="6">
        <f t="shared" si="64"/>
        <v>0</v>
      </c>
      <c r="K104" s="2"/>
      <c r="L104" s="7">
        <f t="shared" si="65"/>
        <v>0</v>
      </c>
      <c r="M104" s="2"/>
      <c r="N104" s="6">
        <f t="shared" si="66"/>
        <v>0</v>
      </c>
      <c r="O104" s="11"/>
      <c r="P104" s="7"/>
      <c r="Q104" s="2"/>
      <c r="R104" s="6">
        <f t="shared" si="67"/>
        <v>0</v>
      </c>
      <c r="S104" s="2"/>
      <c r="T104" s="7">
        <v>30</v>
      </c>
      <c r="U104" s="2"/>
      <c r="V104" s="6">
        <f t="shared" si="68"/>
        <v>9.4371429968125735E-6</v>
      </c>
      <c r="W104" s="2"/>
      <c r="X104" s="7">
        <f t="shared" si="69"/>
        <v>-30</v>
      </c>
      <c r="Y104" s="2"/>
      <c r="Z104" s="6">
        <f t="shared" si="70"/>
        <v>-1</v>
      </c>
    </row>
    <row r="105" spans="1:26" s="24" customFormat="1" hidden="1" outlineLevel="2" x14ac:dyDescent="0.25">
      <c r="A105" s="26"/>
      <c r="B105" s="11" t="str">
        <f>CONCATENATE("          ", "6245", " - ", "PRINTING")</f>
        <v xml:space="preserve">          6245 - PRINTING</v>
      </c>
      <c r="C105" s="11"/>
      <c r="D105" s="7"/>
      <c r="E105" s="2"/>
      <c r="F105" s="6">
        <f t="shared" si="63"/>
        <v>0</v>
      </c>
      <c r="G105" s="2"/>
      <c r="H105" s="7"/>
      <c r="I105" s="2"/>
      <c r="J105" s="6">
        <f t="shared" si="64"/>
        <v>0</v>
      </c>
      <c r="K105" s="2"/>
      <c r="L105" s="7">
        <f t="shared" si="65"/>
        <v>0</v>
      </c>
      <c r="M105" s="2"/>
      <c r="N105" s="6">
        <f t="shared" si="66"/>
        <v>0</v>
      </c>
      <c r="O105" s="11"/>
      <c r="P105" s="7">
        <v>81.739999999999995</v>
      </c>
      <c r="Q105" s="2"/>
      <c r="R105" s="6">
        <f t="shared" si="67"/>
        <v>3.4568079271448338E-5</v>
      </c>
      <c r="S105" s="2"/>
      <c r="T105" s="7"/>
      <c r="U105" s="2"/>
      <c r="V105" s="6">
        <f t="shared" si="68"/>
        <v>0</v>
      </c>
      <c r="W105" s="2"/>
      <c r="X105" s="7">
        <f t="shared" si="69"/>
        <v>81.739999999999995</v>
      </c>
      <c r="Y105" s="2"/>
      <c r="Z105" s="6">
        <f t="shared" si="70"/>
        <v>0</v>
      </c>
    </row>
    <row r="106" spans="1:26" s="24" customFormat="1" hidden="1" outlineLevel="2" x14ac:dyDescent="0.25">
      <c r="A106" s="26"/>
      <c r="B106" s="11" t="str">
        <f>CONCATENATE("          ", "6247", " - ", "STORE SUPPLIES")</f>
        <v xml:space="preserve">          6247 - STORE SUPPLIES</v>
      </c>
      <c r="C106" s="11"/>
      <c r="D106" s="7">
        <v>493.49</v>
      </c>
      <c r="E106" s="2"/>
      <c r="F106" s="6">
        <f t="shared" si="63"/>
        <v>17.400916784203105</v>
      </c>
      <c r="G106" s="2"/>
      <c r="H106" s="7">
        <v>3195</v>
      </c>
      <c r="I106" s="2"/>
      <c r="J106" s="6">
        <f t="shared" si="64"/>
        <v>1.2012181367020076E-2</v>
      </c>
      <c r="K106" s="2"/>
      <c r="L106" s="7">
        <f t="shared" si="65"/>
        <v>-2701.51</v>
      </c>
      <c r="M106" s="2"/>
      <c r="N106" s="6">
        <f t="shared" si="66"/>
        <v>-0.84554303599374026</v>
      </c>
      <c r="O106" s="11"/>
      <c r="P106" s="7">
        <v>36601.379999999997</v>
      </c>
      <c r="Q106" s="2"/>
      <c r="R106" s="6">
        <f t="shared" si="67"/>
        <v>1.5478828055840515E-2</v>
      </c>
      <c r="S106" s="2"/>
      <c r="T106" s="7">
        <v>34673</v>
      </c>
      <c r="U106" s="2"/>
      <c r="V106" s="6">
        <f t="shared" si="68"/>
        <v>1.0907135304282745E-2</v>
      </c>
      <c r="W106" s="2"/>
      <c r="X106" s="7">
        <f t="shared" si="69"/>
        <v>1928.3799999999974</v>
      </c>
      <c r="Y106" s="2"/>
      <c r="Z106" s="6">
        <f t="shared" si="70"/>
        <v>5.5616185504571203E-2</v>
      </c>
    </row>
    <row r="107" spans="1:26" s="24" customFormat="1" hidden="1" outlineLevel="2" x14ac:dyDescent="0.25">
      <c r="A107" s="26"/>
      <c r="B107" s="11" t="str">
        <f>CONCATENATE("          ", "6248", " - ", "UNIFORMS")</f>
        <v xml:space="preserve">          6248 - UNIFORMS</v>
      </c>
      <c r="C107" s="11"/>
      <c r="D107" s="7">
        <v>41.07</v>
      </c>
      <c r="E107" s="2"/>
      <c r="F107" s="6">
        <f t="shared" si="63"/>
        <v>1.4481664315937941</v>
      </c>
      <c r="G107" s="2"/>
      <c r="H107" s="7"/>
      <c r="I107" s="2"/>
      <c r="J107" s="6">
        <f t="shared" si="64"/>
        <v>0</v>
      </c>
      <c r="K107" s="2"/>
      <c r="L107" s="7">
        <f t="shared" si="65"/>
        <v>41.07</v>
      </c>
      <c r="M107" s="2"/>
      <c r="N107" s="6">
        <f t="shared" si="66"/>
        <v>0</v>
      </c>
      <c r="O107" s="11"/>
      <c r="P107" s="7">
        <v>194.18</v>
      </c>
      <c r="Q107" s="2"/>
      <c r="R107" s="6">
        <f t="shared" si="67"/>
        <v>8.2119276155246366E-5</v>
      </c>
      <c r="S107" s="2"/>
      <c r="T107" s="7">
        <v>600</v>
      </c>
      <c r="U107" s="2"/>
      <c r="V107" s="6">
        <f t="shared" si="68"/>
        <v>1.8874285993625146E-4</v>
      </c>
      <c r="W107" s="2"/>
      <c r="X107" s="7">
        <f t="shared" si="69"/>
        <v>-405.82</v>
      </c>
      <c r="Y107" s="2"/>
      <c r="Z107" s="6">
        <f t="shared" si="70"/>
        <v>-0.67636666666666667</v>
      </c>
    </row>
    <row r="108" spans="1:26" s="27" customFormat="1" outlineLevel="1" collapsed="1" x14ac:dyDescent="0.25">
      <c r="A108" s="25"/>
      <c r="B108" s="12" t="str">
        <f>CONCATENATE("     ","Telephone/Data Lines                              ")</f>
        <v xml:space="preserve">     Telephone/Data Lines                              </v>
      </c>
      <c r="C108" s="12"/>
      <c r="D108" s="1">
        <f>SUM(OSRRefD22_20x_0)</f>
        <v>400.8</v>
      </c>
      <c r="E108" s="1"/>
      <c r="F108" s="5">
        <f t="shared" ref="F108:F114" si="71">IF(D$12=0,0,D108/D$12)</f>
        <v>14.132581100141044</v>
      </c>
      <c r="G108" s="1"/>
      <c r="H108" s="1">
        <f>SUM(OSRRefH22_20x_0)</f>
        <v>340</v>
      </c>
      <c r="I108" s="1"/>
      <c r="J108" s="5">
        <f t="shared" ref="J108:J114" si="72">IF(H$12=0,0,H108/H$12)</f>
        <v>1.278291600872246E-3</v>
      </c>
      <c r="K108" s="1"/>
      <c r="L108" s="1">
        <f t="shared" ref="L108:L114" si="73">+D108-H108</f>
        <v>60.800000000000011</v>
      </c>
      <c r="M108" s="1"/>
      <c r="N108" s="5">
        <f t="shared" ref="N108:N114" si="74">IF(H108=0,0,L108/H108)</f>
        <v>0.17882352941176474</v>
      </c>
      <c r="O108" s="12"/>
      <c r="P108" s="1">
        <f>SUM(OSRRefP22_20x_0)</f>
        <v>4376.67</v>
      </c>
      <c r="Q108" s="1"/>
      <c r="R108" s="5">
        <f t="shared" ref="R108:R114" si="75">IF(P$12=0,0,P108/P$12)</f>
        <v>1.8509062332391704E-3</v>
      </c>
      <c r="S108" s="1"/>
      <c r="T108" s="1">
        <f>SUM(OSRRefT22_20x_0)</f>
        <v>3740</v>
      </c>
      <c r="U108" s="1"/>
      <c r="V108" s="5">
        <f t="shared" ref="V108:V114" si="76">IF(T$12=0,0,T108/T$12)</f>
        <v>1.1764971602693007E-3</v>
      </c>
      <c r="W108" s="1"/>
      <c r="X108" s="1">
        <f t="shared" ref="X108:X114" si="77">+P108-T108</f>
        <v>636.67000000000007</v>
      </c>
      <c r="Y108" s="1"/>
      <c r="Z108" s="5">
        <f t="shared" ref="Z108:Z114" si="78">IF(T108=0,0,X108/T108)</f>
        <v>0.17023262032085562</v>
      </c>
    </row>
    <row r="109" spans="1:26" s="24" customFormat="1" hidden="1" outlineLevel="2" x14ac:dyDescent="0.25">
      <c r="A109" s="26"/>
      <c r="B109" s="11" t="str">
        <f>CONCATENATE("          ", "6309", " - ", "TELEPHONE")</f>
        <v xml:space="preserve">          6309 - TELEPHONE</v>
      </c>
      <c r="C109" s="11"/>
      <c r="D109" s="7">
        <v>400.8</v>
      </c>
      <c r="E109" s="2"/>
      <c r="F109" s="6">
        <f t="shared" si="71"/>
        <v>14.132581100141044</v>
      </c>
      <c r="G109" s="2"/>
      <c r="H109" s="7">
        <v>340</v>
      </c>
      <c r="I109" s="2"/>
      <c r="J109" s="6">
        <f t="shared" si="72"/>
        <v>1.278291600872246E-3</v>
      </c>
      <c r="K109" s="2"/>
      <c r="L109" s="7">
        <f t="shared" si="73"/>
        <v>60.800000000000011</v>
      </c>
      <c r="M109" s="2"/>
      <c r="N109" s="6">
        <f t="shared" si="74"/>
        <v>0.17882352941176474</v>
      </c>
      <c r="O109" s="11"/>
      <c r="P109" s="7">
        <v>4376.67</v>
      </c>
      <c r="Q109" s="2"/>
      <c r="R109" s="6">
        <f t="shared" si="75"/>
        <v>1.8509062332391704E-3</v>
      </c>
      <c r="S109" s="2"/>
      <c r="T109" s="7">
        <v>3740</v>
      </c>
      <c r="U109" s="2"/>
      <c r="V109" s="6">
        <f t="shared" si="76"/>
        <v>1.1764971602693007E-3</v>
      </c>
      <c r="W109" s="2"/>
      <c r="X109" s="7">
        <f t="shared" si="77"/>
        <v>636.67000000000007</v>
      </c>
      <c r="Y109" s="2"/>
      <c r="Z109" s="6">
        <f t="shared" si="78"/>
        <v>0.17023262032085562</v>
      </c>
    </row>
    <row r="110" spans="1:26" s="27" customFormat="1" outlineLevel="1" collapsed="1" x14ac:dyDescent="0.25">
      <c r="A110" s="25"/>
      <c r="B110" s="12" t="str">
        <f>CONCATENATE("     ","Training                                          ")</f>
        <v xml:space="preserve">     Training                                          </v>
      </c>
      <c r="C110" s="12"/>
      <c r="D110" s="1">
        <f>SUM(OSRRefD22_21x_0)</f>
        <v>0</v>
      </c>
      <c r="E110" s="1"/>
      <c r="F110" s="5">
        <f t="shared" si="71"/>
        <v>0</v>
      </c>
      <c r="G110" s="1"/>
      <c r="H110" s="1">
        <f>SUM(OSRRefH22_21x_0)</f>
        <v>0</v>
      </c>
      <c r="I110" s="1"/>
      <c r="J110" s="5">
        <f t="shared" si="72"/>
        <v>0</v>
      </c>
      <c r="K110" s="1"/>
      <c r="L110" s="1">
        <f t="shared" si="73"/>
        <v>0</v>
      </c>
      <c r="M110" s="1"/>
      <c r="N110" s="5">
        <f t="shared" si="74"/>
        <v>0</v>
      </c>
      <c r="O110" s="12"/>
      <c r="P110" s="1">
        <f>SUM(OSRRefP22_21x_0)</f>
        <v>110</v>
      </c>
      <c r="Q110" s="1"/>
      <c r="R110" s="5">
        <f t="shared" si="75"/>
        <v>4.6519313920471215E-5</v>
      </c>
      <c r="S110" s="1"/>
      <c r="T110" s="1">
        <f>SUM(OSRRefT22_21x_0)</f>
        <v>2200</v>
      </c>
      <c r="U110" s="1"/>
      <c r="V110" s="5">
        <f t="shared" si="76"/>
        <v>6.9205715309958872E-4</v>
      </c>
      <c r="W110" s="1"/>
      <c r="X110" s="1">
        <f t="shared" si="77"/>
        <v>-2090</v>
      </c>
      <c r="Y110" s="1"/>
      <c r="Z110" s="5">
        <f t="shared" si="78"/>
        <v>-0.95</v>
      </c>
    </row>
    <row r="111" spans="1:26" s="24" customFormat="1" hidden="1" outlineLevel="2" x14ac:dyDescent="0.25">
      <c r="A111" s="26"/>
      <c r="B111" s="11" t="str">
        <f>CONCATENATE("          ", "6376", " - ", "TRAINING")</f>
        <v xml:space="preserve">          6376 - TRAINING</v>
      </c>
      <c r="C111" s="11"/>
      <c r="D111" s="7"/>
      <c r="E111" s="2"/>
      <c r="F111" s="6">
        <f t="shared" si="71"/>
        <v>0</v>
      </c>
      <c r="G111" s="2"/>
      <c r="H111" s="7"/>
      <c r="I111" s="2"/>
      <c r="J111" s="6">
        <f t="shared" si="72"/>
        <v>0</v>
      </c>
      <c r="K111" s="2"/>
      <c r="L111" s="7">
        <f t="shared" si="73"/>
        <v>0</v>
      </c>
      <c r="M111" s="2"/>
      <c r="N111" s="6">
        <f t="shared" si="74"/>
        <v>0</v>
      </c>
      <c r="O111" s="11"/>
      <c r="P111" s="7">
        <v>110</v>
      </c>
      <c r="Q111" s="2"/>
      <c r="R111" s="6">
        <f t="shared" si="75"/>
        <v>4.6519313920471215E-5</v>
      </c>
      <c r="S111" s="2"/>
      <c r="T111" s="7">
        <v>2200</v>
      </c>
      <c r="U111" s="2"/>
      <c r="V111" s="6">
        <f t="shared" si="76"/>
        <v>6.9205715309958872E-4</v>
      </c>
      <c r="W111" s="2"/>
      <c r="X111" s="7">
        <f t="shared" si="77"/>
        <v>-2090</v>
      </c>
      <c r="Y111" s="2"/>
      <c r="Z111" s="6">
        <f t="shared" si="78"/>
        <v>-0.95</v>
      </c>
    </row>
    <row r="112" spans="1:26" s="27" customFormat="1" outlineLevel="1" collapsed="1" x14ac:dyDescent="0.25">
      <c r="A112" s="25"/>
      <c r="B112" s="12" t="str">
        <f>CONCATENATE("     ","Travel                                            ")</f>
        <v xml:space="preserve">     Travel                                            </v>
      </c>
      <c r="C112" s="12"/>
      <c r="D112" s="1">
        <f>SUM(OSRRefD22_22x_0)</f>
        <v>0</v>
      </c>
      <c r="E112" s="1"/>
      <c r="F112" s="5">
        <f t="shared" si="71"/>
        <v>0</v>
      </c>
      <c r="G112" s="1"/>
      <c r="H112" s="1">
        <f>SUM(OSRRefH22_22x_0)</f>
        <v>0</v>
      </c>
      <c r="I112" s="1"/>
      <c r="J112" s="5">
        <f t="shared" si="72"/>
        <v>0</v>
      </c>
      <c r="K112" s="1"/>
      <c r="L112" s="1">
        <f t="shared" si="73"/>
        <v>0</v>
      </c>
      <c r="M112" s="1"/>
      <c r="N112" s="5">
        <f t="shared" si="74"/>
        <v>0</v>
      </c>
      <c r="O112" s="12"/>
      <c r="P112" s="1">
        <f>SUM(OSRRefP22_22x_0)</f>
        <v>66</v>
      </c>
      <c r="Q112" s="1"/>
      <c r="R112" s="5">
        <f t="shared" si="75"/>
        <v>2.791158835228273E-5</v>
      </c>
      <c r="S112" s="1"/>
      <c r="T112" s="1">
        <f>SUM(OSRRefT22_22x_0)</f>
        <v>1000</v>
      </c>
      <c r="U112" s="1"/>
      <c r="V112" s="5">
        <f t="shared" si="76"/>
        <v>3.1457143322708575E-4</v>
      </c>
      <c r="W112" s="1"/>
      <c r="X112" s="1">
        <f t="shared" si="77"/>
        <v>-934</v>
      </c>
      <c r="Y112" s="1"/>
      <c r="Z112" s="5">
        <f t="shared" si="78"/>
        <v>-0.93400000000000005</v>
      </c>
    </row>
    <row r="113" spans="1:26" s="24" customFormat="1" hidden="1" outlineLevel="2" x14ac:dyDescent="0.25">
      <c r="A113" s="26"/>
      <c r="B113" s="11" t="str">
        <f>CONCATENATE("          ", "6292", " - ", "TRAVEL/CONFERENCE")</f>
        <v xml:space="preserve">          6292 - TRAVEL/CONFERENCE</v>
      </c>
      <c r="C113" s="11"/>
      <c r="D113" s="7"/>
      <c r="E113" s="2"/>
      <c r="F113" s="6">
        <f t="shared" si="71"/>
        <v>0</v>
      </c>
      <c r="G113" s="2"/>
      <c r="H113" s="7"/>
      <c r="I113" s="2"/>
      <c r="J113" s="6">
        <f t="shared" si="72"/>
        <v>0</v>
      </c>
      <c r="K113" s="2"/>
      <c r="L113" s="7">
        <f t="shared" si="73"/>
        <v>0</v>
      </c>
      <c r="M113" s="2"/>
      <c r="N113" s="6">
        <f t="shared" si="74"/>
        <v>0</v>
      </c>
      <c r="O113" s="11"/>
      <c r="P113" s="7"/>
      <c r="Q113" s="2"/>
      <c r="R113" s="6">
        <f t="shared" si="75"/>
        <v>0</v>
      </c>
      <c r="S113" s="2"/>
      <c r="T113" s="7">
        <v>1000</v>
      </c>
      <c r="U113" s="2"/>
      <c r="V113" s="6">
        <f t="shared" si="76"/>
        <v>3.1457143322708575E-4</v>
      </c>
      <c r="W113" s="2"/>
      <c r="X113" s="7">
        <f t="shared" si="77"/>
        <v>-1000</v>
      </c>
      <c r="Y113" s="2"/>
      <c r="Z113" s="6">
        <f t="shared" si="78"/>
        <v>-1</v>
      </c>
    </row>
    <row r="114" spans="1:26" s="24" customFormat="1" hidden="1" outlineLevel="2" x14ac:dyDescent="0.25">
      <c r="A114" s="26"/>
      <c r="B114" s="11" t="str">
        <f>CONCATENATE("          ", "6298", " - ", "VEHICLE MILEAGE")</f>
        <v xml:space="preserve">          6298 - VEHICLE MILEAGE</v>
      </c>
      <c r="C114" s="11"/>
      <c r="D114" s="7"/>
      <c r="E114" s="2"/>
      <c r="F114" s="6">
        <f t="shared" si="71"/>
        <v>0</v>
      </c>
      <c r="G114" s="2"/>
      <c r="H114" s="7"/>
      <c r="I114" s="2"/>
      <c r="J114" s="6">
        <f t="shared" si="72"/>
        <v>0</v>
      </c>
      <c r="K114" s="2"/>
      <c r="L114" s="7">
        <f t="shared" si="73"/>
        <v>0</v>
      </c>
      <c r="M114" s="2"/>
      <c r="N114" s="6">
        <f t="shared" si="74"/>
        <v>0</v>
      </c>
      <c r="O114" s="11"/>
      <c r="P114" s="7">
        <v>66</v>
      </c>
      <c r="Q114" s="2"/>
      <c r="R114" s="6">
        <f t="shared" si="75"/>
        <v>2.791158835228273E-5</v>
      </c>
      <c r="S114" s="2"/>
      <c r="T114" s="7"/>
      <c r="U114" s="2"/>
      <c r="V114" s="6">
        <f t="shared" si="76"/>
        <v>0</v>
      </c>
      <c r="W114" s="2"/>
      <c r="X114" s="7">
        <f t="shared" si="77"/>
        <v>66</v>
      </c>
      <c r="Y114" s="2"/>
      <c r="Z114" s="6">
        <f t="shared" si="78"/>
        <v>0</v>
      </c>
    </row>
    <row r="115" spans="1:26" s="27" customFormat="1" outlineLevel="1" collapsed="1" x14ac:dyDescent="0.25">
      <c r="A115" s="25"/>
      <c r="B115" s="12" t="str">
        <f>CONCATENATE("     ","Utilities                                         ")</f>
        <v xml:space="preserve">     Utilities                                         </v>
      </c>
      <c r="C115" s="12"/>
      <c r="D115" s="1">
        <f>SUM(OSRRefD22_23x_0)</f>
        <v>1109</v>
      </c>
      <c r="E115" s="1"/>
      <c r="F115" s="5">
        <f t="shared" ref="F115:F116" si="79">IF(D$12=0,0,D115/D$12)</f>
        <v>39.104372355430186</v>
      </c>
      <c r="G115" s="1"/>
      <c r="H115" s="1">
        <f>SUM(OSRRefH22_23x_0)</f>
        <v>1123</v>
      </c>
      <c r="I115" s="1"/>
      <c r="J115" s="5">
        <f t="shared" ref="J115:J116" si="80">IF(H$12=0,0,H115/H$12)</f>
        <v>4.2221219640574481E-3</v>
      </c>
      <c r="K115" s="1"/>
      <c r="L115" s="1">
        <f t="shared" ref="L115:L116" si="81">+D115-H115</f>
        <v>-14</v>
      </c>
      <c r="M115" s="1"/>
      <c r="N115" s="5">
        <f t="shared" ref="N115:N116" si="82">IF(H115=0,0,L115/H115)</f>
        <v>-1.2466607301869992E-2</v>
      </c>
      <c r="O115" s="12"/>
      <c r="P115" s="1">
        <f>SUM(OSRRefP22_23x_0)</f>
        <v>11603.74</v>
      </c>
      <c r="Q115" s="1"/>
      <c r="R115" s="5">
        <f t="shared" ref="R115:R116" si="83">IF(P$12=0,0,P115/P$12)</f>
        <v>4.9072547610138966E-3</v>
      </c>
      <c r="S115" s="1"/>
      <c r="T115" s="1">
        <f>SUM(OSRRefT22_23x_0)</f>
        <v>12421</v>
      </c>
      <c r="U115" s="1"/>
      <c r="V115" s="5">
        <f t="shared" ref="V115:V116" si="84">IF(T$12=0,0,T115/T$12)</f>
        <v>3.9072917721136319E-3</v>
      </c>
      <c r="W115" s="1"/>
      <c r="X115" s="1">
        <f t="shared" ref="X115:X116" si="85">+P115-T115</f>
        <v>-817.26000000000022</v>
      </c>
      <c r="Y115" s="1"/>
      <c r="Z115" s="5">
        <f t="shared" ref="Z115:Z116" si="86">IF(T115=0,0,X115/T115)</f>
        <v>-6.5796634731503115E-2</v>
      </c>
    </row>
    <row r="116" spans="1:26" s="24" customFormat="1" hidden="1" outlineLevel="2" x14ac:dyDescent="0.25">
      <c r="A116" s="26"/>
      <c r="B116" s="11" t="str">
        <f>CONCATENATE("          ", "6274", " - ", "UTILITIES")</f>
        <v xml:space="preserve">          6274 - UTILITIES</v>
      </c>
      <c r="C116" s="11"/>
      <c r="D116" s="7">
        <v>1109</v>
      </c>
      <c r="E116" s="2"/>
      <c r="F116" s="6">
        <f t="shared" si="79"/>
        <v>39.104372355430186</v>
      </c>
      <c r="G116" s="2"/>
      <c r="H116" s="7">
        <v>1123</v>
      </c>
      <c r="I116" s="2"/>
      <c r="J116" s="6">
        <f t="shared" si="80"/>
        <v>4.2221219640574481E-3</v>
      </c>
      <c r="K116" s="2"/>
      <c r="L116" s="7">
        <f t="shared" si="81"/>
        <v>-14</v>
      </c>
      <c r="M116" s="2"/>
      <c r="N116" s="6">
        <f t="shared" si="82"/>
        <v>-1.2466607301869992E-2</v>
      </c>
      <c r="O116" s="11"/>
      <c r="P116" s="7">
        <v>11603.74</v>
      </c>
      <c r="Q116" s="2"/>
      <c r="R116" s="6">
        <f t="shared" si="83"/>
        <v>4.9072547610138966E-3</v>
      </c>
      <c r="S116" s="2"/>
      <c r="T116" s="7">
        <v>12421</v>
      </c>
      <c r="U116" s="2"/>
      <c r="V116" s="6">
        <f t="shared" si="84"/>
        <v>3.9072917721136319E-3</v>
      </c>
      <c r="W116" s="2"/>
      <c r="X116" s="7">
        <f t="shared" si="85"/>
        <v>-817.26000000000022</v>
      </c>
      <c r="Y116" s="2"/>
      <c r="Z116" s="6">
        <f t="shared" si="86"/>
        <v>-6.5796634731503115E-2</v>
      </c>
    </row>
    <row r="117" spans="1:26" s="62" customFormat="1" x14ac:dyDescent="0.25">
      <c r="A117" s="36"/>
      <c r="B117" s="36"/>
      <c r="C117" s="36"/>
      <c r="D117" s="1"/>
      <c r="E117" s="1"/>
      <c r="F117" s="5"/>
      <c r="G117" s="1"/>
      <c r="H117" s="1"/>
      <c r="I117" s="1"/>
      <c r="J117" s="5"/>
      <c r="K117" s="1"/>
      <c r="L117" s="1"/>
      <c r="M117" s="1"/>
      <c r="N117" s="5"/>
      <c r="O117" s="36"/>
      <c r="P117" s="1"/>
      <c r="Q117" s="1"/>
      <c r="R117" s="5"/>
      <c r="S117" s="1"/>
      <c r="T117" s="1"/>
      <c r="U117" s="1"/>
      <c r="V117" s="5"/>
      <c r="W117" s="1"/>
      <c r="X117" s="1"/>
      <c r="Y117" s="1"/>
      <c r="Z117" s="5"/>
    </row>
    <row r="118" spans="1:26" s="23" customFormat="1" x14ac:dyDescent="0.25">
      <c r="A118" s="10"/>
      <c r="B118" s="28" t="s">
        <v>0</v>
      </c>
      <c r="C118" s="10"/>
      <c r="D118" s="4">
        <f>SUM(0)</f>
        <v>0</v>
      </c>
      <c r="E118" s="4"/>
      <c r="F118" s="13">
        <f>IF(D$12=0,0,D118/D$12)</f>
        <v>0</v>
      </c>
      <c r="G118" s="4"/>
      <c r="H118" s="4">
        <f>SUM(0)</f>
        <v>0</v>
      </c>
      <c r="I118" s="4"/>
      <c r="J118" s="13">
        <f>IF(H$12=0,0,H118/H$12)</f>
        <v>0</v>
      </c>
      <c r="K118" s="4"/>
      <c r="L118" s="4">
        <f>+D118-H118</f>
        <v>0</v>
      </c>
      <c r="M118" s="4"/>
      <c r="N118" s="13">
        <f>IF(H118=0,0,L118/H118)</f>
        <v>0</v>
      </c>
      <c r="O118" s="10"/>
      <c r="P118" s="4">
        <f>SUM(0)</f>
        <v>0</v>
      </c>
      <c r="Q118" s="4"/>
      <c r="R118" s="13">
        <f>IF(P$12=0,0,P118/P$12)</f>
        <v>0</v>
      </c>
      <c r="S118" s="4"/>
      <c r="T118" s="4">
        <f>SUM(0)</f>
        <v>0</v>
      </c>
      <c r="U118" s="4"/>
      <c r="V118" s="13">
        <f>IF(T$12=0,0,T118/T$12)</f>
        <v>0</v>
      </c>
      <c r="W118" s="4"/>
      <c r="X118" s="4">
        <f>+P118-T118</f>
        <v>0</v>
      </c>
      <c r="Y118" s="4"/>
      <c r="Z118" s="13">
        <f>IF(T118=0,0,X118/T118)</f>
        <v>0</v>
      </c>
    </row>
    <row r="119" spans="1:26" x14ac:dyDescent="0.25">
      <c r="A119" s="9"/>
      <c r="B119" s="10"/>
      <c r="C119" s="10"/>
      <c r="D119" s="3"/>
      <c r="E119" s="3"/>
      <c r="F119" s="8"/>
      <c r="G119" s="3"/>
      <c r="H119" s="3"/>
      <c r="I119" s="3"/>
      <c r="J119" s="8"/>
      <c r="K119" s="3"/>
      <c r="L119" s="3"/>
      <c r="M119" s="3"/>
      <c r="N119" s="8"/>
      <c r="O119" s="10"/>
      <c r="P119" s="3"/>
      <c r="Q119" s="3"/>
      <c r="R119" s="8"/>
      <c r="S119" s="3"/>
      <c r="T119" s="3"/>
      <c r="U119" s="3"/>
      <c r="V119" s="8"/>
      <c r="W119" s="3"/>
      <c r="X119" s="3"/>
      <c r="Y119" s="3"/>
      <c r="Z119" s="8"/>
    </row>
    <row r="120" spans="1:26" s="23" customFormat="1" x14ac:dyDescent="0.25">
      <c r="A120" s="10"/>
      <c r="B120" s="29" t="s">
        <v>3</v>
      </c>
      <c r="C120" s="29"/>
      <c r="D120" s="20">
        <f>+D31-D33+D118</f>
        <v>-33684.75</v>
      </c>
      <c r="E120" s="14"/>
      <c r="F120" s="22">
        <f>IF(D$12=0,0,D120/D$12)</f>
        <v>-1187.7556417489423</v>
      </c>
      <c r="G120" s="14"/>
      <c r="H120" s="20">
        <f>+H31-H33+H118</f>
        <v>26804.334457552308</v>
      </c>
      <c r="I120" s="14"/>
      <c r="J120" s="22">
        <f>IF(H$12=0,0,H120/H$12)</f>
        <v>0.10077575177664602</v>
      </c>
      <c r="K120" s="16"/>
      <c r="L120" s="20">
        <f>+D120-H120</f>
        <v>-60489.084457552308</v>
      </c>
      <c r="M120" s="16"/>
      <c r="N120" s="22">
        <f>IF(H120=0,0,L120/H120)</f>
        <v>-2.2566904077899643</v>
      </c>
      <c r="O120" s="28"/>
      <c r="P120" s="20">
        <f>+P31-P33+P118</f>
        <v>100600.09999999998</v>
      </c>
      <c r="Q120" s="14"/>
      <c r="R120" s="22">
        <f>IF(P$12=0,0,P120/P$12)</f>
        <v>4.2544069384825411E-2</v>
      </c>
      <c r="S120" s="14"/>
      <c r="T120" s="20">
        <f>+T31-T33+T118</f>
        <v>451210.70779148769</v>
      </c>
      <c r="U120" s="14"/>
      <c r="V120" s="22">
        <f>IF(T$12=0,0,T120/T$12)</f>
        <v>0.14193799903737608</v>
      </c>
      <c r="W120" s="16"/>
      <c r="X120" s="20">
        <f>+P120-T120</f>
        <v>-350610.60779148771</v>
      </c>
      <c r="Y120" s="16"/>
      <c r="Z120" s="22">
        <f>IF(T120=0,0,X120/T120)</f>
        <v>-0.77704407660802011</v>
      </c>
    </row>
    <row r="121" spans="1:26" x14ac:dyDescent="0.25">
      <c r="A121" s="9"/>
      <c r="B121" s="10"/>
      <c r="C121" s="9"/>
      <c r="D121" s="3"/>
      <c r="E121" s="3"/>
      <c r="F121" s="8"/>
      <c r="G121" s="3"/>
      <c r="H121" s="3"/>
      <c r="I121" s="3"/>
      <c r="J121" s="8"/>
      <c r="K121" s="3"/>
      <c r="L121" s="3"/>
      <c r="M121" s="3"/>
      <c r="N121" s="8"/>
      <c r="P121" s="3"/>
      <c r="Q121" s="3"/>
      <c r="R121" s="8"/>
      <c r="S121" s="3"/>
      <c r="T121" s="3"/>
      <c r="U121" s="3"/>
      <c r="V121" s="8"/>
      <c r="W121" s="3"/>
      <c r="X121" s="3"/>
      <c r="Y121" s="3"/>
      <c r="Z121" s="8"/>
    </row>
    <row r="122" spans="1:26" s="23" customFormat="1" x14ac:dyDescent="0.25">
      <c r="A122" s="52"/>
      <c r="B122" s="10" t="s">
        <v>14</v>
      </c>
      <c r="C122" s="10"/>
      <c r="D122" s="4">
        <v>11525.44</v>
      </c>
      <c r="E122" s="4"/>
      <c r="F122" s="13">
        <f>IF(D$12=0,0,D122/D$12)</f>
        <v>406.39774330042314</v>
      </c>
      <c r="G122" s="4"/>
      <c r="H122" s="4">
        <v>27847</v>
      </c>
      <c r="I122" s="4"/>
      <c r="J122" s="13">
        <f>IF(H$12=0,0,H122/H$12)</f>
        <v>0.10469584179261598</v>
      </c>
      <c r="K122" s="4"/>
      <c r="L122" s="4">
        <f>+D122-H122</f>
        <v>-16321.56</v>
      </c>
      <c r="M122" s="4"/>
      <c r="N122" s="13">
        <f>IF(H122=0,0,L122/H122)</f>
        <v>-0.58611556002441911</v>
      </c>
      <c r="O122" s="10"/>
      <c r="P122" s="4">
        <v>280006.67000000004</v>
      </c>
      <c r="Q122" s="4"/>
      <c r="R122" s="13">
        <f>IF(P$12=0,0,P122/P$12)</f>
        <v>0.11841561983232538</v>
      </c>
      <c r="S122" s="4"/>
      <c r="T122" s="4">
        <v>368199</v>
      </c>
      <c r="U122" s="4"/>
      <c r="V122" s="13">
        <f>IF(T$12=0,0,T122/T$12)</f>
        <v>0.11582488714277975</v>
      </c>
      <c r="W122" s="4"/>
      <c r="X122" s="4">
        <f>+P122-T122</f>
        <v>-88192.329999999958</v>
      </c>
      <c r="Y122" s="4"/>
      <c r="Z122" s="13">
        <f>IF(T122=0,0,X122/T122)</f>
        <v>-0.23952354569132442</v>
      </c>
    </row>
    <row r="123" spans="1:26" x14ac:dyDescent="0.25">
      <c r="A123" s="9"/>
      <c r="B123" s="10"/>
      <c r="C123" s="10"/>
      <c r="D123" s="3"/>
      <c r="E123" s="3"/>
      <c r="F123" s="8"/>
      <c r="G123" s="3"/>
      <c r="H123" s="3"/>
      <c r="I123" s="3"/>
      <c r="J123" s="8"/>
      <c r="K123" s="3"/>
      <c r="L123" s="3"/>
      <c r="M123" s="3"/>
      <c r="N123" s="8"/>
      <c r="O123" s="10"/>
      <c r="P123" s="3"/>
      <c r="Q123" s="3"/>
      <c r="R123" s="8"/>
      <c r="S123" s="3"/>
      <c r="T123" s="3"/>
      <c r="U123" s="3"/>
      <c r="V123" s="8"/>
      <c r="W123" s="3"/>
      <c r="X123" s="3"/>
      <c r="Y123" s="3"/>
      <c r="Z123" s="8"/>
    </row>
    <row r="124" spans="1:26" s="23" customFormat="1" ht="15.75" thickBot="1" x14ac:dyDescent="0.3">
      <c r="A124" s="10"/>
      <c r="B124" s="29" t="s">
        <v>4</v>
      </c>
      <c r="C124" s="29"/>
      <c r="D124" s="35">
        <f>+D120-D122</f>
        <v>-45210.19</v>
      </c>
      <c r="E124" s="14"/>
      <c r="F124" s="32">
        <f>IF(D$12=0,0,D124/D$12)</f>
        <v>-1594.1533850493654</v>
      </c>
      <c r="G124" s="14"/>
      <c r="H124" s="35">
        <f>+H120-H122</f>
        <v>-1042.6655424476921</v>
      </c>
      <c r="I124" s="14"/>
      <c r="J124" s="32">
        <f>IF(H$12=0,0,H124/H$12)</f>
        <v>-3.9200900159699677E-3</v>
      </c>
      <c r="K124" s="16"/>
      <c r="L124" s="35">
        <f>D124-H124</f>
        <v>-44167.52445755231</v>
      </c>
      <c r="M124" s="16"/>
      <c r="N124" s="32">
        <f>IF(H124=0,0,L124/H124)</f>
        <v>42.360203401243673</v>
      </c>
      <c r="O124" s="28"/>
      <c r="P124" s="35">
        <f>+P120-P122</f>
        <v>-179406.57000000007</v>
      </c>
      <c r="Q124" s="14"/>
      <c r="R124" s="32">
        <f>IF(P$12=0,0,P124/P$12)</f>
        <v>-7.5871550447499964E-2</v>
      </c>
      <c r="S124" s="14"/>
      <c r="T124" s="35">
        <f>+T120-T122</f>
        <v>83011.707791487686</v>
      </c>
      <c r="U124" s="14"/>
      <c r="V124" s="32">
        <f>IF(T$12=0,0,T124/T$12)</f>
        <v>2.6113111894596325E-2</v>
      </c>
      <c r="W124" s="16"/>
      <c r="X124" s="35">
        <f>P124-T124</f>
        <v>-262418.27779148775</v>
      </c>
      <c r="Y124" s="16"/>
      <c r="Z124" s="32">
        <f>IF(T124=0,0,X124/T124)</f>
        <v>-3.1612200829627679</v>
      </c>
    </row>
    <row r="125" spans="1:26" ht="15.75" thickTop="1" x14ac:dyDescent="0.25">
      <c r="A125" s="9"/>
      <c r="B125" s="9"/>
      <c r="C125" s="9"/>
      <c r="D125" s="3"/>
      <c r="E125" s="3"/>
      <c r="F125" s="8"/>
      <c r="G125" s="3"/>
      <c r="H125" s="3"/>
      <c r="I125" s="3"/>
      <c r="J125" s="8"/>
      <c r="K125" s="3"/>
      <c r="L125" s="3"/>
      <c r="M125" s="3"/>
      <c r="N125" s="8"/>
      <c r="P125" s="3"/>
      <c r="Q125" s="3"/>
      <c r="R125" s="8"/>
      <c r="S125" s="3"/>
      <c r="T125" s="3"/>
      <c r="U125" s="3"/>
      <c r="V125" s="8"/>
      <c r="W125" s="3"/>
      <c r="X125" s="3"/>
      <c r="Y125" s="3"/>
      <c r="Z125" s="8"/>
    </row>
    <row r="126" spans="1:26" x14ac:dyDescent="0.25">
      <c r="A126" s="9"/>
      <c r="B126" s="9"/>
      <c r="C126" s="9"/>
      <c r="D126" s="3"/>
      <c r="E126" s="3"/>
      <c r="F126" s="8"/>
      <c r="G126" s="3"/>
      <c r="H126" s="3"/>
      <c r="I126" s="3"/>
      <c r="J126" s="8"/>
      <c r="K126" s="3"/>
      <c r="L126" s="3"/>
      <c r="M126" s="3"/>
      <c r="N126" s="8"/>
      <c r="P126" s="3"/>
      <c r="Q126" s="3"/>
      <c r="R126" s="8"/>
      <c r="S126" s="3"/>
      <c r="T126" s="3"/>
      <c r="U126" s="3"/>
      <c r="V126" s="8"/>
      <c r="W126" s="3"/>
      <c r="X126" s="3"/>
      <c r="Y126" s="3"/>
      <c r="Z126" s="8"/>
    </row>
    <row r="127" spans="1:26" s="23" customFormat="1" ht="15.75" thickBot="1" x14ac:dyDescent="0.3">
      <c r="A127" s="10"/>
      <c r="B127" s="29" t="s">
        <v>5</v>
      </c>
      <c r="C127" s="29"/>
      <c r="D127" s="34">
        <f>SUM(D124:D126)</f>
        <v>-45210.19</v>
      </c>
      <c r="E127" s="14"/>
      <c r="F127" s="31">
        <f>IF(D$12=0,0,D127/D$12)</f>
        <v>-1594.1533850493654</v>
      </c>
      <c r="G127" s="14"/>
      <c r="H127" s="34">
        <f>SUM(H124:H126)</f>
        <v>-1042.6655424476921</v>
      </c>
      <c r="I127" s="14"/>
      <c r="J127" s="31">
        <f>IF(H$12=0,0,H127/H$12)</f>
        <v>-3.9200900159699677E-3</v>
      </c>
      <c r="K127" s="16"/>
      <c r="L127" s="34">
        <f>+D127-H127</f>
        <v>-44167.52445755231</v>
      </c>
      <c r="M127" s="16"/>
      <c r="N127" s="31">
        <f>IF(H127=0,0,L127/H127)</f>
        <v>42.360203401243673</v>
      </c>
      <c r="O127" s="28"/>
      <c r="P127" s="34">
        <f>SUM(P124:P126)</f>
        <v>-179406.57000000007</v>
      </c>
      <c r="Q127" s="14"/>
      <c r="R127" s="31">
        <f>IF(P$12=0,0,P127/P$12)</f>
        <v>-7.5871550447499964E-2</v>
      </c>
      <c r="S127" s="14"/>
      <c r="T127" s="34">
        <f>SUM(T124:T126)</f>
        <v>83011.707791487686</v>
      </c>
      <c r="U127" s="14"/>
      <c r="V127" s="31">
        <f>IF(T$12=0,0,T127/T$12)</f>
        <v>2.6113111894596325E-2</v>
      </c>
      <c r="W127" s="16"/>
      <c r="X127" s="34">
        <f>+P127-T127</f>
        <v>-262418.27779148775</v>
      </c>
      <c r="Y127" s="16"/>
      <c r="Z127" s="31">
        <f>IF(T127=0,0,X127/T127)</f>
        <v>-3.1612200829627679</v>
      </c>
    </row>
    <row r="128" spans="1:26" ht="15.75" thickTop="1" x14ac:dyDescent="0.25">
      <c r="A128" s="9"/>
      <c r="C128" s="9"/>
      <c r="D128" s="18"/>
      <c r="E128" s="18"/>
      <c r="G128" s="18"/>
      <c r="H128" s="18"/>
      <c r="I128" s="18"/>
      <c r="J128" s="42"/>
      <c r="K128" s="18"/>
      <c r="L128" s="18"/>
      <c r="M128" s="18"/>
      <c r="P128" s="18"/>
      <c r="Q128" s="18"/>
      <c r="R128" s="42"/>
      <c r="S128" s="18"/>
      <c r="T128" s="18"/>
      <c r="U128" s="18"/>
      <c r="V128" s="42"/>
      <c r="W128" s="18"/>
      <c r="X128" s="18"/>
    </row>
    <row r="129" spans="1:24" x14ac:dyDescent="0.25">
      <c r="A129" s="9"/>
      <c r="B129" s="59">
        <v>43992.371053240742</v>
      </c>
      <c r="D129" s="18"/>
      <c r="E129" s="18"/>
      <c r="G129" s="18"/>
      <c r="H129" s="18"/>
      <c r="I129" s="18"/>
      <c r="J129" s="42"/>
      <c r="K129" s="18"/>
      <c r="L129" s="18"/>
      <c r="M129" s="18"/>
      <c r="P129" s="18"/>
      <c r="Q129" s="18"/>
      <c r="R129" s="42"/>
      <c r="S129" s="18"/>
      <c r="T129" s="18"/>
      <c r="U129" s="18"/>
      <c r="V129" s="42"/>
      <c r="W129" s="18"/>
      <c r="X129" s="18"/>
    </row>
    <row r="130" spans="1:24" x14ac:dyDescent="0.25">
      <c r="A130" s="9"/>
      <c r="B130" s="56" t="s">
        <v>314</v>
      </c>
      <c r="D130" s="18"/>
      <c r="E130" s="18"/>
      <c r="G130" s="18"/>
      <c r="H130" s="18"/>
      <c r="I130" s="18"/>
      <c r="J130" s="42"/>
      <c r="K130" s="18"/>
      <c r="L130" s="18"/>
      <c r="M130" s="18"/>
      <c r="P130" s="18"/>
      <c r="Q130" s="18"/>
      <c r="R130" s="42"/>
      <c r="S130" s="18"/>
      <c r="T130" s="18"/>
      <c r="U130" s="18"/>
      <c r="V130" s="42"/>
      <c r="W130" s="18"/>
      <c r="X130" s="18"/>
    </row>
    <row r="131" spans="1:24" x14ac:dyDescent="0.25">
      <c r="A131" s="9"/>
      <c r="B131" s="54"/>
      <c r="D131" s="18"/>
      <c r="E131" s="18"/>
      <c r="G131" s="18"/>
      <c r="H131" s="18"/>
      <c r="I131" s="18"/>
      <c r="J131" s="42"/>
      <c r="K131" s="18"/>
      <c r="L131" s="18"/>
      <c r="M131" s="18"/>
      <c r="P131" s="18"/>
      <c r="Q131" s="18"/>
      <c r="R131" s="42"/>
      <c r="S131" s="18"/>
      <c r="T131" s="18"/>
      <c r="U131" s="18"/>
      <c r="V131" s="42"/>
      <c r="W131" s="18"/>
      <c r="X131" s="18"/>
    </row>
    <row r="132" spans="1:24" x14ac:dyDescent="0.25">
      <c r="D132" s="18"/>
      <c r="E132" s="18"/>
      <c r="G132" s="18"/>
      <c r="H132" s="18"/>
      <c r="I132" s="18"/>
      <c r="J132" s="42"/>
      <c r="K132" s="18"/>
      <c r="L132" s="18"/>
      <c r="M132" s="18"/>
      <c r="P132" s="18"/>
      <c r="Q132" s="18"/>
      <c r="R132" s="42"/>
      <c r="S132" s="18"/>
      <c r="T132" s="18"/>
      <c r="U132" s="18"/>
      <c r="V132" s="42"/>
      <c r="W132" s="18"/>
      <c r="X132" s="18"/>
    </row>
  </sheetData>
  <pageMargins left="0.25" right="0.25" top="0.75" bottom="0.75" header="0.3" footer="0.3"/>
  <pageSetup scale="55" fitToWidth="2" orientation="landscape"/>
  <drawing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9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63" t="s">
        <v>13</v>
      </c>
    </row>
    <row r="3" spans="1:26" x14ac:dyDescent="0.25">
      <c r="D3" s="63" t="s">
        <v>296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61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63" t="str">
        <f>CONCATENATE("Period ",RIGHT(202011,2),", ",2020)</f>
        <v>Period 11, 2020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61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4">
        <v>43981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61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51"/>
      <c r="C6" s="51"/>
      <c r="D6" s="23" t="str">
        <f>CONCATENATE("Department ","309", " - ", "Carts")</f>
        <v>Department 309 - Carts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57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5" t="s">
        <v>294</v>
      </c>
      <c r="E9" s="15"/>
      <c r="F9" s="38"/>
      <c r="G9" s="15"/>
      <c r="H9" s="15"/>
      <c r="I9" s="15"/>
      <c r="J9" s="46"/>
      <c r="K9" s="15"/>
      <c r="L9" s="15"/>
      <c r="M9" s="15"/>
      <c r="N9" s="38"/>
      <c r="P9" s="15" t="s">
        <v>295</v>
      </c>
      <c r="Q9" s="15"/>
      <c r="R9" s="38"/>
      <c r="S9" s="15"/>
      <c r="T9" s="15"/>
      <c r="U9" s="15"/>
      <c r="V9" s="46"/>
      <c r="W9" s="15"/>
      <c r="X9" s="15"/>
      <c r="Y9" s="15"/>
      <c r="Z9" s="38"/>
    </row>
    <row r="10" spans="1:26" x14ac:dyDescent="0.25">
      <c r="A10" s="10"/>
      <c r="B10" s="55"/>
      <c r="C10" s="10"/>
      <c r="D10" s="43" t="s">
        <v>10</v>
      </c>
      <c r="E10" s="33"/>
      <c r="F10" s="40" t="s">
        <v>15</v>
      </c>
      <c r="G10" s="33"/>
      <c r="H10" s="47" t="s">
        <v>11</v>
      </c>
      <c r="I10" s="33"/>
      <c r="J10" s="45" t="s">
        <v>16</v>
      </c>
      <c r="K10" s="10"/>
      <c r="L10" s="43" t="s">
        <v>12</v>
      </c>
      <c r="M10" s="10"/>
      <c r="N10" s="40" t="s">
        <v>17</v>
      </c>
      <c r="O10" s="10"/>
      <c r="P10" s="53" t="s">
        <v>10</v>
      </c>
      <c r="Q10" s="33"/>
      <c r="R10" s="40" t="s">
        <v>15</v>
      </c>
      <c r="S10" s="33"/>
      <c r="T10" s="47" t="s">
        <v>11</v>
      </c>
      <c r="U10" s="33"/>
      <c r="V10" s="45" t="s">
        <v>16</v>
      </c>
      <c r="W10" s="10"/>
      <c r="X10" s="43" t="s">
        <v>12</v>
      </c>
      <c r="Y10" s="10"/>
      <c r="Z10" s="40" t="s">
        <v>17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0</v>
      </c>
      <c r="E12" s="4"/>
      <c r="F12" s="13"/>
      <c r="G12" s="4"/>
      <c r="H12" s="4">
        <f>SUM(OSRRefH13x_0)</f>
        <v>30684</v>
      </c>
      <c r="I12" s="4"/>
      <c r="J12" s="13"/>
      <c r="K12" s="4"/>
      <c r="L12" s="4">
        <f t="shared" ref="L12:L15" si="0">+D12-H12</f>
        <v>-30684</v>
      </c>
      <c r="M12" s="4"/>
      <c r="N12" s="13">
        <f t="shared" ref="N12:N15" si="1">IF(H12=0,0,L12/H12)</f>
        <v>-1</v>
      </c>
      <c r="O12" s="10"/>
      <c r="P12" s="4">
        <f>SUM(OSRRefP13x_0)</f>
        <v>287556.77999999997</v>
      </c>
      <c r="Q12" s="4"/>
      <c r="R12" s="13"/>
      <c r="S12" s="4"/>
      <c r="T12" s="4">
        <f>SUM(OSRRefT13x_0)</f>
        <v>393199</v>
      </c>
      <c r="U12" s="4"/>
      <c r="V12" s="13"/>
      <c r="W12" s="4"/>
      <c r="X12" s="4">
        <f t="shared" ref="X12:X15" si="2">+P12-T12</f>
        <v>-105642.22000000003</v>
      </c>
      <c r="Y12" s="4"/>
      <c r="Z12" s="13">
        <f t="shared" ref="Z12:Z15" si="3">IF(T12=0,0,X12/T12)</f>
        <v>-0.26867367414464438</v>
      </c>
    </row>
    <row r="13" spans="1:26" s="24" customFormat="1" hidden="1" outlineLevel="1" x14ac:dyDescent="0.25">
      <c r="A13" s="44"/>
      <c r="B13" s="11" t="str">
        <f>CONCATENATE("          ", "4051", " - ", "TAXABLE SALES-FOOD")</f>
        <v xml:space="preserve">          4051 - TAXABLE SALES-FOOD</v>
      </c>
      <c r="C13" s="11"/>
      <c r="D13" s="2">
        <f t="shared" ref="D13:D15" si="4">0</f>
        <v>0</v>
      </c>
      <c r="E13" s="2"/>
      <c r="F13" s="19"/>
      <c r="G13" s="2"/>
      <c r="H13" s="2"/>
      <c r="I13" s="2"/>
      <c r="J13" s="19"/>
      <c r="K13" s="2"/>
      <c r="L13" s="2">
        <f t="shared" si="0"/>
        <v>0</v>
      </c>
      <c r="M13" s="2"/>
      <c r="N13" s="19">
        <f t="shared" si="1"/>
        <v>0</v>
      </c>
      <c r="O13" s="11"/>
      <c r="P13" s="2">
        <f>--64154.32</f>
        <v>64154.32</v>
      </c>
      <c r="Q13" s="2"/>
      <c r="R13" s="19"/>
      <c r="S13" s="2"/>
      <c r="T13" s="2"/>
      <c r="U13" s="2"/>
      <c r="V13" s="19"/>
      <c r="W13" s="2"/>
      <c r="X13" s="2">
        <f t="shared" si="2"/>
        <v>64154.32</v>
      </c>
      <c r="Y13" s="2"/>
      <c r="Z13" s="19">
        <f t="shared" si="3"/>
        <v>0</v>
      </c>
    </row>
    <row r="14" spans="1:26" s="24" customFormat="1" hidden="1" outlineLevel="1" x14ac:dyDescent="0.25">
      <c r="A14" s="44"/>
      <c r="B14" s="11" t="str">
        <f>CONCATENATE("          ", "4100", " - ", "NON-TAXABLE SALES")</f>
        <v xml:space="preserve">          4100 - NON-TAXABLE SALES</v>
      </c>
      <c r="C14" s="11"/>
      <c r="D14" s="2">
        <f t="shared" si="4"/>
        <v>0</v>
      </c>
      <c r="E14" s="2"/>
      <c r="F14" s="19"/>
      <c r="G14" s="2"/>
      <c r="H14" s="2">
        <v>30684</v>
      </c>
      <c r="I14" s="2"/>
      <c r="J14" s="19"/>
      <c r="K14" s="2"/>
      <c r="L14" s="2">
        <f t="shared" si="0"/>
        <v>-30684</v>
      </c>
      <c r="M14" s="2"/>
      <c r="N14" s="19">
        <f t="shared" si="1"/>
        <v>-1</v>
      </c>
      <c r="O14" s="11"/>
      <c r="P14" s="2">
        <f>0</f>
        <v>0</v>
      </c>
      <c r="Q14" s="2"/>
      <c r="R14" s="19"/>
      <c r="S14" s="2"/>
      <c r="T14" s="2">
        <v>393199</v>
      </c>
      <c r="U14" s="2"/>
      <c r="V14" s="19"/>
      <c r="W14" s="2"/>
      <c r="X14" s="2">
        <f t="shared" si="2"/>
        <v>-393199</v>
      </c>
      <c r="Y14" s="2"/>
      <c r="Z14" s="19">
        <f t="shared" si="3"/>
        <v>-1</v>
      </c>
    </row>
    <row r="15" spans="1:26" s="24" customFormat="1" hidden="1" outlineLevel="1" x14ac:dyDescent="0.25">
      <c r="A15" s="44"/>
      <c r="B15" s="11" t="str">
        <f>CONCATENATE("          ", "4151", " - ", "NON-TAXABLE SALES-FOOD")</f>
        <v xml:space="preserve">          4151 - NON-TAXABLE SALES-FOOD</v>
      </c>
      <c r="C15" s="11"/>
      <c r="D15" s="2">
        <f t="shared" si="4"/>
        <v>0</v>
      </c>
      <c r="E15" s="2"/>
      <c r="F15" s="19"/>
      <c r="G15" s="2"/>
      <c r="H15" s="2"/>
      <c r="I15" s="2"/>
      <c r="J15" s="19"/>
      <c r="K15" s="2"/>
      <c r="L15" s="2">
        <f t="shared" si="0"/>
        <v>0</v>
      </c>
      <c r="M15" s="2"/>
      <c r="N15" s="19">
        <f t="shared" si="1"/>
        <v>0</v>
      </c>
      <c r="O15" s="11"/>
      <c r="P15" s="2">
        <f>--223402.46</f>
        <v>223402.46</v>
      </c>
      <c r="Q15" s="2"/>
      <c r="R15" s="19"/>
      <c r="S15" s="2"/>
      <c r="T15" s="2"/>
      <c r="U15" s="2"/>
      <c r="V15" s="19"/>
      <c r="W15" s="2"/>
      <c r="X15" s="2">
        <f t="shared" si="2"/>
        <v>223402.46</v>
      </c>
      <c r="Y15" s="2"/>
      <c r="Z15" s="19">
        <f t="shared" si="3"/>
        <v>0</v>
      </c>
    </row>
    <row r="16" spans="1:26" x14ac:dyDescent="0.25">
      <c r="A16" s="9"/>
      <c r="B16" s="10"/>
      <c r="C16" s="9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3" customFormat="1" collapsed="1" x14ac:dyDescent="0.25">
      <c r="A17" s="10"/>
      <c r="B17" s="28" t="s">
        <v>8</v>
      </c>
      <c r="C17" s="10"/>
      <c r="D17" s="4">
        <f>SUM(OSRRefD16x_0)</f>
        <v>0</v>
      </c>
      <c r="E17" s="4"/>
      <c r="F17" s="13">
        <f t="shared" ref="F17:F20" si="5">IF(D$12=0,0,D17/D$12)</f>
        <v>0</v>
      </c>
      <c r="G17" s="4"/>
      <c r="H17" s="4">
        <f>SUM(OSRRefH16x_0)</f>
        <v>15189</v>
      </c>
      <c r="I17" s="4"/>
      <c r="J17" s="13">
        <f t="shared" ref="J17:J20" si="6">IF(H$12=0,0,H17/H$12)</f>
        <v>0.49501368791552602</v>
      </c>
      <c r="K17" s="4"/>
      <c r="L17" s="4">
        <f t="shared" ref="L17:L20" si="7">+D17-H17</f>
        <v>-15189</v>
      </c>
      <c r="M17" s="4"/>
      <c r="N17" s="13">
        <f t="shared" ref="N17:N20" si="8">IF(H17=0,0,L17/H17)</f>
        <v>-1</v>
      </c>
      <c r="O17" s="10"/>
      <c r="P17" s="4">
        <f>SUM(OSRRefP16x_0)</f>
        <v>155212.93999999997</v>
      </c>
      <c r="Q17" s="4"/>
      <c r="R17" s="13">
        <f t="shared" ref="R17:R20" si="9">IF(P$12=0,0,P17/P$12)</f>
        <v>0.53976449451131003</v>
      </c>
      <c r="S17" s="4"/>
      <c r="T17" s="4">
        <f>SUM(OSRRefT16x_0)</f>
        <v>194633</v>
      </c>
      <c r="U17" s="4"/>
      <c r="V17" s="13">
        <f t="shared" ref="V17:V20" si="10">IF(T$12=0,0,T17/T$12)</f>
        <v>0.4949987156630612</v>
      </c>
      <c r="W17" s="4"/>
      <c r="X17" s="4">
        <f t="shared" ref="X17:X20" si="11">+P17-T17</f>
        <v>-39420.060000000027</v>
      </c>
      <c r="Y17" s="4"/>
      <c r="Z17" s="13">
        <f t="shared" ref="Z17:Z20" si="12">IF(T17=0,0,X17/T17)</f>
        <v>-0.20253533573443366</v>
      </c>
    </row>
    <row r="18" spans="1:26" s="24" customFormat="1" hidden="1" outlineLevel="1" x14ac:dyDescent="0.25">
      <c r="A18" s="44"/>
      <c r="B18" s="11" t="str">
        <f>CONCATENATE("          ", "5000", " - ", "PURCHASES @ COST")</f>
        <v xml:space="preserve">          5000 - PURCHASES @ COST</v>
      </c>
      <c r="C18" s="11"/>
      <c r="D18" s="2"/>
      <c r="E18" s="2"/>
      <c r="F18" s="19">
        <f t="shared" si="5"/>
        <v>0</v>
      </c>
      <c r="G18" s="2"/>
      <c r="H18" s="2">
        <v>15189</v>
      </c>
      <c r="I18" s="2"/>
      <c r="J18" s="19">
        <f t="shared" si="6"/>
        <v>0.49501368791552602</v>
      </c>
      <c r="K18" s="2"/>
      <c r="L18" s="2">
        <f t="shared" si="7"/>
        <v>-15189</v>
      </c>
      <c r="M18" s="2"/>
      <c r="N18" s="19">
        <f t="shared" si="8"/>
        <v>-1</v>
      </c>
      <c r="O18" s="11"/>
      <c r="P18" s="2"/>
      <c r="Q18" s="2"/>
      <c r="R18" s="19">
        <f t="shared" si="9"/>
        <v>0</v>
      </c>
      <c r="S18" s="2"/>
      <c r="T18" s="2">
        <v>194633</v>
      </c>
      <c r="U18" s="2"/>
      <c r="V18" s="19">
        <f t="shared" si="10"/>
        <v>0.4949987156630612</v>
      </c>
      <c r="W18" s="2"/>
      <c r="X18" s="2">
        <f t="shared" si="11"/>
        <v>-194633</v>
      </c>
      <c r="Y18" s="2"/>
      <c r="Z18" s="19">
        <f t="shared" si="12"/>
        <v>-1</v>
      </c>
    </row>
    <row r="19" spans="1:26" s="24" customFormat="1" hidden="1" outlineLevel="1" x14ac:dyDescent="0.25">
      <c r="A19" s="44"/>
      <c r="B19" s="11" t="str">
        <f>CONCATENATE("          ", "5053", " - ", "PURCHASES @ COST-FOOD")</f>
        <v xml:space="preserve">          5053 - PURCHASES @ COST-FOOD</v>
      </c>
      <c r="C19" s="11"/>
      <c r="D19" s="2"/>
      <c r="E19" s="2"/>
      <c r="F19" s="19">
        <f t="shared" si="5"/>
        <v>0</v>
      </c>
      <c r="G19" s="2"/>
      <c r="H19" s="2"/>
      <c r="I19" s="2"/>
      <c r="J19" s="19">
        <f t="shared" si="6"/>
        <v>0</v>
      </c>
      <c r="K19" s="2"/>
      <c r="L19" s="2">
        <f t="shared" si="7"/>
        <v>0</v>
      </c>
      <c r="M19" s="2"/>
      <c r="N19" s="19">
        <f t="shared" si="8"/>
        <v>0</v>
      </c>
      <c r="O19" s="11"/>
      <c r="P19" s="2">
        <v>138911.60999999999</v>
      </c>
      <c r="Q19" s="2"/>
      <c r="R19" s="19">
        <f t="shared" si="9"/>
        <v>0.48307541209774291</v>
      </c>
      <c r="S19" s="2"/>
      <c r="T19" s="2"/>
      <c r="U19" s="2"/>
      <c r="V19" s="19">
        <f t="shared" si="10"/>
        <v>0</v>
      </c>
      <c r="W19" s="2"/>
      <c r="X19" s="2">
        <f t="shared" si="11"/>
        <v>138911.60999999999</v>
      </c>
      <c r="Y19" s="2"/>
      <c r="Z19" s="19">
        <f t="shared" si="12"/>
        <v>0</v>
      </c>
    </row>
    <row r="20" spans="1:26" s="24" customFormat="1" hidden="1" outlineLevel="1" x14ac:dyDescent="0.25">
      <c r="A20" s="44"/>
      <c r="B20" s="11" t="str">
        <f>CONCATENATE("          ", "5059", " - ", "PURCHASES @ COST-FOOD")</f>
        <v xml:space="preserve">          5059 - PURCHASES @ COST-FOOD</v>
      </c>
      <c r="C20" s="11"/>
      <c r="D20" s="2"/>
      <c r="E20" s="2"/>
      <c r="F20" s="19">
        <f t="shared" si="5"/>
        <v>0</v>
      </c>
      <c r="G20" s="2"/>
      <c r="H20" s="2"/>
      <c r="I20" s="2"/>
      <c r="J20" s="19">
        <f t="shared" si="6"/>
        <v>0</v>
      </c>
      <c r="K20" s="2"/>
      <c r="L20" s="2">
        <f t="shared" si="7"/>
        <v>0</v>
      </c>
      <c r="M20" s="2"/>
      <c r="N20" s="19">
        <f t="shared" si="8"/>
        <v>0</v>
      </c>
      <c r="O20" s="11"/>
      <c r="P20" s="2">
        <v>16301.329999999998</v>
      </c>
      <c r="Q20" s="2"/>
      <c r="R20" s="19">
        <f t="shared" si="9"/>
        <v>5.6689082413567154E-2</v>
      </c>
      <c r="S20" s="2"/>
      <c r="T20" s="2"/>
      <c r="U20" s="2"/>
      <c r="V20" s="19">
        <f t="shared" si="10"/>
        <v>0</v>
      </c>
      <c r="W20" s="2"/>
      <c r="X20" s="2">
        <f t="shared" si="11"/>
        <v>16301.329999999998</v>
      </c>
      <c r="Y20" s="2"/>
      <c r="Z20" s="19">
        <f t="shared" si="12"/>
        <v>0</v>
      </c>
    </row>
    <row r="21" spans="1:26" x14ac:dyDescent="0.25">
      <c r="A21" s="9"/>
      <c r="B21" s="10"/>
      <c r="C21" s="10"/>
      <c r="D21" s="3"/>
      <c r="E21" s="3"/>
      <c r="F21" s="8"/>
      <c r="G21" s="3"/>
      <c r="H21" s="3"/>
      <c r="I21" s="3"/>
      <c r="J21" s="8"/>
      <c r="K21" s="3"/>
      <c r="L21" s="3"/>
      <c r="M21" s="3"/>
      <c r="N21" s="8"/>
      <c r="O21" s="10"/>
      <c r="P21" s="3"/>
      <c r="Q21" s="3"/>
      <c r="R21" s="8"/>
      <c r="S21" s="3"/>
      <c r="T21" s="3"/>
      <c r="U21" s="3"/>
      <c r="V21" s="8"/>
      <c r="W21" s="3"/>
      <c r="X21" s="3"/>
      <c r="Y21" s="3"/>
      <c r="Z21" s="8"/>
    </row>
    <row r="22" spans="1:26" s="23" customFormat="1" x14ac:dyDescent="0.25">
      <c r="A22" s="10"/>
      <c r="B22" s="29" t="s">
        <v>6</v>
      </c>
      <c r="C22" s="29"/>
      <c r="D22" s="20">
        <f>D12-D17</f>
        <v>0</v>
      </c>
      <c r="E22" s="14"/>
      <c r="F22" s="22">
        <f>IF(D$12=0,0,D22/D$12)</f>
        <v>0</v>
      </c>
      <c r="G22" s="14"/>
      <c r="H22" s="20">
        <f>H12-H17</f>
        <v>15495</v>
      </c>
      <c r="I22" s="14"/>
      <c r="J22" s="22">
        <f>IF(H$12=0,0,H22/H$12)</f>
        <v>0.50498631208447398</v>
      </c>
      <c r="K22" s="16"/>
      <c r="L22" s="20">
        <f>+D22-H22</f>
        <v>-15495</v>
      </c>
      <c r="M22" s="16"/>
      <c r="N22" s="22">
        <f>IF(H22=0,0,L22/H22)</f>
        <v>-1</v>
      </c>
      <c r="O22" s="28"/>
      <c r="P22" s="20">
        <f>P12-P17</f>
        <v>132343.84</v>
      </c>
      <c r="Q22" s="14"/>
      <c r="R22" s="22">
        <f>IF(P$12=0,0,P22/P$12)</f>
        <v>0.46023550548868997</v>
      </c>
      <c r="S22" s="14"/>
      <c r="T22" s="20">
        <f>T12-T17</f>
        <v>198566</v>
      </c>
      <c r="U22" s="14"/>
      <c r="V22" s="22">
        <f>IF(T$12=0,0,T22/T$12)</f>
        <v>0.5050012843369388</v>
      </c>
      <c r="W22" s="16"/>
      <c r="X22" s="20">
        <f>+P22-T22</f>
        <v>-66222.16</v>
      </c>
      <c r="Y22" s="16"/>
      <c r="Z22" s="22">
        <f>IF(T22=0,0,X22/T22)</f>
        <v>-0.33350200940745145</v>
      </c>
    </row>
    <row r="23" spans="1:26" x14ac:dyDescent="0.25">
      <c r="A23" s="9"/>
      <c r="B23" s="10"/>
      <c r="C23" s="9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x14ac:dyDescent="0.25">
      <c r="A24" s="10"/>
      <c r="B24" s="28" t="s">
        <v>9</v>
      </c>
      <c r="C24" s="10"/>
      <c r="D24" s="21">
        <f>SUM(OSRRefD22x_0)</f>
        <v>769.2700000000001</v>
      </c>
      <c r="E24" s="21"/>
      <c r="F24" s="30">
        <f t="shared" ref="F24:F34" si="13">IF(D$12=0,0,D24/D$12)</f>
        <v>0</v>
      </c>
      <c r="G24" s="21"/>
      <c r="H24" s="21">
        <f>SUM(OSRRefH22x_0)</f>
        <v>15085.529458064619</v>
      </c>
      <c r="I24" s="21"/>
      <c r="J24" s="30">
        <f t="shared" ref="J24:J34" si="14">IF(H$12=0,0,H24/H$12)</f>
        <v>0.49164155449304586</v>
      </c>
      <c r="K24" s="4"/>
      <c r="L24" s="21">
        <f t="shared" ref="L24:L34" si="15">+D24-H24</f>
        <v>-14316.259458064618</v>
      </c>
      <c r="M24" s="4"/>
      <c r="N24" s="30">
        <f t="shared" ref="N24:N34" si="16">IF(H24=0,0,L24/H24)</f>
        <v>-0.9490060987160942</v>
      </c>
      <c r="O24" s="10"/>
      <c r="P24" s="21">
        <f>SUM(OSRRefP22x_0)</f>
        <v>129717.28000000001</v>
      </c>
      <c r="Q24" s="21"/>
      <c r="R24" s="30">
        <f t="shared" ref="R24:R34" si="17">IF(P$12=0,0,P24/P$12)</f>
        <v>0.45110144855565576</v>
      </c>
      <c r="S24" s="21"/>
      <c r="T24" s="21">
        <f>SUM(OSRRefT22x_0)</f>
        <v>150916.98492635542</v>
      </c>
      <c r="U24" s="21"/>
      <c r="V24" s="30">
        <f t="shared" ref="V24:V34" si="18">IF(T$12=0,0,T24/T$12)</f>
        <v>0.38381833353176237</v>
      </c>
      <c r="W24" s="4"/>
      <c r="X24" s="21">
        <f t="shared" ref="X24:X34" si="19">+P24-T24</f>
        <v>-21199.704926355407</v>
      </c>
      <c r="Y24" s="4"/>
      <c r="Z24" s="30">
        <f t="shared" ref="Z24:Z34" si="20">IF(T24=0,0,X24/T24)</f>
        <v>-0.14047262431528468</v>
      </c>
    </row>
    <row r="25" spans="1:26" s="27" customFormat="1" outlineLevel="1" collapsed="1" x14ac:dyDescent="0.25">
      <c r="A25" s="25"/>
      <c r="B25" s="12" t="str">
        <f>CONCATENATE("     ","*Benefits                                         ")</f>
        <v xml:space="preserve">     *Benefits                                         </v>
      </c>
      <c r="C25" s="12"/>
      <c r="D25" s="1">
        <f>SUM(OSRRefD22_0x_0)</f>
        <v>0</v>
      </c>
      <c r="E25" s="1"/>
      <c r="F25" s="5">
        <f t="shared" si="13"/>
        <v>0</v>
      </c>
      <c r="G25" s="1"/>
      <c r="H25" s="1">
        <f>SUM(OSRRefH22_0x_0)</f>
        <v>1631.5006426799996</v>
      </c>
      <c r="I25" s="1"/>
      <c r="J25" s="5">
        <f t="shared" si="14"/>
        <v>5.3171054708642931E-2</v>
      </c>
      <c r="K25" s="1"/>
      <c r="L25" s="1">
        <f t="shared" si="15"/>
        <v>-1631.5006426799996</v>
      </c>
      <c r="M25" s="1"/>
      <c r="N25" s="5">
        <f t="shared" si="16"/>
        <v>-1</v>
      </c>
      <c r="O25" s="12"/>
      <c r="P25" s="1">
        <f>SUM(OSRRefP22_0x_0)</f>
        <v>12949.68</v>
      </c>
      <c r="Q25" s="1"/>
      <c r="R25" s="5">
        <f t="shared" si="17"/>
        <v>4.5033471302606744E-2</v>
      </c>
      <c r="S25" s="1"/>
      <c r="T25" s="1">
        <f>SUM(OSRRefT22_0x_0)</f>
        <v>17360.881441739995</v>
      </c>
      <c r="U25" s="1"/>
      <c r="V25" s="5">
        <f t="shared" si="18"/>
        <v>4.4152913516412796E-2</v>
      </c>
      <c r="W25" s="1"/>
      <c r="X25" s="1">
        <f t="shared" si="19"/>
        <v>-4411.2014417399951</v>
      </c>
      <c r="Y25" s="1"/>
      <c r="Z25" s="5">
        <f t="shared" si="20"/>
        <v>-0.25408856437060501</v>
      </c>
    </row>
    <row r="26" spans="1:26" s="24" customFormat="1" hidden="1" outlineLevel="2" x14ac:dyDescent="0.25">
      <c r="A26" s="26"/>
      <c r="B26" s="11" t="str">
        <f>CONCATENATE("          ", "6111", " - ", "F.I.C.A.")</f>
        <v xml:space="preserve">          6111 - F.I.C.A.</v>
      </c>
      <c r="C26" s="11"/>
      <c r="D26" s="7"/>
      <c r="E26" s="2"/>
      <c r="F26" s="6">
        <f t="shared" si="13"/>
        <v>0</v>
      </c>
      <c r="G26" s="2"/>
      <c r="H26" s="7">
        <v>159.21694446461498</v>
      </c>
      <c r="I26" s="2"/>
      <c r="J26" s="6">
        <f t="shared" si="14"/>
        <v>5.1889240146204855E-3</v>
      </c>
      <c r="K26" s="2"/>
      <c r="L26" s="7">
        <f t="shared" si="15"/>
        <v>-159.21694446461498</v>
      </c>
      <c r="M26" s="2"/>
      <c r="N26" s="6">
        <f t="shared" si="16"/>
        <v>-1</v>
      </c>
      <c r="O26" s="11"/>
      <c r="P26" s="7">
        <v>3698.79</v>
      </c>
      <c r="Q26" s="2"/>
      <c r="R26" s="6">
        <f t="shared" si="17"/>
        <v>1.2862816171470554E-2</v>
      </c>
      <c r="S26" s="2"/>
      <c r="T26" s="7">
        <v>1996.054129555381</v>
      </c>
      <c r="U26" s="2"/>
      <c r="V26" s="6">
        <f t="shared" si="18"/>
        <v>5.0764476246261585E-3</v>
      </c>
      <c r="W26" s="2"/>
      <c r="X26" s="7">
        <f t="shared" si="19"/>
        <v>1702.735870444619</v>
      </c>
      <c r="Y26" s="2"/>
      <c r="Z26" s="6">
        <f t="shared" si="20"/>
        <v>0.85305094948697691</v>
      </c>
    </row>
    <row r="27" spans="1:26" s="24" customFormat="1" hidden="1" outlineLevel="2" x14ac:dyDescent="0.25">
      <c r="A27" s="26"/>
      <c r="B27" s="11" t="str">
        <f>CONCATENATE("          ", "6112", " - ", "COMPENSATION INSURANCE")</f>
        <v xml:space="preserve">          6112 - COMPENSATION INSURANCE</v>
      </c>
      <c r="C27" s="11"/>
      <c r="D27" s="7"/>
      <c r="E27" s="2"/>
      <c r="F27" s="6">
        <f t="shared" si="13"/>
        <v>0</v>
      </c>
      <c r="G27" s="2"/>
      <c r="H27" s="7">
        <v>206.663976307692</v>
      </c>
      <c r="I27" s="2"/>
      <c r="J27" s="6">
        <f t="shared" si="14"/>
        <v>6.7352358332581144E-3</v>
      </c>
      <c r="K27" s="2"/>
      <c r="L27" s="7">
        <f t="shared" si="15"/>
        <v>-206.663976307692</v>
      </c>
      <c r="M27" s="2"/>
      <c r="N27" s="6">
        <f t="shared" si="16"/>
        <v>-1</v>
      </c>
      <c r="O27" s="11"/>
      <c r="P27" s="7">
        <v>1342.55</v>
      </c>
      <c r="Q27" s="2"/>
      <c r="R27" s="6">
        <f t="shared" si="17"/>
        <v>4.6688170593647627E-3</v>
      </c>
      <c r="S27" s="2"/>
      <c r="T27" s="7">
        <v>1912.4630996923047</v>
      </c>
      <c r="U27" s="2"/>
      <c r="V27" s="6">
        <f t="shared" si="18"/>
        <v>4.8638554515456666E-3</v>
      </c>
      <c r="W27" s="2"/>
      <c r="X27" s="7">
        <f t="shared" si="19"/>
        <v>-569.91309969230474</v>
      </c>
      <c r="Y27" s="2"/>
      <c r="Z27" s="6">
        <f t="shared" si="20"/>
        <v>-0.29799952730277401</v>
      </c>
    </row>
    <row r="28" spans="1:26" s="24" customFormat="1" hidden="1" outlineLevel="2" x14ac:dyDescent="0.25">
      <c r="A28" s="26"/>
      <c r="B28" s="11" t="str">
        <f>CONCATENATE("          ", "6113", " - ", "GROUP INSURANCE")</f>
        <v xml:space="preserve">          6113 - GROUP INSURANCE</v>
      </c>
      <c r="C28" s="11"/>
      <c r="D28" s="7"/>
      <c r="E28" s="2"/>
      <c r="F28" s="6">
        <f t="shared" si="13"/>
        <v>0</v>
      </c>
      <c r="G28" s="2"/>
      <c r="H28" s="7">
        <v>690.5</v>
      </c>
      <c r="I28" s="2"/>
      <c r="J28" s="6">
        <f t="shared" si="14"/>
        <v>2.2503584930256813E-2</v>
      </c>
      <c r="K28" s="2"/>
      <c r="L28" s="7">
        <f t="shared" si="15"/>
        <v>-690.5</v>
      </c>
      <c r="M28" s="2"/>
      <c r="N28" s="6">
        <f t="shared" si="16"/>
        <v>-1</v>
      </c>
      <c r="O28" s="11"/>
      <c r="P28" s="7">
        <v>4829.7</v>
      </c>
      <c r="Q28" s="2"/>
      <c r="R28" s="6">
        <f t="shared" si="17"/>
        <v>1.6795639455971095E-2</v>
      </c>
      <c r="S28" s="2"/>
      <c r="T28" s="7">
        <v>7595.5</v>
      </c>
      <c r="U28" s="2"/>
      <c r="V28" s="6">
        <f t="shared" si="18"/>
        <v>1.9317190532020682E-2</v>
      </c>
      <c r="W28" s="2"/>
      <c r="X28" s="7">
        <f t="shared" si="19"/>
        <v>-2765.8</v>
      </c>
      <c r="Y28" s="2"/>
      <c r="Z28" s="6">
        <f t="shared" si="20"/>
        <v>-0.36413665986439342</v>
      </c>
    </row>
    <row r="29" spans="1:26" s="24" customFormat="1" hidden="1" outlineLevel="2" x14ac:dyDescent="0.25">
      <c r="A29" s="26"/>
      <c r="B29" s="11" t="str">
        <f>CONCATENATE("          ", "6114", " - ", "STATE UNEMPLOYMENT INSURANCE")</f>
        <v xml:space="preserve">          6114 - STATE UNEMPLOYMENT INSURANCE</v>
      </c>
      <c r="C29" s="11"/>
      <c r="D29" s="7"/>
      <c r="E29" s="2"/>
      <c r="F29" s="6">
        <f t="shared" si="13"/>
        <v>0</v>
      </c>
      <c r="G29" s="2"/>
      <c r="H29" s="7">
        <v>28.280333599999999</v>
      </c>
      <c r="I29" s="2"/>
      <c r="J29" s="6">
        <f t="shared" si="14"/>
        <v>9.2166385086690132E-4</v>
      </c>
      <c r="K29" s="2"/>
      <c r="L29" s="7">
        <f t="shared" si="15"/>
        <v>-28.280333599999999</v>
      </c>
      <c r="M29" s="2"/>
      <c r="N29" s="6">
        <f t="shared" si="16"/>
        <v>-1</v>
      </c>
      <c r="O29" s="11"/>
      <c r="P29" s="7">
        <v>196.77</v>
      </c>
      <c r="Q29" s="2"/>
      <c r="R29" s="6">
        <f t="shared" si="17"/>
        <v>6.8428224853540236E-4</v>
      </c>
      <c r="S29" s="2"/>
      <c r="T29" s="7">
        <v>261.70547679999999</v>
      </c>
      <c r="U29" s="2"/>
      <c r="V29" s="6">
        <f t="shared" si="18"/>
        <v>6.6558021968519759E-4</v>
      </c>
      <c r="W29" s="2"/>
      <c r="X29" s="7">
        <f t="shared" si="19"/>
        <v>-64.935476799999975</v>
      </c>
      <c r="Y29" s="2"/>
      <c r="Z29" s="6">
        <f t="shared" si="20"/>
        <v>-0.24812425629756626</v>
      </c>
    </row>
    <row r="30" spans="1:26" s="24" customFormat="1" hidden="1" outlineLevel="2" x14ac:dyDescent="0.25">
      <c r="A30" s="26"/>
      <c r="B30" s="11" t="str">
        <f>CONCATENATE("          ", "6115", " - ", "P.E.R.S.")</f>
        <v xml:space="preserve">          6115 - P.E.R.S.</v>
      </c>
      <c r="C30" s="11"/>
      <c r="D30" s="7"/>
      <c r="E30" s="2"/>
      <c r="F30" s="6">
        <f t="shared" si="13"/>
        <v>0</v>
      </c>
      <c r="G30" s="2"/>
      <c r="H30" s="7">
        <v>178.918819076923</v>
      </c>
      <c r="I30" s="2"/>
      <c r="J30" s="6">
        <f t="shared" si="14"/>
        <v>5.8310135274710923E-3</v>
      </c>
      <c r="K30" s="2"/>
      <c r="L30" s="7">
        <f t="shared" si="15"/>
        <v>-178.918819076923</v>
      </c>
      <c r="M30" s="2"/>
      <c r="N30" s="6">
        <f t="shared" si="16"/>
        <v>-1</v>
      </c>
      <c r="O30" s="11"/>
      <c r="P30" s="7">
        <v>938.77</v>
      </c>
      <c r="Q30" s="2"/>
      <c r="R30" s="6">
        <f t="shared" si="17"/>
        <v>3.2646422038805694E-3</v>
      </c>
      <c r="S30" s="2"/>
      <c r="T30" s="7">
        <v>2089.5405049230772</v>
      </c>
      <c r="U30" s="2"/>
      <c r="V30" s="6">
        <f t="shared" si="18"/>
        <v>5.314206050684455E-3</v>
      </c>
      <c r="W30" s="2"/>
      <c r="X30" s="7">
        <f t="shared" si="19"/>
        <v>-1150.7705049230772</v>
      </c>
      <c r="Y30" s="2"/>
      <c r="Z30" s="6">
        <f t="shared" si="20"/>
        <v>-0.55072897711807733</v>
      </c>
    </row>
    <row r="31" spans="1:26" s="24" customFormat="1" hidden="1" outlineLevel="2" x14ac:dyDescent="0.25">
      <c r="A31" s="26"/>
      <c r="B31" s="11" t="str">
        <f>CONCATENATE("          ", "6116", " - ", "EDUCATIONAL BENEFITS")</f>
        <v xml:space="preserve">          6116 - EDUCATIONAL BENEFITS</v>
      </c>
      <c r="C31" s="11"/>
      <c r="D31" s="7"/>
      <c r="E31" s="2"/>
      <c r="F31" s="6">
        <f t="shared" si="13"/>
        <v>0</v>
      </c>
      <c r="G31" s="2"/>
      <c r="H31" s="7">
        <v>0</v>
      </c>
      <c r="I31" s="2"/>
      <c r="J31" s="6">
        <f t="shared" si="14"/>
        <v>0</v>
      </c>
      <c r="K31" s="2"/>
      <c r="L31" s="7">
        <f t="shared" si="15"/>
        <v>0</v>
      </c>
      <c r="M31" s="2"/>
      <c r="N31" s="6">
        <f t="shared" si="16"/>
        <v>0</v>
      </c>
      <c r="O31" s="11"/>
      <c r="P31" s="7"/>
      <c r="Q31" s="2"/>
      <c r="R31" s="6">
        <f t="shared" si="17"/>
        <v>0</v>
      </c>
      <c r="S31" s="2"/>
      <c r="T31" s="7">
        <v>0</v>
      </c>
      <c r="U31" s="2"/>
      <c r="V31" s="6">
        <f t="shared" si="18"/>
        <v>0</v>
      </c>
      <c r="W31" s="2"/>
      <c r="X31" s="7">
        <f t="shared" si="19"/>
        <v>0</v>
      </c>
      <c r="Y31" s="2"/>
      <c r="Z31" s="6">
        <f t="shared" si="20"/>
        <v>0</v>
      </c>
    </row>
    <row r="32" spans="1:26" s="24" customFormat="1" hidden="1" outlineLevel="2" x14ac:dyDescent="0.25">
      <c r="A32" s="26"/>
      <c r="B32" s="11" t="str">
        <f>CONCATENATE("          ", "6118", " - ", "VACATION")</f>
        <v xml:space="preserve">          6118 - VACATION</v>
      </c>
      <c r="C32" s="11"/>
      <c r="D32" s="7"/>
      <c r="E32" s="2"/>
      <c r="F32" s="6">
        <f t="shared" si="13"/>
        <v>0</v>
      </c>
      <c r="G32" s="2"/>
      <c r="H32" s="7">
        <v>62.413541538461502</v>
      </c>
      <c r="I32" s="2"/>
      <c r="J32" s="6">
        <f t="shared" si="14"/>
        <v>2.0340744863271251E-3</v>
      </c>
      <c r="K32" s="2"/>
      <c r="L32" s="7">
        <f t="shared" si="15"/>
        <v>-62.413541538461502</v>
      </c>
      <c r="M32" s="2"/>
      <c r="N32" s="6">
        <f t="shared" si="16"/>
        <v>-1</v>
      </c>
      <c r="O32" s="11"/>
      <c r="P32" s="7">
        <v>480.48</v>
      </c>
      <c r="Q32" s="2"/>
      <c r="R32" s="6">
        <f t="shared" si="17"/>
        <v>1.670904786178229E-3</v>
      </c>
      <c r="S32" s="2"/>
      <c r="T32" s="7">
        <v>728.90947846153813</v>
      </c>
      <c r="U32" s="2"/>
      <c r="V32" s="6">
        <f t="shared" si="18"/>
        <v>1.8537928083782974E-3</v>
      </c>
      <c r="W32" s="2"/>
      <c r="X32" s="7">
        <f t="shared" si="19"/>
        <v>-248.42947846153811</v>
      </c>
      <c r="Y32" s="2"/>
      <c r="Z32" s="6">
        <f t="shared" si="20"/>
        <v>-0.34082349839363052</v>
      </c>
    </row>
    <row r="33" spans="1:26" s="24" customFormat="1" hidden="1" outlineLevel="2" x14ac:dyDescent="0.25">
      <c r="A33" s="26"/>
      <c r="B33" s="11" t="str">
        <f>CONCATENATE("          ", "6119", " - ", "SICK LEAVE")</f>
        <v xml:space="preserve">          6119 - SICK LEAVE</v>
      </c>
      <c r="C33" s="11"/>
      <c r="D33" s="7"/>
      <c r="E33" s="2"/>
      <c r="F33" s="6">
        <f t="shared" si="13"/>
        <v>0</v>
      </c>
      <c r="G33" s="2"/>
      <c r="H33" s="7">
        <v>305.50702769230804</v>
      </c>
      <c r="I33" s="2"/>
      <c r="J33" s="6">
        <f t="shared" si="14"/>
        <v>9.9565580658423948E-3</v>
      </c>
      <c r="K33" s="2"/>
      <c r="L33" s="7">
        <f t="shared" si="15"/>
        <v>-305.50702769230804</v>
      </c>
      <c r="M33" s="2"/>
      <c r="N33" s="6">
        <f t="shared" si="16"/>
        <v>-1</v>
      </c>
      <c r="O33" s="11"/>
      <c r="P33" s="7">
        <v>575.64</v>
      </c>
      <c r="Q33" s="2"/>
      <c r="R33" s="6">
        <f t="shared" si="17"/>
        <v>2.0018307340901511E-3</v>
      </c>
      <c r="S33" s="2"/>
      <c r="T33" s="7">
        <v>2776.7087523076962</v>
      </c>
      <c r="U33" s="2"/>
      <c r="V33" s="6">
        <f t="shared" si="18"/>
        <v>7.0618408294723439E-3</v>
      </c>
      <c r="W33" s="2"/>
      <c r="X33" s="7">
        <f t="shared" si="19"/>
        <v>-2201.0687523076963</v>
      </c>
      <c r="Y33" s="2"/>
      <c r="Z33" s="6">
        <f t="shared" si="20"/>
        <v>-0.79268981684824125</v>
      </c>
    </row>
    <row r="34" spans="1:26" s="24" customFormat="1" hidden="1" outlineLevel="2" x14ac:dyDescent="0.25">
      <c r="A34" s="26"/>
      <c r="B34" s="11" t="str">
        <f>CONCATENATE("          ", "6156", " - ", "EMPLOYEE MEALS")</f>
        <v xml:space="preserve">          6156 - EMPLOYEE MEALS</v>
      </c>
      <c r="C34" s="11"/>
      <c r="D34" s="7"/>
      <c r="E34" s="2"/>
      <c r="F34" s="6">
        <f t="shared" si="13"/>
        <v>0</v>
      </c>
      <c r="G34" s="2"/>
      <c r="H34" s="7"/>
      <c r="I34" s="2"/>
      <c r="J34" s="6">
        <f t="shared" si="14"/>
        <v>0</v>
      </c>
      <c r="K34" s="2"/>
      <c r="L34" s="7">
        <f t="shared" si="15"/>
        <v>0</v>
      </c>
      <c r="M34" s="2"/>
      <c r="N34" s="6">
        <f t="shared" si="16"/>
        <v>0</v>
      </c>
      <c r="O34" s="11"/>
      <c r="P34" s="7">
        <v>886.98</v>
      </c>
      <c r="Q34" s="2"/>
      <c r="R34" s="6">
        <f t="shared" si="17"/>
        <v>3.0845386431159793E-3</v>
      </c>
      <c r="S34" s="2"/>
      <c r="T34" s="7"/>
      <c r="U34" s="2"/>
      <c r="V34" s="6">
        <f t="shared" si="18"/>
        <v>0</v>
      </c>
      <c r="W34" s="2"/>
      <c r="X34" s="7">
        <f t="shared" si="19"/>
        <v>886.98</v>
      </c>
      <c r="Y34" s="2"/>
      <c r="Z34" s="6">
        <f t="shared" si="20"/>
        <v>0</v>
      </c>
    </row>
    <row r="35" spans="1:26" s="27" customFormat="1" outlineLevel="1" collapsed="1" x14ac:dyDescent="0.25">
      <c r="A35" s="25"/>
      <c r="B35" s="12" t="str">
        <f>CONCATENATE("     ","*Payroll                                          ")</f>
        <v xml:space="preserve">     *Payroll                                          </v>
      </c>
      <c r="C35" s="12"/>
      <c r="D35" s="1">
        <f>SUM(OSRRefD22_1x_0)</f>
        <v>0</v>
      </c>
      <c r="E35" s="1"/>
      <c r="F35" s="5">
        <f t="shared" ref="F35:F45" si="21">IF(D$12=0,0,D35/D$12)</f>
        <v>0</v>
      </c>
      <c r="G35" s="1"/>
      <c r="H35" s="1">
        <f>SUM(OSRRefH22_1x_0)</f>
        <v>10773.02881538462</v>
      </c>
      <c r="I35" s="1"/>
      <c r="J35" s="5">
        <f t="shared" ref="J35:J45" si="22">IF(H$12=0,0,H35/H$12)</f>
        <v>0.35109597234339135</v>
      </c>
      <c r="K35" s="1"/>
      <c r="L35" s="1">
        <f t="shared" ref="L35:L45" si="23">+D35-H35</f>
        <v>-10773.02881538462</v>
      </c>
      <c r="M35" s="1"/>
      <c r="N35" s="5">
        <f t="shared" ref="N35:N45" si="24">IF(H35=0,0,L35/H35)</f>
        <v>-1</v>
      </c>
      <c r="O35" s="12"/>
      <c r="P35" s="1">
        <f>SUM(OSRRefP22_1x_0)</f>
        <v>74718.25</v>
      </c>
      <c r="Q35" s="1"/>
      <c r="R35" s="5">
        <f t="shared" ref="R35:R45" si="25">IF(P$12=0,0,P35/P$12)</f>
        <v>0.25983824829308494</v>
      </c>
      <c r="S35" s="1"/>
      <c r="T35" s="1">
        <f>SUM(OSRRefT22_1x_0)</f>
        <v>99441.103484615422</v>
      </c>
      <c r="U35" s="1"/>
      <c r="V35" s="5">
        <f t="shared" ref="V35:V45" si="26">IF(T$12=0,0,T35/T$12)</f>
        <v>0.25290273750598402</v>
      </c>
      <c r="W35" s="1"/>
      <c r="X35" s="1">
        <f t="shared" ref="X35:X45" si="27">+P35-T35</f>
        <v>-24722.853484615422</v>
      </c>
      <c r="Y35" s="1"/>
      <c r="Z35" s="5">
        <f t="shared" ref="Z35:Z45" si="28">IF(T35=0,0,X35/T35)</f>
        <v>-0.24861805247807117</v>
      </c>
    </row>
    <row r="36" spans="1:26" s="24" customFormat="1" hidden="1" outlineLevel="2" x14ac:dyDescent="0.25">
      <c r="A36" s="26"/>
      <c r="B36" s="11" t="str">
        <f>CONCATENATE("          ", "6001", " - ", "ADMINISTRATIVE SALARIES")</f>
        <v xml:space="preserve">          6001 - ADMINISTRATIVE SALARIES</v>
      </c>
      <c r="C36" s="11"/>
      <c r="D36" s="7"/>
      <c r="E36" s="2"/>
      <c r="F36" s="6">
        <f t="shared" si="21"/>
        <v>0</v>
      </c>
      <c r="G36" s="2"/>
      <c r="H36" s="7">
        <v>1976.4288153846198</v>
      </c>
      <c r="I36" s="2"/>
      <c r="J36" s="6">
        <f t="shared" si="22"/>
        <v>6.4412358733692471E-2</v>
      </c>
      <c r="K36" s="2"/>
      <c r="L36" s="7">
        <f t="shared" si="23"/>
        <v>-1976.4288153846198</v>
      </c>
      <c r="M36" s="2"/>
      <c r="N36" s="6">
        <f t="shared" si="24"/>
        <v>-1</v>
      </c>
      <c r="O36" s="11"/>
      <c r="P36" s="7"/>
      <c r="Q36" s="2"/>
      <c r="R36" s="6">
        <f t="shared" si="25"/>
        <v>0</v>
      </c>
      <c r="S36" s="2"/>
      <c r="T36" s="7">
        <v>23082.13348461542</v>
      </c>
      <c r="U36" s="2"/>
      <c r="V36" s="6">
        <f t="shared" si="26"/>
        <v>5.8703438931979532E-2</v>
      </c>
      <c r="W36" s="2"/>
      <c r="X36" s="7">
        <f t="shared" si="27"/>
        <v>-23082.13348461542</v>
      </c>
      <c r="Y36" s="2"/>
      <c r="Z36" s="6">
        <f t="shared" si="28"/>
        <v>-1</v>
      </c>
    </row>
    <row r="37" spans="1:26" s="24" customFormat="1" hidden="1" outlineLevel="2" x14ac:dyDescent="0.25">
      <c r="A37" s="26"/>
      <c r="B37" s="11" t="str">
        <f>CONCATENATE("          ", "6002", " - ", "STAFF SALARIES")</f>
        <v xml:space="preserve">          6002 - STAFF SALARIES</v>
      </c>
      <c r="C37" s="11"/>
      <c r="D37" s="7"/>
      <c r="E37" s="2"/>
      <c r="F37" s="6">
        <f t="shared" si="21"/>
        <v>0</v>
      </c>
      <c r="G37" s="2"/>
      <c r="H37" s="7">
        <v>0</v>
      </c>
      <c r="I37" s="2"/>
      <c r="J37" s="6">
        <f t="shared" si="22"/>
        <v>0</v>
      </c>
      <c r="K37" s="2"/>
      <c r="L37" s="7">
        <f t="shared" si="23"/>
        <v>0</v>
      </c>
      <c r="M37" s="2"/>
      <c r="N37" s="6">
        <f t="shared" si="24"/>
        <v>0</v>
      </c>
      <c r="O37" s="11"/>
      <c r="P37" s="7">
        <v>9840</v>
      </c>
      <c r="Q37" s="2"/>
      <c r="R37" s="6">
        <f t="shared" si="25"/>
        <v>3.4219328787865828E-2</v>
      </c>
      <c r="S37" s="2"/>
      <c r="T37" s="7">
        <v>0</v>
      </c>
      <c r="U37" s="2"/>
      <c r="V37" s="6">
        <f t="shared" si="26"/>
        <v>0</v>
      </c>
      <c r="W37" s="2"/>
      <c r="X37" s="7">
        <f t="shared" si="27"/>
        <v>9840</v>
      </c>
      <c r="Y37" s="2"/>
      <c r="Z37" s="6">
        <f t="shared" si="28"/>
        <v>0</v>
      </c>
    </row>
    <row r="38" spans="1:26" s="24" customFormat="1" hidden="1" outlineLevel="2" x14ac:dyDescent="0.25">
      <c r="A38" s="26"/>
      <c r="B38" s="11" t="str">
        <f>CONCATENATE("          ", "6003", " - ", "STAFF HOURLY-9 MONTH")</f>
        <v xml:space="preserve">          6003 - STAFF HOURLY-9 MONTH</v>
      </c>
      <c r="C38" s="11"/>
      <c r="D38" s="7"/>
      <c r="E38" s="2"/>
      <c r="F38" s="6">
        <f t="shared" si="21"/>
        <v>0</v>
      </c>
      <c r="G38" s="2"/>
      <c r="H38" s="7">
        <v>0</v>
      </c>
      <c r="I38" s="2"/>
      <c r="J38" s="6">
        <f t="shared" si="22"/>
        <v>0</v>
      </c>
      <c r="K38" s="2"/>
      <c r="L38" s="7">
        <f t="shared" si="23"/>
        <v>0</v>
      </c>
      <c r="M38" s="2"/>
      <c r="N38" s="6">
        <f t="shared" si="24"/>
        <v>0</v>
      </c>
      <c r="O38" s="11"/>
      <c r="P38" s="7"/>
      <c r="Q38" s="2"/>
      <c r="R38" s="6">
        <f t="shared" si="25"/>
        <v>0</v>
      </c>
      <c r="S38" s="2"/>
      <c r="T38" s="7">
        <v>0</v>
      </c>
      <c r="U38" s="2"/>
      <c r="V38" s="6">
        <f t="shared" si="26"/>
        <v>0</v>
      </c>
      <c r="W38" s="2"/>
      <c r="X38" s="7">
        <f t="shared" si="27"/>
        <v>0</v>
      </c>
      <c r="Y38" s="2"/>
      <c r="Z38" s="6">
        <f t="shared" si="28"/>
        <v>0</v>
      </c>
    </row>
    <row r="39" spans="1:26" s="24" customFormat="1" hidden="1" outlineLevel="2" x14ac:dyDescent="0.25">
      <c r="A39" s="26"/>
      <c r="B39" s="11" t="str">
        <f>CONCATENATE("          ", "6004", " - ", "STAFF HOURLY")</f>
        <v xml:space="preserve">          6004 - STAFF HOURLY</v>
      </c>
      <c r="C39" s="11"/>
      <c r="D39" s="7"/>
      <c r="E39" s="2"/>
      <c r="F39" s="6">
        <f t="shared" si="21"/>
        <v>0</v>
      </c>
      <c r="G39" s="2"/>
      <c r="H39" s="7">
        <v>0</v>
      </c>
      <c r="I39" s="2"/>
      <c r="J39" s="6">
        <f t="shared" si="22"/>
        <v>0</v>
      </c>
      <c r="K39" s="2"/>
      <c r="L39" s="7">
        <f t="shared" si="23"/>
        <v>0</v>
      </c>
      <c r="M39" s="2"/>
      <c r="N39" s="6">
        <f t="shared" si="24"/>
        <v>0</v>
      </c>
      <c r="O39" s="11"/>
      <c r="P39" s="7"/>
      <c r="Q39" s="2"/>
      <c r="R39" s="6">
        <f t="shared" si="25"/>
        <v>0</v>
      </c>
      <c r="S39" s="2"/>
      <c r="T39" s="7">
        <v>0</v>
      </c>
      <c r="U39" s="2"/>
      <c r="V39" s="6">
        <f t="shared" si="26"/>
        <v>0</v>
      </c>
      <c r="W39" s="2"/>
      <c r="X39" s="7">
        <f t="shared" si="27"/>
        <v>0</v>
      </c>
      <c r="Y39" s="2"/>
      <c r="Z39" s="6">
        <f t="shared" si="28"/>
        <v>0</v>
      </c>
    </row>
    <row r="40" spans="1:26" s="24" customFormat="1" hidden="1" outlineLevel="2" x14ac:dyDescent="0.25">
      <c r="A40" s="26"/>
      <c r="B40" s="11" t="str">
        <f>CONCATENATE("          ", "6005", " - ", "TEMPORARY WAGES-HOURLY")</f>
        <v xml:space="preserve">          6005 - TEMPORARY WAGES-HOURLY</v>
      </c>
      <c r="C40" s="11"/>
      <c r="D40" s="7"/>
      <c r="E40" s="2"/>
      <c r="F40" s="6">
        <f t="shared" si="21"/>
        <v>0</v>
      </c>
      <c r="G40" s="2"/>
      <c r="H40" s="7">
        <v>0</v>
      </c>
      <c r="I40" s="2"/>
      <c r="J40" s="6">
        <f t="shared" si="22"/>
        <v>0</v>
      </c>
      <c r="K40" s="2"/>
      <c r="L40" s="7">
        <f t="shared" si="23"/>
        <v>0</v>
      </c>
      <c r="M40" s="2"/>
      <c r="N40" s="6">
        <f t="shared" si="24"/>
        <v>0</v>
      </c>
      <c r="O40" s="11"/>
      <c r="P40" s="7">
        <v>29326.09</v>
      </c>
      <c r="Q40" s="2"/>
      <c r="R40" s="6">
        <f t="shared" si="25"/>
        <v>0.10198364997688458</v>
      </c>
      <c r="S40" s="2"/>
      <c r="T40" s="7">
        <v>0</v>
      </c>
      <c r="U40" s="2"/>
      <c r="V40" s="6">
        <f t="shared" si="26"/>
        <v>0</v>
      </c>
      <c r="W40" s="2"/>
      <c r="X40" s="7">
        <f t="shared" si="27"/>
        <v>29326.09</v>
      </c>
      <c r="Y40" s="2"/>
      <c r="Z40" s="6">
        <f t="shared" si="28"/>
        <v>0</v>
      </c>
    </row>
    <row r="41" spans="1:26" s="24" customFormat="1" hidden="1" outlineLevel="2" x14ac:dyDescent="0.25">
      <c r="A41" s="26"/>
      <c r="B41" s="11" t="str">
        <f>CONCATENATE("          ", "6006", " - ", "TEMPORARY PART TIME")</f>
        <v xml:space="preserve">          6006 - TEMPORARY PART TIME</v>
      </c>
      <c r="C41" s="11"/>
      <c r="D41" s="7"/>
      <c r="E41" s="2"/>
      <c r="F41" s="6">
        <f t="shared" si="21"/>
        <v>0</v>
      </c>
      <c r="G41" s="2"/>
      <c r="H41" s="7">
        <v>0</v>
      </c>
      <c r="I41" s="2"/>
      <c r="J41" s="6">
        <f t="shared" si="22"/>
        <v>0</v>
      </c>
      <c r="K41" s="2"/>
      <c r="L41" s="7">
        <f t="shared" si="23"/>
        <v>0</v>
      </c>
      <c r="M41" s="2"/>
      <c r="N41" s="6">
        <f t="shared" si="24"/>
        <v>0</v>
      </c>
      <c r="O41" s="11"/>
      <c r="P41" s="7">
        <v>2587.42</v>
      </c>
      <c r="Q41" s="2"/>
      <c r="R41" s="6">
        <f t="shared" si="25"/>
        <v>8.9979446841768097E-3</v>
      </c>
      <c r="S41" s="2"/>
      <c r="T41" s="7">
        <v>0</v>
      </c>
      <c r="U41" s="2"/>
      <c r="V41" s="6">
        <f t="shared" si="26"/>
        <v>0</v>
      </c>
      <c r="W41" s="2"/>
      <c r="X41" s="7">
        <f t="shared" si="27"/>
        <v>2587.42</v>
      </c>
      <c r="Y41" s="2"/>
      <c r="Z41" s="6">
        <f t="shared" si="28"/>
        <v>0</v>
      </c>
    </row>
    <row r="42" spans="1:26" s="24" customFormat="1" hidden="1" outlineLevel="2" x14ac:dyDescent="0.25">
      <c r="A42" s="26"/>
      <c r="B42" s="11" t="str">
        <f>CONCATENATE("          ", "6007", " - ", "STUDENT HOURLY")</f>
        <v xml:space="preserve">          6007 - STUDENT HOURLY</v>
      </c>
      <c r="C42" s="11"/>
      <c r="D42" s="7"/>
      <c r="E42" s="2"/>
      <c r="F42" s="6">
        <f t="shared" si="21"/>
        <v>0</v>
      </c>
      <c r="G42" s="2"/>
      <c r="H42" s="7">
        <v>0</v>
      </c>
      <c r="I42" s="2"/>
      <c r="J42" s="6">
        <f t="shared" si="22"/>
        <v>0</v>
      </c>
      <c r="K42" s="2"/>
      <c r="L42" s="7">
        <f t="shared" si="23"/>
        <v>0</v>
      </c>
      <c r="M42" s="2"/>
      <c r="N42" s="6">
        <f t="shared" si="24"/>
        <v>0</v>
      </c>
      <c r="O42" s="11"/>
      <c r="P42" s="7">
        <v>32907.740000000005</v>
      </c>
      <c r="Q42" s="2"/>
      <c r="R42" s="6">
        <f t="shared" si="25"/>
        <v>0.11443910312252074</v>
      </c>
      <c r="S42" s="2"/>
      <c r="T42" s="7">
        <v>1785</v>
      </c>
      <c r="U42" s="2"/>
      <c r="V42" s="6">
        <f t="shared" si="26"/>
        <v>4.5396860114089808E-3</v>
      </c>
      <c r="W42" s="2"/>
      <c r="X42" s="7">
        <f t="shared" si="27"/>
        <v>31122.740000000005</v>
      </c>
      <c r="Y42" s="2"/>
      <c r="Z42" s="6">
        <f t="shared" si="28"/>
        <v>17.435708683473393</v>
      </c>
    </row>
    <row r="43" spans="1:26" s="24" customFormat="1" hidden="1" outlineLevel="2" x14ac:dyDescent="0.25">
      <c r="A43" s="26"/>
      <c r="B43" s="11" t="str">
        <f>CONCATENATE("          ", "6008", " - ", "STUDENT HOURLY-FICA EXEMPT")</f>
        <v xml:space="preserve">          6008 - STUDENT HOURLY-FICA EXEMPT</v>
      </c>
      <c r="C43" s="11"/>
      <c r="D43" s="7"/>
      <c r="E43" s="2"/>
      <c r="F43" s="6">
        <f t="shared" si="21"/>
        <v>0</v>
      </c>
      <c r="G43" s="2"/>
      <c r="H43" s="7">
        <v>8796.6</v>
      </c>
      <c r="I43" s="2"/>
      <c r="J43" s="6">
        <f t="shared" si="22"/>
        <v>0.28668361360969885</v>
      </c>
      <c r="K43" s="2"/>
      <c r="L43" s="7">
        <f t="shared" si="23"/>
        <v>-8796.6</v>
      </c>
      <c r="M43" s="2"/>
      <c r="N43" s="6">
        <f t="shared" si="24"/>
        <v>-1</v>
      </c>
      <c r="O43" s="11"/>
      <c r="P43" s="7">
        <v>57</v>
      </c>
      <c r="Q43" s="2"/>
      <c r="R43" s="6">
        <f t="shared" si="25"/>
        <v>1.9822172163702767E-4</v>
      </c>
      <c r="S43" s="2"/>
      <c r="T43" s="7">
        <v>74573.97</v>
      </c>
      <c r="U43" s="2"/>
      <c r="V43" s="6">
        <f t="shared" si="26"/>
        <v>0.18965961256259553</v>
      </c>
      <c r="W43" s="2"/>
      <c r="X43" s="7">
        <f t="shared" si="27"/>
        <v>-74516.97</v>
      </c>
      <c r="Y43" s="2"/>
      <c r="Z43" s="6">
        <f t="shared" si="28"/>
        <v>-0.99923565823302685</v>
      </c>
    </row>
    <row r="44" spans="1:26" s="24" customFormat="1" hidden="1" outlineLevel="2" x14ac:dyDescent="0.25">
      <c r="A44" s="26"/>
      <c r="B44" s="11" t="str">
        <f>CONCATENATE("          ", "6009", " - ", "TEMPORARY-SEASONAL")</f>
        <v xml:space="preserve">          6009 - TEMPORARY-SEASONAL</v>
      </c>
      <c r="C44" s="11"/>
      <c r="D44" s="7"/>
      <c r="E44" s="2"/>
      <c r="F44" s="6">
        <f t="shared" si="21"/>
        <v>0</v>
      </c>
      <c r="G44" s="2"/>
      <c r="H44" s="7">
        <v>0</v>
      </c>
      <c r="I44" s="2"/>
      <c r="J44" s="6">
        <f t="shared" si="22"/>
        <v>0</v>
      </c>
      <c r="K44" s="2"/>
      <c r="L44" s="7">
        <f t="shared" si="23"/>
        <v>0</v>
      </c>
      <c r="M44" s="2"/>
      <c r="N44" s="6">
        <f t="shared" si="24"/>
        <v>0</v>
      </c>
      <c r="O44" s="11"/>
      <c r="P44" s="7"/>
      <c r="Q44" s="2"/>
      <c r="R44" s="6">
        <f t="shared" si="25"/>
        <v>0</v>
      </c>
      <c r="S44" s="2"/>
      <c r="T44" s="7">
        <v>0</v>
      </c>
      <c r="U44" s="2"/>
      <c r="V44" s="6">
        <f t="shared" si="26"/>
        <v>0</v>
      </c>
      <c r="W44" s="2"/>
      <c r="X44" s="7">
        <f t="shared" si="27"/>
        <v>0</v>
      </c>
      <c r="Y44" s="2"/>
      <c r="Z44" s="6">
        <f t="shared" si="28"/>
        <v>0</v>
      </c>
    </row>
    <row r="45" spans="1:26" s="24" customFormat="1" hidden="1" outlineLevel="2" x14ac:dyDescent="0.25">
      <c r="A45" s="26"/>
      <c r="B45" s="11" t="str">
        <f>CONCATENATE("          ", "6010", " - ", "GRATUITY")</f>
        <v xml:space="preserve">          6010 - GRATUITY</v>
      </c>
      <c r="C45" s="11"/>
      <c r="D45" s="7"/>
      <c r="E45" s="2"/>
      <c r="F45" s="6">
        <f t="shared" si="21"/>
        <v>0</v>
      </c>
      <c r="G45" s="2"/>
      <c r="H45" s="7">
        <v>0</v>
      </c>
      <c r="I45" s="2"/>
      <c r="J45" s="6">
        <f t="shared" si="22"/>
        <v>0</v>
      </c>
      <c r="K45" s="2"/>
      <c r="L45" s="7">
        <f t="shared" si="23"/>
        <v>0</v>
      </c>
      <c r="M45" s="2"/>
      <c r="N45" s="6">
        <f t="shared" si="24"/>
        <v>0</v>
      </c>
      <c r="O45" s="11"/>
      <c r="P45" s="7"/>
      <c r="Q45" s="2"/>
      <c r="R45" s="6">
        <f t="shared" si="25"/>
        <v>0</v>
      </c>
      <c r="S45" s="2"/>
      <c r="T45" s="7">
        <v>0</v>
      </c>
      <c r="U45" s="2"/>
      <c r="V45" s="6">
        <f t="shared" si="26"/>
        <v>0</v>
      </c>
      <c r="W45" s="2"/>
      <c r="X45" s="7">
        <f t="shared" si="27"/>
        <v>0</v>
      </c>
      <c r="Y45" s="2"/>
      <c r="Z45" s="6">
        <f t="shared" si="28"/>
        <v>0</v>
      </c>
    </row>
    <row r="46" spans="1:26" s="27" customFormat="1" outlineLevel="1" collapsed="1" x14ac:dyDescent="0.25">
      <c r="A46" s="25"/>
      <c r="B46" s="12" t="str">
        <f>CONCATENATE("     ","Advertising/Promo                                 ")</f>
        <v xml:space="preserve">     Advertising/Promo                                 </v>
      </c>
      <c r="C46" s="12"/>
      <c r="D46" s="1">
        <f>SUM(OSRRefD22_2x_0)</f>
        <v>0</v>
      </c>
      <c r="E46" s="1"/>
      <c r="F46" s="5">
        <f t="shared" ref="F46:F54" si="29">IF(D$12=0,0,D46/D$12)</f>
        <v>0</v>
      </c>
      <c r="G46" s="1"/>
      <c r="H46" s="1">
        <f>SUM(OSRRefH22_2x_0)</f>
        <v>0</v>
      </c>
      <c r="I46" s="1"/>
      <c r="J46" s="5">
        <f t="shared" ref="J46:J54" si="30">IF(H$12=0,0,H46/H$12)</f>
        <v>0</v>
      </c>
      <c r="K46" s="1"/>
      <c r="L46" s="1">
        <f t="shared" ref="L46:L54" si="31">+D46-H46</f>
        <v>0</v>
      </c>
      <c r="M46" s="1"/>
      <c r="N46" s="5">
        <f t="shared" ref="N46:N54" si="32">IF(H46=0,0,L46/H46)</f>
        <v>0</v>
      </c>
      <c r="O46" s="12"/>
      <c r="P46" s="1">
        <f>SUM(OSRRefP22_2x_0)</f>
        <v>910.02</v>
      </c>
      <c r="Q46" s="1"/>
      <c r="R46" s="5">
        <f t="shared" ref="R46:R54" si="33">IF(P$12=0,0,P46/P$12)</f>
        <v>3.1646619495461037E-3</v>
      </c>
      <c r="S46" s="1"/>
      <c r="T46" s="1">
        <f>SUM(OSRRefT22_2x_0)</f>
        <v>0</v>
      </c>
      <c r="U46" s="1"/>
      <c r="V46" s="5">
        <f t="shared" ref="V46:V54" si="34">IF(T$12=0,0,T46/T$12)</f>
        <v>0</v>
      </c>
      <c r="W46" s="1"/>
      <c r="X46" s="1">
        <f t="shared" ref="X46:X54" si="35">+P46-T46</f>
        <v>910.02</v>
      </c>
      <c r="Y46" s="1"/>
      <c r="Z46" s="5">
        <f t="shared" ref="Z46:Z54" si="36">IF(T46=0,0,X46/T46)</f>
        <v>0</v>
      </c>
    </row>
    <row r="47" spans="1:26" s="24" customFormat="1" hidden="1" outlineLevel="2" x14ac:dyDescent="0.25">
      <c r="A47" s="26"/>
      <c r="B47" s="11" t="str">
        <f>CONCATENATE("          ", "6362", " - ", "ADVERTISING EXPENSE")</f>
        <v xml:space="preserve">          6362 - ADVERTISING EXPENSE</v>
      </c>
      <c r="C47" s="11"/>
      <c r="D47" s="7"/>
      <c r="E47" s="2"/>
      <c r="F47" s="6">
        <f t="shared" si="29"/>
        <v>0</v>
      </c>
      <c r="G47" s="2"/>
      <c r="H47" s="7">
        <v>0</v>
      </c>
      <c r="I47" s="2"/>
      <c r="J47" s="6">
        <f t="shared" si="30"/>
        <v>0</v>
      </c>
      <c r="K47" s="2"/>
      <c r="L47" s="7">
        <f t="shared" si="31"/>
        <v>0</v>
      </c>
      <c r="M47" s="2"/>
      <c r="N47" s="6">
        <f t="shared" si="32"/>
        <v>0</v>
      </c>
      <c r="O47" s="11"/>
      <c r="P47" s="7">
        <v>910.02</v>
      </c>
      <c r="Q47" s="2"/>
      <c r="R47" s="6">
        <f t="shared" si="33"/>
        <v>3.1646619495461037E-3</v>
      </c>
      <c r="S47" s="2"/>
      <c r="T47" s="7">
        <v>0</v>
      </c>
      <c r="U47" s="2"/>
      <c r="V47" s="6">
        <f t="shared" si="34"/>
        <v>0</v>
      </c>
      <c r="W47" s="2"/>
      <c r="X47" s="7">
        <f t="shared" si="35"/>
        <v>910.02</v>
      </c>
      <c r="Y47" s="2"/>
      <c r="Z47" s="6">
        <f t="shared" si="36"/>
        <v>0</v>
      </c>
    </row>
    <row r="48" spans="1:26" s="27" customFormat="1" outlineLevel="1" collapsed="1" x14ac:dyDescent="0.25">
      <c r="A48" s="25"/>
      <c r="B48" s="12" t="str">
        <f>CONCATENATE("     ","Bad Debts/Over/Short                              ")</f>
        <v xml:space="preserve">     Bad Debts/Over/Short                              </v>
      </c>
      <c r="C48" s="12"/>
      <c r="D48" s="1">
        <f>SUM(OSRRefD22_3x_0)</f>
        <v>0</v>
      </c>
      <c r="E48" s="1"/>
      <c r="F48" s="5">
        <f t="shared" si="29"/>
        <v>0</v>
      </c>
      <c r="G48" s="1"/>
      <c r="H48" s="1">
        <f>SUM(OSRRefH22_3x_0)</f>
        <v>0</v>
      </c>
      <c r="I48" s="1"/>
      <c r="J48" s="5">
        <f t="shared" si="30"/>
        <v>0</v>
      </c>
      <c r="K48" s="1"/>
      <c r="L48" s="1">
        <f t="shared" si="31"/>
        <v>0</v>
      </c>
      <c r="M48" s="1"/>
      <c r="N48" s="5">
        <f t="shared" si="32"/>
        <v>0</v>
      </c>
      <c r="O48" s="12"/>
      <c r="P48" s="1">
        <f>SUM(OSRRefP22_3x_0)</f>
        <v>-18.989999999999998</v>
      </c>
      <c r="Q48" s="1"/>
      <c r="R48" s="5">
        <f t="shared" si="33"/>
        <v>-6.6039131471704477E-5</v>
      </c>
      <c r="S48" s="1"/>
      <c r="T48" s="1">
        <f>SUM(OSRRefT22_3x_0)</f>
        <v>0</v>
      </c>
      <c r="U48" s="1"/>
      <c r="V48" s="5">
        <f t="shared" si="34"/>
        <v>0</v>
      </c>
      <c r="W48" s="1"/>
      <c r="X48" s="1">
        <f t="shared" si="35"/>
        <v>-18.989999999999998</v>
      </c>
      <c r="Y48" s="1"/>
      <c r="Z48" s="5">
        <f t="shared" si="36"/>
        <v>0</v>
      </c>
    </row>
    <row r="49" spans="1:26" s="24" customFormat="1" hidden="1" outlineLevel="2" x14ac:dyDescent="0.25">
      <c r="A49" s="26"/>
      <c r="B49" s="11" t="str">
        <f>CONCATENATE("          ", "6272", " - ", "CASH (OVER/SHORT)")</f>
        <v xml:space="preserve">          6272 - CASH (OVER/SHORT)</v>
      </c>
      <c r="C49" s="11"/>
      <c r="D49" s="7"/>
      <c r="E49" s="2"/>
      <c r="F49" s="6">
        <f t="shared" si="29"/>
        <v>0</v>
      </c>
      <c r="G49" s="2"/>
      <c r="H49" s="7">
        <v>0</v>
      </c>
      <c r="I49" s="2"/>
      <c r="J49" s="6">
        <f t="shared" si="30"/>
        <v>0</v>
      </c>
      <c r="K49" s="2"/>
      <c r="L49" s="7">
        <f t="shared" si="31"/>
        <v>0</v>
      </c>
      <c r="M49" s="2"/>
      <c r="N49" s="6">
        <f t="shared" si="32"/>
        <v>0</v>
      </c>
      <c r="O49" s="11"/>
      <c r="P49" s="7">
        <v>-18.989999999999998</v>
      </c>
      <c r="Q49" s="2"/>
      <c r="R49" s="6">
        <f t="shared" si="33"/>
        <v>-6.6039131471704477E-5</v>
      </c>
      <c r="S49" s="2"/>
      <c r="T49" s="7">
        <v>0</v>
      </c>
      <c r="U49" s="2"/>
      <c r="V49" s="6">
        <f t="shared" si="34"/>
        <v>0</v>
      </c>
      <c r="W49" s="2"/>
      <c r="X49" s="7">
        <f t="shared" si="35"/>
        <v>-18.989999999999998</v>
      </c>
      <c r="Y49" s="2"/>
      <c r="Z49" s="6">
        <f t="shared" si="36"/>
        <v>0</v>
      </c>
    </row>
    <row r="50" spans="1:26" s="27" customFormat="1" outlineLevel="1" collapsed="1" x14ac:dyDescent="0.25">
      <c r="A50" s="25"/>
      <c r="B50" s="12" t="str">
        <f>CONCATENATE("     ","Bank/card Fees                                    ")</f>
        <v xml:space="preserve">     Bank/card Fees                                    </v>
      </c>
      <c r="C50" s="12"/>
      <c r="D50" s="1">
        <f>SUM(OSRRefD22_4x_0)</f>
        <v>0</v>
      </c>
      <c r="E50" s="1"/>
      <c r="F50" s="5">
        <f t="shared" si="29"/>
        <v>0</v>
      </c>
      <c r="G50" s="1"/>
      <c r="H50" s="1">
        <f>SUM(OSRRefH22_4x_0)</f>
        <v>972</v>
      </c>
      <c r="I50" s="1"/>
      <c r="J50" s="5">
        <f t="shared" si="30"/>
        <v>3.1677747360187719E-2</v>
      </c>
      <c r="K50" s="1"/>
      <c r="L50" s="1">
        <f t="shared" si="31"/>
        <v>-972</v>
      </c>
      <c r="M50" s="1"/>
      <c r="N50" s="5">
        <f t="shared" si="32"/>
        <v>-1</v>
      </c>
      <c r="O50" s="12"/>
      <c r="P50" s="1">
        <f>SUM(OSRRefP22_4x_0)</f>
        <v>10541.38</v>
      </c>
      <c r="Q50" s="1"/>
      <c r="R50" s="5">
        <f t="shared" si="33"/>
        <v>3.6658429684739133E-2</v>
      </c>
      <c r="S50" s="1"/>
      <c r="T50" s="1">
        <f>SUM(OSRRefT22_4x_0)</f>
        <v>12460</v>
      </c>
      <c r="U50" s="1"/>
      <c r="V50" s="5">
        <f t="shared" si="34"/>
        <v>3.1688788628658773E-2</v>
      </c>
      <c r="W50" s="1"/>
      <c r="X50" s="1">
        <f t="shared" si="35"/>
        <v>-1918.6200000000008</v>
      </c>
      <c r="Y50" s="1"/>
      <c r="Z50" s="5">
        <f t="shared" si="36"/>
        <v>-0.15398234349919748</v>
      </c>
    </row>
    <row r="51" spans="1:26" s="24" customFormat="1" hidden="1" outlineLevel="2" x14ac:dyDescent="0.25">
      <c r="A51" s="26"/>
      <c r="B51" s="11" t="str">
        <f>CONCATENATE("          ", "6381", " - ", "BANK/CREDIT CARD FEES")</f>
        <v xml:space="preserve">          6381 - BANK/CREDIT CARD FEES</v>
      </c>
      <c r="C51" s="11"/>
      <c r="D51" s="7"/>
      <c r="E51" s="2"/>
      <c r="F51" s="6">
        <f t="shared" si="29"/>
        <v>0</v>
      </c>
      <c r="G51" s="2"/>
      <c r="H51" s="7">
        <v>972</v>
      </c>
      <c r="I51" s="2"/>
      <c r="J51" s="6">
        <f t="shared" si="30"/>
        <v>3.1677747360187719E-2</v>
      </c>
      <c r="K51" s="2"/>
      <c r="L51" s="7">
        <f t="shared" si="31"/>
        <v>-972</v>
      </c>
      <c r="M51" s="2"/>
      <c r="N51" s="6">
        <f t="shared" si="32"/>
        <v>-1</v>
      </c>
      <c r="O51" s="11"/>
      <c r="P51" s="7">
        <v>10541.38</v>
      </c>
      <c r="Q51" s="2"/>
      <c r="R51" s="6">
        <f t="shared" si="33"/>
        <v>3.6658429684739133E-2</v>
      </c>
      <c r="S51" s="2"/>
      <c r="T51" s="7">
        <v>12460</v>
      </c>
      <c r="U51" s="2"/>
      <c r="V51" s="6">
        <f t="shared" si="34"/>
        <v>3.1688788628658773E-2</v>
      </c>
      <c r="W51" s="2"/>
      <c r="X51" s="7">
        <f t="shared" si="35"/>
        <v>-1918.6200000000008</v>
      </c>
      <c r="Y51" s="2"/>
      <c r="Z51" s="6">
        <f t="shared" si="36"/>
        <v>-0.15398234349919748</v>
      </c>
    </row>
    <row r="52" spans="1:26" s="27" customFormat="1" outlineLevel="1" collapsed="1" x14ac:dyDescent="0.25">
      <c r="A52" s="25"/>
      <c r="B52" s="12" t="str">
        <f>CONCATENATE("     ","Depreciation                                      ")</f>
        <v xml:space="preserve">     Depreciation                                      </v>
      </c>
      <c r="C52" s="12"/>
      <c r="D52" s="1">
        <f>SUM(OSRRefD22_5x_0)</f>
        <v>315.43</v>
      </c>
      <c r="E52" s="1"/>
      <c r="F52" s="5">
        <f t="shared" si="29"/>
        <v>0</v>
      </c>
      <c r="G52" s="1"/>
      <c r="H52" s="1">
        <f>SUM(OSRRefH22_5x_0)</f>
        <v>233</v>
      </c>
      <c r="I52" s="1"/>
      <c r="J52" s="5">
        <f t="shared" si="30"/>
        <v>7.5935340894277151E-3</v>
      </c>
      <c r="K52" s="1"/>
      <c r="L52" s="1">
        <f t="shared" si="31"/>
        <v>82.43</v>
      </c>
      <c r="M52" s="1"/>
      <c r="N52" s="5">
        <f t="shared" si="32"/>
        <v>0.3537768240343348</v>
      </c>
      <c r="O52" s="12"/>
      <c r="P52" s="1">
        <f>SUM(OSRRefP22_5x_0)</f>
        <v>2191.65</v>
      </c>
      <c r="Q52" s="1"/>
      <c r="R52" s="5">
        <f t="shared" si="33"/>
        <v>7.6216251969437139E-3</v>
      </c>
      <c r="S52" s="1"/>
      <c r="T52" s="1">
        <f>SUM(OSRRefT22_5x_0)</f>
        <v>1864</v>
      </c>
      <c r="U52" s="1"/>
      <c r="V52" s="5">
        <f t="shared" si="34"/>
        <v>4.7406020869839444E-3</v>
      </c>
      <c r="W52" s="1"/>
      <c r="X52" s="1">
        <f t="shared" si="35"/>
        <v>327.65000000000009</v>
      </c>
      <c r="Y52" s="1"/>
      <c r="Z52" s="5">
        <f t="shared" si="36"/>
        <v>0.1757778969957082</v>
      </c>
    </row>
    <row r="53" spans="1:26" s="24" customFormat="1" hidden="1" outlineLevel="2" x14ac:dyDescent="0.25">
      <c r="A53" s="26"/>
      <c r="B53" s="11" t="str">
        <f>CONCATENATE("          ", "6322", " - ", "EQUIPMENT DEPRECIATION EXPENSE")</f>
        <v xml:space="preserve">          6322 - EQUIPMENT DEPRECIATION EXPENSE</v>
      </c>
      <c r="C53" s="11"/>
      <c r="D53" s="7">
        <v>315.43</v>
      </c>
      <c r="E53" s="2"/>
      <c r="F53" s="6">
        <f t="shared" si="29"/>
        <v>0</v>
      </c>
      <c r="G53" s="2"/>
      <c r="H53" s="7"/>
      <c r="I53" s="2"/>
      <c r="J53" s="6">
        <f t="shared" si="30"/>
        <v>0</v>
      </c>
      <c r="K53" s="2"/>
      <c r="L53" s="7">
        <f t="shared" si="31"/>
        <v>315.43</v>
      </c>
      <c r="M53" s="2"/>
      <c r="N53" s="6">
        <f t="shared" si="32"/>
        <v>0</v>
      </c>
      <c r="O53" s="11"/>
      <c r="P53" s="7">
        <v>2191.65</v>
      </c>
      <c r="Q53" s="2"/>
      <c r="R53" s="6">
        <f t="shared" si="33"/>
        <v>7.6216251969437139E-3</v>
      </c>
      <c r="S53" s="2"/>
      <c r="T53" s="7"/>
      <c r="U53" s="2"/>
      <c r="V53" s="6">
        <f t="shared" si="34"/>
        <v>0</v>
      </c>
      <c r="W53" s="2"/>
      <c r="X53" s="7">
        <f t="shared" si="35"/>
        <v>2191.65</v>
      </c>
      <c r="Y53" s="2"/>
      <c r="Z53" s="6">
        <f t="shared" si="36"/>
        <v>0</v>
      </c>
    </row>
    <row r="54" spans="1:26" s="24" customFormat="1" hidden="1" outlineLevel="2" x14ac:dyDescent="0.25">
      <c r="A54" s="26"/>
      <c r="B54" s="11" t="str">
        <f>CONCATENATE("          ", "6324", " - ", "FURNITURE + FIXT DEPRECIATION")</f>
        <v xml:space="preserve">          6324 - FURNITURE + FIXT DEPRECIATION</v>
      </c>
      <c r="C54" s="11"/>
      <c r="D54" s="7"/>
      <c r="E54" s="2"/>
      <c r="F54" s="6">
        <f t="shared" si="29"/>
        <v>0</v>
      </c>
      <c r="G54" s="2"/>
      <c r="H54" s="7">
        <v>233</v>
      </c>
      <c r="I54" s="2"/>
      <c r="J54" s="6">
        <f t="shared" si="30"/>
        <v>7.5935340894277151E-3</v>
      </c>
      <c r="K54" s="2"/>
      <c r="L54" s="7">
        <f t="shared" si="31"/>
        <v>-233</v>
      </c>
      <c r="M54" s="2"/>
      <c r="N54" s="6">
        <f t="shared" si="32"/>
        <v>-1</v>
      </c>
      <c r="O54" s="11"/>
      <c r="P54" s="7"/>
      <c r="Q54" s="2"/>
      <c r="R54" s="6">
        <f t="shared" si="33"/>
        <v>0</v>
      </c>
      <c r="S54" s="2"/>
      <c r="T54" s="7">
        <v>1864</v>
      </c>
      <c r="U54" s="2"/>
      <c r="V54" s="6">
        <f t="shared" si="34"/>
        <v>4.7406020869839444E-3</v>
      </c>
      <c r="W54" s="2"/>
      <c r="X54" s="7">
        <f t="shared" si="35"/>
        <v>-1864</v>
      </c>
      <c r="Y54" s="2"/>
      <c r="Z54" s="6">
        <f t="shared" si="36"/>
        <v>-1</v>
      </c>
    </row>
    <row r="55" spans="1:26" s="27" customFormat="1" outlineLevel="1" collapsed="1" x14ac:dyDescent="0.25">
      <c r="A55" s="25"/>
      <c r="B55" s="12" t="str">
        <f>CONCATENATE("     ","Employees' Appreciation                           ")</f>
        <v xml:space="preserve">     Employees' Appreciation                           </v>
      </c>
      <c r="C55" s="12"/>
      <c r="D55" s="1">
        <f>SUM(OSRRefD22_6x_0)</f>
        <v>0</v>
      </c>
      <c r="E55" s="1"/>
      <c r="F55" s="5">
        <f t="shared" ref="F55:F63" si="37">IF(D$12=0,0,D55/D$12)</f>
        <v>0</v>
      </c>
      <c r="G55" s="1"/>
      <c r="H55" s="1">
        <f>SUM(OSRRefH22_6x_0)</f>
        <v>0</v>
      </c>
      <c r="I55" s="1"/>
      <c r="J55" s="5">
        <f t="shared" ref="J55:J63" si="38">IF(H$12=0,0,H55/H$12)</f>
        <v>0</v>
      </c>
      <c r="K55" s="1"/>
      <c r="L55" s="1">
        <f t="shared" ref="L55:L63" si="39">+D55-H55</f>
        <v>0</v>
      </c>
      <c r="M55" s="1"/>
      <c r="N55" s="5">
        <f t="shared" ref="N55:N63" si="40">IF(H55=0,0,L55/H55)</f>
        <v>0</v>
      </c>
      <c r="O55" s="12"/>
      <c r="P55" s="1">
        <f>SUM(OSRRefP22_6x_0)</f>
        <v>62.26</v>
      </c>
      <c r="Q55" s="1"/>
      <c r="R55" s="5">
        <f t="shared" ref="R55:R63" si="41">IF(P$12=0,0,P55/P$12)</f>
        <v>2.1651376121265513E-4</v>
      </c>
      <c r="S55" s="1"/>
      <c r="T55" s="1">
        <f>SUM(OSRRefT22_6x_0)</f>
        <v>0</v>
      </c>
      <c r="U55" s="1"/>
      <c r="V55" s="5">
        <f t="shared" ref="V55:V63" si="42">IF(T$12=0,0,T55/T$12)</f>
        <v>0</v>
      </c>
      <c r="W55" s="1"/>
      <c r="X55" s="1">
        <f t="shared" ref="X55:X63" si="43">+P55-T55</f>
        <v>62.26</v>
      </c>
      <c r="Y55" s="1"/>
      <c r="Z55" s="5">
        <f t="shared" ref="Z55:Z63" si="44">IF(T55=0,0,X55/T55)</f>
        <v>0</v>
      </c>
    </row>
    <row r="56" spans="1:26" s="24" customFormat="1" hidden="1" outlineLevel="2" x14ac:dyDescent="0.25">
      <c r="A56" s="26"/>
      <c r="B56" s="11" t="str">
        <f>CONCATENATE("          ", "6277", " - ", "EMPLOYEE APPRECIATION")</f>
        <v xml:space="preserve">          6277 - EMPLOYEE APPRECIATION</v>
      </c>
      <c r="C56" s="11"/>
      <c r="D56" s="7"/>
      <c r="E56" s="2"/>
      <c r="F56" s="6">
        <f t="shared" si="37"/>
        <v>0</v>
      </c>
      <c r="G56" s="2"/>
      <c r="H56" s="7">
        <v>0</v>
      </c>
      <c r="I56" s="2"/>
      <c r="J56" s="6">
        <f t="shared" si="38"/>
        <v>0</v>
      </c>
      <c r="K56" s="2"/>
      <c r="L56" s="7">
        <f t="shared" si="39"/>
        <v>0</v>
      </c>
      <c r="M56" s="2"/>
      <c r="N56" s="6">
        <f t="shared" si="40"/>
        <v>0</v>
      </c>
      <c r="O56" s="11"/>
      <c r="P56" s="7">
        <v>62.26</v>
      </c>
      <c r="Q56" s="2"/>
      <c r="R56" s="6">
        <f t="shared" si="41"/>
        <v>2.1651376121265513E-4</v>
      </c>
      <c r="S56" s="2"/>
      <c r="T56" s="7">
        <v>0</v>
      </c>
      <c r="U56" s="2"/>
      <c r="V56" s="6">
        <f t="shared" si="42"/>
        <v>0</v>
      </c>
      <c r="W56" s="2"/>
      <c r="X56" s="7">
        <f t="shared" si="43"/>
        <v>62.26</v>
      </c>
      <c r="Y56" s="2"/>
      <c r="Z56" s="6">
        <f t="shared" si="44"/>
        <v>0</v>
      </c>
    </row>
    <row r="57" spans="1:26" s="27" customFormat="1" outlineLevel="1" collapsed="1" x14ac:dyDescent="0.25">
      <c r="A57" s="25"/>
      <c r="B57" s="12" t="str">
        <f>CONCATENATE("     ","Equipment Rental                                  ")</f>
        <v xml:space="preserve">     Equipment Rental                                  </v>
      </c>
      <c r="C57" s="12"/>
      <c r="D57" s="1">
        <f>SUM(OSRRefD22_7x_0)</f>
        <v>0</v>
      </c>
      <c r="E57" s="1"/>
      <c r="F57" s="5">
        <f t="shared" si="37"/>
        <v>0</v>
      </c>
      <c r="G57" s="1"/>
      <c r="H57" s="1">
        <f>SUM(OSRRefH22_7x_0)</f>
        <v>0</v>
      </c>
      <c r="I57" s="1"/>
      <c r="J57" s="5">
        <f t="shared" si="38"/>
        <v>0</v>
      </c>
      <c r="K57" s="1"/>
      <c r="L57" s="1">
        <f t="shared" si="39"/>
        <v>0</v>
      </c>
      <c r="M57" s="1"/>
      <c r="N57" s="5">
        <f t="shared" si="40"/>
        <v>0</v>
      </c>
      <c r="O57" s="12"/>
      <c r="P57" s="1">
        <f>SUM(OSRRefP22_7x_0)</f>
        <v>12</v>
      </c>
      <c r="Q57" s="1"/>
      <c r="R57" s="5">
        <f t="shared" si="41"/>
        <v>4.1730888765690033E-5</v>
      </c>
      <c r="S57" s="1"/>
      <c r="T57" s="1">
        <f>SUM(OSRRefT22_7x_0)</f>
        <v>0</v>
      </c>
      <c r="U57" s="1"/>
      <c r="V57" s="5">
        <f t="shared" si="42"/>
        <v>0</v>
      </c>
      <c r="W57" s="1"/>
      <c r="X57" s="1">
        <f t="shared" si="43"/>
        <v>12</v>
      </c>
      <c r="Y57" s="1"/>
      <c r="Z57" s="5">
        <f t="shared" si="44"/>
        <v>0</v>
      </c>
    </row>
    <row r="58" spans="1:26" s="24" customFormat="1" hidden="1" outlineLevel="2" x14ac:dyDescent="0.25">
      <c r="A58" s="26"/>
      <c r="B58" s="11" t="str">
        <f>CONCATENATE("          ", "6351", " - ", "EQUIPMENT RENTAL")</f>
        <v xml:space="preserve">          6351 - EQUIPMENT RENTAL</v>
      </c>
      <c r="C58" s="11"/>
      <c r="D58" s="7"/>
      <c r="E58" s="2"/>
      <c r="F58" s="6">
        <f t="shared" si="37"/>
        <v>0</v>
      </c>
      <c r="G58" s="2"/>
      <c r="H58" s="7"/>
      <c r="I58" s="2"/>
      <c r="J58" s="6">
        <f t="shared" si="38"/>
        <v>0</v>
      </c>
      <c r="K58" s="2"/>
      <c r="L58" s="7">
        <f t="shared" si="39"/>
        <v>0</v>
      </c>
      <c r="M58" s="2"/>
      <c r="N58" s="6">
        <f t="shared" si="40"/>
        <v>0</v>
      </c>
      <c r="O58" s="11"/>
      <c r="P58" s="7">
        <v>12</v>
      </c>
      <c r="Q58" s="2"/>
      <c r="R58" s="6">
        <f t="shared" si="41"/>
        <v>4.1730888765690033E-5</v>
      </c>
      <c r="S58" s="2"/>
      <c r="T58" s="7"/>
      <c r="U58" s="2"/>
      <c r="V58" s="6">
        <f t="shared" si="42"/>
        <v>0</v>
      </c>
      <c r="W58" s="2"/>
      <c r="X58" s="7">
        <f t="shared" si="43"/>
        <v>12</v>
      </c>
      <c r="Y58" s="2"/>
      <c r="Z58" s="6">
        <f t="shared" si="44"/>
        <v>0</v>
      </c>
    </row>
    <row r="59" spans="1:26" s="27" customFormat="1" outlineLevel="1" collapsed="1" x14ac:dyDescent="0.25">
      <c r="A59" s="25"/>
      <c r="B59" s="12" t="str">
        <f>CONCATENATE("     ","General                                           ")</f>
        <v xml:space="preserve">     General                                           </v>
      </c>
      <c r="C59" s="12"/>
      <c r="D59" s="1">
        <f>SUM(OSRRefD22_8x_0)</f>
        <v>0</v>
      </c>
      <c r="E59" s="1"/>
      <c r="F59" s="5">
        <f t="shared" si="37"/>
        <v>0</v>
      </c>
      <c r="G59" s="1"/>
      <c r="H59" s="1">
        <f>SUM(OSRRefH22_8x_0)</f>
        <v>334</v>
      </c>
      <c r="I59" s="1"/>
      <c r="J59" s="5">
        <f t="shared" si="38"/>
        <v>1.0885151870681788E-2</v>
      </c>
      <c r="K59" s="1"/>
      <c r="L59" s="1">
        <f t="shared" si="39"/>
        <v>-334</v>
      </c>
      <c r="M59" s="1"/>
      <c r="N59" s="5">
        <f t="shared" si="40"/>
        <v>-1</v>
      </c>
      <c r="O59" s="12"/>
      <c r="P59" s="1">
        <f>SUM(OSRRefP22_8x_0)</f>
        <v>5632.39</v>
      </c>
      <c r="Q59" s="1"/>
      <c r="R59" s="5">
        <f t="shared" si="41"/>
        <v>1.9587053381248744E-2</v>
      </c>
      <c r="S59" s="1"/>
      <c r="T59" s="1">
        <f>SUM(OSRRefT22_8x_0)</f>
        <v>4283</v>
      </c>
      <c r="U59" s="1"/>
      <c r="V59" s="5">
        <f t="shared" si="42"/>
        <v>1.0892703185918581E-2</v>
      </c>
      <c r="W59" s="1"/>
      <c r="X59" s="1">
        <f t="shared" si="43"/>
        <v>1349.3900000000003</v>
      </c>
      <c r="Y59" s="1"/>
      <c r="Z59" s="5">
        <f t="shared" si="44"/>
        <v>0.31505720289516703</v>
      </c>
    </row>
    <row r="60" spans="1:26" s="24" customFormat="1" hidden="1" outlineLevel="2" x14ac:dyDescent="0.25">
      <c r="A60" s="26"/>
      <c r="B60" s="11" t="str">
        <f>CONCATENATE("          ", "6279", " - ", "GENERAL EXPENSE")</f>
        <v xml:space="preserve">          6279 - GENERAL EXPENSE</v>
      </c>
      <c r="C60" s="11"/>
      <c r="D60" s="7"/>
      <c r="E60" s="2"/>
      <c r="F60" s="6">
        <f t="shared" si="37"/>
        <v>0</v>
      </c>
      <c r="G60" s="2"/>
      <c r="H60" s="7">
        <v>334</v>
      </c>
      <c r="I60" s="2"/>
      <c r="J60" s="6">
        <f t="shared" si="38"/>
        <v>1.0885151870681788E-2</v>
      </c>
      <c r="K60" s="2"/>
      <c r="L60" s="7">
        <f t="shared" si="39"/>
        <v>-334</v>
      </c>
      <c r="M60" s="2"/>
      <c r="N60" s="6">
        <f t="shared" si="40"/>
        <v>-1</v>
      </c>
      <c r="O60" s="11"/>
      <c r="P60" s="7">
        <v>5632.39</v>
      </c>
      <c r="Q60" s="2"/>
      <c r="R60" s="6">
        <f t="shared" si="41"/>
        <v>1.9587053381248744E-2</v>
      </c>
      <c r="S60" s="2"/>
      <c r="T60" s="7">
        <v>4283</v>
      </c>
      <c r="U60" s="2"/>
      <c r="V60" s="6">
        <f t="shared" si="42"/>
        <v>1.0892703185918581E-2</v>
      </c>
      <c r="W60" s="2"/>
      <c r="X60" s="7">
        <f t="shared" si="43"/>
        <v>1349.3900000000003</v>
      </c>
      <c r="Y60" s="2"/>
      <c r="Z60" s="6">
        <f t="shared" si="44"/>
        <v>0.31505720289516703</v>
      </c>
    </row>
    <row r="61" spans="1:26" s="27" customFormat="1" outlineLevel="1" collapsed="1" x14ac:dyDescent="0.25">
      <c r="A61" s="25"/>
      <c r="B61" s="12" t="str">
        <f>CONCATENATE("     ","Repair and Maintenance                            ")</f>
        <v xml:space="preserve">     Repair and Maintenance                            </v>
      </c>
      <c r="C61" s="12"/>
      <c r="D61" s="1">
        <f>SUM(OSRRefD22_9x_0)</f>
        <v>0</v>
      </c>
      <c r="E61" s="1"/>
      <c r="F61" s="5">
        <f t="shared" si="37"/>
        <v>0</v>
      </c>
      <c r="G61" s="1"/>
      <c r="H61" s="1">
        <f>SUM(OSRRefH22_9x_0)</f>
        <v>334</v>
      </c>
      <c r="I61" s="1"/>
      <c r="J61" s="5">
        <f t="shared" si="38"/>
        <v>1.0885151870681788E-2</v>
      </c>
      <c r="K61" s="1"/>
      <c r="L61" s="1">
        <f t="shared" si="39"/>
        <v>-334</v>
      </c>
      <c r="M61" s="1"/>
      <c r="N61" s="5">
        <f t="shared" si="40"/>
        <v>-1</v>
      </c>
      <c r="O61" s="12"/>
      <c r="P61" s="1">
        <f>SUM(OSRRefP22_9x_0)</f>
        <v>7318.94</v>
      </c>
      <c r="Q61" s="1"/>
      <c r="R61" s="5">
        <f t="shared" si="41"/>
        <v>2.5452155918563285E-2</v>
      </c>
      <c r="S61" s="1"/>
      <c r="T61" s="1">
        <f>SUM(OSRRefT22_9x_0)</f>
        <v>4283</v>
      </c>
      <c r="U61" s="1"/>
      <c r="V61" s="5">
        <f t="shared" si="42"/>
        <v>1.0892703185918581E-2</v>
      </c>
      <c r="W61" s="1"/>
      <c r="X61" s="1">
        <f t="shared" si="43"/>
        <v>3035.9399999999996</v>
      </c>
      <c r="Y61" s="1"/>
      <c r="Z61" s="5">
        <f t="shared" si="44"/>
        <v>0.7088349287882324</v>
      </c>
    </row>
    <row r="62" spans="1:26" s="24" customFormat="1" hidden="1" outlineLevel="2" x14ac:dyDescent="0.25">
      <c r="A62" s="26"/>
      <c r="B62" s="11" t="str">
        <f>CONCATENATE("          ", "6373", " - ", "MAINTENANCE CONTRACTS")</f>
        <v xml:space="preserve">          6373 - MAINTENANCE CONTRACTS</v>
      </c>
      <c r="C62" s="11"/>
      <c r="D62" s="7"/>
      <c r="E62" s="2"/>
      <c r="F62" s="6">
        <f t="shared" si="37"/>
        <v>0</v>
      </c>
      <c r="G62" s="2"/>
      <c r="H62" s="7"/>
      <c r="I62" s="2"/>
      <c r="J62" s="6">
        <f t="shared" si="38"/>
        <v>0</v>
      </c>
      <c r="K62" s="2"/>
      <c r="L62" s="7">
        <f t="shared" si="39"/>
        <v>0</v>
      </c>
      <c r="M62" s="2"/>
      <c r="N62" s="6">
        <f t="shared" si="40"/>
        <v>0</v>
      </c>
      <c r="O62" s="11"/>
      <c r="P62" s="7">
        <v>141.44999999999999</v>
      </c>
      <c r="Q62" s="2"/>
      <c r="R62" s="6">
        <f t="shared" si="41"/>
        <v>4.9190285132557124E-4</v>
      </c>
      <c r="S62" s="2"/>
      <c r="T62" s="7"/>
      <c r="U62" s="2"/>
      <c r="V62" s="6">
        <f t="shared" si="42"/>
        <v>0</v>
      </c>
      <c r="W62" s="2"/>
      <c r="X62" s="7">
        <f t="shared" si="43"/>
        <v>141.44999999999999</v>
      </c>
      <c r="Y62" s="2"/>
      <c r="Z62" s="6">
        <f t="shared" si="44"/>
        <v>0</v>
      </c>
    </row>
    <row r="63" spans="1:26" s="24" customFormat="1" hidden="1" outlineLevel="2" x14ac:dyDescent="0.25">
      <c r="A63" s="26"/>
      <c r="B63" s="11" t="str">
        <f>CONCATENATE("          ", "6375", " - ", "OUTSIDE REPAIRS &amp; MAINTENANCE")</f>
        <v xml:space="preserve">          6375 - OUTSIDE REPAIRS &amp; MAINTENANCE</v>
      </c>
      <c r="C63" s="11"/>
      <c r="D63" s="7"/>
      <c r="E63" s="2"/>
      <c r="F63" s="6">
        <f t="shared" si="37"/>
        <v>0</v>
      </c>
      <c r="G63" s="2"/>
      <c r="H63" s="7">
        <v>334</v>
      </c>
      <c r="I63" s="2"/>
      <c r="J63" s="6">
        <f t="shared" si="38"/>
        <v>1.0885151870681788E-2</v>
      </c>
      <c r="K63" s="2"/>
      <c r="L63" s="7">
        <f t="shared" si="39"/>
        <v>-334</v>
      </c>
      <c r="M63" s="2"/>
      <c r="N63" s="6">
        <f t="shared" si="40"/>
        <v>-1</v>
      </c>
      <c r="O63" s="11"/>
      <c r="P63" s="7">
        <v>7177.49</v>
      </c>
      <c r="Q63" s="2"/>
      <c r="R63" s="6">
        <f t="shared" si="41"/>
        <v>2.4960253067237714E-2</v>
      </c>
      <c r="S63" s="2"/>
      <c r="T63" s="7">
        <v>4283</v>
      </c>
      <c r="U63" s="2"/>
      <c r="V63" s="6">
        <f t="shared" si="42"/>
        <v>1.0892703185918581E-2</v>
      </c>
      <c r="W63" s="2"/>
      <c r="X63" s="7">
        <f t="shared" si="43"/>
        <v>2894.49</v>
      </c>
      <c r="Y63" s="2"/>
      <c r="Z63" s="6">
        <f t="shared" si="44"/>
        <v>0.67580901237450375</v>
      </c>
    </row>
    <row r="64" spans="1:26" s="27" customFormat="1" outlineLevel="1" collapsed="1" x14ac:dyDescent="0.25">
      <c r="A64" s="25"/>
      <c r="B64" s="12" t="str">
        <f>CONCATENATE("     ","Services                                          ")</f>
        <v xml:space="preserve">     Services                                          </v>
      </c>
      <c r="C64" s="12"/>
      <c r="D64" s="1">
        <f>SUM(OSRRefD22_10x_0)</f>
        <v>400.84</v>
      </c>
      <c r="E64" s="1"/>
      <c r="F64" s="5">
        <f t="shared" ref="F64:F67" si="45">IF(D$12=0,0,D64/D$12)</f>
        <v>0</v>
      </c>
      <c r="G64" s="1"/>
      <c r="H64" s="1">
        <f>SUM(OSRRefH22_10x_0)</f>
        <v>273</v>
      </c>
      <c r="I64" s="1"/>
      <c r="J64" s="5">
        <f t="shared" ref="J64:J67" si="46">IF(H$12=0,0,H64/H$12)</f>
        <v>8.8971450919045764E-3</v>
      </c>
      <c r="K64" s="1"/>
      <c r="L64" s="1">
        <f t="shared" ref="L64:L67" si="47">+D64-H64</f>
        <v>127.83999999999997</v>
      </c>
      <c r="M64" s="1"/>
      <c r="N64" s="5">
        <f t="shared" ref="N64:N67" si="48">IF(H64=0,0,L64/H64)</f>
        <v>0.46827838827838819</v>
      </c>
      <c r="O64" s="12"/>
      <c r="P64" s="1">
        <f>SUM(OSRRefP22_10x_0)</f>
        <v>3957.08</v>
      </c>
      <c r="Q64" s="1"/>
      <c r="R64" s="5">
        <f t="shared" ref="R64:R67" si="49">IF(P$12=0,0,P64/P$12)</f>
        <v>1.3761038776411393E-2</v>
      </c>
      <c r="S64" s="1"/>
      <c r="T64" s="1">
        <f>SUM(OSRRefT22_10x_0)</f>
        <v>3503</v>
      </c>
      <c r="U64" s="1"/>
      <c r="V64" s="5">
        <f t="shared" ref="V64:V67" si="50">IF(T$12=0,0,T64/T$12)</f>
        <v>8.9089748447986894E-3</v>
      </c>
      <c r="W64" s="1"/>
      <c r="X64" s="1">
        <f t="shared" ref="X64:X67" si="51">+P64-T64</f>
        <v>454.07999999999993</v>
      </c>
      <c r="Y64" s="1"/>
      <c r="Z64" s="5">
        <f t="shared" ref="Z64:Z67" si="52">IF(T64=0,0,X64/T64)</f>
        <v>0.12962603482729088</v>
      </c>
    </row>
    <row r="65" spans="1:26" s="24" customFormat="1" hidden="1" outlineLevel="2" x14ac:dyDescent="0.25">
      <c r="A65" s="26"/>
      <c r="B65" s="11" t="str">
        <f>CONCATENATE("          ", "6282", " - ", "JANITORIAL/EXTERMINATOR EXPENS")</f>
        <v xml:space="preserve">          6282 - JANITORIAL/EXTERMINATOR EXPENS</v>
      </c>
      <c r="C65" s="11"/>
      <c r="D65" s="7">
        <v>372</v>
      </c>
      <c r="E65" s="2"/>
      <c r="F65" s="6">
        <f t="shared" si="45"/>
        <v>0</v>
      </c>
      <c r="G65" s="2"/>
      <c r="H65" s="7">
        <v>273</v>
      </c>
      <c r="I65" s="2"/>
      <c r="J65" s="6">
        <f t="shared" si="46"/>
        <v>8.8971450919045764E-3</v>
      </c>
      <c r="K65" s="2"/>
      <c r="L65" s="7">
        <f t="shared" si="47"/>
        <v>99</v>
      </c>
      <c r="M65" s="2"/>
      <c r="N65" s="6">
        <f t="shared" si="48"/>
        <v>0.36263736263736263</v>
      </c>
      <c r="O65" s="11"/>
      <c r="P65" s="7">
        <v>3465.3</v>
      </c>
      <c r="Q65" s="2"/>
      <c r="R65" s="6">
        <f t="shared" si="49"/>
        <v>1.2050837403312141E-2</v>
      </c>
      <c r="S65" s="2"/>
      <c r="T65" s="7">
        <v>3503</v>
      </c>
      <c r="U65" s="2"/>
      <c r="V65" s="6">
        <f t="shared" si="50"/>
        <v>8.9089748447986894E-3</v>
      </c>
      <c r="W65" s="2"/>
      <c r="X65" s="7">
        <f t="shared" si="51"/>
        <v>-37.699999999999818</v>
      </c>
      <c r="Y65" s="2"/>
      <c r="Z65" s="6">
        <f t="shared" si="52"/>
        <v>-1.0762203825292554E-2</v>
      </c>
    </row>
    <row r="66" spans="1:26" s="24" customFormat="1" hidden="1" outlineLevel="2" x14ac:dyDescent="0.25">
      <c r="A66" s="26"/>
      <c r="B66" s="11" t="str">
        <f>CONCATENATE("          ", "6285", " - ", "JANITORIAL SERVICES")</f>
        <v xml:space="preserve">          6285 - JANITORIAL SERVICES</v>
      </c>
      <c r="C66" s="11"/>
      <c r="D66" s="7">
        <v>28.84</v>
      </c>
      <c r="E66" s="2"/>
      <c r="F66" s="6">
        <f t="shared" si="45"/>
        <v>0</v>
      </c>
      <c r="G66" s="2"/>
      <c r="H66" s="7"/>
      <c r="I66" s="2"/>
      <c r="J66" s="6">
        <f t="shared" si="46"/>
        <v>0</v>
      </c>
      <c r="K66" s="2"/>
      <c r="L66" s="7">
        <f t="shared" si="47"/>
        <v>28.84</v>
      </c>
      <c r="M66" s="2"/>
      <c r="N66" s="6">
        <f t="shared" si="48"/>
        <v>0</v>
      </c>
      <c r="O66" s="11"/>
      <c r="P66" s="7">
        <v>305.77999999999997</v>
      </c>
      <c r="Q66" s="2"/>
      <c r="R66" s="6">
        <f t="shared" si="49"/>
        <v>1.0633725972310582E-3</v>
      </c>
      <c r="S66" s="2"/>
      <c r="T66" s="7"/>
      <c r="U66" s="2"/>
      <c r="V66" s="6">
        <f t="shared" si="50"/>
        <v>0</v>
      </c>
      <c r="W66" s="2"/>
      <c r="X66" s="7">
        <f t="shared" si="51"/>
        <v>305.77999999999997</v>
      </c>
      <c r="Y66" s="2"/>
      <c r="Z66" s="6">
        <f t="shared" si="52"/>
        <v>0</v>
      </c>
    </row>
    <row r="67" spans="1:26" s="24" customFormat="1" hidden="1" outlineLevel="2" x14ac:dyDescent="0.25">
      <c r="A67" s="26"/>
      <c r="B67" s="11" t="str">
        <f>CONCATENATE("          ", "6286", " - ", "LAUNDRY EXPENSE")</f>
        <v xml:space="preserve">          6286 - LAUNDRY EXPENSE</v>
      </c>
      <c r="C67" s="11"/>
      <c r="D67" s="7"/>
      <c r="E67" s="2"/>
      <c r="F67" s="6">
        <f t="shared" si="45"/>
        <v>0</v>
      </c>
      <c r="G67" s="2"/>
      <c r="H67" s="7"/>
      <c r="I67" s="2"/>
      <c r="J67" s="6">
        <f t="shared" si="46"/>
        <v>0</v>
      </c>
      <c r="K67" s="2"/>
      <c r="L67" s="7">
        <f t="shared" si="47"/>
        <v>0</v>
      </c>
      <c r="M67" s="2"/>
      <c r="N67" s="6">
        <f t="shared" si="48"/>
        <v>0</v>
      </c>
      <c r="O67" s="11"/>
      <c r="P67" s="7">
        <v>186</v>
      </c>
      <c r="Q67" s="2"/>
      <c r="R67" s="6">
        <f t="shared" si="49"/>
        <v>6.4682877586819554E-4</v>
      </c>
      <c r="S67" s="2"/>
      <c r="T67" s="7"/>
      <c r="U67" s="2"/>
      <c r="V67" s="6">
        <f t="shared" si="50"/>
        <v>0</v>
      </c>
      <c r="W67" s="2"/>
      <c r="X67" s="7">
        <f t="shared" si="51"/>
        <v>186</v>
      </c>
      <c r="Y67" s="2"/>
      <c r="Z67" s="6">
        <f t="shared" si="52"/>
        <v>0</v>
      </c>
    </row>
    <row r="68" spans="1:26" s="27" customFormat="1" outlineLevel="1" collapsed="1" x14ac:dyDescent="0.25">
      <c r="A68" s="25"/>
      <c r="B68" s="12" t="str">
        <f>CONCATENATE("     ","Supplies                                          ")</f>
        <v xml:space="preserve">     Supplies                                          </v>
      </c>
      <c r="C68" s="12"/>
      <c r="D68" s="1">
        <f>SUM(OSRRefD22_11x_0)</f>
        <v>0</v>
      </c>
      <c r="E68" s="1"/>
      <c r="F68" s="5">
        <f t="shared" ref="F68:F71" si="53">IF(D$12=0,0,D68/D$12)</f>
        <v>0</v>
      </c>
      <c r="G68" s="1"/>
      <c r="H68" s="1">
        <f>SUM(OSRRefH22_11x_0)</f>
        <v>460</v>
      </c>
      <c r="I68" s="1"/>
      <c r="J68" s="5">
        <f t="shared" ref="J68:J71" si="54">IF(H$12=0,0,H68/H$12)</f>
        <v>1.4991526528483901E-2</v>
      </c>
      <c r="K68" s="1"/>
      <c r="L68" s="1">
        <f t="shared" ref="L68:L71" si="55">+D68-H68</f>
        <v>-460</v>
      </c>
      <c r="M68" s="1"/>
      <c r="N68" s="5">
        <f t="shared" ref="N68:N71" si="56">IF(H68=0,0,L68/H68)</f>
        <v>-1</v>
      </c>
      <c r="O68" s="12"/>
      <c r="P68" s="1">
        <f>SUM(OSRRefP22_11x_0)</f>
        <v>10479.52</v>
      </c>
      <c r="Q68" s="1"/>
      <c r="R68" s="5">
        <f t="shared" ref="R68:R71" si="57">IF(P$12=0,0,P68/P$12)</f>
        <v>3.6443306953152003E-2</v>
      </c>
      <c r="S68" s="1"/>
      <c r="T68" s="1">
        <f>SUM(OSRRefT22_11x_0)</f>
        <v>5897</v>
      </c>
      <c r="U68" s="1"/>
      <c r="V68" s="5">
        <f t="shared" ref="V68:V71" si="58">IF(T$12=0,0,T68/T$12)</f>
        <v>1.499749490715897E-2</v>
      </c>
      <c r="W68" s="1"/>
      <c r="X68" s="1">
        <f t="shared" ref="X68:X71" si="59">+P68-T68</f>
        <v>4582.5200000000004</v>
      </c>
      <c r="Y68" s="1"/>
      <c r="Z68" s="5">
        <f t="shared" ref="Z68:Z71" si="60">IF(T68=0,0,X68/T68)</f>
        <v>0.77709343734102099</v>
      </c>
    </row>
    <row r="69" spans="1:26" s="24" customFormat="1" hidden="1" outlineLevel="2" x14ac:dyDescent="0.25">
      <c r="A69" s="26"/>
      <c r="B69" s="11" t="str">
        <f>CONCATENATE("          ", "6237", " - ", "JANITORIAL SUPPLIES")</f>
        <v xml:space="preserve">          6237 - JANITORIAL SUPPLIES</v>
      </c>
      <c r="C69" s="11"/>
      <c r="D69" s="7"/>
      <c r="E69" s="2"/>
      <c r="F69" s="6">
        <f t="shared" si="53"/>
        <v>0</v>
      </c>
      <c r="G69" s="2"/>
      <c r="H69" s="7"/>
      <c r="I69" s="2"/>
      <c r="J69" s="6">
        <f t="shared" si="54"/>
        <v>0</v>
      </c>
      <c r="K69" s="2"/>
      <c r="L69" s="7">
        <f t="shared" si="55"/>
        <v>0</v>
      </c>
      <c r="M69" s="2"/>
      <c r="N69" s="6">
        <f t="shared" si="56"/>
        <v>0</v>
      </c>
      <c r="O69" s="11"/>
      <c r="P69" s="7">
        <v>1096.97</v>
      </c>
      <c r="Q69" s="2"/>
      <c r="R69" s="6">
        <f t="shared" si="57"/>
        <v>3.8147944207749165E-3</v>
      </c>
      <c r="S69" s="2"/>
      <c r="T69" s="7"/>
      <c r="U69" s="2"/>
      <c r="V69" s="6">
        <f t="shared" si="58"/>
        <v>0</v>
      </c>
      <c r="W69" s="2"/>
      <c r="X69" s="7">
        <f t="shared" si="59"/>
        <v>1096.97</v>
      </c>
      <c r="Y69" s="2"/>
      <c r="Z69" s="6">
        <f t="shared" si="60"/>
        <v>0</v>
      </c>
    </row>
    <row r="70" spans="1:26" s="24" customFormat="1" hidden="1" outlineLevel="2" x14ac:dyDescent="0.25">
      <c r="A70" s="26"/>
      <c r="B70" s="11" t="str">
        <f>CONCATENATE("          ", "6243", " - ", "PAPER SUPPLIES")</f>
        <v xml:space="preserve">          6243 - PAPER SUPPLIES</v>
      </c>
      <c r="C70" s="11"/>
      <c r="D70" s="7"/>
      <c r="E70" s="2"/>
      <c r="F70" s="6">
        <f t="shared" si="53"/>
        <v>0</v>
      </c>
      <c r="G70" s="2"/>
      <c r="H70" s="7"/>
      <c r="I70" s="2"/>
      <c r="J70" s="6">
        <f t="shared" si="54"/>
        <v>0</v>
      </c>
      <c r="K70" s="2"/>
      <c r="L70" s="7">
        <f t="shared" si="55"/>
        <v>0</v>
      </c>
      <c r="M70" s="2"/>
      <c r="N70" s="6">
        <f t="shared" si="56"/>
        <v>0</v>
      </c>
      <c r="O70" s="11"/>
      <c r="P70" s="7">
        <v>741.91</v>
      </c>
      <c r="Q70" s="2"/>
      <c r="R70" s="6">
        <f t="shared" si="57"/>
        <v>2.5800469736794243E-3</v>
      </c>
      <c r="S70" s="2"/>
      <c r="T70" s="7"/>
      <c r="U70" s="2"/>
      <c r="V70" s="6">
        <f t="shared" si="58"/>
        <v>0</v>
      </c>
      <c r="W70" s="2"/>
      <c r="X70" s="7">
        <f t="shared" si="59"/>
        <v>741.91</v>
      </c>
      <c r="Y70" s="2"/>
      <c r="Z70" s="6">
        <f t="shared" si="60"/>
        <v>0</v>
      </c>
    </row>
    <row r="71" spans="1:26" s="24" customFormat="1" hidden="1" outlineLevel="2" x14ac:dyDescent="0.25">
      <c r="A71" s="26"/>
      <c r="B71" s="11" t="str">
        <f>CONCATENATE("          ", "6247", " - ", "STORE SUPPLIES")</f>
        <v xml:space="preserve">          6247 - STORE SUPPLIES</v>
      </c>
      <c r="C71" s="11"/>
      <c r="D71" s="7"/>
      <c r="E71" s="2"/>
      <c r="F71" s="6">
        <f t="shared" si="53"/>
        <v>0</v>
      </c>
      <c r="G71" s="2"/>
      <c r="H71" s="7">
        <v>460</v>
      </c>
      <c r="I71" s="2"/>
      <c r="J71" s="6">
        <f t="shared" si="54"/>
        <v>1.4991526528483901E-2</v>
      </c>
      <c r="K71" s="2"/>
      <c r="L71" s="7">
        <f t="shared" si="55"/>
        <v>-460</v>
      </c>
      <c r="M71" s="2"/>
      <c r="N71" s="6">
        <f t="shared" si="56"/>
        <v>-1</v>
      </c>
      <c r="O71" s="11"/>
      <c r="P71" s="7">
        <v>8640.64</v>
      </c>
      <c r="Q71" s="2"/>
      <c r="R71" s="6">
        <f t="shared" si="57"/>
        <v>3.0048465558697661E-2</v>
      </c>
      <c r="S71" s="2"/>
      <c r="T71" s="7">
        <v>5897</v>
      </c>
      <c r="U71" s="2"/>
      <c r="V71" s="6">
        <f t="shared" si="58"/>
        <v>1.499749490715897E-2</v>
      </c>
      <c r="W71" s="2"/>
      <c r="X71" s="7">
        <f t="shared" si="59"/>
        <v>2743.6399999999994</v>
      </c>
      <c r="Y71" s="2"/>
      <c r="Z71" s="6">
        <f t="shared" si="60"/>
        <v>0.4652603018483974</v>
      </c>
    </row>
    <row r="72" spans="1:26" s="27" customFormat="1" outlineLevel="1" collapsed="1" x14ac:dyDescent="0.25">
      <c r="A72" s="25"/>
      <c r="B72" s="12" t="str">
        <f>CONCATENATE("     ","Telephone/Data Lines                              ")</f>
        <v xml:space="preserve">     Telephone/Data Lines                              </v>
      </c>
      <c r="C72" s="12"/>
      <c r="D72" s="1">
        <f>SUM(OSRRefD22_12x_0)</f>
        <v>53</v>
      </c>
      <c r="E72" s="1"/>
      <c r="F72" s="5">
        <f t="shared" ref="F72:F75" si="61">IF(D$12=0,0,D72/D$12)</f>
        <v>0</v>
      </c>
      <c r="G72" s="1"/>
      <c r="H72" s="1">
        <f>SUM(OSRRefH22_12x_0)</f>
        <v>75</v>
      </c>
      <c r="I72" s="1"/>
      <c r="J72" s="5">
        <f t="shared" ref="J72:J75" si="62">IF(H$12=0,0,H72/H$12)</f>
        <v>2.4442706296441143E-3</v>
      </c>
      <c r="K72" s="1"/>
      <c r="L72" s="1">
        <f t="shared" ref="L72:L75" si="63">+D72-H72</f>
        <v>-22</v>
      </c>
      <c r="M72" s="1"/>
      <c r="N72" s="5">
        <f t="shared" ref="N72:N75" si="64">IF(H72=0,0,L72/H72)</f>
        <v>-0.29333333333333333</v>
      </c>
      <c r="O72" s="12"/>
      <c r="P72" s="1">
        <f>SUM(OSRRefP22_12x_0)</f>
        <v>963.1</v>
      </c>
      <c r="Q72" s="1"/>
      <c r="R72" s="5">
        <f t="shared" ref="R72:R75" si="65">IF(P$12=0,0,P72/P$12)</f>
        <v>3.349251580853006E-3</v>
      </c>
      <c r="S72" s="1"/>
      <c r="T72" s="1">
        <f>SUM(OSRRefT22_12x_0)</f>
        <v>825</v>
      </c>
      <c r="U72" s="1"/>
      <c r="V72" s="5">
        <f t="shared" ref="V72:V75" si="66">IF(T$12=0,0,T72/T$12)</f>
        <v>2.098174206953731E-3</v>
      </c>
      <c r="W72" s="1"/>
      <c r="X72" s="1">
        <f t="shared" ref="X72:X75" si="67">+P72-T72</f>
        <v>138.10000000000002</v>
      </c>
      <c r="Y72" s="1"/>
      <c r="Z72" s="5">
        <f t="shared" ref="Z72:Z75" si="68">IF(T72=0,0,X72/T72)</f>
        <v>0.16739393939393943</v>
      </c>
    </row>
    <row r="73" spans="1:26" s="24" customFormat="1" hidden="1" outlineLevel="2" x14ac:dyDescent="0.25">
      <c r="A73" s="26"/>
      <c r="B73" s="11" t="str">
        <f>CONCATENATE("          ", "6309", " - ", "TELEPHONE")</f>
        <v xml:space="preserve">          6309 - TELEPHONE</v>
      </c>
      <c r="C73" s="11"/>
      <c r="D73" s="7">
        <v>53</v>
      </c>
      <c r="E73" s="2"/>
      <c r="F73" s="6">
        <f t="shared" si="61"/>
        <v>0</v>
      </c>
      <c r="G73" s="2"/>
      <c r="H73" s="7">
        <v>75</v>
      </c>
      <c r="I73" s="2"/>
      <c r="J73" s="6">
        <f t="shared" si="62"/>
        <v>2.4442706296441143E-3</v>
      </c>
      <c r="K73" s="2"/>
      <c r="L73" s="7">
        <f t="shared" si="63"/>
        <v>-22</v>
      </c>
      <c r="M73" s="2"/>
      <c r="N73" s="6">
        <f t="shared" si="64"/>
        <v>-0.29333333333333333</v>
      </c>
      <c r="O73" s="11"/>
      <c r="P73" s="7">
        <v>963.1</v>
      </c>
      <c r="Q73" s="2"/>
      <c r="R73" s="6">
        <f t="shared" si="65"/>
        <v>3.349251580853006E-3</v>
      </c>
      <c r="S73" s="2"/>
      <c r="T73" s="7">
        <v>825</v>
      </c>
      <c r="U73" s="2"/>
      <c r="V73" s="6">
        <f t="shared" si="66"/>
        <v>2.098174206953731E-3</v>
      </c>
      <c r="W73" s="2"/>
      <c r="X73" s="7">
        <f t="shared" si="67"/>
        <v>138.10000000000002</v>
      </c>
      <c r="Y73" s="2"/>
      <c r="Z73" s="6">
        <f t="shared" si="68"/>
        <v>0.16739393939393943</v>
      </c>
    </row>
    <row r="74" spans="1:26" s="27" customFormat="1" outlineLevel="1" collapsed="1" x14ac:dyDescent="0.25">
      <c r="A74" s="25"/>
      <c r="B74" s="12" t="str">
        <f>CONCATENATE("     ","Training                                          ")</f>
        <v xml:space="preserve">     Training                                          </v>
      </c>
      <c r="C74" s="12"/>
      <c r="D74" s="1">
        <f>SUM(OSRRefD22_13x_0)</f>
        <v>0</v>
      </c>
      <c r="E74" s="1"/>
      <c r="F74" s="5">
        <f t="shared" si="61"/>
        <v>0</v>
      </c>
      <c r="G74" s="1"/>
      <c r="H74" s="1">
        <f>SUM(OSRRefH22_13x_0)</f>
        <v>0</v>
      </c>
      <c r="I74" s="1"/>
      <c r="J74" s="5">
        <f t="shared" si="62"/>
        <v>0</v>
      </c>
      <c r="K74" s="1"/>
      <c r="L74" s="1">
        <f t="shared" si="63"/>
        <v>0</v>
      </c>
      <c r="M74" s="1"/>
      <c r="N74" s="5">
        <f t="shared" si="64"/>
        <v>0</v>
      </c>
      <c r="O74" s="12"/>
      <c r="P74" s="1">
        <f>SUM(OSRRefP22_13x_0)</f>
        <v>0</v>
      </c>
      <c r="Q74" s="1"/>
      <c r="R74" s="5">
        <f t="shared" si="65"/>
        <v>0</v>
      </c>
      <c r="S74" s="1"/>
      <c r="T74" s="1">
        <f>SUM(OSRRefT22_13x_0)</f>
        <v>1000</v>
      </c>
      <c r="U74" s="1"/>
      <c r="V74" s="5">
        <f t="shared" si="66"/>
        <v>2.5432414629742192E-3</v>
      </c>
      <c r="W74" s="1"/>
      <c r="X74" s="1">
        <f t="shared" si="67"/>
        <v>-1000</v>
      </c>
      <c r="Y74" s="1"/>
      <c r="Z74" s="5">
        <f t="shared" si="68"/>
        <v>-1</v>
      </c>
    </row>
    <row r="75" spans="1:26" s="24" customFormat="1" hidden="1" outlineLevel="2" x14ac:dyDescent="0.25">
      <c r="A75" s="26"/>
      <c r="B75" s="11" t="str">
        <f>CONCATENATE("          ", "6376", " - ", "TRAINING")</f>
        <v xml:space="preserve">          6376 - TRAINING</v>
      </c>
      <c r="C75" s="11"/>
      <c r="D75" s="7"/>
      <c r="E75" s="2"/>
      <c r="F75" s="6">
        <f t="shared" si="61"/>
        <v>0</v>
      </c>
      <c r="G75" s="2"/>
      <c r="H75" s="7"/>
      <c r="I75" s="2"/>
      <c r="J75" s="6">
        <f t="shared" si="62"/>
        <v>0</v>
      </c>
      <c r="K75" s="2"/>
      <c r="L75" s="7">
        <f t="shared" si="63"/>
        <v>0</v>
      </c>
      <c r="M75" s="2"/>
      <c r="N75" s="6">
        <f t="shared" si="64"/>
        <v>0</v>
      </c>
      <c r="O75" s="11"/>
      <c r="P75" s="7"/>
      <c r="Q75" s="2"/>
      <c r="R75" s="6">
        <f t="shared" si="65"/>
        <v>0</v>
      </c>
      <c r="S75" s="2"/>
      <c r="T75" s="7">
        <v>1000</v>
      </c>
      <c r="U75" s="2"/>
      <c r="V75" s="6">
        <f t="shared" si="66"/>
        <v>2.5432414629742192E-3</v>
      </c>
      <c r="W75" s="2"/>
      <c r="X75" s="7">
        <f t="shared" si="67"/>
        <v>-1000</v>
      </c>
      <c r="Y75" s="2"/>
      <c r="Z75" s="6">
        <f t="shared" si="68"/>
        <v>-1</v>
      </c>
    </row>
    <row r="76" spans="1:26" s="62" customFormat="1" x14ac:dyDescent="0.25">
      <c r="A76" s="36"/>
      <c r="B76" s="36"/>
      <c r="C76" s="36"/>
      <c r="D76" s="1"/>
      <c r="E76" s="1"/>
      <c r="F76" s="5"/>
      <c r="G76" s="1"/>
      <c r="H76" s="1"/>
      <c r="I76" s="1"/>
      <c r="J76" s="5"/>
      <c r="K76" s="1"/>
      <c r="L76" s="1"/>
      <c r="M76" s="1"/>
      <c r="N76" s="5"/>
      <c r="O76" s="36"/>
      <c r="P76" s="1"/>
      <c r="Q76" s="1"/>
      <c r="R76" s="5"/>
      <c r="S76" s="1"/>
      <c r="T76" s="1"/>
      <c r="U76" s="1"/>
      <c r="V76" s="5"/>
      <c r="W76" s="1"/>
      <c r="X76" s="1"/>
      <c r="Y76" s="1"/>
      <c r="Z76" s="5"/>
    </row>
    <row r="77" spans="1:26" s="23" customFormat="1" x14ac:dyDescent="0.25">
      <c r="A77" s="10"/>
      <c r="B77" s="28" t="s">
        <v>0</v>
      </c>
      <c r="C77" s="10"/>
      <c r="D77" s="4">
        <f>SUM(0)</f>
        <v>0</v>
      </c>
      <c r="E77" s="4"/>
      <c r="F77" s="13">
        <f>IF(D$12=0,0,D77/D$12)</f>
        <v>0</v>
      </c>
      <c r="G77" s="4"/>
      <c r="H77" s="4">
        <f>SUM(0)</f>
        <v>0</v>
      </c>
      <c r="I77" s="4"/>
      <c r="J77" s="13">
        <f>IF(H$12=0,0,H77/H$12)</f>
        <v>0</v>
      </c>
      <c r="K77" s="4"/>
      <c r="L77" s="4">
        <f>+D77-H77</f>
        <v>0</v>
      </c>
      <c r="M77" s="4"/>
      <c r="N77" s="13">
        <f>IF(H77=0,0,L77/H77)</f>
        <v>0</v>
      </c>
      <c r="O77" s="10"/>
      <c r="P77" s="4">
        <f>SUM(0)</f>
        <v>0</v>
      </c>
      <c r="Q77" s="4"/>
      <c r="R77" s="13">
        <f>IF(P$12=0,0,P77/P$12)</f>
        <v>0</v>
      </c>
      <c r="S77" s="4"/>
      <c r="T77" s="4">
        <f>SUM(0)</f>
        <v>0</v>
      </c>
      <c r="U77" s="4"/>
      <c r="V77" s="13">
        <f>IF(T$12=0,0,T77/T$12)</f>
        <v>0</v>
      </c>
      <c r="W77" s="4"/>
      <c r="X77" s="4">
        <f>+P77-T77</f>
        <v>0</v>
      </c>
      <c r="Y77" s="4"/>
      <c r="Z77" s="13">
        <f>IF(T77=0,0,X77/T77)</f>
        <v>0</v>
      </c>
    </row>
    <row r="78" spans="1:26" x14ac:dyDescent="0.25">
      <c r="A78" s="9"/>
      <c r="B78" s="10"/>
      <c r="C78" s="10"/>
      <c r="D78" s="3"/>
      <c r="E78" s="3"/>
      <c r="F78" s="8"/>
      <c r="G78" s="3"/>
      <c r="H78" s="3"/>
      <c r="I78" s="3"/>
      <c r="J78" s="8"/>
      <c r="K78" s="3"/>
      <c r="L78" s="3"/>
      <c r="M78" s="3"/>
      <c r="N78" s="8"/>
      <c r="O78" s="10"/>
      <c r="P78" s="3"/>
      <c r="Q78" s="3"/>
      <c r="R78" s="8"/>
      <c r="S78" s="3"/>
      <c r="T78" s="3"/>
      <c r="U78" s="3"/>
      <c r="V78" s="8"/>
      <c r="W78" s="3"/>
      <c r="X78" s="3"/>
      <c r="Y78" s="3"/>
      <c r="Z78" s="8"/>
    </row>
    <row r="79" spans="1:26" s="23" customFormat="1" x14ac:dyDescent="0.25">
      <c r="A79" s="10"/>
      <c r="B79" s="29" t="s">
        <v>3</v>
      </c>
      <c r="C79" s="29"/>
      <c r="D79" s="20">
        <f>+D22-D24+D77</f>
        <v>-769.2700000000001</v>
      </c>
      <c r="E79" s="14"/>
      <c r="F79" s="22">
        <f>IF(D$12=0,0,D79/D$12)</f>
        <v>0</v>
      </c>
      <c r="G79" s="14"/>
      <c r="H79" s="20">
        <f>+H22-H24+H77</f>
        <v>409.47054193538133</v>
      </c>
      <c r="I79" s="14"/>
      <c r="J79" s="22">
        <f>IF(H$12=0,0,H79/H$12)</f>
        <v>1.334475759142815E-2</v>
      </c>
      <c r="K79" s="16"/>
      <c r="L79" s="20">
        <f>+D79-H79</f>
        <v>-1178.7405419353813</v>
      </c>
      <c r="M79" s="16"/>
      <c r="N79" s="22">
        <f>IF(H79=0,0,L79/H79)</f>
        <v>-2.8786943655678132</v>
      </c>
      <c r="O79" s="28"/>
      <c r="P79" s="20">
        <f>+P22-P24+P77</f>
        <v>2626.5599999999831</v>
      </c>
      <c r="Q79" s="14"/>
      <c r="R79" s="22">
        <f>IF(P$12=0,0,P79/P$12)</f>
        <v>9.1340569330341757E-3</v>
      </c>
      <c r="S79" s="14"/>
      <c r="T79" s="20">
        <f>+T22-T24+T77</f>
        <v>47649.015073644579</v>
      </c>
      <c r="U79" s="14"/>
      <c r="V79" s="22">
        <f>IF(T$12=0,0,T79/T$12)</f>
        <v>0.12118295080517646</v>
      </c>
      <c r="W79" s="16"/>
      <c r="X79" s="20">
        <f>+P79-T79</f>
        <v>-45022.455073644596</v>
      </c>
      <c r="Y79" s="16"/>
      <c r="Z79" s="22">
        <f>IF(T79=0,0,X79/T79)</f>
        <v>-0.94487692986013527</v>
      </c>
    </row>
    <row r="80" spans="1:26" x14ac:dyDescent="0.25">
      <c r="A80" s="9"/>
      <c r="B80" s="10"/>
      <c r="C80" s="9"/>
      <c r="D80" s="3"/>
      <c r="E80" s="3"/>
      <c r="F80" s="8"/>
      <c r="G80" s="3"/>
      <c r="H80" s="3"/>
      <c r="I80" s="3"/>
      <c r="J80" s="8"/>
      <c r="K80" s="3"/>
      <c r="L80" s="3"/>
      <c r="M80" s="3"/>
      <c r="N80" s="8"/>
      <c r="P80" s="3"/>
      <c r="Q80" s="3"/>
      <c r="R80" s="8"/>
      <c r="S80" s="3"/>
      <c r="T80" s="3"/>
      <c r="U80" s="3"/>
      <c r="V80" s="8"/>
      <c r="W80" s="3"/>
      <c r="X80" s="3"/>
      <c r="Y80" s="3"/>
      <c r="Z80" s="8"/>
    </row>
    <row r="81" spans="1:26" s="23" customFormat="1" x14ac:dyDescent="0.25">
      <c r="A81" s="52"/>
      <c r="B81" s="10" t="s">
        <v>14</v>
      </c>
      <c r="C81" s="10"/>
      <c r="D81" s="4">
        <v>1401.2</v>
      </c>
      <c r="E81" s="4"/>
      <c r="F81" s="13">
        <f>IF(D$12=0,0,D81/D$12)</f>
        <v>0</v>
      </c>
      <c r="G81" s="4"/>
      <c r="H81" s="4">
        <v>3186</v>
      </c>
      <c r="I81" s="4"/>
      <c r="J81" s="13">
        <f>IF(H$12=0,0,H81/H$12)</f>
        <v>0.10383261634728197</v>
      </c>
      <c r="K81" s="4"/>
      <c r="L81" s="4">
        <f>+D81-H81</f>
        <v>-1784.8</v>
      </c>
      <c r="M81" s="4"/>
      <c r="N81" s="13">
        <f>IF(H81=0,0,L81/H81)</f>
        <v>-0.56020087884494663</v>
      </c>
      <c r="O81" s="10"/>
      <c r="P81" s="4">
        <v>34051.21</v>
      </c>
      <c r="Q81" s="4"/>
      <c r="R81" s="13">
        <f>IF(P$12=0,0,P81/P$12)</f>
        <v>0.11841560473726268</v>
      </c>
      <c r="S81" s="4"/>
      <c r="T81" s="4">
        <v>45542</v>
      </c>
      <c r="U81" s="4"/>
      <c r="V81" s="13">
        <f>IF(T$12=0,0,T81/T$12)</f>
        <v>0.11582430270677189</v>
      </c>
      <c r="W81" s="4"/>
      <c r="X81" s="4">
        <f>+P81-T81</f>
        <v>-11490.79</v>
      </c>
      <c r="Y81" s="4"/>
      <c r="Z81" s="13">
        <f>IF(T81=0,0,X81/T81)</f>
        <v>-0.25231193184313383</v>
      </c>
    </row>
    <row r="82" spans="1:26" x14ac:dyDescent="0.25">
      <c r="A82" s="9"/>
      <c r="B82" s="10"/>
      <c r="C82" s="10"/>
      <c r="D82" s="3"/>
      <c r="E82" s="3"/>
      <c r="F82" s="8"/>
      <c r="G82" s="3"/>
      <c r="H82" s="3"/>
      <c r="I82" s="3"/>
      <c r="J82" s="8"/>
      <c r="K82" s="3"/>
      <c r="L82" s="3"/>
      <c r="M82" s="3"/>
      <c r="N82" s="8"/>
      <c r="O82" s="10"/>
      <c r="P82" s="3"/>
      <c r="Q82" s="3"/>
      <c r="R82" s="8"/>
      <c r="S82" s="3"/>
      <c r="T82" s="3"/>
      <c r="U82" s="3"/>
      <c r="V82" s="8"/>
      <c r="W82" s="3"/>
      <c r="X82" s="3"/>
      <c r="Y82" s="3"/>
      <c r="Z82" s="8"/>
    </row>
    <row r="83" spans="1:26" s="23" customFormat="1" ht="15.75" thickBot="1" x14ac:dyDescent="0.3">
      <c r="A83" s="10"/>
      <c r="B83" s="29" t="s">
        <v>4</v>
      </c>
      <c r="C83" s="29"/>
      <c r="D83" s="35">
        <f>+D79-D81</f>
        <v>-2170.4700000000003</v>
      </c>
      <c r="E83" s="14"/>
      <c r="F83" s="32">
        <f>IF(D$12=0,0,D83/D$12)</f>
        <v>0</v>
      </c>
      <c r="G83" s="14"/>
      <c r="H83" s="35">
        <f>+H79-H81</f>
        <v>-2776.5294580646187</v>
      </c>
      <c r="I83" s="14"/>
      <c r="J83" s="32">
        <f>IF(H$12=0,0,H83/H$12)</f>
        <v>-9.0487858755853828E-2</v>
      </c>
      <c r="K83" s="16"/>
      <c r="L83" s="35">
        <f>D83-H83</f>
        <v>606.05945806461841</v>
      </c>
      <c r="M83" s="16"/>
      <c r="N83" s="32">
        <f>IF(H83=0,0,L83/H83)</f>
        <v>-0.21827949863966956</v>
      </c>
      <c r="O83" s="28"/>
      <c r="P83" s="35">
        <f>+P79-P81</f>
        <v>-31424.650000000016</v>
      </c>
      <c r="Q83" s="14"/>
      <c r="R83" s="32">
        <f>IF(P$12=0,0,P83/P$12)</f>
        <v>-0.10928154780422851</v>
      </c>
      <c r="S83" s="14"/>
      <c r="T83" s="35">
        <f>+T79-T81</f>
        <v>2107.0150736445794</v>
      </c>
      <c r="U83" s="14"/>
      <c r="V83" s="32">
        <f>IF(T$12=0,0,T83/T$12)</f>
        <v>5.3586480984045724E-3</v>
      </c>
      <c r="W83" s="16"/>
      <c r="X83" s="35">
        <f>P83-T83</f>
        <v>-33531.665073644595</v>
      </c>
      <c r="Y83" s="16"/>
      <c r="Z83" s="32">
        <f>IF(T83=0,0,X83/T83)</f>
        <v>-15.914297668333086</v>
      </c>
    </row>
    <row r="84" spans="1:26" ht="15.75" thickTop="1" x14ac:dyDescent="0.25">
      <c r="A84" s="9"/>
      <c r="B84" s="9"/>
      <c r="C84" s="9"/>
      <c r="D84" s="3"/>
      <c r="E84" s="3"/>
      <c r="F84" s="8"/>
      <c r="G84" s="3"/>
      <c r="H84" s="3"/>
      <c r="I84" s="3"/>
      <c r="J84" s="8"/>
      <c r="K84" s="3"/>
      <c r="L84" s="3"/>
      <c r="M84" s="3"/>
      <c r="N84" s="8"/>
      <c r="P84" s="3"/>
      <c r="Q84" s="3"/>
      <c r="R84" s="8"/>
      <c r="S84" s="3"/>
      <c r="T84" s="3"/>
      <c r="U84" s="3"/>
      <c r="V84" s="8"/>
      <c r="W84" s="3"/>
      <c r="X84" s="3"/>
      <c r="Y84" s="3"/>
      <c r="Z84" s="8"/>
    </row>
    <row r="85" spans="1:26" x14ac:dyDescent="0.25">
      <c r="A85" s="9"/>
      <c r="B85" s="9"/>
      <c r="C85" s="9"/>
      <c r="D85" s="3"/>
      <c r="E85" s="3"/>
      <c r="F85" s="8"/>
      <c r="G85" s="3"/>
      <c r="H85" s="3"/>
      <c r="I85" s="3"/>
      <c r="J85" s="8"/>
      <c r="K85" s="3"/>
      <c r="L85" s="3"/>
      <c r="M85" s="3"/>
      <c r="N85" s="8"/>
      <c r="P85" s="3"/>
      <c r="Q85" s="3"/>
      <c r="R85" s="8"/>
      <c r="S85" s="3"/>
      <c r="T85" s="3"/>
      <c r="U85" s="3"/>
      <c r="V85" s="8"/>
      <c r="W85" s="3"/>
      <c r="X85" s="3"/>
      <c r="Y85" s="3"/>
      <c r="Z85" s="8"/>
    </row>
    <row r="86" spans="1:26" s="23" customFormat="1" ht="15.75" thickBot="1" x14ac:dyDescent="0.3">
      <c r="A86" s="10"/>
      <c r="B86" s="29" t="s">
        <v>5</v>
      </c>
      <c r="C86" s="29"/>
      <c r="D86" s="34">
        <f>SUM(D83:D85)</f>
        <v>-2170.4700000000003</v>
      </c>
      <c r="E86" s="14"/>
      <c r="F86" s="31">
        <f>IF(D$12=0,0,D86/D$12)</f>
        <v>0</v>
      </c>
      <c r="G86" s="14"/>
      <c r="H86" s="34">
        <f>SUM(H83:H85)</f>
        <v>-2776.5294580646187</v>
      </c>
      <c r="I86" s="14"/>
      <c r="J86" s="31">
        <f>IF(H$12=0,0,H86/H$12)</f>
        <v>-9.0487858755853828E-2</v>
      </c>
      <c r="K86" s="16"/>
      <c r="L86" s="34">
        <f>+D86-H86</f>
        <v>606.05945806461841</v>
      </c>
      <c r="M86" s="16"/>
      <c r="N86" s="31">
        <f>IF(H86=0,0,L86/H86)</f>
        <v>-0.21827949863966956</v>
      </c>
      <c r="O86" s="28"/>
      <c r="P86" s="34">
        <f>SUM(P83:P85)</f>
        <v>-31424.650000000016</v>
      </c>
      <c r="Q86" s="14"/>
      <c r="R86" s="31">
        <f>IF(P$12=0,0,P86/P$12)</f>
        <v>-0.10928154780422851</v>
      </c>
      <c r="S86" s="14"/>
      <c r="T86" s="34">
        <f>SUM(T83:T85)</f>
        <v>2107.0150736445794</v>
      </c>
      <c r="U86" s="14"/>
      <c r="V86" s="31">
        <f>IF(T$12=0,0,T86/T$12)</f>
        <v>5.3586480984045724E-3</v>
      </c>
      <c r="W86" s="16"/>
      <c r="X86" s="34">
        <f>+P86-T86</f>
        <v>-33531.665073644595</v>
      </c>
      <c r="Y86" s="16"/>
      <c r="Z86" s="31">
        <f>IF(T86=0,0,X86/T86)</f>
        <v>-15.914297668333086</v>
      </c>
    </row>
    <row r="87" spans="1:26" ht="15.75" thickTop="1" x14ac:dyDescent="0.25">
      <c r="A87" s="9"/>
      <c r="C87" s="9"/>
      <c r="D87" s="18"/>
      <c r="E87" s="18"/>
      <c r="G87" s="18"/>
      <c r="H87" s="18"/>
      <c r="I87" s="18"/>
      <c r="J87" s="42"/>
      <c r="K87" s="18"/>
      <c r="L87" s="18"/>
      <c r="M87" s="18"/>
      <c r="P87" s="18"/>
      <c r="Q87" s="18"/>
      <c r="R87" s="42"/>
      <c r="S87" s="18"/>
      <c r="T87" s="18"/>
      <c r="U87" s="18"/>
      <c r="V87" s="42"/>
      <c r="W87" s="18"/>
      <c r="X87" s="18"/>
    </row>
    <row r="88" spans="1:26" x14ac:dyDescent="0.25">
      <c r="A88" s="9"/>
      <c r="B88" s="59">
        <v>43992.371537002313</v>
      </c>
      <c r="D88" s="18"/>
      <c r="E88" s="18"/>
      <c r="G88" s="18"/>
      <c r="H88" s="18"/>
      <c r="I88" s="18"/>
      <c r="J88" s="42"/>
      <c r="K88" s="18"/>
      <c r="L88" s="18"/>
      <c r="M88" s="18"/>
      <c r="P88" s="18"/>
      <c r="Q88" s="18"/>
      <c r="R88" s="42"/>
      <c r="S88" s="18"/>
      <c r="T88" s="18"/>
      <c r="U88" s="18"/>
      <c r="V88" s="42"/>
      <c r="W88" s="18"/>
      <c r="X88" s="18"/>
    </row>
    <row r="89" spans="1:26" x14ac:dyDescent="0.25">
      <c r="A89" s="9"/>
      <c r="B89" s="56" t="s">
        <v>314</v>
      </c>
      <c r="D89" s="18"/>
      <c r="E89" s="18"/>
      <c r="G89" s="18"/>
      <c r="H89" s="18"/>
      <c r="I89" s="18"/>
      <c r="J89" s="42"/>
      <c r="K89" s="18"/>
      <c r="L89" s="18"/>
      <c r="M89" s="18"/>
      <c r="P89" s="18"/>
      <c r="Q89" s="18"/>
      <c r="R89" s="42"/>
      <c r="S89" s="18"/>
      <c r="T89" s="18"/>
      <c r="U89" s="18"/>
      <c r="V89" s="42"/>
      <c r="W89" s="18"/>
      <c r="X89" s="18"/>
    </row>
    <row r="90" spans="1:26" x14ac:dyDescent="0.25">
      <c r="A90" s="9"/>
      <c r="B90" s="54"/>
      <c r="D90" s="18"/>
      <c r="E90" s="18"/>
      <c r="G90" s="18"/>
      <c r="H90" s="18"/>
      <c r="I90" s="18"/>
      <c r="J90" s="42"/>
      <c r="K90" s="18"/>
      <c r="L90" s="18"/>
      <c r="M90" s="18"/>
      <c r="P90" s="18"/>
      <c r="Q90" s="18"/>
      <c r="R90" s="42"/>
      <c r="S90" s="18"/>
      <c r="T90" s="18"/>
      <c r="U90" s="18"/>
      <c r="V90" s="42"/>
      <c r="W90" s="18"/>
      <c r="X90" s="18"/>
    </row>
    <row r="91" spans="1:26" x14ac:dyDescent="0.25">
      <c r="D91" s="18"/>
      <c r="E91" s="18"/>
      <c r="G91" s="18"/>
      <c r="H91" s="18"/>
      <c r="I91" s="18"/>
      <c r="J91" s="42"/>
      <c r="K91" s="18"/>
      <c r="L91" s="18"/>
      <c r="M91" s="18"/>
      <c r="P91" s="18"/>
      <c r="Q91" s="18"/>
      <c r="R91" s="42"/>
      <c r="S91" s="18"/>
      <c r="T91" s="18"/>
      <c r="U91" s="18"/>
      <c r="V91" s="42"/>
      <c r="W91" s="18"/>
      <c r="X91" s="18"/>
    </row>
  </sheetData>
  <pageMargins left="0.25" right="0.25" top="0.75" bottom="0.75" header="0.3" footer="0.3"/>
  <pageSetup scale="55" fitToWidth="2" orientation="landscape"/>
  <drawing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99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63" t="s">
        <v>13</v>
      </c>
    </row>
    <row r="3" spans="1:26" x14ac:dyDescent="0.25">
      <c r="D3" s="63" t="s">
        <v>296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61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63" t="str">
        <f>CONCATENATE("Period ",RIGHT(202011,2),", ",2020)</f>
        <v>Period 11, 2020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61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4">
        <v>43981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61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51"/>
      <c r="C6" s="51"/>
      <c r="D6" s="23" t="str">
        <f>CONCATENATE("Department ","313", " - ", "Convenience Store")</f>
        <v>Department 313 - Convenience Store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57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5" t="s">
        <v>294</v>
      </c>
      <c r="E9" s="15"/>
      <c r="F9" s="38"/>
      <c r="G9" s="15"/>
      <c r="H9" s="15"/>
      <c r="I9" s="15"/>
      <c r="J9" s="46"/>
      <c r="K9" s="15"/>
      <c r="L9" s="15"/>
      <c r="M9" s="15"/>
      <c r="N9" s="38"/>
      <c r="P9" s="15" t="s">
        <v>295</v>
      </c>
      <c r="Q9" s="15"/>
      <c r="R9" s="38"/>
      <c r="S9" s="15"/>
      <c r="T9" s="15"/>
      <c r="U9" s="15"/>
      <c r="V9" s="46"/>
      <c r="W9" s="15"/>
      <c r="X9" s="15"/>
      <c r="Y9" s="15"/>
      <c r="Z9" s="38"/>
    </row>
    <row r="10" spans="1:26" x14ac:dyDescent="0.25">
      <c r="A10" s="10"/>
      <c r="B10" s="55"/>
      <c r="C10" s="10"/>
      <c r="D10" s="43" t="s">
        <v>10</v>
      </c>
      <c r="E10" s="33"/>
      <c r="F10" s="40" t="s">
        <v>15</v>
      </c>
      <c r="G10" s="33"/>
      <c r="H10" s="47" t="s">
        <v>11</v>
      </c>
      <c r="I10" s="33"/>
      <c r="J10" s="45" t="s">
        <v>16</v>
      </c>
      <c r="K10" s="10"/>
      <c r="L10" s="43" t="s">
        <v>12</v>
      </c>
      <c r="M10" s="10"/>
      <c r="N10" s="40" t="s">
        <v>17</v>
      </c>
      <c r="O10" s="10"/>
      <c r="P10" s="53" t="s">
        <v>10</v>
      </c>
      <c r="Q10" s="33"/>
      <c r="R10" s="40" t="s">
        <v>15</v>
      </c>
      <c r="S10" s="33"/>
      <c r="T10" s="47" t="s">
        <v>11</v>
      </c>
      <c r="U10" s="33"/>
      <c r="V10" s="45" t="s">
        <v>16</v>
      </c>
      <c r="W10" s="10"/>
      <c r="X10" s="43" t="s">
        <v>12</v>
      </c>
      <c r="Y10" s="10"/>
      <c r="Z10" s="40" t="s">
        <v>17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28.36</v>
      </c>
      <c r="E12" s="4"/>
      <c r="F12" s="13"/>
      <c r="G12" s="4"/>
      <c r="H12" s="4">
        <f>SUM(OSRRefH13x_0)</f>
        <v>38127</v>
      </c>
      <c r="I12" s="4"/>
      <c r="J12" s="13"/>
      <c r="K12" s="4"/>
      <c r="L12" s="4">
        <f t="shared" ref="L12:L20" si="0">+D12-H12</f>
        <v>-38098.639999999999</v>
      </c>
      <c r="M12" s="4"/>
      <c r="N12" s="13">
        <f t="shared" ref="N12:N20" si="1">IF(H12=0,0,L12/H12)</f>
        <v>-0.99925617016812229</v>
      </c>
      <c r="O12" s="10"/>
      <c r="P12" s="4">
        <f>SUM(OSRRefP13x_0)</f>
        <v>495882.73000000004</v>
      </c>
      <c r="Q12" s="4"/>
      <c r="R12" s="13"/>
      <c r="S12" s="4"/>
      <c r="T12" s="4">
        <f>SUM(OSRRefT13x_0)</f>
        <v>618563</v>
      </c>
      <c r="U12" s="4"/>
      <c r="V12" s="13"/>
      <c r="W12" s="4"/>
      <c r="X12" s="4">
        <f t="shared" ref="X12:X20" si="2">+P12-T12</f>
        <v>-122680.26999999996</v>
      </c>
      <c r="Y12" s="4"/>
      <c r="Z12" s="13">
        <f t="shared" ref="Z12:Z20" si="3">IF(T12=0,0,X12/T12)</f>
        <v>-0.19833108349513301</v>
      </c>
    </row>
    <row r="13" spans="1:26" s="24" customFormat="1" hidden="1" outlineLevel="1" x14ac:dyDescent="0.25">
      <c r="A13" s="44"/>
      <c r="B13" s="11" t="str">
        <f>CONCATENATE("          ", "4032", " - ", "TAXABLE SALES-JUICE")</f>
        <v xml:space="preserve">          4032 - TAXABLE SALES-JUICE</v>
      </c>
      <c r="C13" s="11"/>
      <c r="D13" s="2">
        <f t="shared" ref="D13:D15" si="4">0</f>
        <v>0</v>
      </c>
      <c r="E13" s="2"/>
      <c r="F13" s="19"/>
      <c r="G13" s="2"/>
      <c r="H13" s="2"/>
      <c r="I13" s="2"/>
      <c r="J13" s="19"/>
      <c r="K13" s="2"/>
      <c r="L13" s="2">
        <f t="shared" si="0"/>
        <v>0</v>
      </c>
      <c r="M13" s="2"/>
      <c r="N13" s="19">
        <f t="shared" si="1"/>
        <v>0</v>
      </c>
      <c r="O13" s="11"/>
      <c r="P13" s="2">
        <f>--104992.39</f>
        <v>104992.39</v>
      </c>
      <c r="Q13" s="2"/>
      <c r="R13" s="19"/>
      <c r="S13" s="2"/>
      <c r="T13" s="2"/>
      <c r="U13" s="2"/>
      <c r="V13" s="19"/>
      <c r="W13" s="2"/>
      <c r="X13" s="2">
        <f t="shared" si="2"/>
        <v>104992.39</v>
      </c>
      <c r="Y13" s="2"/>
      <c r="Z13" s="19">
        <f t="shared" si="3"/>
        <v>0</v>
      </c>
    </row>
    <row r="14" spans="1:26" s="24" customFormat="1" hidden="1" outlineLevel="1" x14ac:dyDescent="0.25">
      <c r="A14" s="44"/>
      <c r="B14" s="11" t="str">
        <f>CONCATENATE("          ", "4034", " - ", "TAXABLE SALES-SODA")</f>
        <v xml:space="preserve">          4034 - TAXABLE SALES-SODA</v>
      </c>
      <c r="C14" s="11"/>
      <c r="D14" s="2">
        <f t="shared" si="4"/>
        <v>0</v>
      </c>
      <c r="E14" s="2"/>
      <c r="F14" s="19"/>
      <c r="G14" s="2"/>
      <c r="H14" s="2"/>
      <c r="I14" s="2"/>
      <c r="J14" s="19"/>
      <c r="K14" s="2"/>
      <c r="L14" s="2">
        <f t="shared" si="0"/>
        <v>0</v>
      </c>
      <c r="M14" s="2"/>
      <c r="N14" s="19">
        <f t="shared" si="1"/>
        <v>0</v>
      </c>
      <c r="O14" s="11"/>
      <c r="P14" s="2">
        <f>--3121.95</f>
        <v>3121.95</v>
      </c>
      <c r="Q14" s="2"/>
      <c r="R14" s="19"/>
      <c r="S14" s="2"/>
      <c r="T14" s="2"/>
      <c r="U14" s="2"/>
      <c r="V14" s="19"/>
      <c r="W14" s="2"/>
      <c r="X14" s="2">
        <f t="shared" si="2"/>
        <v>3121.95</v>
      </c>
      <c r="Y14" s="2"/>
      <c r="Z14" s="19">
        <f t="shared" si="3"/>
        <v>0</v>
      </c>
    </row>
    <row r="15" spans="1:26" s="24" customFormat="1" hidden="1" outlineLevel="1" x14ac:dyDescent="0.25">
      <c r="A15" s="44"/>
      <c r="B15" s="11" t="str">
        <f>CONCATENATE("          ", "4100", " - ", "NON-TAXABLE SALES")</f>
        <v xml:space="preserve">          4100 - NON-TAXABLE SALES</v>
      </c>
      <c r="C15" s="11"/>
      <c r="D15" s="2">
        <f t="shared" si="4"/>
        <v>0</v>
      </c>
      <c r="E15" s="2"/>
      <c r="F15" s="19"/>
      <c r="G15" s="2"/>
      <c r="H15" s="2">
        <v>38127</v>
      </c>
      <c r="I15" s="2"/>
      <c r="J15" s="19"/>
      <c r="K15" s="2"/>
      <c r="L15" s="2">
        <f t="shared" si="0"/>
        <v>-38127</v>
      </c>
      <c r="M15" s="2"/>
      <c r="N15" s="19">
        <f t="shared" si="1"/>
        <v>-1</v>
      </c>
      <c r="O15" s="11"/>
      <c r="P15" s="2">
        <f>0</f>
        <v>0</v>
      </c>
      <c r="Q15" s="2"/>
      <c r="R15" s="19"/>
      <c r="S15" s="2"/>
      <c r="T15" s="2">
        <v>618563</v>
      </c>
      <c r="U15" s="2"/>
      <c r="V15" s="19"/>
      <c r="W15" s="2"/>
      <c r="X15" s="2">
        <f t="shared" si="2"/>
        <v>-618563</v>
      </c>
      <c r="Y15" s="2"/>
      <c r="Z15" s="19">
        <f t="shared" si="3"/>
        <v>-1</v>
      </c>
    </row>
    <row r="16" spans="1:26" s="24" customFormat="1" hidden="1" outlineLevel="1" x14ac:dyDescent="0.25">
      <c r="A16" s="44"/>
      <c r="B16" s="11" t="str">
        <f>CONCATENATE("          ", "4131", " - ", "NON-TAXABLE SALES-FOOD")</f>
        <v xml:space="preserve">          4131 - NON-TAXABLE SALES-FOOD</v>
      </c>
      <c r="C16" s="11"/>
      <c r="D16" s="2">
        <f>--2.48</f>
        <v>2.48</v>
      </c>
      <c r="E16" s="2"/>
      <c r="F16" s="19"/>
      <c r="G16" s="2"/>
      <c r="H16" s="2"/>
      <c r="I16" s="2"/>
      <c r="J16" s="19"/>
      <c r="K16" s="2"/>
      <c r="L16" s="2">
        <f t="shared" si="0"/>
        <v>2.48</v>
      </c>
      <c r="M16" s="2"/>
      <c r="N16" s="19">
        <f t="shared" si="1"/>
        <v>0</v>
      </c>
      <c r="O16" s="11"/>
      <c r="P16" s="2">
        <f>--2.48</f>
        <v>2.48</v>
      </c>
      <c r="Q16" s="2"/>
      <c r="R16" s="19"/>
      <c r="S16" s="2"/>
      <c r="T16" s="2"/>
      <c r="U16" s="2"/>
      <c r="V16" s="19"/>
      <c r="W16" s="2"/>
      <c r="X16" s="2">
        <f t="shared" si="2"/>
        <v>2.48</v>
      </c>
      <c r="Y16" s="2"/>
      <c r="Z16" s="19">
        <f t="shared" si="3"/>
        <v>0</v>
      </c>
    </row>
    <row r="17" spans="1:26" s="24" customFormat="1" hidden="1" outlineLevel="1" x14ac:dyDescent="0.25">
      <c r="A17" s="44"/>
      <c r="B17" s="11" t="str">
        <f>CONCATENATE("          ", "4132", " - ", "NON-TAXABLE SALES-JUICE")</f>
        <v xml:space="preserve">          4132 - NON-TAXABLE SALES-JUICE</v>
      </c>
      <c r="C17" s="11"/>
      <c r="D17" s="2">
        <f t="shared" ref="D17:D18" si="5">0</f>
        <v>0</v>
      </c>
      <c r="E17" s="2"/>
      <c r="F17" s="19"/>
      <c r="G17" s="2"/>
      <c r="H17" s="2"/>
      <c r="I17" s="2"/>
      <c r="J17" s="19"/>
      <c r="K17" s="2"/>
      <c r="L17" s="2">
        <f t="shared" si="0"/>
        <v>0</v>
      </c>
      <c r="M17" s="2"/>
      <c r="N17" s="19">
        <f t="shared" si="1"/>
        <v>0</v>
      </c>
      <c r="O17" s="11"/>
      <c r="P17" s="2">
        <f>--386093.8</f>
        <v>386093.8</v>
      </c>
      <c r="Q17" s="2"/>
      <c r="R17" s="19"/>
      <c r="S17" s="2"/>
      <c r="T17" s="2"/>
      <c r="U17" s="2"/>
      <c r="V17" s="19"/>
      <c r="W17" s="2"/>
      <c r="X17" s="2">
        <f t="shared" si="2"/>
        <v>386093.8</v>
      </c>
      <c r="Y17" s="2"/>
      <c r="Z17" s="19">
        <f t="shared" si="3"/>
        <v>0</v>
      </c>
    </row>
    <row r="18" spans="1:26" s="24" customFormat="1" hidden="1" outlineLevel="1" x14ac:dyDescent="0.25">
      <c r="A18" s="44"/>
      <c r="B18" s="11" t="str">
        <f>CONCATENATE("          ", "4133", " - ", "NON-TAXABLE SALES-CANDY")</f>
        <v xml:space="preserve">          4133 - NON-TAXABLE SALES-CANDY</v>
      </c>
      <c r="C18" s="11"/>
      <c r="D18" s="2">
        <f t="shared" si="5"/>
        <v>0</v>
      </c>
      <c r="E18" s="2"/>
      <c r="F18" s="19"/>
      <c r="G18" s="2"/>
      <c r="H18" s="2"/>
      <c r="I18" s="2"/>
      <c r="J18" s="19"/>
      <c r="K18" s="2"/>
      <c r="L18" s="2">
        <f t="shared" si="0"/>
        <v>0</v>
      </c>
      <c r="M18" s="2"/>
      <c r="N18" s="19">
        <f t="shared" si="1"/>
        <v>0</v>
      </c>
      <c r="O18" s="11"/>
      <c r="P18" s="2">
        <f>--1.59</f>
        <v>1.59</v>
      </c>
      <c r="Q18" s="2"/>
      <c r="R18" s="19"/>
      <c r="S18" s="2"/>
      <c r="T18" s="2"/>
      <c r="U18" s="2"/>
      <c r="V18" s="19"/>
      <c r="W18" s="2"/>
      <c r="X18" s="2">
        <f t="shared" si="2"/>
        <v>1.59</v>
      </c>
      <c r="Y18" s="2"/>
      <c r="Z18" s="19">
        <f t="shared" si="3"/>
        <v>0</v>
      </c>
    </row>
    <row r="19" spans="1:26" s="24" customFormat="1" hidden="1" outlineLevel="1" x14ac:dyDescent="0.25">
      <c r="A19" s="44"/>
      <c r="B19" s="11" t="str">
        <f>CONCATENATE("          ", "4134", " - ", "NON-TAXABLE SALES-SODA")</f>
        <v xml:space="preserve">          4134 - NON-TAXABLE SALES-SODA</v>
      </c>
      <c r="C19" s="11"/>
      <c r="D19" s="2">
        <f>--23.64</f>
        <v>23.64</v>
      </c>
      <c r="E19" s="2"/>
      <c r="F19" s="19"/>
      <c r="G19" s="2"/>
      <c r="H19" s="2"/>
      <c r="I19" s="2"/>
      <c r="J19" s="19"/>
      <c r="K19" s="2"/>
      <c r="L19" s="2">
        <f t="shared" si="0"/>
        <v>23.64</v>
      </c>
      <c r="M19" s="2"/>
      <c r="N19" s="19">
        <f t="shared" si="1"/>
        <v>0</v>
      </c>
      <c r="O19" s="11"/>
      <c r="P19" s="2">
        <f>--94.84</f>
        <v>94.84</v>
      </c>
      <c r="Q19" s="2"/>
      <c r="R19" s="19"/>
      <c r="S19" s="2"/>
      <c r="T19" s="2"/>
      <c r="U19" s="2"/>
      <c r="V19" s="19"/>
      <c r="W19" s="2"/>
      <c r="X19" s="2">
        <f t="shared" si="2"/>
        <v>94.84</v>
      </c>
      <c r="Y19" s="2"/>
      <c r="Z19" s="19">
        <f t="shared" si="3"/>
        <v>0</v>
      </c>
    </row>
    <row r="20" spans="1:26" s="24" customFormat="1" hidden="1" outlineLevel="1" x14ac:dyDescent="0.25">
      <c r="A20" s="44"/>
      <c r="B20" s="11" t="str">
        <f>CONCATENATE("          ", "4137", " - ", "NON-TAXABLE SALES-WATER")</f>
        <v xml:space="preserve">          4137 - NON-TAXABLE SALES-WATER</v>
      </c>
      <c r="C20" s="11"/>
      <c r="D20" s="2">
        <f>--2.24</f>
        <v>2.2400000000000002</v>
      </c>
      <c r="E20" s="2"/>
      <c r="F20" s="19"/>
      <c r="G20" s="2"/>
      <c r="H20" s="2"/>
      <c r="I20" s="2"/>
      <c r="J20" s="19"/>
      <c r="K20" s="2"/>
      <c r="L20" s="2">
        <f t="shared" si="0"/>
        <v>2.2400000000000002</v>
      </c>
      <c r="M20" s="2"/>
      <c r="N20" s="19">
        <f t="shared" si="1"/>
        <v>0</v>
      </c>
      <c r="O20" s="11"/>
      <c r="P20" s="2">
        <f>--1575.68</f>
        <v>1575.68</v>
      </c>
      <c r="Q20" s="2"/>
      <c r="R20" s="19"/>
      <c r="S20" s="2"/>
      <c r="T20" s="2"/>
      <c r="U20" s="2"/>
      <c r="V20" s="19"/>
      <c r="W20" s="2"/>
      <c r="X20" s="2">
        <f t="shared" si="2"/>
        <v>1575.68</v>
      </c>
      <c r="Y20" s="2"/>
      <c r="Z20" s="19">
        <f t="shared" si="3"/>
        <v>0</v>
      </c>
    </row>
    <row r="21" spans="1:26" x14ac:dyDescent="0.25">
      <c r="A21" s="9"/>
      <c r="B21" s="10"/>
      <c r="C21" s="9"/>
      <c r="D21" s="3"/>
      <c r="E21" s="3"/>
      <c r="F21" s="8"/>
      <c r="G21" s="3"/>
      <c r="H21" s="3"/>
      <c r="I21" s="3"/>
      <c r="J21" s="8"/>
      <c r="K21" s="3"/>
      <c r="L21" s="3"/>
      <c r="M21" s="3"/>
      <c r="N21" s="8"/>
      <c r="P21" s="3"/>
      <c r="Q21" s="3"/>
      <c r="R21" s="8"/>
      <c r="S21" s="3"/>
      <c r="T21" s="3"/>
      <c r="U21" s="3"/>
      <c r="V21" s="8"/>
      <c r="W21" s="3"/>
      <c r="X21" s="3"/>
      <c r="Y21" s="3"/>
      <c r="Z21" s="8"/>
    </row>
    <row r="22" spans="1:26" s="23" customFormat="1" collapsed="1" x14ac:dyDescent="0.25">
      <c r="A22" s="10"/>
      <c r="B22" s="28" t="s">
        <v>8</v>
      </c>
      <c r="C22" s="10"/>
      <c r="D22" s="4">
        <f>SUM(OSRRefD16x_0)</f>
        <v>-978.49</v>
      </c>
      <c r="E22" s="4"/>
      <c r="F22" s="13">
        <f t="shared" ref="F22:F25" si="6">IF(D$12=0,0,D22/D$12)</f>
        <v>-34.5024682651622</v>
      </c>
      <c r="G22" s="4"/>
      <c r="H22" s="4">
        <f>SUM(OSRRefH16x_0)</f>
        <v>18301</v>
      </c>
      <c r="I22" s="4"/>
      <c r="J22" s="13">
        <f t="shared" ref="J22:J25" si="7">IF(H$12=0,0,H22/H$12)</f>
        <v>0.48000104912529179</v>
      </c>
      <c r="K22" s="4"/>
      <c r="L22" s="4">
        <f t="shared" ref="L22:L25" si="8">+D22-H22</f>
        <v>-19279.490000000002</v>
      </c>
      <c r="M22" s="4"/>
      <c r="N22" s="13">
        <f t="shared" ref="N22:N25" si="9">IF(H22=0,0,L22/H22)</f>
        <v>-1.0534664772416809</v>
      </c>
      <c r="O22" s="10"/>
      <c r="P22" s="4">
        <f>SUM(OSRRefP16x_0)</f>
        <v>241158.98999999996</v>
      </c>
      <c r="Q22" s="4"/>
      <c r="R22" s="13">
        <f t="shared" ref="R22:R25" si="10">IF(P$12=0,0,P22/P$12)</f>
        <v>0.48632262309276214</v>
      </c>
      <c r="S22" s="4"/>
      <c r="T22" s="4">
        <f>SUM(OSRRefT16x_0)</f>
        <v>296911</v>
      </c>
      <c r="U22" s="4"/>
      <c r="V22" s="13">
        <f t="shared" ref="V22:V25" si="11">IF(T$12=0,0,T22/T$12)</f>
        <v>0.4800012286541549</v>
      </c>
      <c r="W22" s="4"/>
      <c r="X22" s="4">
        <f t="shared" ref="X22:X25" si="12">+P22-T22</f>
        <v>-55752.010000000038</v>
      </c>
      <c r="Y22" s="4"/>
      <c r="Z22" s="13">
        <f t="shared" ref="Z22:Z25" si="13">IF(T22=0,0,X22/T22)</f>
        <v>-0.18777347420607535</v>
      </c>
    </row>
    <row r="23" spans="1:26" s="24" customFormat="1" hidden="1" outlineLevel="1" x14ac:dyDescent="0.25">
      <c r="A23" s="44"/>
      <c r="B23" s="11" t="str">
        <f>CONCATENATE("          ", "5000", " - ", "PURCHASES @ COST")</f>
        <v xml:space="preserve">          5000 - PURCHASES @ COST</v>
      </c>
      <c r="C23" s="11"/>
      <c r="D23" s="2"/>
      <c r="E23" s="2"/>
      <c r="F23" s="19">
        <f t="shared" si="6"/>
        <v>0</v>
      </c>
      <c r="G23" s="2"/>
      <c r="H23" s="2">
        <v>18301</v>
      </c>
      <c r="I23" s="2"/>
      <c r="J23" s="19">
        <f t="shared" si="7"/>
        <v>0.48000104912529179</v>
      </c>
      <c r="K23" s="2"/>
      <c r="L23" s="2">
        <f t="shared" si="8"/>
        <v>-18301</v>
      </c>
      <c r="M23" s="2"/>
      <c r="N23" s="19">
        <f t="shared" si="9"/>
        <v>-1</v>
      </c>
      <c r="O23" s="11"/>
      <c r="P23" s="2"/>
      <c r="Q23" s="2"/>
      <c r="R23" s="19">
        <f t="shared" si="10"/>
        <v>0</v>
      </c>
      <c r="S23" s="2"/>
      <c r="T23" s="2">
        <v>296911</v>
      </c>
      <c r="U23" s="2"/>
      <c r="V23" s="19">
        <f t="shared" si="11"/>
        <v>0.4800012286541549</v>
      </c>
      <c r="W23" s="2"/>
      <c r="X23" s="2">
        <f t="shared" si="12"/>
        <v>-296911</v>
      </c>
      <c r="Y23" s="2"/>
      <c r="Z23" s="19">
        <f t="shared" si="13"/>
        <v>-1</v>
      </c>
    </row>
    <row r="24" spans="1:26" s="24" customFormat="1" hidden="1" outlineLevel="1" x14ac:dyDescent="0.25">
      <c r="A24" s="44"/>
      <c r="B24" s="11" t="str">
        <f>CONCATENATE("          ", "5053", " - ", "PURCHASES @ COST-FOOD")</f>
        <v xml:space="preserve">          5053 - PURCHASES @ COST-FOOD</v>
      </c>
      <c r="C24" s="11"/>
      <c r="D24" s="2">
        <v>-978.49</v>
      </c>
      <c r="E24" s="2"/>
      <c r="F24" s="19">
        <f t="shared" si="6"/>
        <v>-34.5024682651622</v>
      </c>
      <c r="G24" s="2"/>
      <c r="H24" s="2"/>
      <c r="I24" s="2"/>
      <c r="J24" s="19">
        <f t="shared" si="7"/>
        <v>0</v>
      </c>
      <c r="K24" s="2"/>
      <c r="L24" s="2">
        <f t="shared" si="8"/>
        <v>-978.49</v>
      </c>
      <c r="M24" s="2"/>
      <c r="N24" s="19">
        <f t="shared" si="9"/>
        <v>0</v>
      </c>
      <c r="O24" s="11"/>
      <c r="P24" s="2">
        <v>236746.99999999997</v>
      </c>
      <c r="Q24" s="2"/>
      <c r="R24" s="19">
        <f t="shared" si="10"/>
        <v>0.47742537837524601</v>
      </c>
      <c r="S24" s="2"/>
      <c r="T24" s="2"/>
      <c r="U24" s="2"/>
      <c r="V24" s="19">
        <f t="shared" si="11"/>
        <v>0</v>
      </c>
      <c r="W24" s="2"/>
      <c r="X24" s="2">
        <f t="shared" si="12"/>
        <v>236746.99999999997</v>
      </c>
      <c r="Y24" s="2"/>
      <c r="Z24" s="19">
        <f t="shared" si="13"/>
        <v>0</v>
      </c>
    </row>
    <row r="25" spans="1:26" s="24" customFormat="1" hidden="1" outlineLevel="1" x14ac:dyDescent="0.25">
      <c r="A25" s="44"/>
      <c r="B25" s="11" t="str">
        <f>CONCATENATE("          ", "5059", " - ", "PURCHASES @ COST-FOOD")</f>
        <v xml:space="preserve">          5059 - PURCHASES @ COST-FOOD</v>
      </c>
      <c r="C25" s="11"/>
      <c r="D25" s="2"/>
      <c r="E25" s="2"/>
      <c r="F25" s="19">
        <f t="shared" si="6"/>
        <v>0</v>
      </c>
      <c r="G25" s="2"/>
      <c r="H25" s="2"/>
      <c r="I25" s="2"/>
      <c r="J25" s="19">
        <f t="shared" si="7"/>
        <v>0</v>
      </c>
      <c r="K25" s="2"/>
      <c r="L25" s="2">
        <f t="shared" si="8"/>
        <v>0</v>
      </c>
      <c r="M25" s="2"/>
      <c r="N25" s="19">
        <f t="shared" si="9"/>
        <v>0</v>
      </c>
      <c r="O25" s="11"/>
      <c r="P25" s="2">
        <v>4411.99</v>
      </c>
      <c r="Q25" s="2"/>
      <c r="R25" s="19">
        <f t="shared" si="10"/>
        <v>8.8972447175161753E-3</v>
      </c>
      <c r="S25" s="2"/>
      <c r="T25" s="2"/>
      <c r="U25" s="2"/>
      <c r="V25" s="19">
        <f t="shared" si="11"/>
        <v>0</v>
      </c>
      <c r="W25" s="2"/>
      <c r="X25" s="2">
        <f t="shared" si="12"/>
        <v>4411.99</v>
      </c>
      <c r="Y25" s="2"/>
      <c r="Z25" s="19">
        <f t="shared" si="13"/>
        <v>0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6</v>
      </c>
      <c r="C27" s="29"/>
      <c r="D27" s="20">
        <f>D12-D22</f>
        <v>1006.85</v>
      </c>
      <c r="E27" s="14"/>
      <c r="F27" s="22">
        <f>IF(D$12=0,0,D27/D$12)</f>
        <v>35.5024682651622</v>
      </c>
      <c r="G27" s="14"/>
      <c r="H27" s="20">
        <f>H12-H22</f>
        <v>19826</v>
      </c>
      <c r="I27" s="14"/>
      <c r="J27" s="22">
        <f>IF(H$12=0,0,H27/H$12)</f>
        <v>0.51999895087470827</v>
      </c>
      <c r="K27" s="16"/>
      <c r="L27" s="20">
        <f>+D27-H27</f>
        <v>-18819.150000000001</v>
      </c>
      <c r="M27" s="16"/>
      <c r="N27" s="22">
        <f>IF(H27=0,0,L27/H27)</f>
        <v>-0.94921567638454563</v>
      </c>
      <c r="O27" s="28"/>
      <c r="P27" s="20">
        <f>P12-P22</f>
        <v>254723.74000000008</v>
      </c>
      <c r="Q27" s="14"/>
      <c r="R27" s="22">
        <f>IF(P$12=0,0,P27/P$12)</f>
        <v>0.5136773769072378</v>
      </c>
      <c r="S27" s="14"/>
      <c r="T27" s="20">
        <f>T12-T22</f>
        <v>321652</v>
      </c>
      <c r="U27" s="14"/>
      <c r="V27" s="22">
        <f>IF(T$12=0,0,T27/T$12)</f>
        <v>0.51999877134584516</v>
      </c>
      <c r="W27" s="16"/>
      <c r="X27" s="20">
        <f>+P27-T27</f>
        <v>-66928.259999999922</v>
      </c>
      <c r="Y27" s="16"/>
      <c r="Z27" s="22">
        <f>IF(T27=0,0,X27/T27)</f>
        <v>-0.20807661696491836</v>
      </c>
    </row>
    <row r="28" spans="1:26" x14ac:dyDescent="0.25">
      <c r="A28" s="9"/>
      <c r="B28" s="10"/>
      <c r="C28" s="9"/>
      <c r="D28" s="1"/>
      <c r="E28" s="1"/>
      <c r="F28" s="5"/>
      <c r="G28" s="1"/>
      <c r="H28" s="1"/>
      <c r="I28" s="1"/>
      <c r="J28" s="5"/>
      <c r="K28" s="1"/>
      <c r="L28" s="1"/>
      <c r="M28" s="1"/>
      <c r="N28" s="5"/>
      <c r="O28" s="36"/>
      <c r="P28" s="1"/>
      <c r="Q28" s="1"/>
      <c r="R28" s="5"/>
      <c r="S28" s="1"/>
      <c r="T28" s="1"/>
      <c r="U28" s="1"/>
      <c r="V28" s="5"/>
      <c r="W28" s="1"/>
      <c r="X28" s="1"/>
      <c r="Y28" s="1"/>
      <c r="Z28" s="5"/>
    </row>
    <row r="29" spans="1:26" s="23" customFormat="1" x14ac:dyDescent="0.25">
      <c r="A29" s="10"/>
      <c r="B29" s="28" t="s">
        <v>9</v>
      </c>
      <c r="C29" s="10"/>
      <c r="D29" s="21">
        <f>SUM(OSRRefD22x_0)</f>
        <v>8069.25</v>
      </c>
      <c r="E29" s="21"/>
      <c r="F29" s="30">
        <f t="shared" ref="F29:F39" si="14">IF(D$12=0,0,D29/D$12)</f>
        <v>284.52926657263754</v>
      </c>
      <c r="G29" s="21"/>
      <c r="H29" s="21">
        <f>SUM(OSRRefH22x_0)</f>
        <v>18485.449577600004</v>
      </c>
      <c r="I29" s="21"/>
      <c r="J29" s="30">
        <f t="shared" ref="J29:J39" si="15">IF(H$12=0,0,H29/H$12)</f>
        <v>0.48483881704828607</v>
      </c>
      <c r="K29" s="4"/>
      <c r="L29" s="21">
        <f t="shared" ref="L29:L39" si="16">+D29-H29</f>
        <v>-10416.199577600004</v>
      </c>
      <c r="M29" s="4"/>
      <c r="N29" s="30">
        <f t="shared" ref="N29:N39" si="17">IF(H29=0,0,L29/H29)</f>
        <v>-0.5634809980614145</v>
      </c>
      <c r="O29" s="10"/>
      <c r="P29" s="21">
        <f>SUM(OSRRefP22x_0)</f>
        <v>190070.31999999998</v>
      </c>
      <c r="Q29" s="21"/>
      <c r="R29" s="30">
        <f t="shared" ref="R29:R39" si="18">IF(P$12=0,0,P29/P$12)</f>
        <v>0.38329691376830155</v>
      </c>
      <c r="S29" s="21"/>
      <c r="T29" s="21">
        <f>SUM(OSRRefT22x_0)</f>
        <v>220705.64055219997</v>
      </c>
      <c r="U29" s="21"/>
      <c r="V29" s="30">
        <f t="shared" ref="V29:V39" si="19">IF(T$12=0,0,T29/T$12)</f>
        <v>0.35680381877383543</v>
      </c>
      <c r="W29" s="4"/>
      <c r="X29" s="21">
        <f t="shared" ref="X29:X39" si="20">+P29-T29</f>
        <v>-30635.320552199992</v>
      </c>
      <c r="Y29" s="4"/>
      <c r="Z29" s="30">
        <f t="shared" ref="Z29:Z39" si="21">IF(T29=0,0,X29/T29)</f>
        <v>-0.13880624199522582</v>
      </c>
    </row>
    <row r="30" spans="1:26" s="27" customFormat="1" outlineLevel="1" collapsed="1" x14ac:dyDescent="0.25">
      <c r="A30" s="25"/>
      <c r="B30" s="12" t="str">
        <f>CONCATENATE("     ","*Benefits                                         ")</f>
        <v xml:space="preserve">     *Benefits                                         </v>
      </c>
      <c r="C30" s="12"/>
      <c r="D30" s="1">
        <f>SUM(OSRRefD22_0x_0)</f>
        <v>3775.33</v>
      </c>
      <c r="E30" s="1"/>
      <c r="F30" s="5">
        <f t="shared" si="14"/>
        <v>133.12165021156559</v>
      </c>
      <c r="G30" s="1"/>
      <c r="H30" s="1">
        <f>SUM(OSRRefH22_0x_0)</f>
        <v>3814.4255776</v>
      </c>
      <c r="I30" s="1"/>
      <c r="J30" s="5">
        <f t="shared" si="15"/>
        <v>0.10004525867757758</v>
      </c>
      <c r="K30" s="1"/>
      <c r="L30" s="1">
        <f t="shared" si="16"/>
        <v>-39.09557760000007</v>
      </c>
      <c r="M30" s="1"/>
      <c r="N30" s="5">
        <f t="shared" si="17"/>
        <v>-1.0249401070920521E-2</v>
      </c>
      <c r="O30" s="12"/>
      <c r="P30" s="1">
        <f>SUM(OSRRefP22_0x_0)</f>
        <v>47045.2</v>
      </c>
      <c r="Q30" s="1"/>
      <c r="R30" s="5">
        <f t="shared" si="18"/>
        <v>9.487162418420983E-2</v>
      </c>
      <c r="S30" s="1"/>
      <c r="T30" s="1">
        <f>SUM(OSRRefT22_0x_0)</f>
        <v>43602.382552199997</v>
      </c>
      <c r="U30" s="1"/>
      <c r="V30" s="5">
        <f t="shared" si="19"/>
        <v>7.0489800638253497E-2</v>
      </c>
      <c r="W30" s="1"/>
      <c r="X30" s="1">
        <f t="shared" si="20"/>
        <v>3442.8174478000001</v>
      </c>
      <c r="Y30" s="1"/>
      <c r="Z30" s="5">
        <f t="shared" si="21"/>
        <v>7.8959388140735665E-2</v>
      </c>
    </row>
    <row r="31" spans="1:26" s="24" customFormat="1" hidden="1" outlineLevel="2" x14ac:dyDescent="0.25">
      <c r="A31" s="26"/>
      <c r="B31" s="11" t="str">
        <f>CONCATENATE("          ", "6111", " - ", "F.I.C.A.")</f>
        <v xml:space="preserve">          6111 - F.I.C.A.</v>
      </c>
      <c r="C31" s="11"/>
      <c r="D31" s="7">
        <v>357.68</v>
      </c>
      <c r="E31" s="2"/>
      <c r="F31" s="6">
        <f t="shared" si="14"/>
        <v>12.61212976022567</v>
      </c>
      <c r="G31" s="2"/>
      <c r="H31" s="7">
        <v>563.13222959999996</v>
      </c>
      <c r="I31" s="2"/>
      <c r="J31" s="6">
        <f t="shared" si="15"/>
        <v>1.4769906617357777E-2</v>
      </c>
      <c r="K31" s="2"/>
      <c r="L31" s="7">
        <f t="shared" si="16"/>
        <v>-205.45222959999995</v>
      </c>
      <c r="M31" s="2"/>
      <c r="N31" s="6">
        <f t="shared" si="17"/>
        <v>-0.36483834311159086</v>
      </c>
      <c r="O31" s="11"/>
      <c r="P31" s="7">
        <v>5412.14</v>
      </c>
      <c r="Q31" s="2"/>
      <c r="R31" s="6">
        <f t="shared" si="18"/>
        <v>1.0914153029689096E-2</v>
      </c>
      <c r="S31" s="2"/>
      <c r="T31" s="7">
        <v>6881.3587242000003</v>
      </c>
      <c r="U31" s="2"/>
      <c r="V31" s="6">
        <f t="shared" si="19"/>
        <v>1.1124749983752666E-2</v>
      </c>
      <c r="W31" s="2"/>
      <c r="X31" s="7">
        <f t="shared" si="20"/>
        <v>-1469.2187242</v>
      </c>
      <c r="Y31" s="2"/>
      <c r="Z31" s="6">
        <f t="shared" si="21"/>
        <v>-0.21350706787500104</v>
      </c>
    </row>
    <row r="32" spans="1:26" s="24" customFormat="1" hidden="1" outlineLevel="2" x14ac:dyDescent="0.25">
      <c r="A32" s="26"/>
      <c r="B32" s="11" t="str">
        <f>CONCATENATE("          ", "6112", " - ", "COMPENSATION INSURANCE")</f>
        <v xml:space="preserve">          6112 - COMPENSATION INSURANCE</v>
      </c>
      <c r="C32" s="11"/>
      <c r="D32" s="7">
        <v>133.25</v>
      </c>
      <c r="E32" s="2"/>
      <c r="F32" s="6">
        <f t="shared" si="14"/>
        <v>4.6985190409026796</v>
      </c>
      <c r="G32" s="2"/>
      <c r="H32" s="7">
        <v>251.96527</v>
      </c>
      <c r="I32" s="2"/>
      <c r="J32" s="6">
        <f t="shared" si="15"/>
        <v>6.608578435229627E-3</v>
      </c>
      <c r="K32" s="2"/>
      <c r="L32" s="7">
        <f t="shared" si="16"/>
        <v>-118.71527</v>
      </c>
      <c r="M32" s="2"/>
      <c r="N32" s="6">
        <f t="shared" si="17"/>
        <v>-0.4711572749688876</v>
      </c>
      <c r="O32" s="11"/>
      <c r="P32" s="7">
        <v>1945.06</v>
      </c>
      <c r="Q32" s="2"/>
      <c r="R32" s="6">
        <f t="shared" si="18"/>
        <v>3.9224193187772432E-3</v>
      </c>
      <c r="S32" s="2"/>
      <c r="T32" s="7">
        <v>2906.6756700000001</v>
      </c>
      <c r="U32" s="2"/>
      <c r="V32" s="6">
        <f t="shared" si="19"/>
        <v>4.6990778142242586E-3</v>
      </c>
      <c r="W32" s="2"/>
      <c r="X32" s="7">
        <f t="shared" si="20"/>
        <v>-961.61567000000014</v>
      </c>
      <c r="Y32" s="2"/>
      <c r="Z32" s="6">
        <f t="shared" si="21"/>
        <v>-0.33083005438993479</v>
      </c>
    </row>
    <row r="33" spans="1:26" s="24" customFormat="1" hidden="1" outlineLevel="2" x14ac:dyDescent="0.25">
      <c r="A33" s="26"/>
      <c r="B33" s="11" t="str">
        <f>CONCATENATE("          ", "6113", " - ", "GROUP INSURANCE")</f>
        <v xml:space="preserve">          6113 - GROUP INSURANCE</v>
      </c>
      <c r="C33" s="11"/>
      <c r="D33" s="7">
        <v>2021.26</v>
      </c>
      <c r="E33" s="2"/>
      <c r="F33" s="6">
        <f t="shared" si="14"/>
        <v>71.271509167842026</v>
      </c>
      <c r="G33" s="2"/>
      <c r="H33" s="7">
        <v>1977</v>
      </c>
      <c r="I33" s="2"/>
      <c r="J33" s="6">
        <f t="shared" si="15"/>
        <v>5.1853017546620507E-2</v>
      </c>
      <c r="K33" s="2"/>
      <c r="L33" s="7">
        <f t="shared" si="16"/>
        <v>44.259999999999991</v>
      </c>
      <c r="M33" s="2"/>
      <c r="N33" s="6">
        <f t="shared" si="17"/>
        <v>2.2387455741021745E-2</v>
      </c>
      <c r="O33" s="11"/>
      <c r="P33" s="7">
        <v>22226.12</v>
      </c>
      <c r="Q33" s="2"/>
      <c r="R33" s="6">
        <f t="shared" si="18"/>
        <v>4.4821322976906247E-2</v>
      </c>
      <c r="S33" s="2"/>
      <c r="T33" s="7">
        <v>21747</v>
      </c>
      <c r="U33" s="2"/>
      <c r="V33" s="6">
        <f t="shared" si="19"/>
        <v>3.5157291981576654E-2</v>
      </c>
      <c r="W33" s="2"/>
      <c r="X33" s="7">
        <f t="shared" si="20"/>
        <v>479.11999999999898</v>
      </c>
      <c r="Y33" s="2"/>
      <c r="Z33" s="6">
        <f t="shared" si="21"/>
        <v>2.2031544580861682E-2</v>
      </c>
    </row>
    <row r="34" spans="1:26" s="24" customFormat="1" hidden="1" outlineLevel="2" x14ac:dyDescent="0.25">
      <c r="A34" s="26"/>
      <c r="B34" s="11" t="str">
        <f>CONCATENATE("          ", "6114", " - ", "STATE UNEMPLOYMENT INSURANCE")</f>
        <v xml:space="preserve">          6114 - STATE UNEMPLOYMENT INSURANCE</v>
      </c>
      <c r="C34" s="11"/>
      <c r="D34" s="7">
        <v>18.23</v>
      </c>
      <c r="E34" s="2"/>
      <c r="F34" s="6">
        <f t="shared" si="14"/>
        <v>0.64280677009873066</v>
      </c>
      <c r="G34" s="2"/>
      <c r="H34" s="7">
        <v>34.479458000000001</v>
      </c>
      <c r="I34" s="2"/>
      <c r="J34" s="6">
        <f t="shared" si="15"/>
        <v>9.0433178587352801E-4</v>
      </c>
      <c r="K34" s="2"/>
      <c r="L34" s="7">
        <f t="shared" si="16"/>
        <v>-16.249458000000001</v>
      </c>
      <c r="M34" s="2"/>
      <c r="N34" s="6">
        <f t="shared" si="17"/>
        <v>-0.4712793919208359</v>
      </c>
      <c r="O34" s="11"/>
      <c r="P34" s="7">
        <v>299.05</v>
      </c>
      <c r="Q34" s="2"/>
      <c r="R34" s="6">
        <f t="shared" si="18"/>
        <v>6.0306597085968286E-4</v>
      </c>
      <c r="S34" s="2"/>
      <c r="T34" s="7">
        <v>397.75561800000003</v>
      </c>
      <c r="U34" s="2"/>
      <c r="V34" s="6">
        <f t="shared" si="19"/>
        <v>6.4303170089384596E-4</v>
      </c>
      <c r="W34" s="2"/>
      <c r="X34" s="7">
        <f t="shared" si="20"/>
        <v>-98.705618000000015</v>
      </c>
      <c r="Y34" s="2"/>
      <c r="Z34" s="6">
        <f t="shared" si="21"/>
        <v>-0.24815643961564363</v>
      </c>
    </row>
    <row r="35" spans="1:26" s="24" customFormat="1" hidden="1" outlineLevel="2" x14ac:dyDescent="0.25">
      <c r="A35" s="26"/>
      <c r="B35" s="11" t="str">
        <f>CONCATENATE("          ", "6115", " - ", "P.E.R.S.")</f>
        <v xml:space="preserve">          6115 - P.E.R.S.</v>
      </c>
      <c r="C35" s="11"/>
      <c r="D35" s="7">
        <v>568.97</v>
      </c>
      <c r="E35" s="2"/>
      <c r="F35" s="6">
        <f t="shared" si="14"/>
        <v>20.062411847672781</v>
      </c>
      <c r="G35" s="2"/>
      <c r="H35" s="7">
        <v>478.68632000000002</v>
      </c>
      <c r="I35" s="2"/>
      <c r="J35" s="6">
        <f t="shared" si="15"/>
        <v>1.2555048128622761E-2</v>
      </c>
      <c r="K35" s="2"/>
      <c r="L35" s="7">
        <f t="shared" si="16"/>
        <v>90.283680000000004</v>
      </c>
      <c r="M35" s="2"/>
      <c r="N35" s="6">
        <f t="shared" si="17"/>
        <v>0.18860718643474081</v>
      </c>
      <c r="O35" s="11"/>
      <c r="P35" s="7">
        <v>7060.91</v>
      </c>
      <c r="Q35" s="2"/>
      <c r="R35" s="6">
        <f t="shared" si="18"/>
        <v>1.4239072209673444E-2</v>
      </c>
      <c r="S35" s="2"/>
      <c r="T35" s="7">
        <v>5744.2358400000003</v>
      </c>
      <c r="U35" s="2"/>
      <c r="V35" s="6">
        <f t="shared" si="19"/>
        <v>9.2864200412892464E-3</v>
      </c>
      <c r="W35" s="2"/>
      <c r="X35" s="7">
        <f t="shared" si="20"/>
        <v>1316.6741599999996</v>
      </c>
      <c r="Y35" s="2"/>
      <c r="Z35" s="6">
        <f t="shared" si="21"/>
        <v>0.22921659149705098</v>
      </c>
    </row>
    <row r="36" spans="1:26" s="24" customFormat="1" hidden="1" outlineLevel="2" x14ac:dyDescent="0.25">
      <c r="A36" s="26"/>
      <c r="B36" s="11" t="str">
        <f>CONCATENATE("          ", "6116", " - ", "EDUCATIONAL BENEFITS")</f>
        <v xml:space="preserve">          6116 - EDUCATIONAL BENEFITS</v>
      </c>
      <c r="C36" s="11"/>
      <c r="D36" s="7"/>
      <c r="E36" s="2"/>
      <c r="F36" s="6">
        <f t="shared" si="14"/>
        <v>0</v>
      </c>
      <c r="G36" s="2"/>
      <c r="H36" s="7">
        <v>0</v>
      </c>
      <c r="I36" s="2"/>
      <c r="J36" s="6">
        <f t="shared" si="15"/>
        <v>0</v>
      </c>
      <c r="K36" s="2"/>
      <c r="L36" s="7">
        <f t="shared" si="16"/>
        <v>0</v>
      </c>
      <c r="M36" s="2"/>
      <c r="N36" s="6">
        <f t="shared" si="17"/>
        <v>0</v>
      </c>
      <c r="O36" s="11"/>
      <c r="P36" s="7"/>
      <c r="Q36" s="2"/>
      <c r="R36" s="6">
        <f t="shared" si="18"/>
        <v>0</v>
      </c>
      <c r="S36" s="2"/>
      <c r="T36" s="7">
        <v>0</v>
      </c>
      <c r="U36" s="2"/>
      <c r="V36" s="6">
        <f t="shared" si="19"/>
        <v>0</v>
      </c>
      <c r="W36" s="2"/>
      <c r="X36" s="7">
        <f t="shared" si="20"/>
        <v>0</v>
      </c>
      <c r="Y36" s="2"/>
      <c r="Z36" s="6">
        <f t="shared" si="21"/>
        <v>0</v>
      </c>
    </row>
    <row r="37" spans="1:26" s="24" customFormat="1" hidden="1" outlineLevel="2" x14ac:dyDescent="0.25">
      <c r="A37" s="26"/>
      <c r="B37" s="11" t="str">
        <f>CONCATENATE("          ", "6118", " - ", "VACATION")</f>
        <v xml:space="preserve">          6118 - VACATION</v>
      </c>
      <c r="C37" s="11"/>
      <c r="D37" s="7">
        <v>407.06</v>
      </c>
      <c r="E37" s="2"/>
      <c r="F37" s="6">
        <f t="shared" si="14"/>
        <v>14.353314527503526</v>
      </c>
      <c r="G37" s="2"/>
      <c r="H37" s="7">
        <v>220.74959999999999</v>
      </c>
      <c r="I37" s="2"/>
      <c r="J37" s="6">
        <f t="shared" si="15"/>
        <v>5.7898497128019508E-3</v>
      </c>
      <c r="K37" s="2"/>
      <c r="L37" s="7">
        <f t="shared" si="16"/>
        <v>186.31040000000002</v>
      </c>
      <c r="M37" s="2"/>
      <c r="N37" s="6">
        <f t="shared" si="17"/>
        <v>0.84398975128380771</v>
      </c>
      <c r="O37" s="11"/>
      <c r="P37" s="7">
        <v>5193.6099999999997</v>
      </c>
      <c r="Q37" s="2"/>
      <c r="R37" s="6">
        <f t="shared" si="18"/>
        <v>1.0473464159560466E-2</v>
      </c>
      <c r="S37" s="2"/>
      <c r="T37" s="7">
        <v>2611.4517000000001</v>
      </c>
      <c r="U37" s="2"/>
      <c r="V37" s="6">
        <f t="shared" si="19"/>
        <v>4.2218039229633842E-3</v>
      </c>
      <c r="W37" s="2"/>
      <c r="X37" s="7">
        <f t="shared" si="20"/>
        <v>2582.1582999999996</v>
      </c>
      <c r="Y37" s="2"/>
      <c r="Z37" s="6">
        <f t="shared" si="21"/>
        <v>0.98878271422749253</v>
      </c>
    </row>
    <row r="38" spans="1:26" s="24" customFormat="1" hidden="1" outlineLevel="2" x14ac:dyDescent="0.25">
      <c r="A38" s="26"/>
      <c r="B38" s="11" t="str">
        <f>CONCATENATE("          ", "6119", " - ", "SICK LEAVE")</f>
        <v xml:space="preserve">          6119 - SICK LEAVE</v>
      </c>
      <c r="C38" s="11"/>
      <c r="D38" s="7">
        <v>256.76</v>
      </c>
      <c r="E38" s="2"/>
      <c r="F38" s="6">
        <f t="shared" si="14"/>
        <v>9.0535966149506351</v>
      </c>
      <c r="G38" s="2"/>
      <c r="H38" s="7">
        <v>288.41269999999997</v>
      </c>
      <c r="I38" s="2"/>
      <c r="J38" s="6">
        <f t="shared" si="15"/>
        <v>7.5645264510714183E-3</v>
      </c>
      <c r="K38" s="2"/>
      <c r="L38" s="7">
        <f t="shared" si="16"/>
        <v>-31.652699999999982</v>
      </c>
      <c r="M38" s="2"/>
      <c r="N38" s="6">
        <f t="shared" si="17"/>
        <v>-0.10974794105807402</v>
      </c>
      <c r="O38" s="11"/>
      <c r="P38" s="7">
        <v>3485.54</v>
      </c>
      <c r="Q38" s="2"/>
      <c r="R38" s="6">
        <f t="shared" si="18"/>
        <v>7.0289602543730442E-3</v>
      </c>
      <c r="S38" s="2"/>
      <c r="T38" s="7">
        <v>3313.9050000000002</v>
      </c>
      <c r="U38" s="2"/>
      <c r="V38" s="6">
        <f t="shared" si="19"/>
        <v>5.3574251935534457E-3</v>
      </c>
      <c r="W38" s="2"/>
      <c r="X38" s="7">
        <f t="shared" si="20"/>
        <v>171.63499999999976</v>
      </c>
      <c r="Y38" s="2"/>
      <c r="Z38" s="6">
        <f t="shared" si="21"/>
        <v>5.1792371839265085E-2</v>
      </c>
    </row>
    <row r="39" spans="1:26" s="24" customFormat="1" hidden="1" outlineLevel="2" x14ac:dyDescent="0.25">
      <c r="A39" s="26"/>
      <c r="B39" s="11" t="str">
        <f>CONCATENATE("          ", "6156", " - ", "EMPLOYEE MEALS")</f>
        <v xml:space="preserve">          6156 - EMPLOYEE MEALS</v>
      </c>
      <c r="C39" s="11"/>
      <c r="D39" s="7">
        <v>12.12</v>
      </c>
      <c r="E39" s="2"/>
      <c r="F39" s="6">
        <f t="shared" si="14"/>
        <v>0.42736248236953456</v>
      </c>
      <c r="G39" s="2"/>
      <c r="H39" s="7"/>
      <c r="I39" s="2"/>
      <c r="J39" s="6">
        <f t="shared" si="15"/>
        <v>0</v>
      </c>
      <c r="K39" s="2"/>
      <c r="L39" s="7">
        <f t="shared" si="16"/>
        <v>12.12</v>
      </c>
      <c r="M39" s="2"/>
      <c r="N39" s="6">
        <f t="shared" si="17"/>
        <v>0</v>
      </c>
      <c r="O39" s="11"/>
      <c r="P39" s="7">
        <v>1422.77</v>
      </c>
      <c r="Q39" s="2"/>
      <c r="R39" s="6">
        <f t="shared" si="18"/>
        <v>2.8691662643706103E-3</v>
      </c>
      <c r="S39" s="2"/>
      <c r="T39" s="7"/>
      <c r="U39" s="2"/>
      <c r="V39" s="6">
        <f t="shared" si="19"/>
        <v>0</v>
      </c>
      <c r="W39" s="2"/>
      <c r="X39" s="7">
        <f t="shared" si="20"/>
        <v>1422.77</v>
      </c>
      <c r="Y39" s="2"/>
      <c r="Z39" s="6">
        <f t="shared" si="21"/>
        <v>0</v>
      </c>
    </row>
    <row r="40" spans="1:26" s="27" customFormat="1" outlineLevel="1" collapsed="1" x14ac:dyDescent="0.25">
      <c r="A40" s="25"/>
      <c r="B40" s="12" t="str">
        <f>CONCATENATE("     ","*Payroll                                          ")</f>
        <v xml:space="preserve">     *Payroll                                          </v>
      </c>
      <c r="C40" s="12"/>
      <c r="D40" s="1">
        <f>SUM(OSRRefD22_1x_0)</f>
        <v>3618.33</v>
      </c>
      <c r="E40" s="1"/>
      <c r="F40" s="5">
        <f t="shared" ref="F40:F50" si="22">IF(D$12=0,0,D40/D$12)</f>
        <v>127.58568406205924</v>
      </c>
      <c r="G40" s="1"/>
      <c r="H40" s="1">
        <f>SUM(OSRRefH22_1x_0)</f>
        <v>12983.024000000001</v>
      </c>
      <c r="I40" s="1"/>
      <c r="J40" s="5">
        <f t="shared" ref="J40:J50" si="23">IF(H$12=0,0,H40/H$12)</f>
        <v>0.34052047105725602</v>
      </c>
      <c r="K40" s="1"/>
      <c r="L40" s="1">
        <f t="shared" ref="L40:L50" si="24">+D40-H40</f>
        <v>-9364.6940000000013</v>
      </c>
      <c r="M40" s="1"/>
      <c r="N40" s="5">
        <f t="shared" ref="N40:N50" si="25">IF(H40=0,0,L40/H40)</f>
        <v>-0.72130298765526435</v>
      </c>
      <c r="O40" s="12"/>
      <c r="P40" s="1">
        <f>SUM(OSRRefP22_1x_0)</f>
        <v>111709.52</v>
      </c>
      <c r="Q40" s="1"/>
      <c r="R40" s="5">
        <f t="shared" ref="R40:R50" si="26">IF(P$12=0,0,P40/P$12)</f>
        <v>0.2252740683265981</v>
      </c>
      <c r="S40" s="1"/>
      <c r="T40" s="1">
        <f>SUM(OSRRefT22_1x_0)</f>
        <v>149643.25799999997</v>
      </c>
      <c r="U40" s="1"/>
      <c r="V40" s="5">
        <f t="shared" ref="V40:V50" si="27">IF(T$12=0,0,T40/T$12)</f>
        <v>0.24192080353981724</v>
      </c>
      <c r="W40" s="1"/>
      <c r="X40" s="1">
        <f t="shared" ref="X40:X50" si="28">+P40-T40</f>
        <v>-37933.737999999968</v>
      </c>
      <c r="Y40" s="1"/>
      <c r="Z40" s="5">
        <f t="shared" ref="Z40:Z50" si="29">IF(T40=0,0,X40/T40)</f>
        <v>-0.25349446748880577</v>
      </c>
    </row>
    <row r="41" spans="1:26" s="24" customFormat="1" hidden="1" outlineLevel="2" x14ac:dyDescent="0.25">
      <c r="A41" s="26"/>
      <c r="B41" s="11" t="str">
        <f>CONCATENATE("          ", "6001", " - ", "ADMINISTRATIVE SALARIES")</f>
        <v xml:space="preserve">          6001 - ADMINISTRATIVE SALARIES</v>
      </c>
      <c r="C41" s="11"/>
      <c r="D41" s="7"/>
      <c r="E41" s="2"/>
      <c r="F41" s="6">
        <f t="shared" si="22"/>
        <v>0</v>
      </c>
      <c r="G41" s="2"/>
      <c r="H41" s="7">
        <v>5287.8140000000003</v>
      </c>
      <c r="I41" s="2"/>
      <c r="J41" s="6">
        <f t="shared" si="23"/>
        <v>0.13868948514176307</v>
      </c>
      <c r="K41" s="2"/>
      <c r="L41" s="7">
        <f t="shared" si="24"/>
        <v>-5287.8140000000003</v>
      </c>
      <c r="M41" s="2"/>
      <c r="N41" s="6">
        <f t="shared" si="25"/>
        <v>-1</v>
      </c>
      <c r="O41" s="11"/>
      <c r="P41" s="7"/>
      <c r="Q41" s="2"/>
      <c r="R41" s="6">
        <f t="shared" si="26"/>
        <v>0</v>
      </c>
      <c r="S41" s="2"/>
      <c r="T41" s="7">
        <v>63453.767999999996</v>
      </c>
      <c r="U41" s="2"/>
      <c r="V41" s="6">
        <f t="shared" si="27"/>
        <v>0.10258254696773005</v>
      </c>
      <c r="W41" s="2"/>
      <c r="X41" s="7">
        <f t="shared" si="28"/>
        <v>-63453.767999999996</v>
      </c>
      <c r="Y41" s="2"/>
      <c r="Z41" s="6">
        <f t="shared" si="29"/>
        <v>-1</v>
      </c>
    </row>
    <row r="42" spans="1:26" s="24" customFormat="1" hidden="1" outlineLevel="2" x14ac:dyDescent="0.25">
      <c r="A42" s="26"/>
      <c r="B42" s="11" t="str">
        <f>CONCATENATE("          ", "6002", " - ", "STAFF SALARIES")</f>
        <v xml:space="preserve">          6002 - STAFF SALARIES</v>
      </c>
      <c r="C42" s="11"/>
      <c r="D42" s="7">
        <v>3618.33</v>
      </c>
      <c r="E42" s="2"/>
      <c r="F42" s="6">
        <f t="shared" si="22"/>
        <v>127.58568406205924</v>
      </c>
      <c r="G42" s="2"/>
      <c r="H42" s="7">
        <v>0</v>
      </c>
      <c r="I42" s="2"/>
      <c r="J42" s="6">
        <f t="shared" si="23"/>
        <v>0</v>
      </c>
      <c r="K42" s="2"/>
      <c r="L42" s="7">
        <f t="shared" si="24"/>
        <v>3618.33</v>
      </c>
      <c r="M42" s="2"/>
      <c r="N42" s="6">
        <f t="shared" si="25"/>
        <v>0</v>
      </c>
      <c r="O42" s="11"/>
      <c r="P42" s="7">
        <v>61685.560000000005</v>
      </c>
      <c r="Q42" s="2"/>
      <c r="R42" s="6">
        <f t="shared" si="26"/>
        <v>0.12439545938613349</v>
      </c>
      <c r="S42" s="2"/>
      <c r="T42" s="7">
        <v>0</v>
      </c>
      <c r="U42" s="2"/>
      <c r="V42" s="6">
        <f t="shared" si="27"/>
        <v>0</v>
      </c>
      <c r="W42" s="2"/>
      <c r="X42" s="7">
        <f t="shared" si="28"/>
        <v>61685.560000000005</v>
      </c>
      <c r="Y42" s="2"/>
      <c r="Z42" s="6">
        <f t="shared" si="29"/>
        <v>0</v>
      </c>
    </row>
    <row r="43" spans="1:26" s="24" customFormat="1" hidden="1" outlineLevel="2" x14ac:dyDescent="0.25">
      <c r="A43" s="26"/>
      <c r="B43" s="11" t="str">
        <f>CONCATENATE("          ", "6003", " - ", "STAFF HOURLY-9 MONTH")</f>
        <v xml:space="preserve">          6003 - STAFF HOURLY-9 MONTH</v>
      </c>
      <c r="C43" s="11"/>
      <c r="D43" s="7"/>
      <c r="E43" s="2"/>
      <c r="F43" s="6">
        <f t="shared" si="22"/>
        <v>0</v>
      </c>
      <c r="G43" s="2"/>
      <c r="H43" s="7">
        <v>0</v>
      </c>
      <c r="I43" s="2"/>
      <c r="J43" s="6">
        <f t="shared" si="23"/>
        <v>0</v>
      </c>
      <c r="K43" s="2"/>
      <c r="L43" s="7">
        <f t="shared" si="24"/>
        <v>0</v>
      </c>
      <c r="M43" s="2"/>
      <c r="N43" s="6">
        <f t="shared" si="25"/>
        <v>0</v>
      </c>
      <c r="O43" s="11"/>
      <c r="P43" s="7"/>
      <c r="Q43" s="2"/>
      <c r="R43" s="6">
        <f t="shared" si="26"/>
        <v>0</v>
      </c>
      <c r="S43" s="2"/>
      <c r="T43" s="7">
        <v>0</v>
      </c>
      <c r="U43" s="2"/>
      <c r="V43" s="6">
        <f t="shared" si="27"/>
        <v>0</v>
      </c>
      <c r="W43" s="2"/>
      <c r="X43" s="7">
        <f t="shared" si="28"/>
        <v>0</v>
      </c>
      <c r="Y43" s="2"/>
      <c r="Z43" s="6">
        <f t="shared" si="29"/>
        <v>0</v>
      </c>
    </row>
    <row r="44" spans="1:26" s="24" customFormat="1" hidden="1" outlineLevel="2" x14ac:dyDescent="0.25">
      <c r="A44" s="26"/>
      <c r="B44" s="11" t="str">
        <f>CONCATENATE("          ", "6004", " - ", "STAFF HOURLY")</f>
        <v xml:space="preserve">          6004 - STAFF HOURLY</v>
      </c>
      <c r="C44" s="11"/>
      <c r="D44" s="7"/>
      <c r="E44" s="2"/>
      <c r="F44" s="6">
        <f t="shared" si="22"/>
        <v>0</v>
      </c>
      <c r="G44" s="2"/>
      <c r="H44" s="7">
        <v>1792.2</v>
      </c>
      <c r="I44" s="2"/>
      <c r="J44" s="6">
        <f t="shared" si="23"/>
        <v>4.7006058698560074E-2</v>
      </c>
      <c r="K44" s="2"/>
      <c r="L44" s="7">
        <f t="shared" si="24"/>
        <v>-1792.2</v>
      </c>
      <c r="M44" s="2"/>
      <c r="N44" s="6">
        <f t="shared" si="25"/>
        <v>-1</v>
      </c>
      <c r="O44" s="11"/>
      <c r="P44" s="7">
        <v>-3618.33</v>
      </c>
      <c r="Q44" s="2"/>
      <c r="R44" s="6">
        <f t="shared" si="26"/>
        <v>-7.2967453413834349E-3</v>
      </c>
      <c r="S44" s="2"/>
      <c r="T44" s="7">
        <v>20254.95</v>
      </c>
      <c r="U44" s="2"/>
      <c r="V44" s="6">
        <f t="shared" si="27"/>
        <v>3.2745169045028562E-2</v>
      </c>
      <c r="W44" s="2"/>
      <c r="X44" s="7">
        <f t="shared" si="28"/>
        <v>-23873.279999999999</v>
      </c>
      <c r="Y44" s="2"/>
      <c r="Z44" s="6">
        <f t="shared" si="29"/>
        <v>-1.178639295579599</v>
      </c>
    </row>
    <row r="45" spans="1:26" s="24" customFormat="1" hidden="1" outlineLevel="2" x14ac:dyDescent="0.25">
      <c r="A45" s="26"/>
      <c r="B45" s="11" t="str">
        <f>CONCATENATE("          ", "6005", " - ", "TEMPORARY WAGES-HOURLY")</f>
        <v xml:space="preserve">          6005 - TEMPORARY WAGES-HOURLY</v>
      </c>
      <c r="C45" s="11"/>
      <c r="D45" s="7"/>
      <c r="E45" s="2"/>
      <c r="F45" s="6">
        <f t="shared" si="22"/>
        <v>0</v>
      </c>
      <c r="G45" s="2"/>
      <c r="H45" s="7">
        <v>0</v>
      </c>
      <c r="I45" s="2"/>
      <c r="J45" s="6">
        <f t="shared" si="23"/>
        <v>0</v>
      </c>
      <c r="K45" s="2"/>
      <c r="L45" s="7">
        <f t="shared" si="24"/>
        <v>0</v>
      </c>
      <c r="M45" s="2"/>
      <c r="N45" s="6">
        <f t="shared" si="25"/>
        <v>0</v>
      </c>
      <c r="O45" s="11"/>
      <c r="P45" s="7">
        <v>1174.26</v>
      </c>
      <c r="Q45" s="2"/>
      <c r="R45" s="6">
        <f t="shared" si="26"/>
        <v>2.3680195517194152E-3</v>
      </c>
      <c r="S45" s="2"/>
      <c r="T45" s="7">
        <v>0</v>
      </c>
      <c r="U45" s="2"/>
      <c r="V45" s="6">
        <f t="shared" si="27"/>
        <v>0</v>
      </c>
      <c r="W45" s="2"/>
      <c r="X45" s="7">
        <f t="shared" si="28"/>
        <v>1174.26</v>
      </c>
      <c r="Y45" s="2"/>
      <c r="Z45" s="6">
        <f t="shared" si="29"/>
        <v>0</v>
      </c>
    </row>
    <row r="46" spans="1:26" s="24" customFormat="1" hidden="1" outlineLevel="2" x14ac:dyDescent="0.25">
      <c r="A46" s="26"/>
      <c r="B46" s="11" t="str">
        <f>CONCATENATE("          ", "6006", " - ", "TEMPORARY PART TIME")</f>
        <v xml:space="preserve">          6006 - TEMPORARY PART TIME</v>
      </c>
      <c r="C46" s="11"/>
      <c r="D46" s="7"/>
      <c r="E46" s="2"/>
      <c r="F46" s="6">
        <f t="shared" si="22"/>
        <v>0</v>
      </c>
      <c r="G46" s="2"/>
      <c r="H46" s="7">
        <v>0</v>
      </c>
      <c r="I46" s="2"/>
      <c r="J46" s="6">
        <f t="shared" si="23"/>
        <v>0</v>
      </c>
      <c r="K46" s="2"/>
      <c r="L46" s="7">
        <f t="shared" si="24"/>
        <v>0</v>
      </c>
      <c r="M46" s="2"/>
      <c r="N46" s="6">
        <f t="shared" si="25"/>
        <v>0</v>
      </c>
      <c r="O46" s="11"/>
      <c r="P46" s="7">
        <v>4878.2700000000004</v>
      </c>
      <c r="Q46" s="2"/>
      <c r="R46" s="6">
        <f t="shared" si="26"/>
        <v>9.8375476798718119E-3</v>
      </c>
      <c r="S46" s="2"/>
      <c r="T46" s="7">
        <v>0</v>
      </c>
      <c r="U46" s="2"/>
      <c r="V46" s="6">
        <f t="shared" si="27"/>
        <v>0</v>
      </c>
      <c r="W46" s="2"/>
      <c r="X46" s="7">
        <f t="shared" si="28"/>
        <v>4878.2700000000004</v>
      </c>
      <c r="Y46" s="2"/>
      <c r="Z46" s="6">
        <f t="shared" si="29"/>
        <v>0</v>
      </c>
    </row>
    <row r="47" spans="1:26" s="24" customFormat="1" hidden="1" outlineLevel="2" x14ac:dyDescent="0.25">
      <c r="A47" s="26"/>
      <c r="B47" s="11" t="str">
        <f>CONCATENATE("          ", "6007", " - ", "STUDENT HOURLY")</f>
        <v xml:space="preserve">          6007 - STUDENT HOURLY</v>
      </c>
      <c r="C47" s="11"/>
      <c r="D47" s="7"/>
      <c r="E47" s="2"/>
      <c r="F47" s="6">
        <f t="shared" si="22"/>
        <v>0</v>
      </c>
      <c r="G47" s="2"/>
      <c r="H47" s="7">
        <v>0</v>
      </c>
      <c r="I47" s="2"/>
      <c r="J47" s="6">
        <f t="shared" si="23"/>
        <v>0</v>
      </c>
      <c r="K47" s="2"/>
      <c r="L47" s="7">
        <f t="shared" si="24"/>
        <v>0</v>
      </c>
      <c r="M47" s="2"/>
      <c r="N47" s="6">
        <f t="shared" si="25"/>
        <v>0</v>
      </c>
      <c r="O47" s="11"/>
      <c r="P47" s="7">
        <v>44034.28</v>
      </c>
      <c r="Q47" s="2"/>
      <c r="R47" s="6">
        <f t="shared" si="26"/>
        <v>8.8799785384742064E-2</v>
      </c>
      <c r="S47" s="2"/>
      <c r="T47" s="7">
        <v>2868.75</v>
      </c>
      <c r="U47" s="2"/>
      <c r="V47" s="6">
        <f t="shared" si="27"/>
        <v>4.6377652720903124E-3</v>
      </c>
      <c r="W47" s="2"/>
      <c r="X47" s="7">
        <f t="shared" si="28"/>
        <v>41165.53</v>
      </c>
      <c r="Y47" s="2"/>
      <c r="Z47" s="6">
        <f t="shared" si="29"/>
        <v>14.34964008714597</v>
      </c>
    </row>
    <row r="48" spans="1:26" s="24" customFormat="1" hidden="1" outlineLevel="2" x14ac:dyDescent="0.25">
      <c r="A48" s="26"/>
      <c r="B48" s="11" t="str">
        <f>CONCATENATE("          ", "6008", " - ", "STUDENT HOURLY-FICA EXEMPT")</f>
        <v xml:space="preserve">          6008 - STUDENT HOURLY-FICA EXEMPT</v>
      </c>
      <c r="C48" s="11"/>
      <c r="D48" s="7"/>
      <c r="E48" s="2"/>
      <c r="F48" s="6">
        <f t="shared" si="22"/>
        <v>0</v>
      </c>
      <c r="G48" s="2"/>
      <c r="H48" s="7">
        <v>5903.01</v>
      </c>
      <c r="I48" s="2"/>
      <c r="J48" s="6">
        <f t="shared" si="23"/>
        <v>0.15482492721693289</v>
      </c>
      <c r="K48" s="2"/>
      <c r="L48" s="7">
        <f t="shared" si="24"/>
        <v>-5903.01</v>
      </c>
      <c r="M48" s="2"/>
      <c r="N48" s="6">
        <f t="shared" si="25"/>
        <v>-1</v>
      </c>
      <c r="O48" s="11"/>
      <c r="P48" s="7">
        <v>3555.48</v>
      </c>
      <c r="Q48" s="2"/>
      <c r="R48" s="6">
        <f t="shared" si="26"/>
        <v>7.1700016655147471E-3</v>
      </c>
      <c r="S48" s="2"/>
      <c r="T48" s="7">
        <v>63065.789999999994</v>
      </c>
      <c r="U48" s="2"/>
      <c r="V48" s="6">
        <f t="shared" si="27"/>
        <v>0.10195532225496835</v>
      </c>
      <c r="W48" s="2"/>
      <c r="X48" s="7">
        <f t="shared" si="28"/>
        <v>-59510.30999999999</v>
      </c>
      <c r="Y48" s="2"/>
      <c r="Z48" s="6">
        <f t="shared" si="29"/>
        <v>-0.94362268354998802</v>
      </c>
    </row>
    <row r="49" spans="1:26" s="24" customFormat="1" hidden="1" outlineLevel="2" x14ac:dyDescent="0.25">
      <c r="A49" s="26"/>
      <c r="B49" s="11" t="str">
        <f>CONCATENATE("          ", "6009", " - ", "TEMPORARY-SEASONAL")</f>
        <v xml:space="preserve">          6009 - TEMPORARY-SEASONAL</v>
      </c>
      <c r="C49" s="11"/>
      <c r="D49" s="7"/>
      <c r="E49" s="2"/>
      <c r="F49" s="6">
        <f t="shared" si="22"/>
        <v>0</v>
      </c>
      <c r="G49" s="2"/>
      <c r="H49" s="7">
        <v>0</v>
      </c>
      <c r="I49" s="2"/>
      <c r="J49" s="6">
        <f t="shared" si="23"/>
        <v>0</v>
      </c>
      <c r="K49" s="2"/>
      <c r="L49" s="7">
        <f t="shared" si="24"/>
        <v>0</v>
      </c>
      <c r="M49" s="2"/>
      <c r="N49" s="6">
        <f t="shared" si="25"/>
        <v>0</v>
      </c>
      <c r="O49" s="11"/>
      <c r="P49" s="7"/>
      <c r="Q49" s="2"/>
      <c r="R49" s="6">
        <f t="shared" si="26"/>
        <v>0</v>
      </c>
      <c r="S49" s="2"/>
      <c r="T49" s="7">
        <v>0</v>
      </c>
      <c r="U49" s="2"/>
      <c r="V49" s="6">
        <f t="shared" si="27"/>
        <v>0</v>
      </c>
      <c r="W49" s="2"/>
      <c r="X49" s="7">
        <f t="shared" si="28"/>
        <v>0</v>
      </c>
      <c r="Y49" s="2"/>
      <c r="Z49" s="6">
        <f t="shared" si="29"/>
        <v>0</v>
      </c>
    </row>
    <row r="50" spans="1:26" s="24" customFormat="1" hidden="1" outlineLevel="2" x14ac:dyDescent="0.25">
      <c r="A50" s="26"/>
      <c r="B50" s="11" t="str">
        <f>CONCATENATE("          ", "6010", " - ", "GRATUITY")</f>
        <v xml:space="preserve">          6010 - GRATUITY</v>
      </c>
      <c r="C50" s="11"/>
      <c r="D50" s="7"/>
      <c r="E50" s="2"/>
      <c r="F50" s="6">
        <f t="shared" si="22"/>
        <v>0</v>
      </c>
      <c r="G50" s="2"/>
      <c r="H50" s="7">
        <v>0</v>
      </c>
      <c r="I50" s="2"/>
      <c r="J50" s="6">
        <f t="shared" si="23"/>
        <v>0</v>
      </c>
      <c r="K50" s="2"/>
      <c r="L50" s="7">
        <f t="shared" si="24"/>
        <v>0</v>
      </c>
      <c r="M50" s="2"/>
      <c r="N50" s="6">
        <f t="shared" si="25"/>
        <v>0</v>
      </c>
      <c r="O50" s="11"/>
      <c r="P50" s="7"/>
      <c r="Q50" s="2"/>
      <c r="R50" s="6">
        <f t="shared" si="26"/>
        <v>0</v>
      </c>
      <c r="S50" s="2"/>
      <c r="T50" s="7">
        <v>0</v>
      </c>
      <c r="U50" s="2"/>
      <c r="V50" s="6">
        <f t="shared" si="27"/>
        <v>0</v>
      </c>
      <c r="W50" s="2"/>
      <c r="X50" s="7">
        <f t="shared" si="28"/>
        <v>0</v>
      </c>
      <c r="Y50" s="2"/>
      <c r="Z50" s="6">
        <f t="shared" si="29"/>
        <v>0</v>
      </c>
    </row>
    <row r="51" spans="1:26" s="27" customFormat="1" outlineLevel="1" collapsed="1" x14ac:dyDescent="0.25">
      <c r="A51" s="25"/>
      <c r="B51" s="12" t="str">
        <f>CONCATENATE("     ","Advertising/Promo                                 ")</f>
        <v xml:space="preserve">     Advertising/Promo                                 </v>
      </c>
      <c r="C51" s="12"/>
      <c r="D51" s="1">
        <f>SUM(OSRRefD22_2x_0)</f>
        <v>0</v>
      </c>
      <c r="E51" s="1"/>
      <c r="F51" s="5">
        <f t="shared" ref="F51:F70" si="30">IF(D$12=0,0,D51/D$12)</f>
        <v>0</v>
      </c>
      <c r="G51" s="1"/>
      <c r="H51" s="1">
        <f>SUM(OSRRefH22_2x_0)</f>
        <v>0</v>
      </c>
      <c r="I51" s="1"/>
      <c r="J51" s="5">
        <f t="shared" ref="J51:J70" si="31">IF(H$12=0,0,H51/H$12)</f>
        <v>0</v>
      </c>
      <c r="K51" s="1"/>
      <c r="L51" s="1">
        <f t="shared" ref="L51:L70" si="32">+D51-H51</f>
        <v>0</v>
      </c>
      <c r="M51" s="1"/>
      <c r="N51" s="5">
        <f t="shared" ref="N51:N70" si="33">IF(H51=0,0,L51/H51)</f>
        <v>0</v>
      </c>
      <c r="O51" s="12"/>
      <c r="P51" s="1">
        <f>SUM(OSRRefP22_2x_0)</f>
        <v>1464.31</v>
      </c>
      <c r="Q51" s="1"/>
      <c r="R51" s="5">
        <f t="shared" ref="R51:R70" si="34">IF(P$12=0,0,P51/P$12)</f>
        <v>2.9529360701874008E-3</v>
      </c>
      <c r="S51" s="1"/>
      <c r="T51" s="1">
        <f>SUM(OSRRefT22_2x_0)</f>
        <v>0</v>
      </c>
      <c r="U51" s="1"/>
      <c r="V51" s="5">
        <f t="shared" ref="V51:V70" si="35">IF(T$12=0,0,T51/T$12)</f>
        <v>0</v>
      </c>
      <c r="W51" s="1"/>
      <c r="X51" s="1">
        <f t="shared" ref="X51:X70" si="36">+P51-T51</f>
        <v>1464.31</v>
      </c>
      <c r="Y51" s="1"/>
      <c r="Z51" s="5">
        <f t="shared" ref="Z51:Z70" si="37">IF(T51=0,0,X51/T51)</f>
        <v>0</v>
      </c>
    </row>
    <row r="52" spans="1:26" s="24" customFormat="1" hidden="1" outlineLevel="2" x14ac:dyDescent="0.25">
      <c r="A52" s="26"/>
      <c r="B52" s="11" t="str">
        <f>CONCATENATE("          ", "6362", " - ", "ADVERTISING EXPENSE")</f>
        <v xml:space="preserve">          6362 - ADVERTISING EXPENSE</v>
      </c>
      <c r="C52" s="11"/>
      <c r="D52" s="7"/>
      <c r="E52" s="2"/>
      <c r="F52" s="6">
        <f t="shared" si="30"/>
        <v>0</v>
      </c>
      <c r="G52" s="2"/>
      <c r="H52" s="7">
        <v>0</v>
      </c>
      <c r="I52" s="2"/>
      <c r="J52" s="6">
        <f t="shared" si="31"/>
        <v>0</v>
      </c>
      <c r="K52" s="2"/>
      <c r="L52" s="7">
        <f t="shared" si="32"/>
        <v>0</v>
      </c>
      <c r="M52" s="2"/>
      <c r="N52" s="6">
        <f t="shared" si="33"/>
        <v>0</v>
      </c>
      <c r="O52" s="11"/>
      <c r="P52" s="7">
        <v>1464.31</v>
      </c>
      <c r="Q52" s="2"/>
      <c r="R52" s="6">
        <f t="shared" si="34"/>
        <v>2.9529360701874008E-3</v>
      </c>
      <c r="S52" s="2"/>
      <c r="T52" s="7">
        <v>0</v>
      </c>
      <c r="U52" s="2"/>
      <c r="V52" s="6">
        <f t="shared" si="35"/>
        <v>0</v>
      </c>
      <c r="W52" s="2"/>
      <c r="X52" s="7">
        <f t="shared" si="36"/>
        <v>1464.31</v>
      </c>
      <c r="Y52" s="2"/>
      <c r="Z52" s="6">
        <f t="shared" si="37"/>
        <v>0</v>
      </c>
    </row>
    <row r="53" spans="1:26" s="27" customFormat="1" outlineLevel="1" collapsed="1" x14ac:dyDescent="0.25">
      <c r="A53" s="25"/>
      <c r="B53" s="12" t="str">
        <f>CONCATENATE("     ","Bad Debts/Over/Short                              ")</f>
        <v xml:space="preserve">     Bad Debts/Over/Short                              </v>
      </c>
      <c r="C53" s="12"/>
      <c r="D53" s="1">
        <f>SUM(OSRRefD22_3x_0)</f>
        <v>0</v>
      </c>
      <c r="E53" s="1"/>
      <c r="F53" s="5">
        <f t="shared" si="30"/>
        <v>0</v>
      </c>
      <c r="G53" s="1"/>
      <c r="H53" s="1">
        <f>SUM(OSRRefH22_3x_0)</f>
        <v>0</v>
      </c>
      <c r="I53" s="1"/>
      <c r="J53" s="5">
        <f t="shared" si="31"/>
        <v>0</v>
      </c>
      <c r="K53" s="1"/>
      <c r="L53" s="1">
        <f t="shared" si="32"/>
        <v>0</v>
      </c>
      <c r="M53" s="1"/>
      <c r="N53" s="5">
        <f t="shared" si="33"/>
        <v>0</v>
      </c>
      <c r="O53" s="12"/>
      <c r="P53" s="1">
        <f>SUM(OSRRefP22_3x_0)</f>
        <v>-198.56</v>
      </c>
      <c r="Q53" s="1"/>
      <c r="R53" s="5">
        <f t="shared" si="34"/>
        <v>-4.0041725187727346E-4</v>
      </c>
      <c r="S53" s="1"/>
      <c r="T53" s="1">
        <f>SUM(OSRRefT22_3x_0)</f>
        <v>0</v>
      </c>
      <c r="U53" s="1"/>
      <c r="V53" s="5">
        <f t="shared" si="35"/>
        <v>0</v>
      </c>
      <c r="W53" s="1"/>
      <c r="X53" s="1">
        <f t="shared" si="36"/>
        <v>-198.56</v>
      </c>
      <c r="Y53" s="1"/>
      <c r="Z53" s="5">
        <f t="shared" si="37"/>
        <v>0</v>
      </c>
    </row>
    <row r="54" spans="1:26" s="24" customFormat="1" hidden="1" outlineLevel="2" x14ac:dyDescent="0.25">
      <c r="A54" s="26"/>
      <c r="B54" s="11" t="str">
        <f>CONCATENATE("          ", "6272", " - ", "CASH (OVER/SHORT)")</f>
        <v xml:space="preserve">          6272 - CASH (OVER/SHORT)</v>
      </c>
      <c r="C54" s="11"/>
      <c r="D54" s="7"/>
      <c r="E54" s="2"/>
      <c r="F54" s="6">
        <f t="shared" si="30"/>
        <v>0</v>
      </c>
      <c r="G54" s="2"/>
      <c r="H54" s="7">
        <v>0</v>
      </c>
      <c r="I54" s="2"/>
      <c r="J54" s="6">
        <f t="shared" si="31"/>
        <v>0</v>
      </c>
      <c r="K54" s="2"/>
      <c r="L54" s="7">
        <f t="shared" si="32"/>
        <v>0</v>
      </c>
      <c r="M54" s="2"/>
      <c r="N54" s="6">
        <f t="shared" si="33"/>
        <v>0</v>
      </c>
      <c r="O54" s="11"/>
      <c r="P54" s="7">
        <v>-198.56</v>
      </c>
      <c r="Q54" s="2"/>
      <c r="R54" s="6">
        <f t="shared" si="34"/>
        <v>-4.0041725187727346E-4</v>
      </c>
      <c r="S54" s="2"/>
      <c r="T54" s="7">
        <v>0</v>
      </c>
      <c r="U54" s="2"/>
      <c r="V54" s="6">
        <f t="shared" si="35"/>
        <v>0</v>
      </c>
      <c r="W54" s="2"/>
      <c r="X54" s="7">
        <f t="shared" si="36"/>
        <v>-198.56</v>
      </c>
      <c r="Y54" s="2"/>
      <c r="Z54" s="6">
        <f t="shared" si="37"/>
        <v>0</v>
      </c>
    </row>
    <row r="55" spans="1:26" s="27" customFormat="1" outlineLevel="1" collapsed="1" x14ac:dyDescent="0.25">
      <c r="A55" s="25"/>
      <c r="B55" s="12" t="str">
        <f>CONCATENATE("     ","Bank/card Fees                                    ")</f>
        <v xml:space="preserve">     Bank/card Fees                                    </v>
      </c>
      <c r="C55" s="12"/>
      <c r="D55" s="1">
        <f>SUM(OSRRefD22_4x_0)</f>
        <v>60</v>
      </c>
      <c r="E55" s="1"/>
      <c r="F55" s="5">
        <f t="shared" si="30"/>
        <v>2.1156558533145278</v>
      </c>
      <c r="G55" s="1"/>
      <c r="H55" s="1">
        <f>SUM(OSRRefH22_4x_0)</f>
        <v>1208</v>
      </c>
      <c r="I55" s="1"/>
      <c r="J55" s="5">
        <f t="shared" si="31"/>
        <v>3.1683583811996749E-2</v>
      </c>
      <c r="K55" s="1"/>
      <c r="L55" s="1">
        <f t="shared" si="32"/>
        <v>-1148</v>
      </c>
      <c r="M55" s="1"/>
      <c r="N55" s="5">
        <f t="shared" si="33"/>
        <v>-0.95033112582781454</v>
      </c>
      <c r="O55" s="12"/>
      <c r="P55" s="1">
        <f>SUM(OSRRefP22_4x_0)</f>
        <v>18193.439999999999</v>
      </c>
      <c r="Q55" s="1"/>
      <c r="R55" s="5">
        <f t="shared" si="34"/>
        <v>3.668899701346727E-2</v>
      </c>
      <c r="S55" s="1"/>
      <c r="T55" s="1">
        <f>SUM(OSRRefT22_4x_0)</f>
        <v>19603</v>
      </c>
      <c r="U55" s="1"/>
      <c r="V55" s="5">
        <f t="shared" si="35"/>
        <v>3.1691193944674997E-2</v>
      </c>
      <c r="W55" s="1"/>
      <c r="X55" s="1">
        <f t="shared" si="36"/>
        <v>-1409.5600000000013</v>
      </c>
      <c r="Y55" s="1"/>
      <c r="Z55" s="5">
        <f t="shared" si="37"/>
        <v>-7.1905320614191776E-2</v>
      </c>
    </row>
    <row r="56" spans="1:26" s="24" customFormat="1" hidden="1" outlineLevel="2" x14ac:dyDescent="0.25">
      <c r="A56" s="26"/>
      <c r="B56" s="11" t="str">
        <f>CONCATENATE("          ", "6381", " - ", "BANK/CREDIT CARD FEES")</f>
        <v xml:space="preserve">          6381 - BANK/CREDIT CARD FEES</v>
      </c>
      <c r="C56" s="11"/>
      <c r="D56" s="7">
        <v>60</v>
      </c>
      <c r="E56" s="2"/>
      <c r="F56" s="6">
        <f t="shared" si="30"/>
        <v>2.1156558533145278</v>
      </c>
      <c r="G56" s="2"/>
      <c r="H56" s="7">
        <v>1208</v>
      </c>
      <c r="I56" s="2"/>
      <c r="J56" s="6">
        <f t="shared" si="31"/>
        <v>3.1683583811996749E-2</v>
      </c>
      <c r="K56" s="2"/>
      <c r="L56" s="7">
        <f t="shared" si="32"/>
        <v>-1148</v>
      </c>
      <c r="M56" s="2"/>
      <c r="N56" s="6">
        <f t="shared" si="33"/>
        <v>-0.95033112582781454</v>
      </c>
      <c r="O56" s="11"/>
      <c r="P56" s="7">
        <v>18193.439999999999</v>
      </c>
      <c r="Q56" s="2"/>
      <c r="R56" s="6">
        <f t="shared" si="34"/>
        <v>3.668899701346727E-2</v>
      </c>
      <c r="S56" s="2"/>
      <c r="T56" s="7">
        <v>19603</v>
      </c>
      <c r="U56" s="2"/>
      <c r="V56" s="6">
        <f t="shared" si="35"/>
        <v>3.1691193944674997E-2</v>
      </c>
      <c r="W56" s="2"/>
      <c r="X56" s="7">
        <f t="shared" si="36"/>
        <v>-1409.5600000000013</v>
      </c>
      <c r="Y56" s="2"/>
      <c r="Z56" s="6">
        <f t="shared" si="37"/>
        <v>-7.1905320614191776E-2</v>
      </c>
    </row>
    <row r="57" spans="1:26" s="27" customFormat="1" outlineLevel="1" collapsed="1" x14ac:dyDescent="0.25">
      <c r="A57" s="25"/>
      <c r="B57" s="12" t="str">
        <f>CONCATENATE("     ","Depreciation                                      ")</f>
        <v xml:space="preserve">     Depreciation                                      </v>
      </c>
      <c r="C57" s="12"/>
      <c r="D57" s="1">
        <f>SUM(OSRRefD22_5x_0)</f>
        <v>0</v>
      </c>
      <c r="E57" s="1"/>
      <c r="F57" s="5">
        <f t="shared" si="30"/>
        <v>0</v>
      </c>
      <c r="G57" s="1"/>
      <c r="H57" s="1">
        <f>SUM(OSRRefH22_5x_0)</f>
        <v>65</v>
      </c>
      <c r="I57" s="1"/>
      <c r="J57" s="5">
        <f t="shared" si="31"/>
        <v>1.7048285991554542E-3</v>
      </c>
      <c r="K57" s="1"/>
      <c r="L57" s="1">
        <f t="shared" si="32"/>
        <v>-65</v>
      </c>
      <c r="M57" s="1"/>
      <c r="N57" s="5">
        <f t="shared" si="33"/>
        <v>-1</v>
      </c>
      <c r="O57" s="12"/>
      <c r="P57" s="1">
        <f>SUM(OSRRefP22_5x_0)</f>
        <v>0</v>
      </c>
      <c r="Q57" s="1"/>
      <c r="R57" s="5">
        <f t="shared" si="34"/>
        <v>0</v>
      </c>
      <c r="S57" s="1"/>
      <c r="T57" s="1">
        <f>SUM(OSRRefT22_5x_0)</f>
        <v>520</v>
      </c>
      <c r="U57" s="1"/>
      <c r="V57" s="5">
        <f t="shared" si="35"/>
        <v>8.4065810596495425E-4</v>
      </c>
      <c r="W57" s="1"/>
      <c r="X57" s="1">
        <f t="shared" si="36"/>
        <v>-520</v>
      </c>
      <c r="Y57" s="1"/>
      <c r="Z57" s="5">
        <f t="shared" si="37"/>
        <v>-1</v>
      </c>
    </row>
    <row r="58" spans="1:26" s="24" customFormat="1" hidden="1" outlineLevel="2" x14ac:dyDescent="0.25">
      <c r="A58" s="26"/>
      <c r="B58" s="11" t="str">
        <f>CONCATENATE("          ", "6324", " - ", "FURNITURE + FIXT DEPRECIATION")</f>
        <v xml:space="preserve">          6324 - FURNITURE + FIXT DEPRECIATION</v>
      </c>
      <c r="C58" s="11"/>
      <c r="D58" s="7"/>
      <c r="E58" s="2"/>
      <c r="F58" s="6">
        <f t="shared" si="30"/>
        <v>0</v>
      </c>
      <c r="G58" s="2"/>
      <c r="H58" s="7">
        <v>65</v>
      </c>
      <c r="I58" s="2"/>
      <c r="J58" s="6">
        <f t="shared" si="31"/>
        <v>1.7048285991554542E-3</v>
      </c>
      <c r="K58" s="2"/>
      <c r="L58" s="7">
        <f t="shared" si="32"/>
        <v>-65</v>
      </c>
      <c r="M58" s="2"/>
      <c r="N58" s="6">
        <f t="shared" si="33"/>
        <v>-1</v>
      </c>
      <c r="O58" s="11"/>
      <c r="P58" s="7"/>
      <c r="Q58" s="2"/>
      <c r="R58" s="6">
        <f t="shared" si="34"/>
        <v>0</v>
      </c>
      <c r="S58" s="2"/>
      <c r="T58" s="7">
        <v>520</v>
      </c>
      <c r="U58" s="2"/>
      <c r="V58" s="6">
        <f t="shared" si="35"/>
        <v>8.4065810596495425E-4</v>
      </c>
      <c r="W58" s="2"/>
      <c r="X58" s="7">
        <f t="shared" si="36"/>
        <v>-520</v>
      </c>
      <c r="Y58" s="2"/>
      <c r="Z58" s="6">
        <f t="shared" si="37"/>
        <v>-1</v>
      </c>
    </row>
    <row r="59" spans="1:26" s="27" customFormat="1" outlineLevel="1" collapsed="1" x14ac:dyDescent="0.25">
      <c r="A59" s="25"/>
      <c r="B59" s="12" t="str">
        <f>CONCATENATE("     ","Discounts and Markdowns                           ")</f>
        <v xml:space="preserve">     Discounts and Markdowns                           </v>
      </c>
      <c r="C59" s="12"/>
      <c r="D59" s="1">
        <f>SUM(OSRRefD22_6x_0)</f>
        <v>0</v>
      </c>
      <c r="E59" s="1"/>
      <c r="F59" s="5">
        <f t="shared" si="30"/>
        <v>0</v>
      </c>
      <c r="G59" s="1"/>
      <c r="H59" s="1">
        <f>SUM(OSRRefH22_6x_0)</f>
        <v>0</v>
      </c>
      <c r="I59" s="1"/>
      <c r="J59" s="5">
        <f t="shared" si="31"/>
        <v>0</v>
      </c>
      <c r="K59" s="1"/>
      <c r="L59" s="1">
        <f t="shared" si="32"/>
        <v>0</v>
      </c>
      <c r="M59" s="1"/>
      <c r="N59" s="5">
        <f t="shared" si="33"/>
        <v>0</v>
      </c>
      <c r="O59" s="12"/>
      <c r="P59" s="1">
        <f>SUM(OSRRefP22_6x_0)</f>
        <v>125.87</v>
      </c>
      <c r="Q59" s="1"/>
      <c r="R59" s="5">
        <f t="shared" si="34"/>
        <v>2.5383017472699641E-4</v>
      </c>
      <c r="S59" s="1"/>
      <c r="T59" s="1">
        <f>SUM(OSRRefT22_6x_0)</f>
        <v>0</v>
      </c>
      <c r="U59" s="1"/>
      <c r="V59" s="5">
        <f t="shared" si="35"/>
        <v>0</v>
      </c>
      <c r="W59" s="1"/>
      <c r="X59" s="1">
        <f t="shared" si="36"/>
        <v>125.87</v>
      </c>
      <c r="Y59" s="1"/>
      <c r="Z59" s="5">
        <f t="shared" si="37"/>
        <v>0</v>
      </c>
    </row>
    <row r="60" spans="1:26" s="24" customFormat="1" hidden="1" outlineLevel="2" x14ac:dyDescent="0.25">
      <c r="A60" s="26"/>
      <c r="B60" s="11" t="str">
        <f>CONCATENATE("          ", "6382", " - ", "DISCOUNTS/MARK DOWNS")</f>
        <v xml:space="preserve">          6382 - DISCOUNTS/MARK DOWNS</v>
      </c>
      <c r="C60" s="11"/>
      <c r="D60" s="7"/>
      <c r="E60" s="2"/>
      <c r="F60" s="6">
        <f t="shared" si="30"/>
        <v>0</v>
      </c>
      <c r="G60" s="2"/>
      <c r="H60" s="7"/>
      <c r="I60" s="2"/>
      <c r="J60" s="6">
        <f t="shared" si="31"/>
        <v>0</v>
      </c>
      <c r="K60" s="2"/>
      <c r="L60" s="7">
        <f t="shared" si="32"/>
        <v>0</v>
      </c>
      <c r="M60" s="2"/>
      <c r="N60" s="6">
        <f t="shared" si="33"/>
        <v>0</v>
      </c>
      <c r="O60" s="11"/>
      <c r="P60" s="7">
        <v>125.87</v>
      </c>
      <c r="Q60" s="2"/>
      <c r="R60" s="6">
        <f t="shared" si="34"/>
        <v>2.5383017472699641E-4</v>
      </c>
      <c r="S60" s="2"/>
      <c r="T60" s="7"/>
      <c r="U60" s="2"/>
      <c r="V60" s="6">
        <f t="shared" si="35"/>
        <v>0</v>
      </c>
      <c r="W60" s="2"/>
      <c r="X60" s="7">
        <f t="shared" si="36"/>
        <v>125.87</v>
      </c>
      <c r="Y60" s="2"/>
      <c r="Z60" s="6">
        <f t="shared" si="37"/>
        <v>0</v>
      </c>
    </row>
    <row r="61" spans="1:26" s="27" customFormat="1" outlineLevel="1" collapsed="1" x14ac:dyDescent="0.25">
      <c r="A61" s="25"/>
      <c r="B61" s="12" t="str">
        <f>CONCATENATE("     ","Employees' Appreciation                           ")</f>
        <v xml:space="preserve">     Employees' Appreciation                           </v>
      </c>
      <c r="C61" s="12"/>
      <c r="D61" s="1">
        <f>SUM(OSRRefD22_7x_0)</f>
        <v>0</v>
      </c>
      <c r="E61" s="1"/>
      <c r="F61" s="5">
        <f t="shared" si="30"/>
        <v>0</v>
      </c>
      <c r="G61" s="1"/>
      <c r="H61" s="1">
        <f>SUM(OSRRefH22_7x_0)</f>
        <v>0</v>
      </c>
      <c r="I61" s="1"/>
      <c r="J61" s="5">
        <f t="shared" si="31"/>
        <v>0</v>
      </c>
      <c r="K61" s="1"/>
      <c r="L61" s="1">
        <f t="shared" si="32"/>
        <v>0</v>
      </c>
      <c r="M61" s="1"/>
      <c r="N61" s="5">
        <f t="shared" si="33"/>
        <v>0</v>
      </c>
      <c r="O61" s="12"/>
      <c r="P61" s="1">
        <f>SUM(OSRRefP22_7x_0)</f>
        <v>0</v>
      </c>
      <c r="Q61" s="1"/>
      <c r="R61" s="5">
        <f t="shared" si="34"/>
        <v>0</v>
      </c>
      <c r="S61" s="1"/>
      <c r="T61" s="1">
        <f>SUM(OSRRefT22_7x_0)</f>
        <v>0</v>
      </c>
      <c r="U61" s="1"/>
      <c r="V61" s="5">
        <f t="shared" si="35"/>
        <v>0</v>
      </c>
      <c r="W61" s="1"/>
      <c r="X61" s="1">
        <f t="shared" si="36"/>
        <v>0</v>
      </c>
      <c r="Y61" s="1"/>
      <c r="Z61" s="5">
        <f t="shared" si="37"/>
        <v>0</v>
      </c>
    </row>
    <row r="62" spans="1:26" s="24" customFormat="1" hidden="1" outlineLevel="2" x14ac:dyDescent="0.25">
      <c r="A62" s="26"/>
      <c r="B62" s="11" t="str">
        <f>CONCATENATE("          ", "6277", " - ", "EMPLOYEE APPRECIATION")</f>
        <v xml:space="preserve">          6277 - EMPLOYEE APPRECIATION</v>
      </c>
      <c r="C62" s="11"/>
      <c r="D62" s="7"/>
      <c r="E62" s="2"/>
      <c r="F62" s="6">
        <f t="shared" si="30"/>
        <v>0</v>
      </c>
      <c r="G62" s="2"/>
      <c r="H62" s="7">
        <v>0</v>
      </c>
      <c r="I62" s="2"/>
      <c r="J62" s="6">
        <f t="shared" si="31"/>
        <v>0</v>
      </c>
      <c r="K62" s="2"/>
      <c r="L62" s="7">
        <f t="shared" si="32"/>
        <v>0</v>
      </c>
      <c r="M62" s="2"/>
      <c r="N62" s="6">
        <f t="shared" si="33"/>
        <v>0</v>
      </c>
      <c r="O62" s="11"/>
      <c r="P62" s="7"/>
      <c r="Q62" s="2"/>
      <c r="R62" s="6">
        <f t="shared" si="34"/>
        <v>0</v>
      </c>
      <c r="S62" s="2"/>
      <c r="T62" s="7">
        <v>0</v>
      </c>
      <c r="U62" s="2"/>
      <c r="V62" s="6">
        <f t="shared" si="35"/>
        <v>0</v>
      </c>
      <c r="W62" s="2"/>
      <c r="X62" s="7">
        <f t="shared" si="36"/>
        <v>0</v>
      </c>
      <c r="Y62" s="2"/>
      <c r="Z62" s="6">
        <f t="shared" si="37"/>
        <v>0</v>
      </c>
    </row>
    <row r="63" spans="1:26" s="27" customFormat="1" outlineLevel="1" collapsed="1" x14ac:dyDescent="0.25">
      <c r="A63" s="25"/>
      <c r="B63" s="12" t="str">
        <f>CONCATENATE("     ","Freight out/Postage                               ")</f>
        <v xml:space="preserve">     Freight out/Postage                               </v>
      </c>
      <c r="C63" s="12"/>
      <c r="D63" s="1">
        <f>SUM(OSRRefD22_8x_0)</f>
        <v>0</v>
      </c>
      <c r="E63" s="1"/>
      <c r="F63" s="5">
        <f t="shared" si="30"/>
        <v>0</v>
      </c>
      <c r="G63" s="1"/>
      <c r="H63" s="1">
        <f>SUM(OSRRefH22_8x_0)</f>
        <v>0</v>
      </c>
      <c r="I63" s="1"/>
      <c r="J63" s="5">
        <f t="shared" si="31"/>
        <v>0</v>
      </c>
      <c r="K63" s="1"/>
      <c r="L63" s="1">
        <f t="shared" si="32"/>
        <v>0</v>
      </c>
      <c r="M63" s="1"/>
      <c r="N63" s="5">
        <f t="shared" si="33"/>
        <v>0</v>
      </c>
      <c r="O63" s="12"/>
      <c r="P63" s="1">
        <f>SUM(OSRRefP22_8x_0)</f>
        <v>331.18</v>
      </c>
      <c r="Q63" s="1"/>
      <c r="R63" s="5">
        <f t="shared" si="34"/>
        <v>6.6785951589804307E-4</v>
      </c>
      <c r="S63" s="1"/>
      <c r="T63" s="1">
        <f>SUM(OSRRefT22_8x_0)</f>
        <v>0</v>
      </c>
      <c r="U63" s="1"/>
      <c r="V63" s="5">
        <f t="shared" si="35"/>
        <v>0</v>
      </c>
      <c r="W63" s="1"/>
      <c r="X63" s="1">
        <f t="shared" si="36"/>
        <v>331.18</v>
      </c>
      <c r="Y63" s="1"/>
      <c r="Z63" s="5">
        <f t="shared" si="37"/>
        <v>0</v>
      </c>
    </row>
    <row r="64" spans="1:26" s="24" customFormat="1" hidden="1" outlineLevel="2" x14ac:dyDescent="0.25">
      <c r="A64" s="26"/>
      <c r="B64" s="11" t="str">
        <f>CONCATENATE("          ", "6305", " - ", "FREIGHT OUT")</f>
        <v xml:space="preserve">          6305 - FREIGHT OUT</v>
      </c>
      <c r="C64" s="11"/>
      <c r="D64" s="7"/>
      <c r="E64" s="2"/>
      <c r="F64" s="6">
        <f t="shared" si="30"/>
        <v>0</v>
      </c>
      <c r="G64" s="2"/>
      <c r="H64" s="7"/>
      <c r="I64" s="2"/>
      <c r="J64" s="6">
        <f t="shared" si="31"/>
        <v>0</v>
      </c>
      <c r="K64" s="2"/>
      <c r="L64" s="7">
        <f t="shared" si="32"/>
        <v>0</v>
      </c>
      <c r="M64" s="2"/>
      <c r="N64" s="6">
        <f t="shared" si="33"/>
        <v>0</v>
      </c>
      <c r="O64" s="11"/>
      <c r="P64" s="7">
        <v>331.18</v>
      </c>
      <c r="Q64" s="2"/>
      <c r="R64" s="6">
        <f t="shared" si="34"/>
        <v>6.6785951589804307E-4</v>
      </c>
      <c r="S64" s="2"/>
      <c r="T64" s="7"/>
      <c r="U64" s="2"/>
      <c r="V64" s="6">
        <f t="shared" si="35"/>
        <v>0</v>
      </c>
      <c r="W64" s="2"/>
      <c r="X64" s="7">
        <f t="shared" si="36"/>
        <v>331.18</v>
      </c>
      <c r="Y64" s="2"/>
      <c r="Z64" s="6">
        <f t="shared" si="37"/>
        <v>0</v>
      </c>
    </row>
    <row r="65" spans="1:26" s="27" customFormat="1" outlineLevel="1" collapsed="1" x14ac:dyDescent="0.25">
      <c r="A65" s="25"/>
      <c r="B65" s="12" t="str">
        <f>CONCATENATE("     ","General                                           ")</f>
        <v xml:space="preserve">     General                                           </v>
      </c>
      <c r="C65" s="12"/>
      <c r="D65" s="1">
        <f>SUM(OSRRefD22_9x_0)</f>
        <v>0</v>
      </c>
      <c r="E65" s="1"/>
      <c r="F65" s="5">
        <f t="shared" si="30"/>
        <v>0</v>
      </c>
      <c r="G65" s="1"/>
      <c r="H65" s="1">
        <f>SUM(OSRRefH22_9x_0)</f>
        <v>113</v>
      </c>
      <c r="I65" s="1"/>
      <c r="J65" s="5">
        <f t="shared" si="31"/>
        <v>2.9637789493010204E-3</v>
      </c>
      <c r="K65" s="1"/>
      <c r="L65" s="1">
        <f t="shared" si="32"/>
        <v>-113</v>
      </c>
      <c r="M65" s="1"/>
      <c r="N65" s="5">
        <f t="shared" si="33"/>
        <v>-1</v>
      </c>
      <c r="O65" s="12"/>
      <c r="P65" s="1">
        <f>SUM(OSRRefP22_9x_0)</f>
        <v>1192.3499999999999</v>
      </c>
      <c r="Q65" s="1"/>
      <c r="R65" s="5">
        <f t="shared" si="34"/>
        <v>2.4044999510267275E-3</v>
      </c>
      <c r="S65" s="1"/>
      <c r="T65" s="1">
        <f>SUM(OSRRefT22_9x_0)</f>
        <v>1837</v>
      </c>
      <c r="U65" s="1"/>
      <c r="V65" s="5">
        <f t="shared" si="35"/>
        <v>2.9697864243415787E-3</v>
      </c>
      <c r="W65" s="1"/>
      <c r="X65" s="1">
        <f t="shared" si="36"/>
        <v>-644.65000000000009</v>
      </c>
      <c r="Y65" s="1"/>
      <c r="Z65" s="5">
        <f t="shared" si="37"/>
        <v>-0.35092542188350578</v>
      </c>
    </row>
    <row r="66" spans="1:26" s="24" customFormat="1" hidden="1" outlineLevel="2" x14ac:dyDescent="0.25">
      <c r="A66" s="26"/>
      <c r="B66" s="11" t="str">
        <f>CONCATENATE("          ", "6279", " - ", "GENERAL EXPENSE")</f>
        <v xml:space="preserve">          6279 - GENERAL EXPENSE</v>
      </c>
      <c r="C66" s="11"/>
      <c r="D66" s="7"/>
      <c r="E66" s="2"/>
      <c r="F66" s="6">
        <f t="shared" si="30"/>
        <v>0</v>
      </c>
      <c r="G66" s="2"/>
      <c r="H66" s="7">
        <v>113</v>
      </c>
      <c r="I66" s="2"/>
      <c r="J66" s="6">
        <f t="shared" si="31"/>
        <v>2.9637789493010204E-3</v>
      </c>
      <c r="K66" s="2"/>
      <c r="L66" s="7">
        <f t="shared" si="32"/>
        <v>-113</v>
      </c>
      <c r="M66" s="2"/>
      <c r="N66" s="6">
        <f t="shared" si="33"/>
        <v>-1</v>
      </c>
      <c r="O66" s="11"/>
      <c r="P66" s="7">
        <v>1192.3499999999999</v>
      </c>
      <c r="Q66" s="2"/>
      <c r="R66" s="6">
        <f t="shared" si="34"/>
        <v>2.4044999510267275E-3</v>
      </c>
      <c r="S66" s="2"/>
      <c r="T66" s="7">
        <v>1837</v>
      </c>
      <c r="U66" s="2"/>
      <c r="V66" s="6">
        <f t="shared" si="35"/>
        <v>2.9697864243415787E-3</v>
      </c>
      <c r="W66" s="2"/>
      <c r="X66" s="7">
        <f t="shared" si="36"/>
        <v>-644.65000000000009</v>
      </c>
      <c r="Y66" s="2"/>
      <c r="Z66" s="6">
        <f t="shared" si="37"/>
        <v>-0.35092542188350578</v>
      </c>
    </row>
    <row r="67" spans="1:26" s="27" customFormat="1" outlineLevel="1" collapsed="1" x14ac:dyDescent="0.25">
      <c r="A67" s="25"/>
      <c r="B67" s="12" t="str">
        <f>CONCATENATE("     ","Repair and Maintenance                            ")</f>
        <v xml:space="preserve">     Repair and Maintenance                            </v>
      </c>
      <c r="C67" s="12"/>
      <c r="D67" s="1">
        <f>SUM(OSRRefD22_10x_0)</f>
        <v>0</v>
      </c>
      <c r="E67" s="1"/>
      <c r="F67" s="5">
        <f t="shared" si="30"/>
        <v>0</v>
      </c>
      <c r="G67" s="1"/>
      <c r="H67" s="1">
        <f>SUM(OSRRefH22_10x_0)</f>
        <v>38</v>
      </c>
      <c r="I67" s="1"/>
      <c r="J67" s="5">
        <f t="shared" si="31"/>
        <v>9.966690271985732E-4</v>
      </c>
      <c r="K67" s="1"/>
      <c r="L67" s="1">
        <f t="shared" si="32"/>
        <v>-38</v>
      </c>
      <c r="M67" s="1"/>
      <c r="N67" s="5">
        <f t="shared" si="33"/>
        <v>-1</v>
      </c>
      <c r="O67" s="12"/>
      <c r="P67" s="1">
        <f>SUM(OSRRefP22_10x_0)</f>
        <v>1088.6200000000001</v>
      </c>
      <c r="Q67" s="1"/>
      <c r="R67" s="5">
        <f t="shared" si="34"/>
        <v>2.195317429183307E-3</v>
      </c>
      <c r="S67" s="1"/>
      <c r="T67" s="1">
        <f>SUM(OSRRefT22_10x_0)</f>
        <v>612</v>
      </c>
      <c r="U67" s="1"/>
      <c r="V67" s="5">
        <f t="shared" si="35"/>
        <v>9.8938992471259992E-4</v>
      </c>
      <c r="W67" s="1"/>
      <c r="X67" s="1">
        <f t="shared" si="36"/>
        <v>476.62000000000012</v>
      </c>
      <c r="Y67" s="1"/>
      <c r="Z67" s="5">
        <f t="shared" si="37"/>
        <v>0.77879084967320278</v>
      </c>
    </row>
    <row r="68" spans="1:26" s="24" customFormat="1" hidden="1" outlineLevel="2" x14ac:dyDescent="0.25">
      <c r="A68" s="26"/>
      <c r="B68" s="11" t="str">
        <f>CONCATENATE("          ", "6371", " - ", "COMPUTER SOFTWARE MAINTENANCE")</f>
        <v xml:space="preserve">          6371 - COMPUTER SOFTWARE MAINTENANCE</v>
      </c>
      <c r="C68" s="11"/>
      <c r="D68" s="7"/>
      <c r="E68" s="2"/>
      <c r="F68" s="6">
        <f t="shared" si="30"/>
        <v>0</v>
      </c>
      <c r="G68" s="2"/>
      <c r="H68" s="7"/>
      <c r="I68" s="2"/>
      <c r="J68" s="6">
        <f t="shared" si="31"/>
        <v>0</v>
      </c>
      <c r="K68" s="2"/>
      <c r="L68" s="7">
        <f t="shared" si="32"/>
        <v>0</v>
      </c>
      <c r="M68" s="2"/>
      <c r="N68" s="6">
        <f t="shared" si="33"/>
        <v>0</v>
      </c>
      <c r="O68" s="11"/>
      <c r="P68" s="7">
        <v>437.31</v>
      </c>
      <c r="Q68" s="2"/>
      <c r="R68" s="6">
        <f t="shared" si="34"/>
        <v>8.8188189171258284E-4</v>
      </c>
      <c r="S68" s="2"/>
      <c r="T68" s="7">
        <v>0</v>
      </c>
      <c r="U68" s="2"/>
      <c r="V68" s="6">
        <f t="shared" si="35"/>
        <v>0</v>
      </c>
      <c r="W68" s="2"/>
      <c r="X68" s="7">
        <f t="shared" si="36"/>
        <v>437.31</v>
      </c>
      <c r="Y68" s="2"/>
      <c r="Z68" s="6">
        <f t="shared" si="37"/>
        <v>0</v>
      </c>
    </row>
    <row r="69" spans="1:26" s="24" customFormat="1" hidden="1" outlineLevel="2" x14ac:dyDescent="0.25">
      <c r="A69" s="26"/>
      <c r="B69" s="11" t="str">
        <f>CONCATENATE("          ", "6373", " - ", "MAINTENANCE CONTRACTS")</f>
        <v xml:space="preserve">          6373 - MAINTENANCE CONTRACTS</v>
      </c>
      <c r="C69" s="11"/>
      <c r="D69" s="7"/>
      <c r="E69" s="2"/>
      <c r="F69" s="6">
        <f t="shared" si="30"/>
        <v>0</v>
      </c>
      <c r="G69" s="2"/>
      <c r="H69" s="7"/>
      <c r="I69" s="2"/>
      <c r="J69" s="6">
        <f t="shared" si="31"/>
        <v>0</v>
      </c>
      <c r="K69" s="2"/>
      <c r="L69" s="7">
        <f t="shared" si="32"/>
        <v>0</v>
      </c>
      <c r="M69" s="2"/>
      <c r="N69" s="6">
        <f t="shared" si="33"/>
        <v>0</v>
      </c>
      <c r="O69" s="11"/>
      <c r="P69" s="7">
        <v>70.73</v>
      </c>
      <c r="Q69" s="2"/>
      <c r="R69" s="6">
        <f t="shared" si="34"/>
        <v>1.4263452974052959E-4</v>
      </c>
      <c r="S69" s="2"/>
      <c r="T69" s="7"/>
      <c r="U69" s="2"/>
      <c r="V69" s="6">
        <f t="shared" si="35"/>
        <v>0</v>
      </c>
      <c r="W69" s="2"/>
      <c r="X69" s="7">
        <f t="shared" si="36"/>
        <v>70.73</v>
      </c>
      <c r="Y69" s="2"/>
      <c r="Z69" s="6">
        <f t="shared" si="37"/>
        <v>0</v>
      </c>
    </row>
    <row r="70" spans="1:26" s="24" customFormat="1" hidden="1" outlineLevel="2" x14ac:dyDescent="0.25">
      <c r="A70" s="26"/>
      <c r="B70" s="11" t="str">
        <f>CONCATENATE("          ", "6375", " - ", "OUTSIDE REPAIRS &amp; MAINTENANCE")</f>
        <v xml:space="preserve">          6375 - OUTSIDE REPAIRS &amp; MAINTENANCE</v>
      </c>
      <c r="C70" s="11"/>
      <c r="D70" s="7"/>
      <c r="E70" s="2"/>
      <c r="F70" s="6">
        <f t="shared" si="30"/>
        <v>0</v>
      </c>
      <c r="G70" s="2"/>
      <c r="H70" s="7">
        <v>38</v>
      </c>
      <c r="I70" s="2"/>
      <c r="J70" s="6">
        <f t="shared" si="31"/>
        <v>9.966690271985732E-4</v>
      </c>
      <c r="K70" s="2"/>
      <c r="L70" s="7">
        <f t="shared" si="32"/>
        <v>-38</v>
      </c>
      <c r="M70" s="2"/>
      <c r="N70" s="6">
        <f t="shared" si="33"/>
        <v>-1</v>
      </c>
      <c r="O70" s="11"/>
      <c r="P70" s="7">
        <v>580.58000000000004</v>
      </c>
      <c r="Q70" s="2"/>
      <c r="R70" s="6">
        <f t="shared" si="34"/>
        <v>1.1708010077301945E-3</v>
      </c>
      <c r="S70" s="2"/>
      <c r="T70" s="7">
        <v>612</v>
      </c>
      <c r="U70" s="2"/>
      <c r="V70" s="6">
        <f t="shared" si="35"/>
        <v>9.8938992471259992E-4</v>
      </c>
      <c r="W70" s="2"/>
      <c r="X70" s="7">
        <f t="shared" si="36"/>
        <v>-31.419999999999959</v>
      </c>
      <c r="Y70" s="2"/>
      <c r="Z70" s="6">
        <f t="shared" si="37"/>
        <v>-5.1339869281045683E-2</v>
      </c>
    </row>
    <row r="71" spans="1:26" s="27" customFormat="1" outlineLevel="1" collapsed="1" x14ac:dyDescent="0.25">
      <c r="A71" s="25"/>
      <c r="B71" s="12" t="str">
        <f>CONCATENATE("     ","Services                                          ")</f>
        <v xml:space="preserve">     Services                                          </v>
      </c>
      <c r="C71" s="12"/>
      <c r="D71" s="1">
        <f>SUM(OSRRefD22_11x_0)</f>
        <v>0</v>
      </c>
      <c r="E71" s="1"/>
      <c r="F71" s="5">
        <f t="shared" ref="F71:F79" si="38">IF(D$12=0,0,D71/D$12)</f>
        <v>0</v>
      </c>
      <c r="G71" s="1"/>
      <c r="H71" s="1">
        <f>SUM(OSRRefH22_11x_0)</f>
        <v>0</v>
      </c>
      <c r="I71" s="1"/>
      <c r="J71" s="5">
        <f t="shared" ref="J71:J79" si="39">IF(H$12=0,0,H71/H$12)</f>
        <v>0</v>
      </c>
      <c r="K71" s="1"/>
      <c r="L71" s="1">
        <f t="shared" ref="L71:L79" si="40">+D71-H71</f>
        <v>0</v>
      </c>
      <c r="M71" s="1"/>
      <c r="N71" s="5">
        <f t="shared" ref="N71:N79" si="41">IF(H71=0,0,L71/H71)</f>
        <v>0</v>
      </c>
      <c r="O71" s="12"/>
      <c r="P71" s="1">
        <f>SUM(OSRRefP22_11x_0)</f>
        <v>1180.31</v>
      </c>
      <c r="Q71" s="1"/>
      <c r="R71" s="5">
        <f t="shared" ref="R71:R79" si="42">IF(P$12=0,0,P71/P$12)</f>
        <v>2.3802200169382786E-3</v>
      </c>
      <c r="S71" s="1"/>
      <c r="T71" s="1">
        <f>SUM(OSRRefT22_11x_0)</f>
        <v>0</v>
      </c>
      <c r="U71" s="1"/>
      <c r="V71" s="5">
        <f t="shared" ref="V71:V79" si="43">IF(T$12=0,0,T71/T$12)</f>
        <v>0</v>
      </c>
      <c r="W71" s="1"/>
      <c r="X71" s="1">
        <f t="shared" ref="X71:X79" si="44">+P71-T71</f>
        <v>1180.31</v>
      </c>
      <c r="Y71" s="1"/>
      <c r="Z71" s="5">
        <f t="shared" ref="Z71:Z79" si="45">IF(T71=0,0,X71/T71)</f>
        <v>0</v>
      </c>
    </row>
    <row r="72" spans="1:26" s="24" customFormat="1" hidden="1" outlineLevel="2" x14ac:dyDescent="0.25">
      <c r="A72" s="26"/>
      <c r="B72" s="11" t="str">
        <f>CONCATENATE("          ", "6286", " - ", "LAUNDRY EXPENSE")</f>
        <v xml:space="preserve">          6286 - LAUNDRY EXPENSE</v>
      </c>
      <c r="C72" s="11"/>
      <c r="D72" s="7"/>
      <c r="E72" s="2"/>
      <c r="F72" s="6">
        <f t="shared" si="38"/>
        <v>0</v>
      </c>
      <c r="G72" s="2"/>
      <c r="H72" s="7"/>
      <c r="I72" s="2"/>
      <c r="J72" s="6">
        <f t="shared" si="39"/>
        <v>0</v>
      </c>
      <c r="K72" s="2"/>
      <c r="L72" s="7">
        <f t="shared" si="40"/>
        <v>0</v>
      </c>
      <c r="M72" s="2"/>
      <c r="N72" s="6">
        <f t="shared" si="41"/>
        <v>0</v>
      </c>
      <c r="O72" s="11"/>
      <c r="P72" s="7">
        <v>1180.31</v>
      </c>
      <c r="Q72" s="2"/>
      <c r="R72" s="6">
        <f t="shared" si="42"/>
        <v>2.3802200169382786E-3</v>
      </c>
      <c r="S72" s="2"/>
      <c r="T72" s="7"/>
      <c r="U72" s="2"/>
      <c r="V72" s="6">
        <f t="shared" si="43"/>
        <v>0</v>
      </c>
      <c r="W72" s="2"/>
      <c r="X72" s="7">
        <f t="shared" si="44"/>
        <v>1180.31</v>
      </c>
      <c r="Y72" s="2"/>
      <c r="Z72" s="6">
        <f t="shared" si="45"/>
        <v>0</v>
      </c>
    </row>
    <row r="73" spans="1:26" s="27" customFormat="1" outlineLevel="1" collapsed="1" x14ac:dyDescent="0.25">
      <c r="A73" s="25"/>
      <c r="B73" s="12" t="str">
        <f>CONCATENATE("     ","Supplies                                          ")</f>
        <v xml:space="preserve">     Supplies                                          </v>
      </c>
      <c r="C73" s="12"/>
      <c r="D73" s="1">
        <f>SUM(OSRRefD22_12x_0)</f>
        <v>493.49</v>
      </c>
      <c r="E73" s="1"/>
      <c r="F73" s="5">
        <f t="shared" si="38"/>
        <v>17.400916784203105</v>
      </c>
      <c r="G73" s="1"/>
      <c r="H73" s="1">
        <f>SUM(OSRRefH22_12x_0)</f>
        <v>189</v>
      </c>
      <c r="I73" s="1"/>
      <c r="J73" s="5">
        <f t="shared" si="39"/>
        <v>4.9571170036981664E-3</v>
      </c>
      <c r="K73" s="1"/>
      <c r="L73" s="1">
        <f t="shared" si="40"/>
        <v>304.49</v>
      </c>
      <c r="M73" s="1"/>
      <c r="N73" s="5">
        <f t="shared" si="41"/>
        <v>1.6110582010582011</v>
      </c>
      <c r="O73" s="12"/>
      <c r="P73" s="1">
        <f>SUM(OSRRefP22_12x_0)</f>
        <v>6469.25</v>
      </c>
      <c r="Q73" s="1"/>
      <c r="R73" s="5">
        <f t="shared" si="42"/>
        <v>1.3045927209443248E-2</v>
      </c>
      <c r="S73" s="1"/>
      <c r="T73" s="1">
        <f>SUM(OSRRefT22_12x_0)</f>
        <v>3063</v>
      </c>
      <c r="U73" s="1"/>
      <c r="V73" s="5">
        <f t="shared" si="43"/>
        <v>4.9517995741743363E-3</v>
      </c>
      <c r="W73" s="1"/>
      <c r="X73" s="1">
        <f t="shared" si="44"/>
        <v>3406.25</v>
      </c>
      <c r="Y73" s="1"/>
      <c r="Z73" s="5">
        <f t="shared" si="45"/>
        <v>1.1120633365981065</v>
      </c>
    </row>
    <row r="74" spans="1:26" s="24" customFormat="1" hidden="1" outlineLevel="2" x14ac:dyDescent="0.25">
      <c r="A74" s="26"/>
      <c r="B74" s="11" t="str">
        <f>CONCATENATE("          ", "6234", " - ", "EXPENDABLE SUPPLIES &amp; EQUIPMEN")</f>
        <v xml:space="preserve">          6234 - EXPENDABLE SUPPLIES &amp; EQUIPMEN</v>
      </c>
      <c r="C74" s="11"/>
      <c r="D74" s="7"/>
      <c r="E74" s="2"/>
      <c r="F74" s="6">
        <f t="shared" si="38"/>
        <v>0</v>
      </c>
      <c r="G74" s="2"/>
      <c r="H74" s="7"/>
      <c r="I74" s="2"/>
      <c r="J74" s="6">
        <f t="shared" si="39"/>
        <v>0</v>
      </c>
      <c r="K74" s="2"/>
      <c r="L74" s="7">
        <f t="shared" si="40"/>
        <v>0</v>
      </c>
      <c r="M74" s="2"/>
      <c r="N74" s="6">
        <f t="shared" si="41"/>
        <v>0</v>
      </c>
      <c r="O74" s="11"/>
      <c r="P74" s="7">
        <v>354.82</v>
      </c>
      <c r="Q74" s="2"/>
      <c r="R74" s="6">
        <f t="shared" si="42"/>
        <v>7.1553207751356854E-4</v>
      </c>
      <c r="S74" s="2"/>
      <c r="T74" s="7"/>
      <c r="U74" s="2"/>
      <c r="V74" s="6">
        <f t="shared" si="43"/>
        <v>0</v>
      </c>
      <c r="W74" s="2"/>
      <c r="X74" s="7">
        <f t="shared" si="44"/>
        <v>354.82</v>
      </c>
      <c r="Y74" s="2"/>
      <c r="Z74" s="6">
        <f t="shared" si="45"/>
        <v>0</v>
      </c>
    </row>
    <row r="75" spans="1:26" s="24" customFormat="1" hidden="1" outlineLevel="2" x14ac:dyDescent="0.25">
      <c r="A75" s="26"/>
      <c r="B75" s="11" t="str">
        <f>CONCATENATE("          ", "6237", " - ", "JANITORIAL SUPPLIES")</f>
        <v xml:space="preserve">          6237 - JANITORIAL SUPPLIES</v>
      </c>
      <c r="C75" s="11"/>
      <c r="D75" s="7"/>
      <c r="E75" s="2"/>
      <c r="F75" s="6">
        <f t="shared" si="38"/>
        <v>0</v>
      </c>
      <c r="G75" s="2"/>
      <c r="H75" s="7"/>
      <c r="I75" s="2"/>
      <c r="J75" s="6">
        <f t="shared" si="39"/>
        <v>0</v>
      </c>
      <c r="K75" s="2"/>
      <c r="L75" s="7">
        <f t="shared" si="40"/>
        <v>0</v>
      </c>
      <c r="M75" s="2"/>
      <c r="N75" s="6">
        <f t="shared" si="41"/>
        <v>0</v>
      </c>
      <c r="O75" s="11"/>
      <c r="P75" s="7">
        <v>151.25</v>
      </c>
      <c r="Q75" s="2"/>
      <c r="R75" s="6">
        <f t="shared" si="42"/>
        <v>3.0501163047158347E-4</v>
      </c>
      <c r="S75" s="2"/>
      <c r="T75" s="7"/>
      <c r="U75" s="2"/>
      <c r="V75" s="6">
        <f t="shared" si="43"/>
        <v>0</v>
      </c>
      <c r="W75" s="2"/>
      <c r="X75" s="7">
        <f t="shared" si="44"/>
        <v>151.25</v>
      </c>
      <c r="Y75" s="2"/>
      <c r="Z75" s="6">
        <f t="shared" si="45"/>
        <v>0</v>
      </c>
    </row>
    <row r="76" spans="1:26" s="24" customFormat="1" hidden="1" outlineLevel="2" x14ac:dyDescent="0.25">
      <c r="A76" s="26"/>
      <c r="B76" s="11" t="str">
        <f>CONCATENATE("          ", "6241", " - ", "OFFICE EXPENSE")</f>
        <v xml:space="preserve">          6241 - OFFICE EXPENSE</v>
      </c>
      <c r="C76" s="11"/>
      <c r="D76" s="7"/>
      <c r="E76" s="2"/>
      <c r="F76" s="6">
        <f t="shared" si="38"/>
        <v>0</v>
      </c>
      <c r="G76" s="2"/>
      <c r="H76" s="7"/>
      <c r="I76" s="2"/>
      <c r="J76" s="6">
        <f t="shared" si="39"/>
        <v>0</v>
      </c>
      <c r="K76" s="2"/>
      <c r="L76" s="7">
        <f t="shared" si="40"/>
        <v>0</v>
      </c>
      <c r="M76" s="2"/>
      <c r="N76" s="6">
        <f t="shared" si="41"/>
        <v>0</v>
      </c>
      <c r="O76" s="11"/>
      <c r="P76" s="7">
        <v>328.56</v>
      </c>
      <c r="Q76" s="2"/>
      <c r="R76" s="6">
        <f t="shared" si="42"/>
        <v>6.625760086462377E-4</v>
      </c>
      <c r="S76" s="2"/>
      <c r="T76" s="7"/>
      <c r="U76" s="2"/>
      <c r="V76" s="6">
        <f t="shared" si="43"/>
        <v>0</v>
      </c>
      <c r="W76" s="2"/>
      <c r="X76" s="7">
        <f t="shared" si="44"/>
        <v>328.56</v>
      </c>
      <c r="Y76" s="2"/>
      <c r="Z76" s="6">
        <f t="shared" si="45"/>
        <v>0</v>
      </c>
    </row>
    <row r="77" spans="1:26" s="24" customFormat="1" hidden="1" outlineLevel="2" x14ac:dyDescent="0.25">
      <c r="A77" s="26"/>
      <c r="B77" s="11" t="str">
        <f>CONCATENATE("          ", "6245", " - ", "PRINTING")</f>
        <v xml:space="preserve">          6245 - PRINTING</v>
      </c>
      <c r="C77" s="11"/>
      <c r="D77" s="7"/>
      <c r="E77" s="2"/>
      <c r="F77" s="6">
        <f t="shared" si="38"/>
        <v>0</v>
      </c>
      <c r="G77" s="2"/>
      <c r="H77" s="7"/>
      <c r="I77" s="2"/>
      <c r="J77" s="6">
        <f t="shared" si="39"/>
        <v>0</v>
      </c>
      <c r="K77" s="2"/>
      <c r="L77" s="7">
        <f t="shared" si="40"/>
        <v>0</v>
      </c>
      <c r="M77" s="2"/>
      <c r="N77" s="6">
        <f t="shared" si="41"/>
        <v>0</v>
      </c>
      <c r="O77" s="11"/>
      <c r="P77" s="7">
        <v>81.739999999999995</v>
      </c>
      <c r="Q77" s="2"/>
      <c r="R77" s="6">
        <f t="shared" si="42"/>
        <v>1.6483735983303954E-4</v>
      </c>
      <c r="S77" s="2"/>
      <c r="T77" s="7"/>
      <c r="U77" s="2"/>
      <c r="V77" s="6">
        <f t="shared" si="43"/>
        <v>0</v>
      </c>
      <c r="W77" s="2"/>
      <c r="X77" s="7">
        <f t="shared" si="44"/>
        <v>81.739999999999995</v>
      </c>
      <c r="Y77" s="2"/>
      <c r="Z77" s="6">
        <f t="shared" si="45"/>
        <v>0</v>
      </c>
    </row>
    <row r="78" spans="1:26" s="24" customFormat="1" hidden="1" outlineLevel="2" x14ac:dyDescent="0.25">
      <c r="A78" s="26"/>
      <c r="B78" s="11" t="str">
        <f>CONCATENATE("          ", "6247", " - ", "STORE SUPPLIES")</f>
        <v xml:space="preserve">          6247 - STORE SUPPLIES</v>
      </c>
      <c r="C78" s="11"/>
      <c r="D78" s="7">
        <v>493.49</v>
      </c>
      <c r="E78" s="2"/>
      <c r="F78" s="6">
        <f t="shared" si="38"/>
        <v>17.400916784203105</v>
      </c>
      <c r="G78" s="2"/>
      <c r="H78" s="7">
        <v>189</v>
      </c>
      <c r="I78" s="2"/>
      <c r="J78" s="6">
        <f t="shared" si="39"/>
        <v>4.9571170036981664E-3</v>
      </c>
      <c r="K78" s="2"/>
      <c r="L78" s="7">
        <f t="shared" si="40"/>
        <v>304.49</v>
      </c>
      <c r="M78" s="2"/>
      <c r="N78" s="6">
        <f t="shared" si="41"/>
        <v>1.6110582010582011</v>
      </c>
      <c r="O78" s="11"/>
      <c r="P78" s="7">
        <v>5518.43</v>
      </c>
      <c r="Q78" s="2"/>
      <c r="R78" s="6">
        <f t="shared" si="42"/>
        <v>1.1128498062435044E-2</v>
      </c>
      <c r="S78" s="2"/>
      <c r="T78" s="7">
        <v>3063</v>
      </c>
      <c r="U78" s="2"/>
      <c r="V78" s="6">
        <f t="shared" si="43"/>
        <v>4.9517995741743363E-3</v>
      </c>
      <c r="W78" s="2"/>
      <c r="X78" s="7">
        <f t="shared" si="44"/>
        <v>2455.4300000000003</v>
      </c>
      <c r="Y78" s="2"/>
      <c r="Z78" s="6">
        <f t="shared" si="45"/>
        <v>0.80164218086842975</v>
      </c>
    </row>
    <row r="79" spans="1:26" s="24" customFormat="1" hidden="1" outlineLevel="2" x14ac:dyDescent="0.25">
      <c r="A79" s="26"/>
      <c r="B79" s="11" t="str">
        <f>CONCATENATE("          ", "6248", " - ", "UNIFORMS")</f>
        <v xml:space="preserve">          6248 - UNIFORMS</v>
      </c>
      <c r="C79" s="11"/>
      <c r="D79" s="7"/>
      <c r="E79" s="2"/>
      <c r="F79" s="6">
        <f t="shared" si="38"/>
        <v>0</v>
      </c>
      <c r="G79" s="2"/>
      <c r="H79" s="7"/>
      <c r="I79" s="2"/>
      <c r="J79" s="6">
        <f t="shared" si="39"/>
        <v>0</v>
      </c>
      <c r="K79" s="2"/>
      <c r="L79" s="7">
        <f t="shared" si="40"/>
        <v>0</v>
      </c>
      <c r="M79" s="2"/>
      <c r="N79" s="6">
        <f t="shared" si="41"/>
        <v>0</v>
      </c>
      <c r="O79" s="11"/>
      <c r="P79" s="7">
        <v>34.450000000000003</v>
      </c>
      <c r="Q79" s="2"/>
      <c r="R79" s="6">
        <f t="shared" si="42"/>
        <v>6.9472070543775548E-5</v>
      </c>
      <c r="S79" s="2"/>
      <c r="T79" s="7"/>
      <c r="U79" s="2"/>
      <c r="V79" s="6">
        <f t="shared" si="43"/>
        <v>0</v>
      </c>
      <c r="W79" s="2"/>
      <c r="X79" s="7">
        <f t="shared" si="44"/>
        <v>34.450000000000003</v>
      </c>
      <c r="Y79" s="2"/>
      <c r="Z79" s="6">
        <f t="shared" si="45"/>
        <v>0</v>
      </c>
    </row>
    <row r="80" spans="1:26" s="27" customFormat="1" outlineLevel="1" collapsed="1" x14ac:dyDescent="0.25">
      <c r="A80" s="25"/>
      <c r="B80" s="12" t="str">
        <f>CONCATENATE("     ","Telephone/Data Lines                              ")</f>
        <v xml:space="preserve">     Telephone/Data Lines                              </v>
      </c>
      <c r="C80" s="12"/>
      <c r="D80" s="1">
        <f>SUM(OSRRefD22_13x_0)</f>
        <v>122.1</v>
      </c>
      <c r="E80" s="1"/>
      <c r="F80" s="5">
        <f t="shared" ref="F80:F83" si="46">IF(D$12=0,0,D80/D$12)</f>
        <v>4.3053596614950633</v>
      </c>
      <c r="G80" s="1"/>
      <c r="H80" s="1">
        <f>SUM(OSRRefH22_13x_0)</f>
        <v>75</v>
      </c>
      <c r="I80" s="1"/>
      <c r="J80" s="5">
        <f t="shared" ref="J80:J83" si="47">IF(H$12=0,0,H80/H$12)</f>
        <v>1.9671099221024472E-3</v>
      </c>
      <c r="K80" s="1"/>
      <c r="L80" s="1">
        <f t="shared" ref="L80:L83" si="48">+D80-H80</f>
        <v>47.099999999999994</v>
      </c>
      <c r="M80" s="1"/>
      <c r="N80" s="5">
        <f t="shared" ref="N80:N83" si="49">IF(H80=0,0,L80/H80)</f>
        <v>0.62799999999999989</v>
      </c>
      <c r="O80" s="12"/>
      <c r="P80" s="1">
        <f>SUM(OSRRefP22_13x_0)</f>
        <v>1372.83</v>
      </c>
      <c r="Q80" s="1"/>
      <c r="R80" s="5">
        <f t="shared" ref="R80:R83" si="50">IF(P$12=0,0,P80/P$12)</f>
        <v>2.7684569696549018E-3</v>
      </c>
      <c r="S80" s="1"/>
      <c r="T80" s="1">
        <f>SUM(OSRRefT22_13x_0)</f>
        <v>825</v>
      </c>
      <c r="U80" s="1"/>
      <c r="V80" s="5">
        <f t="shared" ref="V80:V83" si="51">IF(T$12=0,0,T80/T$12)</f>
        <v>1.3337364181174754E-3</v>
      </c>
      <c r="W80" s="1"/>
      <c r="X80" s="1">
        <f t="shared" ref="X80:X83" si="52">+P80-T80</f>
        <v>547.82999999999993</v>
      </c>
      <c r="Y80" s="1"/>
      <c r="Z80" s="5">
        <f t="shared" ref="Z80:Z83" si="53">IF(T80=0,0,X80/T80)</f>
        <v>0.66403636363636354</v>
      </c>
    </row>
    <row r="81" spans="1:26" s="24" customFormat="1" hidden="1" outlineLevel="2" x14ac:dyDescent="0.25">
      <c r="A81" s="26"/>
      <c r="B81" s="11" t="str">
        <f>CONCATENATE("          ", "6309", " - ", "TELEPHONE")</f>
        <v xml:space="preserve">          6309 - TELEPHONE</v>
      </c>
      <c r="C81" s="11"/>
      <c r="D81" s="7">
        <v>122.1</v>
      </c>
      <c r="E81" s="2"/>
      <c r="F81" s="6">
        <f t="shared" si="46"/>
        <v>4.3053596614950633</v>
      </c>
      <c r="G81" s="2"/>
      <c r="H81" s="7">
        <v>75</v>
      </c>
      <c r="I81" s="2"/>
      <c r="J81" s="6">
        <f t="shared" si="47"/>
        <v>1.9671099221024472E-3</v>
      </c>
      <c r="K81" s="2"/>
      <c r="L81" s="7">
        <f t="shared" si="48"/>
        <v>47.099999999999994</v>
      </c>
      <c r="M81" s="2"/>
      <c r="N81" s="6">
        <f t="shared" si="49"/>
        <v>0.62799999999999989</v>
      </c>
      <c r="O81" s="11"/>
      <c r="P81" s="7">
        <v>1372.83</v>
      </c>
      <c r="Q81" s="2"/>
      <c r="R81" s="6">
        <f t="shared" si="50"/>
        <v>2.7684569696549018E-3</v>
      </c>
      <c r="S81" s="2"/>
      <c r="T81" s="7">
        <v>825</v>
      </c>
      <c r="U81" s="2"/>
      <c r="V81" s="6">
        <f t="shared" si="51"/>
        <v>1.3337364181174754E-3</v>
      </c>
      <c r="W81" s="2"/>
      <c r="X81" s="7">
        <f t="shared" si="52"/>
        <v>547.82999999999993</v>
      </c>
      <c r="Y81" s="2"/>
      <c r="Z81" s="6">
        <f t="shared" si="53"/>
        <v>0.66403636363636354</v>
      </c>
    </row>
    <row r="82" spans="1:26" s="27" customFormat="1" outlineLevel="1" collapsed="1" x14ac:dyDescent="0.25">
      <c r="A82" s="25"/>
      <c r="B82" s="12" t="str">
        <f>CONCATENATE("     ","Training                                          ")</f>
        <v xml:space="preserve">     Training                                          </v>
      </c>
      <c r="C82" s="12"/>
      <c r="D82" s="1">
        <f>SUM(OSRRefD22_14x_0)</f>
        <v>0</v>
      </c>
      <c r="E82" s="1"/>
      <c r="F82" s="5">
        <f t="shared" si="46"/>
        <v>0</v>
      </c>
      <c r="G82" s="1"/>
      <c r="H82" s="1">
        <f>SUM(OSRRefH22_14x_0)</f>
        <v>0</v>
      </c>
      <c r="I82" s="1"/>
      <c r="J82" s="5">
        <f t="shared" si="47"/>
        <v>0</v>
      </c>
      <c r="K82" s="1"/>
      <c r="L82" s="1">
        <f t="shared" si="48"/>
        <v>0</v>
      </c>
      <c r="M82" s="1"/>
      <c r="N82" s="5">
        <f t="shared" si="49"/>
        <v>0</v>
      </c>
      <c r="O82" s="12"/>
      <c r="P82" s="1">
        <f>SUM(OSRRefP22_14x_0)</f>
        <v>96</v>
      </c>
      <c r="Q82" s="1"/>
      <c r="R82" s="5">
        <f t="shared" si="50"/>
        <v>1.9359415884477363E-4</v>
      </c>
      <c r="S82" s="1"/>
      <c r="T82" s="1">
        <f>SUM(OSRRefT22_14x_0)</f>
        <v>1000</v>
      </c>
      <c r="U82" s="1"/>
      <c r="V82" s="5">
        <f t="shared" si="51"/>
        <v>1.6166502037787583E-3</v>
      </c>
      <c r="W82" s="1"/>
      <c r="X82" s="1">
        <f t="shared" si="52"/>
        <v>-904</v>
      </c>
      <c r="Y82" s="1"/>
      <c r="Z82" s="5">
        <f t="shared" si="53"/>
        <v>-0.90400000000000003</v>
      </c>
    </row>
    <row r="83" spans="1:26" s="24" customFormat="1" hidden="1" outlineLevel="2" x14ac:dyDescent="0.25">
      <c r="A83" s="26"/>
      <c r="B83" s="11" t="str">
        <f>CONCATENATE("          ", "6376", " - ", "TRAINING")</f>
        <v xml:space="preserve">          6376 - TRAINING</v>
      </c>
      <c r="C83" s="11"/>
      <c r="D83" s="7"/>
      <c r="E83" s="2"/>
      <c r="F83" s="6">
        <f t="shared" si="46"/>
        <v>0</v>
      </c>
      <c r="G83" s="2"/>
      <c r="H83" s="7"/>
      <c r="I83" s="2"/>
      <c r="J83" s="6">
        <f t="shared" si="47"/>
        <v>0</v>
      </c>
      <c r="K83" s="2"/>
      <c r="L83" s="7">
        <f t="shared" si="48"/>
        <v>0</v>
      </c>
      <c r="M83" s="2"/>
      <c r="N83" s="6">
        <f t="shared" si="49"/>
        <v>0</v>
      </c>
      <c r="O83" s="11"/>
      <c r="P83" s="7">
        <v>96</v>
      </c>
      <c r="Q83" s="2"/>
      <c r="R83" s="6">
        <f t="shared" si="50"/>
        <v>1.9359415884477363E-4</v>
      </c>
      <c r="S83" s="2"/>
      <c r="T83" s="7">
        <v>1000</v>
      </c>
      <c r="U83" s="2"/>
      <c r="V83" s="6">
        <f t="shared" si="51"/>
        <v>1.6166502037787583E-3</v>
      </c>
      <c r="W83" s="2"/>
      <c r="X83" s="7">
        <f t="shared" si="52"/>
        <v>-904</v>
      </c>
      <c r="Y83" s="2"/>
      <c r="Z83" s="6">
        <f t="shared" si="53"/>
        <v>-0.90400000000000003</v>
      </c>
    </row>
    <row r="84" spans="1:26" s="62" customFormat="1" x14ac:dyDescent="0.25">
      <c r="A84" s="36"/>
      <c r="B84" s="36"/>
      <c r="C84" s="36"/>
      <c r="D84" s="1"/>
      <c r="E84" s="1"/>
      <c r="F84" s="5"/>
      <c r="G84" s="1"/>
      <c r="H84" s="1"/>
      <c r="I84" s="1"/>
      <c r="J84" s="5"/>
      <c r="K84" s="1"/>
      <c r="L84" s="1"/>
      <c r="M84" s="1"/>
      <c r="N84" s="5"/>
      <c r="O84" s="36"/>
      <c r="P84" s="1"/>
      <c r="Q84" s="1"/>
      <c r="R84" s="5"/>
      <c r="S84" s="1"/>
      <c r="T84" s="1"/>
      <c r="U84" s="1"/>
      <c r="V84" s="5"/>
      <c r="W84" s="1"/>
      <c r="X84" s="1"/>
      <c r="Y84" s="1"/>
      <c r="Z84" s="5"/>
    </row>
    <row r="85" spans="1:26" s="23" customFormat="1" x14ac:dyDescent="0.25">
      <c r="A85" s="10"/>
      <c r="B85" s="28" t="s">
        <v>0</v>
      </c>
      <c r="C85" s="10"/>
      <c r="D85" s="4">
        <f>SUM(0)</f>
        <v>0</v>
      </c>
      <c r="E85" s="4"/>
      <c r="F85" s="13">
        <f>IF(D$12=0,0,D85/D$12)</f>
        <v>0</v>
      </c>
      <c r="G85" s="4"/>
      <c r="H85" s="4">
        <f>SUM(0)</f>
        <v>0</v>
      </c>
      <c r="I85" s="4"/>
      <c r="J85" s="13">
        <f>IF(H$12=0,0,H85/H$12)</f>
        <v>0</v>
      </c>
      <c r="K85" s="4"/>
      <c r="L85" s="4">
        <f>+D85-H85</f>
        <v>0</v>
      </c>
      <c r="M85" s="4"/>
      <c r="N85" s="13">
        <f>IF(H85=0,0,L85/H85)</f>
        <v>0</v>
      </c>
      <c r="O85" s="10"/>
      <c r="P85" s="4">
        <f>SUM(0)</f>
        <v>0</v>
      </c>
      <c r="Q85" s="4"/>
      <c r="R85" s="13">
        <f>IF(P$12=0,0,P85/P$12)</f>
        <v>0</v>
      </c>
      <c r="S85" s="4"/>
      <c r="T85" s="4">
        <f>SUM(0)</f>
        <v>0</v>
      </c>
      <c r="U85" s="4"/>
      <c r="V85" s="13">
        <f>IF(T$12=0,0,T85/T$12)</f>
        <v>0</v>
      </c>
      <c r="W85" s="4"/>
      <c r="X85" s="4">
        <f>+P85-T85</f>
        <v>0</v>
      </c>
      <c r="Y85" s="4"/>
      <c r="Z85" s="13">
        <f>IF(T85=0,0,X85/T85)</f>
        <v>0</v>
      </c>
    </row>
    <row r="86" spans="1:26" x14ac:dyDescent="0.25">
      <c r="A86" s="9"/>
      <c r="B86" s="10"/>
      <c r="C86" s="10"/>
      <c r="D86" s="3"/>
      <c r="E86" s="3"/>
      <c r="F86" s="8"/>
      <c r="G86" s="3"/>
      <c r="H86" s="3"/>
      <c r="I86" s="3"/>
      <c r="J86" s="8"/>
      <c r="K86" s="3"/>
      <c r="L86" s="3"/>
      <c r="M86" s="3"/>
      <c r="N86" s="8"/>
      <c r="O86" s="10"/>
      <c r="P86" s="3"/>
      <c r="Q86" s="3"/>
      <c r="R86" s="8"/>
      <c r="S86" s="3"/>
      <c r="T86" s="3"/>
      <c r="U86" s="3"/>
      <c r="V86" s="8"/>
      <c r="W86" s="3"/>
      <c r="X86" s="3"/>
      <c r="Y86" s="3"/>
      <c r="Z86" s="8"/>
    </row>
    <row r="87" spans="1:26" s="23" customFormat="1" x14ac:dyDescent="0.25">
      <c r="A87" s="10"/>
      <c r="B87" s="29" t="s">
        <v>3</v>
      </c>
      <c r="C87" s="29"/>
      <c r="D87" s="20">
        <f>+D27-D29+D85</f>
        <v>-7062.4</v>
      </c>
      <c r="E87" s="14"/>
      <c r="F87" s="22">
        <f>IF(D$12=0,0,D87/D$12)</f>
        <v>-249.0267983074753</v>
      </c>
      <c r="G87" s="14"/>
      <c r="H87" s="20">
        <f>+H27-H29+H85</f>
        <v>1340.550422399996</v>
      </c>
      <c r="I87" s="14"/>
      <c r="J87" s="22">
        <f>IF(H$12=0,0,H87/H$12)</f>
        <v>3.5160133826422114E-2</v>
      </c>
      <c r="K87" s="16"/>
      <c r="L87" s="20">
        <f>+D87-H87</f>
        <v>-8402.9504223999957</v>
      </c>
      <c r="M87" s="16"/>
      <c r="N87" s="22">
        <f>IF(H87=0,0,L87/H87)</f>
        <v>-6.2682837452366318</v>
      </c>
      <c r="O87" s="28"/>
      <c r="P87" s="20">
        <f>+P27-P29+P85</f>
        <v>64653.4200000001</v>
      </c>
      <c r="Q87" s="14"/>
      <c r="R87" s="22">
        <f>IF(P$12=0,0,P87/P$12)</f>
        <v>0.13038046313893628</v>
      </c>
      <c r="S87" s="14"/>
      <c r="T87" s="20">
        <f>+T27-T29+T85</f>
        <v>100946.35944780003</v>
      </c>
      <c r="U87" s="14"/>
      <c r="V87" s="22">
        <f>IF(T$12=0,0,T87/T$12)</f>
        <v>0.16319495257200969</v>
      </c>
      <c r="W87" s="16"/>
      <c r="X87" s="20">
        <f>+P87-T87</f>
        <v>-36292.93944779993</v>
      </c>
      <c r="Y87" s="16"/>
      <c r="Z87" s="22">
        <f>IF(T87=0,0,X87/T87)</f>
        <v>-0.35952697696410962</v>
      </c>
    </row>
    <row r="88" spans="1:26" x14ac:dyDescent="0.25">
      <c r="A88" s="9"/>
      <c r="B88" s="10"/>
      <c r="C88" s="9"/>
      <c r="D88" s="3"/>
      <c r="E88" s="3"/>
      <c r="F88" s="8"/>
      <c r="G88" s="3"/>
      <c r="H88" s="3"/>
      <c r="I88" s="3"/>
      <c r="J88" s="8"/>
      <c r="K88" s="3"/>
      <c r="L88" s="3"/>
      <c r="M88" s="3"/>
      <c r="N88" s="8"/>
      <c r="P88" s="3"/>
      <c r="Q88" s="3"/>
      <c r="R88" s="8"/>
      <c r="S88" s="3"/>
      <c r="T88" s="3"/>
      <c r="U88" s="3"/>
      <c r="V88" s="8"/>
      <c r="W88" s="3"/>
      <c r="X88" s="3"/>
      <c r="Y88" s="3"/>
      <c r="Z88" s="8"/>
    </row>
    <row r="89" spans="1:26" s="23" customFormat="1" x14ac:dyDescent="0.25">
      <c r="A89" s="52"/>
      <c r="B89" s="10" t="s">
        <v>14</v>
      </c>
      <c r="C89" s="10"/>
      <c r="D89" s="4">
        <v>2419.5500000000002</v>
      </c>
      <c r="E89" s="4"/>
      <c r="F89" s="13">
        <f>IF(D$12=0,0,D89/D$12)</f>
        <v>85.315585331452752</v>
      </c>
      <c r="G89" s="4"/>
      <c r="H89" s="4">
        <v>3826</v>
      </c>
      <c r="I89" s="4"/>
      <c r="J89" s="13">
        <f>IF(H$12=0,0,H89/H$12)</f>
        <v>0.10034883415951951</v>
      </c>
      <c r="K89" s="4"/>
      <c r="L89" s="4">
        <f>+D89-H89</f>
        <v>-1406.4499999999998</v>
      </c>
      <c r="M89" s="4"/>
      <c r="N89" s="13">
        <f>IF(H89=0,0,L89/H89)</f>
        <v>-0.36760324098274955</v>
      </c>
      <c r="O89" s="10"/>
      <c r="P89" s="4">
        <v>58720.259999999995</v>
      </c>
      <c r="Q89" s="4"/>
      <c r="R89" s="13">
        <f>IF(P$12=0,0,P89/P$12)</f>
        <v>0.11841561814423339</v>
      </c>
      <c r="S89" s="4"/>
      <c r="T89" s="4">
        <v>71645</v>
      </c>
      <c r="U89" s="4"/>
      <c r="V89" s="13">
        <f>IF(T$12=0,0,T89/T$12)</f>
        <v>0.11582490384972913</v>
      </c>
      <c r="W89" s="4"/>
      <c r="X89" s="4">
        <f>+P89-T89</f>
        <v>-12924.740000000005</v>
      </c>
      <c r="Y89" s="4"/>
      <c r="Z89" s="13">
        <f>IF(T89=0,0,X89/T89)</f>
        <v>-0.18039974876125348</v>
      </c>
    </row>
    <row r="90" spans="1:26" x14ac:dyDescent="0.25">
      <c r="A90" s="9"/>
      <c r="B90" s="10"/>
      <c r="C90" s="10"/>
      <c r="D90" s="3"/>
      <c r="E90" s="3"/>
      <c r="F90" s="8"/>
      <c r="G90" s="3"/>
      <c r="H90" s="3"/>
      <c r="I90" s="3"/>
      <c r="J90" s="8"/>
      <c r="K90" s="3"/>
      <c r="L90" s="3"/>
      <c r="M90" s="3"/>
      <c r="N90" s="8"/>
      <c r="O90" s="10"/>
      <c r="P90" s="3"/>
      <c r="Q90" s="3"/>
      <c r="R90" s="8"/>
      <c r="S90" s="3"/>
      <c r="T90" s="3"/>
      <c r="U90" s="3"/>
      <c r="V90" s="8"/>
      <c r="W90" s="3"/>
      <c r="X90" s="3"/>
      <c r="Y90" s="3"/>
      <c r="Z90" s="8"/>
    </row>
    <row r="91" spans="1:26" s="23" customFormat="1" ht="15.75" thickBot="1" x14ac:dyDescent="0.3">
      <c r="A91" s="10"/>
      <c r="B91" s="29" t="s">
        <v>4</v>
      </c>
      <c r="C91" s="29"/>
      <c r="D91" s="35">
        <f>+D87-D89</f>
        <v>-9481.9500000000007</v>
      </c>
      <c r="E91" s="14"/>
      <c r="F91" s="32">
        <f>IF(D$12=0,0,D91/D$12)</f>
        <v>-334.34238363892808</v>
      </c>
      <c r="G91" s="14"/>
      <c r="H91" s="35">
        <f>+H87-H89</f>
        <v>-2485.449577600004</v>
      </c>
      <c r="I91" s="14"/>
      <c r="J91" s="32">
        <f>IF(H$12=0,0,H91/H$12)</f>
        <v>-6.5188700333097385E-2</v>
      </c>
      <c r="K91" s="16"/>
      <c r="L91" s="35">
        <f>D91-H91</f>
        <v>-6996.5004223999968</v>
      </c>
      <c r="M91" s="16"/>
      <c r="N91" s="32">
        <f>IF(H91=0,0,L91/H91)</f>
        <v>2.8149838505900999</v>
      </c>
      <c r="O91" s="28"/>
      <c r="P91" s="35">
        <f>+P87-P89</f>
        <v>5933.1600000001054</v>
      </c>
      <c r="Q91" s="14"/>
      <c r="R91" s="32">
        <f>IF(P$12=0,0,P91/P$12)</f>
        <v>1.196484499470289E-2</v>
      </c>
      <c r="S91" s="14"/>
      <c r="T91" s="35">
        <f>+T87-T89</f>
        <v>29301.35944780003</v>
      </c>
      <c r="U91" s="14"/>
      <c r="V91" s="32">
        <f>IF(T$12=0,0,T91/T$12)</f>
        <v>4.737004872228056E-2</v>
      </c>
      <c r="W91" s="16"/>
      <c r="X91" s="35">
        <f>P91-T91</f>
        <v>-23368.199447799925</v>
      </c>
      <c r="Y91" s="16"/>
      <c r="Z91" s="32">
        <f>IF(T91=0,0,X91/T91)</f>
        <v>-0.79751246659493913</v>
      </c>
    </row>
    <row r="92" spans="1:26" ht="15.75" thickTop="1" x14ac:dyDescent="0.25">
      <c r="A92" s="9"/>
      <c r="B92" s="9"/>
      <c r="C92" s="9"/>
      <c r="D92" s="3"/>
      <c r="E92" s="3"/>
      <c r="F92" s="8"/>
      <c r="G92" s="3"/>
      <c r="H92" s="3"/>
      <c r="I92" s="3"/>
      <c r="J92" s="8"/>
      <c r="K92" s="3"/>
      <c r="L92" s="3"/>
      <c r="M92" s="3"/>
      <c r="N92" s="8"/>
      <c r="P92" s="3"/>
      <c r="Q92" s="3"/>
      <c r="R92" s="8"/>
      <c r="S92" s="3"/>
      <c r="T92" s="3"/>
      <c r="U92" s="3"/>
      <c r="V92" s="8"/>
      <c r="W92" s="3"/>
      <c r="X92" s="3"/>
      <c r="Y92" s="3"/>
      <c r="Z92" s="8"/>
    </row>
    <row r="93" spans="1:26" x14ac:dyDescent="0.25">
      <c r="A93" s="9"/>
      <c r="B93" s="9"/>
      <c r="C93" s="9"/>
      <c r="D93" s="3"/>
      <c r="E93" s="3"/>
      <c r="F93" s="8"/>
      <c r="G93" s="3"/>
      <c r="H93" s="3"/>
      <c r="I93" s="3"/>
      <c r="J93" s="8"/>
      <c r="K93" s="3"/>
      <c r="L93" s="3"/>
      <c r="M93" s="3"/>
      <c r="N93" s="8"/>
      <c r="P93" s="3"/>
      <c r="Q93" s="3"/>
      <c r="R93" s="8"/>
      <c r="S93" s="3"/>
      <c r="T93" s="3"/>
      <c r="U93" s="3"/>
      <c r="V93" s="8"/>
      <c r="W93" s="3"/>
      <c r="X93" s="3"/>
      <c r="Y93" s="3"/>
      <c r="Z93" s="8"/>
    </row>
    <row r="94" spans="1:26" s="23" customFormat="1" ht="15.75" thickBot="1" x14ac:dyDescent="0.3">
      <c r="A94" s="10"/>
      <c r="B94" s="29" t="s">
        <v>5</v>
      </c>
      <c r="C94" s="29"/>
      <c r="D94" s="34">
        <f>SUM(D91:D93)</f>
        <v>-9481.9500000000007</v>
      </c>
      <c r="E94" s="14"/>
      <c r="F94" s="31">
        <f>IF(D$12=0,0,D94/D$12)</f>
        <v>-334.34238363892808</v>
      </c>
      <c r="G94" s="14"/>
      <c r="H94" s="34">
        <f>SUM(H91:H93)</f>
        <v>-2485.449577600004</v>
      </c>
      <c r="I94" s="14"/>
      <c r="J94" s="31">
        <f>IF(H$12=0,0,H94/H$12)</f>
        <v>-6.5188700333097385E-2</v>
      </c>
      <c r="K94" s="16"/>
      <c r="L94" s="34">
        <f>+D94-H94</f>
        <v>-6996.5004223999968</v>
      </c>
      <c r="M94" s="16"/>
      <c r="N94" s="31">
        <f>IF(H94=0,0,L94/H94)</f>
        <v>2.8149838505900999</v>
      </c>
      <c r="O94" s="28"/>
      <c r="P94" s="34">
        <f>SUM(P91:P93)</f>
        <v>5933.1600000001054</v>
      </c>
      <c r="Q94" s="14"/>
      <c r="R94" s="31">
        <f>IF(P$12=0,0,P94/P$12)</f>
        <v>1.196484499470289E-2</v>
      </c>
      <c r="S94" s="14"/>
      <c r="T94" s="34">
        <f>SUM(T91:T93)</f>
        <v>29301.35944780003</v>
      </c>
      <c r="U94" s="14"/>
      <c r="V94" s="31">
        <f>IF(T$12=0,0,T94/T$12)</f>
        <v>4.737004872228056E-2</v>
      </c>
      <c r="W94" s="16"/>
      <c r="X94" s="34">
        <f>+P94-T94</f>
        <v>-23368.199447799925</v>
      </c>
      <c r="Y94" s="16"/>
      <c r="Z94" s="31">
        <f>IF(T94=0,0,X94/T94)</f>
        <v>-0.79751246659493913</v>
      </c>
    </row>
    <row r="95" spans="1:26" ht="15.75" thickTop="1" x14ac:dyDescent="0.25">
      <c r="A95" s="9"/>
      <c r="C95" s="9"/>
      <c r="D95" s="18"/>
      <c r="E95" s="18"/>
      <c r="G95" s="18"/>
      <c r="H95" s="18"/>
      <c r="I95" s="18"/>
      <c r="J95" s="42"/>
      <c r="K95" s="18"/>
      <c r="L95" s="18"/>
      <c r="M95" s="18"/>
      <c r="P95" s="18"/>
      <c r="Q95" s="18"/>
      <c r="R95" s="42"/>
      <c r="S95" s="18"/>
      <c r="T95" s="18"/>
      <c r="U95" s="18"/>
      <c r="V95" s="42"/>
      <c r="W95" s="18"/>
      <c r="X95" s="18"/>
    </row>
    <row r="96" spans="1:26" x14ac:dyDescent="0.25">
      <c r="A96" s="9"/>
      <c r="B96" s="59">
        <v>43992.371603819447</v>
      </c>
      <c r="D96" s="18"/>
      <c r="E96" s="18"/>
      <c r="G96" s="18"/>
      <c r="H96" s="18"/>
      <c r="I96" s="18"/>
      <c r="J96" s="42"/>
      <c r="K96" s="18"/>
      <c r="L96" s="18"/>
      <c r="M96" s="18"/>
      <c r="P96" s="18"/>
      <c r="Q96" s="18"/>
      <c r="R96" s="42"/>
      <c r="S96" s="18"/>
      <c r="T96" s="18"/>
      <c r="U96" s="18"/>
      <c r="V96" s="42"/>
      <c r="W96" s="18"/>
      <c r="X96" s="18"/>
    </row>
    <row r="97" spans="1:24" x14ac:dyDescent="0.25">
      <c r="A97" s="9"/>
      <c r="B97" s="56" t="s">
        <v>314</v>
      </c>
      <c r="D97" s="18"/>
      <c r="E97" s="18"/>
      <c r="G97" s="18"/>
      <c r="H97" s="18"/>
      <c r="I97" s="18"/>
      <c r="J97" s="42"/>
      <c r="K97" s="18"/>
      <c r="L97" s="18"/>
      <c r="M97" s="18"/>
      <c r="P97" s="18"/>
      <c r="Q97" s="18"/>
      <c r="R97" s="42"/>
      <c r="S97" s="18"/>
      <c r="T97" s="18"/>
      <c r="U97" s="18"/>
      <c r="V97" s="42"/>
      <c r="W97" s="18"/>
      <c r="X97" s="18"/>
    </row>
    <row r="98" spans="1:24" x14ac:dyDescent="0.25">
      <c r="A98" s="9"/>
      <c r="B98" s="54"/>
      <c r="D98" s="18"/>
      <c r="E98" s="18"/>
      <c r="G98" s="18"/>
      <c r="H98" s="18"/>
      <c r="I98" s="18"/>
      <c r="J98" s="42"/>
      <c r="K98" s="18"/>
      <c r="L98" s="18"/>
      <c r="M98" s="18"/>
      <c r="P98" s="18"/>
      <c r="Q98" s="18"/>
      <c r="R98" s="42"/>
      <c r="S98" s="18"/>
      <c r="T98" s="18"/>
      <c r="U98" s="18"/>
      <c r="V98" s="42"/>
      <c r="W98" s="18"/>
      <c r="X98" s="18"/>
    </row>
    <row r="99" spans="1:24" x14ac:dyDescent="0.25">
      <c r="D99" s="18"/>
      <c r="E99" s="18"/>
      <c r="G99" s="18"/>
      <c r="H99" s="18"/>
      <c r="I99" s="18"/>
      <c r="J99" s="42"/>
      <c r="K99" s="18"/>
      <c r="L99" s="18"/>
      <c r="M99" s="18"/>
      <c r="P99" s="18"/>
      <c r="Q99" s="18"/>
      <c r="R99" s="42"/>
      <c r="S99" s="18"/>
      <c r="T99" s="18"/>
      <c r="U99" s="18"/>
      <c r="V99" s="42"/>
      <c r="W99" s="18"/>
      <c r="X99" s="18"/>
    </row>
  </sheetData>
  <pageMargins left="0.25" right="0.25" top="0.75" bottom="0.75" header="0.3" footer="0.3"/>
  <pageSetup scale="55" fitToWidth="2" orientation="landscape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63" t="s">
        <v>13</v>
      </c>
    </row>
    <row r="3" spans="1:26" x14ac:dyDescent="0.25">
      <c r="D3" s="63" t="s">
        <v>296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61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63" t="e">
        <f ca="1">CONCATENATE("Period ",RIGHT(_xll.OneStop.ReportPlayer.OSRFunctions.OSRGet("Period","PeriodId"),2),", ",_xll.OneStop.ReportPlayer.OSRFunctions.OSRGet("Period","Year"))</f>
        <v>#NAME?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61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5" t="e">
        <f ca="1">_xll.OneStop.ReportPlayer.OSRFunctions.OSRGet("Period","PeriodEnd")</f>
        <v>#NAME?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61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51"/>
      <c r="C6" s="51"/>
      <c r="D6" s="23" t="s">
        <v>299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57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5" t="s">
        <v>294</v>
      </c>
      <c r="E9" s="15"/>
      <c r="F9" s="38"/>
      <c r="G9" s="15"/>
      <c r="H9" s="15"/>
      <c r="I9" s="15"/>
      <c r="J9" s="46"/>
      <c r="K9" s="15"/>
      <c r="L9" s="15"/>
      <c r="M9" s="15"/>
      <c r="N9" s="38"/>
      <c r="P9" s="15" t="s">
        <v>295</v>
      </c>
      <c r="Q9" s="15"/>
      <c r="R9" s="38"/>
      <c r="S9" s="15"/>
      <c r="T9" s="15"/>
      <c r="U9" s="15"/>
      <c r="V9" s="46"/>
      <c r="W9" s="15"/>
      <c r="X9" s="15"/>
      <c r="Y9" s="15"/>
      <c r="Z9" s="38"/>
    </row>
    <row r="10" spans="1:26" x14ac:dyDescent="0.25">
      <c r="A10" s="10"/>
      <c r="B10" s="55"/>
      <c r="C10" s="10"/>
      <c r="D10" s="43" t="s">
        <v>10</v>
      </c>
      <c r="E10" s="33"/>
      <c r="F10" s="40" t="s">
        <v>15</v>
      </c>
      <c r="G10" s="33"/>
      <c r="H10" s="47" t="s">
        <v>11</v>
      </c>
      <c r="I10" s="33"/>
      <c r="J10" s="45" t="s">
        <v>16</v>
      </c>
      <c r="K10" s="10"/>
      <c r="L10" s="43" t="s">
        <v>12</v>
      </c>
      <c r="M10" s="10"/>
      <c r="N10" s="40" t="s">
        <v>17</v>
      </c>
      <c r="O10" s="10"/>
      <c r="P10" s="53" t="s">
        <v>10</v>
      </c>
      <c r="Q10" s="33"/>
      <c r="R10" s="40" t="s">
        <v>15</v>
      </c>
      <c r="S10" s="33"/>
      <c r="T10" s="47" t="s">
        <v>11</v>
      </c>
      <c r="U10" s="33"/>
      <c r="V10" s="45" t="s">
        <v>16</v>
      </c>
      <c r="W10" s="10"/>
      <c r="X10" s="43" t="s">
        <v>12</v>
      </c>
      <c r="Y10" s="10"/>
      <c r="Z10" s="40" t="s">
        <v>17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 t="e">
        <f ca="1">SUM(_xll.OneStop.ReportPlayer.OSRFunctions.OSRRef(D13))</f>
        <v>#NAME?</v>
      </c>
      <c r="E12" s="4"/>
      <c r="F12" s="13"/>
      <c r="G12" s="4"/>
      <c r="H12" s="4" t="e">
        <f ca="1">SUM(_xll.OneStop.ReportPlayer.OSRFunctions.OSRRef(H13))</f>
        <v>#NAME?</v>
      </c>
      <c r="I12" s="4"/>
      <c r="J12" s="13"/>
      <c r="K12" s="4"/>
      <c r="L12" s="4" t="e">
        <f t="shared" ref="L12:L13" ca="1" si="0">+D12-H12</f>
        <v>#NAME?</v>
      </c>
      <c r="M12" s="4"/>
      <c r="N12" s="13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3"/>
      <c r="S12" s="4"/>
      <c r="T12" s="4" t="e">
        <f ca="1">SUM(_xll.OneStop.ReportPlayer.OSRFunctions.OSRRef(T13))</f>
        <v>#NAME?</v>
      </c>
      <c r="U12" s="4"/>
      <c r="V12" s="13"/>
      <c r="W12" s="4"/>
      <c r="X12" s="4" t="e">
        <f t="shared" ref="X12:X13" ca="1" si="2">+P12-T12</f>
        <v>#NAME?</v>
      </c>
      <c r="Y12" s="4"/>
      <c r="Z12" s="13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8</v>
      </c>
      <c r="C15" s="10"/>
      <c r="D15" s="4" t="e">
        <f ca="1">SUM(_xll.OneStop.ReportPlayer.OSRFunctions.OSRRef(D16))</f>
        <v>#NAME?</v>
      </c>
      <c r="E15" s="4"/>
      <c r="F15" s="13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3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3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3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3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3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6</v>
      </c>
      <c r="C18" s="29"/>
      <c r="D18" s="20" t="e">
        <f ca="1">D12-D15</f>
        <v>#NAME?</v>
      </c>
      <c r="E18" s="14"/>
      <c r="F18" s="22" t="e">
        <f ca="1">IF(D$12=0,0,D18/D$12)</f>
        <v>#NAME?</v>
      </c>
      <c r="G18" s="14"/>
      <c r="H18" s="20" t="e">
        <f ca="1">H12-H15</f>
        <v>#NAME?</v>
      </c>
      <c r="I18" s="14"/>
      <c r="J18" s="22" t="e">
        <f ca="1">IF(H$12=0,0,H18/H$12)</f>
        <v>#NAME?</v>
      </c>
      <c r="K18" s="16"/>
      <c r="L18" s="20" t="e">
        <f ca="1">+D18-H18</f>
        <v>#NAME?</v>
      </c>
      <c r="M18" s="16"/>
      <c r="N18" s="22" t="e">
        <f ca="1">IF(H18=0,0,L18/H18)</f>
        <v>#NAME?</v>
      </c>
      <c r="O18" s="28"/>
      <c r="P18" s="20" t="e">
        <f ca="1">P12-P15</f>
        <v>#NAME?</v>
      </c>
      <c r="Q18" s="14"/>
      <c r="R18" s="22" t="e">
        <f ca="1">IF(P$12=0,0,P18/P$12)</f>
        <v>#NAME?</v>
      </c>
      <c r="S18" s="14"/>
      <c r="T18" s="20" t="e">
        <f ca="1">T12-T15</f>
        <v>#NAME?</v>
      </c>
      <c r="U18" s="14"/>
      <c r="V18" s="22" t="e">
        <f ca="1">IF(T$12=0,0,T18/T$12)</f>
        <v>#NAME?</v>
      </c>
      <c r="W18" s="16"/>
      <c r="X18" s="20" t="e">
        <f ca="1">+P18-T18</f>
        <v>#NAME?</v>
      </c>
      <c r="Y18" s="16"/>
      <c r="Z18" s="22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9</v>
      </c>
      <c r="C20" s="10"/>
      <c r="D20" s="21" t="e">
        <f ca="1">SUM(_xll.OneStop.ReportPlayer.OSRFunctions.OSRRef(D22))</f>
        <v>#NAME?</v>
      </c>
      <c r="E20" s="21"/>
      <c r="F20" s="30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0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0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0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0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0" t="e">
        <f t="shared" ref="Z20:Z22" ca="1" si="19">IF(T20=0,0,X20/T20)</f>
        <v>#NAME?</v>
      </c>
    </row>
    <row r="21" spans="1:26" s="27" customFormat="1" outlineLevel="1" collapsed="1" x14ac:dyDescent="0.25">
      <c r="A21" s="25"/>
      <c r="B21" s="12" t="e">
        <f ca="1">CONCATENATE("     ",_xll.OneStop.ReportPlayer.OSRFunctions.OSRGet("d_Account","AccountCategory"))</f>
        <v>#NAME?</v>
      </c>
      <c r="C21" s="12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2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6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62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8" t="s">
        <v>0</v>
      </c>
      <c r="C24" s="10"/>
      <c r="D24" s="4" t="e">
        <f ca="1">SUM(_xll.OneStop.ReportPlayer.OSRFunctions.OSRRef(D25))</f>
        <v>#NAME?</v>
      </c>
      <c r="E24" s="4"/>
      <c r="F24" s="13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3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3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3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3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3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3</v>
      </c>
      <c r="C27" s="29"/>
      <c r="D27" s="20" t="e">
        <f ca="1">+D18-D20+D24</f>
        <v>#NAME?</v>
      </c>
      <c r="E27" s="14"/>
      <c r="F27" s="22" t="e">
        <f ca="1">IF(D$12=0,0,D27/D$12)</f>
        <v>#NAME?</v>
      </c>
      <c r="G27" s="14"/>
      <c r="H27" s="20" t="e">
        <f ca="1">+H18-H20+H24</f>
        <v>#NAME?</v>
      </c>
      <c r="I27" s="14"/>
      <c r="J27" s="22" t="e">
        <f ca="1">IF(H$12=0,0,H27/H$12)</f>
        <v>#NAME?</v>
      </c>
      <c r="K27" s="16"/>
      <c r="L27" s="20" t="e">
        <f ca="1">+D27-H27</f>
        <v>#NAME?</v>
      </c>
      <c r="M27" s="16"/>
      <c r="N27" s="22" t="e">
        <f ca="1">IF(H27=0,0,L27/H27)</f>
        <v>#NAME?</v>
      </c>
      <c r="O27" s="28"/>
      <c r="P27" s="20" t="e">
        <f ca="1">+P18-P20+P24</f>
        <v>#NAME?</v>
      </c>
      <c r="Q27" s="14"/>
      <c r="R27" s="22" t="e">
        <f ca="1">IF(P$12=0,0,P27/P$12)</f>
        <v>#NAME?</v>
      </c>
      <c r="S27" s="14"/>
      <c r="T27" s="20" t="e">
        <f ca="1">+T18-T20+T24</f>
        <v>#NAME?</v>
      </c>
      <c r="U27" s="14"/>
      <c r="V27" s="22" t="e">
        <f ca="1">IF(T$12=0,0,T27/T$12)</f>
        <v>#NAME?</v>
      </c>
      <c r="W27" s="16"/>
      <c r="X27" s="20" t="e">
        <f ca="1">+P27-T27</f>
        <v>#NAME?</v>
      </c>
      <c r="Y27" s="16"/>
      <c r="Z27" s="22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3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3" t="e">
        <f ca="1">IF(H$12=0,0,H29/H$12)</f>
        <v>#NAME?</v>
      </c>
      <c r="K29" s="4"/>
      <c r="L29" s="4" t="e">
        <f ca="1">+D29-H29</f>
        <v>#NAME?</v>
      </c>
      <c r="M29" s="4"/>
      <c r="N29" s="13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3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3" t="e">
        <f ca="1">IF(T$12=0,0,T29/T$12)</f>
        <v>#NAME?</v>
      </c>
      <c r="W29" s="4"/>
      <c r="X29" s="4" t="e">
        <f ca="1">+P29-T29</f>
        <v>#NAME?</v>
      </c>
      <c r="Y29" s="4"/>
      <c r="Z29" s="13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4</v>
      </c>
      <c r="C31" s="29"/>
      <c r="D31" s="35" t="e">
        <f ca="1">+D27-D29</f>
        <v>#NAME?</v>
      </c>
      <c r="E31" s="14"/>
      <c r="F31" s="32" t="e">
        <f ca="1">IF(D$12=0,0,D31/D$12)</f>
        <v>#NAME?</v>
      </c>
      <c r="G31" s="14"/>
      <c r="H31" s="35" t="e">
        <f ca="1">+H27-H29</f>
        <v>#NAME?</v>
      </c>
      <c r="I31" s="14"/>
      <c r="J31" s="32" t="e">
        <f ca="1">IF(H$12=0,0,H31/H$12)</f>
        <v>#NAME?</v>
      </c>
      <c r="K31" s="16"/>
      <c r="L31" s="35" t="e">
        <f ca="1">D31-H31</f>
        <v>#NAME?</v>
      </c>
      <c r="M31" s="16"/>
      <c r="N31" s="32" t="e">
        <f ca="1">IF(H31=0,0,L31/H31)</f>
        <v>#NAME?</v>
      </c>
      <c r="O31" s="28"/>
      <c r="P31" s="35" t="e">
        <f ca="1">+P27-P29</f>
        <v>#NAME?</v>
      </c>
      <c r="Q31" s="14"/>
      <c r="R31" s="32" t="e">
        <f ca="1">IF(P$12=0,0,P31/P$12)</f>
        <v>#NAME?</v>
      </c>
      <c r="S31" s="14"/>
      <c r="T31" s="35" t="e">
        <f ca="1">+T27-T29</f>
        <v>#NAME?</v>
      </c>
      <c r="U31" s="14"/>
      <c r="V31" s="32" t="e">
        <f ca="1">IF(T$12=0,0,T31/T$12)</f>
        <v>#NAME?</v>
      </c>
      <c r="W31" s="16"/>
      <c r="X31" s="35" t="e">
        <f ca="1">P31-T31</f>
        <v>#NAME?</v>
      </c>
      <c r="Y31" s="16"/>
      <c r="Z31" s="32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3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3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3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3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3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3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3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3" t="e">
        <f t="shared" ca="1" si="29"/>
        <v>#NAME?</v>
      </c>
      <c r="K34" s="4"/>
      <c r="L34" s="4" t="e">
        <f t="shared" ca="1" si="30"/>
        <v>#NAME?</v>
      </c>
      <c r="M34" s="4"/>
      <c r="N34" s="13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3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3" t="e">
        <f t="shared" ca="1" si="33"/>
        <v>#NAME?</v>
      </c>
      <c r="W34" s="4"/>
      <c r="X34" s="4" t="e">
        <f t="shared" ca="1" si="34"/>
        <v>#NAME?</v>
      </c>
      <c r="Y34" s="4"/>
      <c r="Z34" s="13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5</v>
      </c>
      <c r="C36" s="29"/>
      <c r="D36" s="34" t="e">
        <f ca="1">SUM(D31:D35)</f>
        <v>#NAME?</v>
      </c>
      <c r="E36" s="14"/>
      <c r="F36" s="31" t="e">
        <f ca="1">IF(D$12=0,0,D36/D$12)</f>
        <v>#NAME?</v>
      </c>
      <c r="G36" s="14"/>
      <c r="H36" s="34" t="e">
        <f ca="1">SUM(H31:H35)</f>
        <v>#NAME?</v>
      </c>
      <c r="I36" s="14"/>
      <c r="J36" s="31" t="e">
        <f ca="1">IF(H$12=0,0,H36/H$12)</f>
        <v>#NAME?</v>
      </c>
      <c r="K36" s="16"/>
      <c r="L36" s="34" t="e">
        <f ca="1">+D36-H36</f>
        <v>#NAME?</v>
      </c>
      <c r="M36" s="16"/>
      <c r="N36" s="31" t="e">
        <f ca="1">IF(H36=0,0,L36/H36)</f>
        <v>#NAME?</v>
      </c>
      <c r="O36" s="28"/>
      <c r="P36" s="34" t="e">
        <f ca="1">SUM(P31:P35)</f>
        <v>#NAME?</v>
      </c>
      <c r="Q36" s="14"/>
      <c r="R36" s="31" t="e">
        <f ca="1">IF(P$12=0,0,P36/P$12)</f>
        <v>#NAME?</v>
      </c>
      <c r="S36" s="14"/>
      <c r="T36" s="34" t="e">
        <f ca="1">SUM(T31:T35)</f>
        <v>#NAME?</v>
      </c>
      <c r="U36" s="14"/>
      <c r="V36" s="31" t="e">
        <f ca="1">IF(T$12=0,0,T36/T$12)</f>
        <v>#NAME?</v>
      </c>
      <c r="W36" s="16"/>
      <c r="X36" s="34" t="e">
        <f ca="1">+P36-T36</f>
        <v>#NAME?</v>
      </c>
      <c r="Y36" s="16"/>
      <c r="Z36" s="31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59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56" t="e">
        <f ca="1">_xll.OneStop.ReportPlayer.OSRFunctions.OSRGet("User","UserId")</f>
        <v>#NAME?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54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94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63" t="s">
        <v>13</v>
      </c>
    </row>
    <row r="3" spans="1:26" x14ac:dyDescent="0.25">
      <c r="D3" s="63" t="s">
        <v>296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61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63" t="str">
        <f>CONCATENATE("Period ",RIGHT(202011,2),", ",2020)</f>
        <v>Period 11, 2020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61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4">
        <v>43981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61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51"/>
      <c r="C6" s="51"/>
      <c r="D6" s="23" t="str">
        <f>CONCATENATE("Department ","321", " - ", "Student Union C-Store")</f>
        <v>Department 321 - Student Union C-Store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57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5" t="s">
        <v>294</v>
      </c>
      <c r="E9" s="15"/>
      <c r="F9" s="38"/>
      <c r="G9" s="15"/>
      <c r="H9" s="15"/>
      <c r="I9" s="15"/>
      <c r="J9" s="46"/>
      <c r="K9" s="15"/>
      <c r="L9" s="15"/>
      <c r="M9" s="15"/>
      <c r="N9" s="38"/>
      <c r="P9" s="15" t="s">
        <v>295</v>
      </c>
      <c r="Q9" s="15"/>
      <c r="R9" s="38"/>
      <c r="S9" s="15"/>
      <c r="T9" s="15"/>
      <c r="U9" s="15"/>
      <c r="V9" s="46"/>
      <c r="W9" s="15"/>
      <c r="X9" s="15"/>
      <c r="Y9" s="15"/>
      <c r="Z9" s="38"/>
    </row>
    <row r="10" spans="1:26" x14ac:dyDescent="0.25">
      <c r="A10" s="10"/>
      <c r="B10" s="55"/>
      <c r="C10" s="10"/>
      <c r="D10" s="43" t="s">
        <v>10</v>
      </c>
      <c r="E10" s="33"/>
      <c r="F10" s="40" t="s">
        <v>15</v>
      </c>
      <c r="G10" s="33"/>
      <c r="H10" s="47" t="s">
        <v>11</v>
      </c>
      <c r="I10" s="33"/>
      <c r="J10" s="45" t="s">
        <v>16</v>
      </c>
      <c r="K10" s="10"/>
      <c r="L10" s="43" t="s">
        <v>12</v>
      </c>
      <c r="M10" s="10"/>
      <c r="N10" s="40" t="s">
        <v>17</v>
      </c>
      <c r="O10" s="10"/>
      <c r="P10" s="53" t="s">
        <v>10</v>
      </c>
      <c r="Q10" s="33"/>
      <c r="R10" s="40" t="s">
        <v>15</v>
      </c>
      <c r="S10" s="33"/>
      <c r="T10" s="47" t="s">
        <v>11</v>
      </c>
      <c r="U10" s="33"/>
      <c r="V10" s="45" t="s">
        <v>16</v>
      </c>
      <c r="W10" s="10"/>
      <c r="X10" s="43" t="s">
        <v>12</v>
      </c>
      <c r="Y10" s="10"/>
      <c r="Z10" s="40" t="s">
        <v>17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0</v>
      </c>
      <c r="E12" s="4"/>
      <c r="F12" s="13"/>
      <c r="G12" s="4"/>
      <c r="H12" s="4">
        <f>SUM(OSRRefH13x_0)</f>
        <v>23024</v>
      </c>
      <c r="I12" s="4"/>
      <c r="J12" s="13"/>
      <c r="K12" s="4"/>
      <c r="L12" s="4">
        <f t="shared" ref="L12:L15" si="0">+D12-H12</f>
        <v>-23024</v>
      </c>
      <c r="M12" s="4"/>
      <c r="N12" s="13">
        <f t="shared" ref="N12:N15" si="1">IF(H12=0,0,L12/H12)</f>
        <v>-1</v>
      </c>
      <c r="O12" s="10"/>
      <c r="P12" s="4">
        <f>SUM(OSRRefP13x_0)</f>
        <v>281486.67000000004</v>
      </c>
      <c r="Q12" s="4"/>
      <c r="R12" s="13"/>
      <c r="S12" s="4"/>
      <c r="T12" s="4">
        <f>SUM(OSRRefT13x_0)</f>
        <v>323536</v>
      </c>
      <c r="U12" s="4"/>
      <c r="V12" s="13"/>
      <c r="W12" s="4"/>
      <c r="X12" s="4">
        <f t="shared" ref="X12:X15" si="2">+P12-T12</f>
        <v>-42049.329999999958</v>
      </c>
      <c r="Y12" s="4"/>
      <c r="Z12" s="13">
        <f t="shared" ref="Z12:Z15" si="3">IF(T12=0,0,X12/T12)</f>
        <v>-0.12996800974234693</v>
      </c>
    </row>
    <row r="13" spans="1:26" s="24" customFormat="1" hidden="1" outlineLevel="1" x14ac:dyDescent="0.25">
      <c r="A13" s="44"/>
      <c r="B13" s="11" t="str">
        <f>CONCATENATE("          ", "4032", " - ", "TAXABLE SALES-JUICE")</f>
        <v xml:space="preserve">          4032 - TAXABLE SALES-JUICE</v>
      </c>
      <c r="C13" s="11"/>
      <c r="D13" s="2">
        <f t="shared" ref="D13:D15" si="4">0</f>
        <v>0</v>
      </c>
      <c r="E13" s="2"/>
      <c r="F13" s="19"/>
      <c r="G13" s="2"/>
      <c r="H13" s="2"/>
      <c r="I13" s="2"/>
      <c r="J13" s="19"/>
      <c r="K13" s="2"/>
      <c r="L13" s="2">
        <f t="shared" si="0"/>
        <v>0</v>
      </c>
      <c r="M13" s="2"/>
      <c r="N13" s="19">
        <f t="shared" si="1"/>
        <v>0</v>
      </c>
      <c r="O13" s="11"/>
      <c r="P13" s="2">
        <f>--65192.75</f>
        <v>65192.75</v>
      </c>
      <c r="Q13" s="2"/>
      <c r="R13" s="19"/>
      <c r="S13" s="2"/>
      <c r="T13" s="2"/>
      <c r="U13" s="2"/>
      <c r="V13" s="19"/>
      <c r="W13" s="2"/>
      <c r="X13" s="2">
        <f t="shared" si="2"/>
        <v>65192.75</v>
      </c>
      <c r="Y13" s="2"/>
      <c r="Z13" s="19">
        <f t="shared" si="3"/>
        <v>0</v>
      </c>
    </row>
    <row r="14" spans="1:26" s="24" customFormat="1" hidden="1" outlineLevel="1" x14ac:dyDescent="0.25">
      <c r="A14" s="44"/>
      <c r="B14" s="11" t="str">
        <f>CONCATENATE("          ", "4100", " - ", "NON-TAXABLE SALES")</f>
        <v xml:space="preserve">          4100 - NON-TAXABLE SALES</v>
      </c>
      <c r="C14" s="11"/>
      <c r="D14" s="2">
        <f t="shared" si="4"/>
        <v>0</v>
      </c>
      <c r="E14" s="2"/>
      <c r="F14" s="19"/>
      <c r="G14" s="2"/>
      <c r="H14" s="2">
        <v>23024</v>
      </c>
      <c r="I14" s="2"/>
      <c r="J14" s="19"/>
      <c r="K14" s="2"/>
      <c r="L14" s="2">
        <f t="shared" si="0"/>
        <v>-23024</v>
      </c>
      <c r="M14" s="2"/>
      <c r="N14" s="19">
        <f t="shared" si="1"/>
        <v>-1</v>
      </c>
      <c r="O14" s="11"/>
      <c r="P14" s="2">
        <f>0</f>
        <v>0</v>
      </c>
      <c r="Q14" s="2"/>
      <c r="R14" s="19"/>
      <c r="S14" s="2"/>
      <c r="T14" s="2">
        <v>323536</v>
      </c>
      <c r="U14" s="2"/>
      <c r="V14" s="19"/>
      <c r="W14" s="2"/>
      <c r="X14" s="2">
        <f t="shared" si="2"/>
        <v>-323536</v>
      </c>
      <c r="Y14" s="2"/>
      <c r="Z14" s="19">
        <f t="shared" si="3"/>
        <v>-1</v>
      </c>
    </row>
    <row r="15" spans="1:26" s="24" customFormat="1" hidden="1" outlineLevel="1" x14ac:dyDescent="0.25">
      <c r="A15" s="44"/>
      <c r="B15" s="11" t="str">
        <f>CONCATENATE("          ", "4132", " - ", "NON-TAXABLE SALES-JUICE")</f>
        <v xml:space="preserve">          4132 - NON-TAXABLE SALES-JUICE</v>
      </c>
      <c r="C15" s="11"/>
      <c r="D15" s="2">
        <f t="shared" si="4"/>
        <v>0</v>
      </c>
      <c r="E15" s="2"/>
      <c r="F15" s="19"/>
      <c r="G15" s="2"/>
      <c r="H15" s="2"/>
      <c r="I15" s="2"/>
      <c r="J15" s="19"/>
      <c r="K15" s="2"/>
      <c r="L15" s="2">
        <f t="shared" si="0"/>
        <v>0</v>
      </c>
      <c r="M15" s="2"/>
      <c r="N15" s="19">
        <f t="shared" si="1"/>
        <v>0</v>
      </c>
      <c r="O15" s="11"/>
      <c r="P15" s="2">
        <f>--216293.92</f>
        <v>216293.92</v>
      </c>
      <c r="Q15" s="2"/>
      <c r="R15" s="19"/>
      <c r="S15" s="2"/>
      <c r="T15" s="2"/>
      <c r="U15" s="2"/>
      <c r="V15" s="19"/>
      <c r="W15" s="2"/>
      <c r="X15" s="2">
        <f t="shared" si="2"/>
        <v>216293.92</v>
      </c>
      <c r="Y15" s="2"/>
      <c r="Z15" s="19">
        <f t="shared" si="3"/>
        <v>0</v>
      </c>
    </row>
    <row r="16" spans="1:26" x14ac:dyDescent="0.25">
      <c r="A16" s="9"/>
      <c r="B16" s="10"/>
      <c r="C16" s="9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3" customFormat="1" collapsed="1" x14ac:dyDescent="0.25">
      <c r="A17" s="10"/>
      <c r="B17" s="28" t="s">
        <v>8</v>
      </c>
      <c r="C17" s="10"/>
      <c r="D17" s="4">
        <f>SUM(OSRRefD16x_0)</f>
        <v>113.35</v>
      </c>
      <c r="E17" s="4"/>
      <c r="F17" s="13">
        <f t="shared" ref="F17:F20" si="5">IF(D$12=0,0,D17/D$12)</f>
        <v>0</v>
      </c>
      <c r="G17" s="4"/>
      <c r="H17" s="4">
        <f>SUM(OSRRefH16x_0)</f>
        <v>11006</v>
      </c>
      <c r="I17" s="4"/>
      <c r="J17" s="13">
        <f t="shared" ref="J17:J20" si="6">IF(H$12=0,0,H17/H$12)</f>
        <v>0.47802293259207784</v>
      </c>
      <c r="K17" s="4"/>
      <c r="L17" s="4">
        <f t="shared" ref="L17:L20" si="7">+D17-H17</f>
        <v>-10892.65</v>
      </c>
      <c r="M17" s="4"/>
      <c r="N17" s="13">
        <f t="shared" ref="N17:N20" si="8">IF(H17=0,0,L17/H17)</f>
        <v>-0.98970107214246772</v>
      </c>
      <c r="O17" s="10"/>
      <c r="P17" s="4">
        <f>SUM(OSRRefP16x_0)</f>
        <v>146610.48000000001</v>
      </c>
      <c r="Q17" s="4"/>
      <c r="R17" s="13">
        <f t="shared" ref="R17:R20" si="9">IF(P$12=0,0,P17/P$12)</f>
        <v>0.52084342040068887</v>
      </c>
      <c r="S17" s="4"/>
      <c r="T17" s="4">
        <f>SUM(OSRRefT16x_0)</f>
        <v>154651</v>
      </c>
      <c r="U17" s="4"/>
      <c r="V17" s="13">
        <f t="shared" ref="V17:V20" si="10">IF(T$12=0,0,T17/T$12)</f>
        <v>0.47800244795015084</v>
      </c>
      <c r="W17" s="4"/>
      <c r="X17" s="4">
        <f t="shared" ref="X17:X20" si="11">+P17-T17</f>
        <v>-8040.5199999999895</v>
      </c>
      <c r="Y17" s="4"/>
      <c r="Z17" s="13">
        <f t="shared" ref="Z17:Z20" si="12">IF(T17=0,0,X17/T17)</f>
        <v>-5.1991387058602852E-2</v>
      </c>
    </row>
    <row r="18" spans="1:26" s="24" customFormat="1" hidden="1" outlineLevel="1" x14ac:dyDescent="0.25">
      <c r="A18" s="44"/>
      <c r="B18" s="11" t="str">
        <f>CONCATENATE("          ", "5000", " - ", "PURCHASES @ COST")</f>
        <v xml:space="preserve">          5000 - PURCHASES @ COST</v>
      </c>
      <c r="C18" s="11"/>
      <c r="D18" s="2"/>
      <c r="E18" s="2"/>
      <c r="F18" s="19">
        <f t="shared" si="5"/>
        <v>0</v>
      </c>
      <c r="G18" s="2"/>
      <c r="H18" s="2">
        <v>11006</v>
      </c>
      <c r="I18" s="2"/>
      <c r="J18" s="19">
        <f t="shared" si="6"/>
        <v>0.47802293259207784</v>
      </c>
      <c r="K18" s="2"/>
      <c r="L18" s="2">
        <f t="shared" si="7"/>
        <v>-11006</v>
      </c>
      <c r="M18" s="2"/>
      <c r="N18" s="19">
        <f t="shared" si="8"/>
        <v>-1</v>
      </c>
      <c r="O18" s="11"/>
      <c r="P18" s="2"/>
      <c r="Q18" s="2"/>
      <c r="R18" s="19">
        <f t="shared" si="9"/>
        <v>0</v>
      </c>
      <c r="S18" s="2"/>
      <c r="T18" s="2">
        <v>154651</v>
      </c>
      <c r="U18" s="2"/>
      <c r="V18" s="19">
        <f t="shared" si="10"/>
        <v>0.47800244795015084</v>
      </c>
      <c r="W18" s="2"/>
      <c r="X18" s="2">
        <f t="shared" si="11"/>
        <v>-154651</v>
      </c>
      <c r="Y18" s="2"/>
      <c r="Z18" s="19">
        <f t="shared" si="12"/>
        <v>-1</v>
      </c>
    </row>
    <row r="19" spans="1:26" s="24" customFormat="1" hidden="1" outlineLevel="1" x14ac:dyDescent="0.25">
      <c r="A19" s="44"/>
      <c r="B19" s="11" t="str">
        <f>CONCATENATE("          ", "5053", " - ", "PURCHASES @ COST-FOOD")</f>
        <v xml:space="preserve">          5053 - PURCHASES @ COST-FOOD</v>
      </c>
      <c r="C19" s="11"/>
      <c r="D19" s="2">
        <v>113.35</v>
      </c>
      <c r="E19" s="2"/>
      <c r="F19" s="19">
        <f t="shared" si="5"/>
        <v>0</v>
      </c>
      <c r="G19" s="2"/>
      <c r="H19" s="2"/>
      <c r="I19" s="2"/>
      <c r="J19" s="19">
        <f t="shared" si="6"/>
        <v>0</v>
      </c>
      <c r="K19" s="2"/>
      <c r="L19" s="2">
        <f t="shared" si="7"/>
        <v>113.35</v>
      </c>
      <c r="M19" s="2"/>
      <c r="N19" s="19">
        <f t="shared" si="8"/>
        <v>0</v>
      </c>
      <c r="O19" s="11"/>
      <c r="P19" s="2">
        <v>133882.69</v>
      </c>
      <c r="Q19" s="2"/>
      <c r="R19" s="19">
        <f t="shared" si="9"/>
        <v>0.47562710518405715</v>
      </c>
      <c r="S19" s="2"/>
      <c r="T19" s="2"/>
      <c r="U19" s="2"/>
      <c r="V19" s="19">
        <f t="shared" si="10"/>
        <v>0</v>
      </c>
      <c r="W19" s="2"/>
      <c r="X19" s="2">
        <f t="shared" si="11"/>
        <v>133882.69</v>
      </c>
      <c r="Y19" s="2"/>
      <c r="Z19" s="19">
        <f t="shared" si="12"/>
        <v>0</v>
      </c>
    </row>
    <row r="20" spans="1:26" s="24" customFormat="1" hidden="1" outlineLevel="1" x14ac:dyDescent="0.25">
      <c r="A20" s="44"/>
      <c r="B20" s="11" t="str">
        <f>CONCATENATE("          ", "5059", " - ", "PURCHASES @ COST-FOOD")</f>
        <v xml:space="preserve">          5059 - PURCHASES @ COST-FOOD</v>
      </c>
      <c r="C20" s="11"/>
      <c r="D20" s="2"/>
      <c r="E20" s="2"/>
      <c r="F20" s="19">
        <f t="shared" si="5"/>
        <v>0</v>
      </c>
      <c r="G20" s="2"/>
      <c r="H20" s="2"/>
      <c r="I20" s="2"/>
      <c r="J20" s="19">
        <f t="shared" si="6"/>
        <v>0</v>
      </c>
      <c r="K20" s="2"/>
      <c r="L20" s="2">
        <f t="shared" si="7"/>
        <v>0</v>
      </c>
      <c r="M20" s="2"/>
      <c r="N20" s="19">
        <f t="shared" si="8"/>
        <v>0</v>
      </c>
      <c r="O20" s="11"/>
      <c r="P20" s="2">
        <v>12727.79</v>
      </c>
      <c r="Q20" s="2"/>
      <c r="R20" s="19">
        <f t="shared" si="9"/>
        <v>4.5216315216631747E-2</v>
      </c>
      <c r="S20" s="2"/>
      <c r="T20" s="2"/>
      <c r="U20" s="2"/>
      <c r="V20" s="19">
        <f t="shared" si="10"/>
        <v>0</v>
      </c>
      <c r="W20" s="2"/>
      <c r="X20" s="2">
        <f t="shared" si="11"/>
        <v>12727.79</v>
      </c>
      <c r="Y20" s="2"/>
      <c r="Z20" s="19">
        <f t="shared" si="12"/>
        <v>0</v>
      </c>
    </row>
    <row r="21" spans="1:26" x14ac:dyDescent="0.25">
      <c r="A21" s="9"/>
      <c r="B21" s="10"/>
      <c r="C21" s="10"/>
      <c r="D21" s="3"/>
      <c r="E21" s="3"/>
      <c r="F21" s="8"/>
      <c r="G21" s="3"/>
      <c r="H21" s="3"/>
      <c r="I21" s="3"/>
      <c r="J21" s="8"/>
      <c r="K21" s="3"/>
      <c r="L21" s="3"/>
      <c r="M21" s="3"/>
      <c r="N21" s="8"/>
      <c r="O21" s="10"/>
      <c r="P21" s="3"/>
      <c r="Q21" s="3"/>
      <c r="R21" s="8"/>
      <c r="S21" s="3"/>
      <c r="T21" s="3"/>
      <c r="U21" s="3"/>
      <c r="V21" s="8"/>
      <c r="W21" s="3"/>
      <c r="X21" s="3"/>
      <c r="Y21" s="3"/>
      <c r="Z21" s="8"/>
    </row>
    <row r="22" spans="1:26" s="23" customFormat="1" x14ac:dyDescent="0.25">
      <c r="A22" s="10"/>
      <c r="B22" s="29" t="s">
        <v>6</v>
      </c>
      <c r="C22" s="29"/>
      <c r="D22" s="20">
        <f>D12-D17</f>
        <v>-113.35</v>
      </c>
      <c r="E22" s="14"/>
      <c r="F22" s="22">
        <f>IF(D$12=0,0,D22/D$12)</f>
        <v>0</v>
      </c>
      <c r="G22" s="14"/>
      <c r="H22" s="20">
        <f>H12-H17</f>
        <v>12018</v>
      </c>
      <c r="I22" s="14"/>
      <c r="J22" s="22">
        <f>IF(H$12=0,0,H22/H$12)</f>
        <v>0.52197706740792216</v>
      </c>
      <c r="K22" s="16"/>
      <c r="L22" s="20">
        <f>+D22-H22</f>
        <v>-12131.35</v>
      </c>
      <c r="M22" s="16"/>
      <c r="N22" s="22">
        <f>IF(H22=0,0,L22/H22)</f>
        <v>-1.0094316858046264</v>
      </c>
      <c r="O22" s="28"/>
      <c r="P22" s="20">
        <f>P12-P17</f>
        <v>134876.19000000003</v>
      </c>
      <c r="Q22" s="14"/>
      <c r="R22" s="22">
        <f>IF(P$12=0,0,P22/P$12)</f>
        <v>0.47915657959931107</v>
      </c>
      <c r="S22" s="14"/>
      <c r="T22" s="20">
        <f>T12-T17</f>
        <v>168885</v>
      </c>
      <c r="U22" s="14"/>
      <c r="V22" s="22">
        <f>IF(T$12=0,0,T22/T$12)</f>
        <v>0.52199755204984921</v>
      </c>
      <c r="W22" s="16"/>
      <c r="X22" s="20">
        <f>+P22-T22</f>
        <v>-34008.809999999969</v>
      </c>
      <c r="Y22" s="16"/>
      <c r="Z22" s="22">
        <f>IF(T22=0,0,X22/T22)</f>
        <v>-0.20137259081623571</v>
      </c>
    </row>
    <row r="23" spans="1:26" x14ac:dyDescent="0.25">
      <c r="A23" s="9"/>
      <c r="B23" s="10"/>
      <c r="C23" s="9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x14ac:dyDescent="0.25">
      <c r="A24" s="10"/>
      <c r="B24" s="28" t="s">
        <v>9</v>
      </c>
      <c r="C24" s="10"/>
      <c r="D24" s="21">
        <f>SUM(OSRRefD22x_0)</f>
        <v>1215.1599999999999</v>
      </c>
      <c r="E24" s="21"/>
      <c r="F24" s="30">
        <f t="shared" ref="F24:F33" si="13">IF(D$12=0,0,D24/D$12)</f>
        <v>0</v>
      </c>
      <c r="G24" s="21"/>
      <c r="H24" s="21">
        <f>SUM(OSRRefH22x_0)</f>
        <v>13535.934046653849</v>
      </c>
      <c r="I24" s="21"/>
      <c r="J24" s="30">
        <f t="shared" ref="J24:J33" si="14">IF(H$12=0,0,H24/H$12)</f>
        <v>0.58790540508399269</v>
      </c>
      <c r="K24" s="4"/>
      <c r="L24" s="21">
        <f t="shared" ref="L24:L33" si="15">+D24-H24</f>
        <v>-12320.774046653849</v>
      </c>
      <c r="M24" s="4"/>
      <c r="N24" s="30">
        <f t="shared" ref="N24:N33" si="16">IF(H24=0,0,L24/H24)</f>
        <v>-0.91022710395812001</v>
      </c>
      <c r="O24" s="10"/>
      <c r="P24" s="21">
        <f>SUM(OSRRefP22x_0)</f>
        <v>120942.66000000002</v>
      </c>
      <c r="Q24" s="21"/>
      <c r="R24" s="30">
        <f t="shared" ref="R24:R33" si="17">IF(P$12=0,0,P24/P$12)</f>
        <v>0.42965679333945012</v>
      </c>
      <c r="S24" s="21"/>
      <c r="T24" s="21">
        <f>SUM(OSRRefT22x_0)</f>
        <v>153864.33926359619</v>
      </c>
      <c r="U24" s="21"/>
      <c r="V24" s="30">
        <f t="shared" ref="V24:V33" si="18">IF(T$12=0,0,T24/T$12)</f>
        <v>0.47557100064164792</v>
      </c>
      <c r="W24" s="4"/>
      <c r="X24" s="21">
        <f t="shared" ref="X24:X33" si="19">+P24-T24</f>
        <v>-32921.679263596176</v>
      </c>
      <c r="Y24" s="4"/>
      <c r="Z24" s="30">
        <f t="shared" ref="Z24:Z33" si="20">IF(T24=0,0,X24/T24)</f>
        <v>-0.21396562336121075</v>
      </c>
    </row>
    <row r="25" spans="1:26" s="27" customFormat="1" outlineLevel="1" collapsed="1" x14ac:dyDescent="0.25">
      <c r="A25" s="25"/>
      <c r="B25" s="12" t="str">
        <f>CONCATENATE("     ","*Benefits                                         ")</f>
        <v xml:space="preserve">     *Benefits                                         </v>
      </c>
      <c r="C25" s="12"/>
      <c r="D25" s="1">
        <f>SUM(OSRRefD22_0x_0)</f>
        <v>0</v>
      </c>
      <c r="E25" s="1"/>
      <c r="F25" s="5">
        <f t="shared" si="13"/>
        <v>0</v>
      </c>
      <c r="G25" s="1"/>
      <c r="H25" s="1">
        <f>SUM(OSRRefH22_0x_0)</f>
        <v>1466.1027005000001</v>
      </c>
      <c r="I25" s="1"/>
      <c r="J25" s="5">
        <f t="shared" si="14"/>
        <v>6.3677149952223774E-2</v>
      </c>
      <c r="K25" s="1"/>
      <c r="L25" s="1">
        <f t="shared" si="15"/>
        <v>-1466.1027005000001</v>
      </c>
      <c r="M25" s="1"/>
      <c r="N25" s="5">
        <f t="shared" si="16"/>
        <v>-1</v>
      </c>
      <c r="O25" s="12"/>
      <c r="P25" s="1">
        <f>SUM(OSRRefP22_0x_0)</f>
        <v>10263.029999999999</v>
      </c>
      <c r="Q25" s="1"/>
      <c r="R25" s="5">
        <f t="shared" si="17"/>
        <v>3.646009240863874E-2</v>
      </c>
      <c r="S25" s="1"/>
      <c r="T25" s="1">
        <f>SUM(OSRRefT22_0x_0)</f>
        <v>16238.071859750002</v>
      </c>
      <c r="U25" s="1"/>
      <c r="V25" s="5">
        <f t="shared" si="18"/>
        <v>5.0189381891814211E-2</v>
      </c>
      <c r="W25" s="1"/>
      <c r="X25" s="1">
        <f t="shared" si="19"/>
        <v>-5975.0418597500029</v>
      </c>
      <c r="Y25" s="1"/>
      <c r="Z25" s="5">
        <f t="shared" si="20"/>
        <v>-0.36796498447334702</v>
      </c>
    </row>
    <row r="26" spans="1:26" s="24" customFormat="1" hidden="1" outlineLevel="2" x14ac:dyDescent="0.25">
      <c r="A26" s="26"/>
      <c r="B26" s="11" t="str">
        <f>CONCATENATE("          ", "6111", " - ", "F.I.C.A.")</f>
        <v xml:space="preserve">          6111 - F.I.C.A.</v>
      </c>
      <c r="C26" s="11"/>
      <c r="D26" s="7"/>
      <c r="E26" s="2"/>
      <c r="F26" s="6">
        <f t="shared" si="13"/>
        <v>0</v>
      </c>
      <c r="G26" s="2"/>
      <c r="H26" s="7">
        <v>158.91425065384598</v>
      </c>
      <c r="I26" s="2"/>
      <c r="J26" s="6">
        <f t="shared" si="14"/>
        <v>6.9021130409071393E-3</v>
      </c>
      <c r="K26" s="2"/>
      <c r="L26" s="7">
        <f t="shared" si="15"/>
        <v>-158.91425065384598</v>
      </c>
      <c r="M26" s="2"/>
      <c r="N26" s="6">
        <f t="shared" si="16"/>
        <v>-1</v>
      </c>
      <c r="O26" s="11"/>
      <c r="P26" s="7">
        <v>2418.25</v>
      </c>
      <c r="Q26" s="2"/>
      <c r="R26" s="6">
        <f t="shared" si="17"/>
        <v>8.5909929589205753E-3</v>
      </c>
      <c r="S26" s="2"/>
      <c r="T26" s="7">
        <v>1994.3893135961523</v>
      </c>
      <c r="U26" s="2"/>
      <c r="V26" s="6">
        <f t="shared" si="18"/>
        <v>6.1643505316136453E-3</v>
      </c>
      <c r="W26" s="2"/>
      <c r="X26" s="7">
        <f t="shared" si="19"/>
        <v>423.86068640384769</v>
      </c>
      <c r="Y26" s="2"/>
      <c r="Z26" s="6">
        <f t="shared" si="20"/>
        <v>0.21252655312295562</v>
      </c>
    </row>
    <row r="27" spans="1:26" s="24" customFormat="1" hidden="1" outlineLevel="2" x14ac:dyDescent="0.25">
      <c r="A27" s="26"/>
      <c r="B27" s="11" t="str">
        <f>CONCATENATE("          ", "6112", " - ", "COMPENSATION INSURANCE")</f>
        <v xml:space="preserve">          6112 - COMPENSATION INSURANCE</v>
      </c>
      <c r="C27" s="11"/>
      <c r="D27" s="7"/>
      <c r="E27" s="2"/>
      <c r="F27" s="6">
        <f t="shared" si="13"/>
        <v>0</v>
      </c>
      <c r="G27" s="2"/>
      <c r="H27" s="7">
        <v>146.02746692307699</v>
      </c>
      <c r="I27" s="2"/>
      <c r="J27" s="6">
        <f t="shared" si="14"/>
        <v>6.3424021422462205E-3</v>
      </c>
      <c r="K27" s="2"/>
      <c r="L27" s="7">
        <f t="shared" si="15"/>
        <v>-146.02746692307699</v>
      </c>
      <c r="M27" s="2"/>
      <c r="N27" s="6">
        <f t="shared" si="16"/>
        <v>-1</v>
      </c>
      <c r="O27" s="11"/>
      <c r="P27" s="7">
        <v>874.82</v>
      </c>
      <c r="Q27" s="2"/>
      <c r="R27" s="6">
        <f t="shared" si="17"/>
        <v>3.1078558711146072E-3</v>
      </c>
      <c r="S27" s="2"/>
      <c r="T27" s="7">
        <v>1500.4875480769217</v>
      </c>
      <c r="U27" s="2"/>
      <c r="V27" s="6">
        <f t="shared" si="18"/>
        <v>4.6377761611595672E-3</v>
      </c>
      <c r="W27" s="2"/>
      <c r="X27" s="7">
        <f t="shared" si="19"/>
        <v>-625.66754807692166</v>
      </c>
      <c r="Y27" s="2"/>
      <c r="Z27" s="6">
        <f t="shared" si="20"/>
        <v>-0.41697616809869531</v>
      </c>
    </row>
    <row r="28" spans="1:26" s="24" customFormat="1" hidden="1" outlineLevel="2" x14ac:dyDescent="0.25">
      <c r="A28" s="26"/>
      <c r="B28" s="11" t="str">
        <f>CONCATENATE("          ", "6113", " - ", "GROUP INSURANCE")</f>
        <v xml:space="preserve">          6113 - GROUP INSURANCE</v>
      </c>
      <c r="C28" s="11"/>
      <c r="D28" s="7"/>
      <c r="E28" s="2"/>
      <c r="F28" s="6">
        <f t="shared" si="13"/>
        <v>0</v>
      </c>
      <c r="G28" s="2"/>
      <c r="H28" s="7">
        <v>690.5</v>
      </c>
      <c r="I28" s="2"/>
      <c r="J28" s="6">
        <f t="shared" si="14"/>
        <v>2.9990444753300902E-2</v>
      </c>
      <c r="K28" s="2"/>
      <c r="L28" s="7">
        <f t="shared" si="15"/>
        <v>-690.5</v>
      </c>
      <c r="M28" s="2"/>
      <c r="N28" s="6">
        <f t="shared" si="16"/>
        <v>-1</v>
      </c>
      <c r="O28" s="11"/>
      <c r="P28" s="7">
        <v>4676.5</v>
      </c>
      <c r="Q28" s="2"/>
      <c r="R28" s="6">
        <f t="shared" si="17"/>
        <v>1.6613575342661873E-2</v>
      </c>
      <c r="S28" s="2"/>
      <c r="T28" s="7">
        <v>7595.5</v>
      </c>
      <c r="U28" s="2"/>
      <c r="V28" s="6">
        <f t="shared" si="18"/>
        <v>2.3476521932644281E-2</v>
      </c>
      <c r="W28" s="2"/>
      <c r="X28" s="7">
        <f t="shared" si="19"/>
        <v>-2919</v>
      </c>
      <c r="Y28" s="2"/>
      <c r="Z28" s="6">
        <f t="shared" si="20"/>
        <v>-0.38430649726811927</v>
      </c>
    </row>
    <row r="29" spans="1:26" s="24" customFormat="1" hidden="1" outlineLevel="2" x14ac:dyDescent="0.25">
      <c r="A29" s="26"/>
      <c r="B29" s="11" t="str">
        <f>CONCATENATE("          ", "6114", " - ", "STATE UNEMPLOYMENT INSURANCE")</f>
        <v xml:space="preserve">          6114 - STATE UNEMPLOYMENT INSURANCE</v>
      </c>
      <c r="C29" s="11"/>
      <c r="D29" s="7"/>
      <c r="E29" s="2"/>
      <c r="F29" s="6">
        <f t="shared" si="13"/>
        <v>0</v>
      </c>
      <c r="G29" s="2"/>
      <c r="H29" s="7">
        <v>19.982706</v>
      </c>
      <c r="I29" s="2"/>
      <c r="J29" s="6">
        <f t="shared" si="14"/>
        <v>8.6790766157053513E-4</v>
      </c>
      <c r="K29" s="2"/>
      <c r="L29" s="7">
        <f t="shared" si="15"/>
        <v>-19.982706</v>
      </c>
      <c r="M29" s="2"/>
      <c r="N29" s="6">
        <f t="shared" si="16"/>
        <v>-1</v>
      </c>
      <c r="O29" s="11"/>
      <c r="P29" s="7">
        <v>125.59</v>
      </c>
      <c r="Q29" s="2"/>
      <c r="R29" s="6">
        <f t="shared" si="17"/>
        <v>4.4616677585478554E-4</v>
      </c>
      <c r="S29" s="2"/>
      <c r="T29" s="7">
        <v>205.32987499999999</v>
      </c>
      <c r="U29" s="2"/>
      <c r="V29" s="6">
        <f t="shared" si="18"/>
        <v>6.3464305363236239E-4</v>
      </c>
      <c r="W29" s="2"/>
      <c r="X29" s="7">
        <f t="shared" si="19"/>
        <v>-79.739874999999984</v>
      </c>
      <c r="Y29" s="2"/>
      <c r="Z29" s="6">
        <f t="shared" si="20"/>
        <v>-0.38835008787688585</v>
      </c>
    </row>
    <row r="30" spans="1:26" s="24" customFormat="1" hidden="1" outlineLevel="2" x14ac:dyDescent="0.25">
      <c r="A30" s="26"/>
      <c r="B30" s="11" t="str">
        <f>CONCATENATE("          ", "6115", " - ", "P.E.R.S.")</f>
        <v xml:space="preserve">          6115 - P.E.R.S.</v>
      </c>
      <c r="C30" s="11"/>
      <c r="D30" s="7"/>
      <c r="E30" s="2"/>
      <c r="F30" s="6">
        <f t="shared" si="13"/>
        <v>0</v>
      </c>
      <c r="G30" s="2"/>
      <c r="H30" s="7">
        <v>178.57866923076901</v>
      </c>
      <c r="I30" s="2"/>
      <c r="J30" s="6">
        <f t="shared" si="14"/>
        <v>7.7561965440744009E-3</v>
      </c>
      <c r="K30" s="2"/>
      <c r="L30" s="7">
        <f t="shared" si="15"/>
        <v>-178.57866923076901</v>
      </c>
      <c r="M30" s="2"/>
      <c r="N30" s="6">
        <f t="shared" si="16"/>
        <v>-1</v>
      </c>
      <c r="O30" s="11"/>
      <c r="P30" s="7">
        <v>670.55</v>
      </c>
      <c r="Q30" s="2"/>
      <c r="R30" s="6">
        <f t="shared" si="17"/>
        <v>2.3821731949154107E-3</v>
      </c>
      <c r="S30" s="2"/>
      <c r="T30" s="7">
        <v>2087.669680769231</v>
      </c>
      <c r="U30" s="2"/>
      <c r="V30" s="6">
        <f t="shared" si="18"/>
        <v>6.4526657953650627E-3</v>
      </c>
      <c r="W30" s="2"/>
      <c r="X30" s="7">
        <f t="shared" si="19"/>
        <v>-1417.1196807692311</v>
      </c>
      <c r="Y30" s="2"/>
      <c r="Z30" s="6">
        <f t="shared" si="20"/>
        <v>-0.67880455122913586</v>
      </c>
    </row>
    <row r="31" spans="1:26" s="24" customFormat="1" hidden="1" outlineLevel="2" x14ac:dyDescent="0.25">
      <c r="A31" s="26"/>
      <c r="B31" s="11" t="str">
        <f>CONCATENATE("          ", "6116", " - ", "EDUCATIONAL BENEFITS")</f>
        <v xml:space="preserve">          6116 - EDUCATIONAL BENEFITS</v>
      </c>
      <c r="C31" s="11"/>
      <c r="D31" s="7"/>
      <c r="E31" s="2"/>
      <c r="F31" s="6">
        <f t="shared" si="13"/>
        <v>0</v>
      </c>
      <c r="G31" s="2"/>
      <c r="H31" s="7">
        <v>0</v>
      </c>
      <c r="I31" s="2"/>
      <c r="J31" s="6">
        <f t="shared" si="14"/>
        <v>0</v>
      </c>
      <c r="K31" s="2"/>
      <c r="L31" s="7">
        <f t="shared" si="15"/>
        <v>0</v>
      </c>
      <c r="M31" s="2"/>
      <c r="N31" s="6">
        <f t="shared" si="16"/>
        <v>0</v>
      </c>
      <c r="O31" s="11"/>
      <c r="P31" s="7"/>
      <c r="Q31" s="2"/>
      <c r="R31" s="6">
        <f t="shared" si="17"/>
        <v>0</v>
      </c>
      <c r="S31" s="2"/>
      <c r="T31" s="7">
        <v>0</v>
      </c>
      <c r="U31" s="2"/>
      <c r="V31" s="6">
        <f t="shared" si="18"/>
        <v>0</v>
      </c>
      <c r="W31" s="2"/>
      <c r="X31" s="7">
        <f t="shared" si="19"/>
        <v>0</v>
      </c>
      <c r="Y31" s="2"/>
      <c r="Z31" s="6">
        <f t="shared" si="20"/>
        <v>0</v>
      </c>
    </row>
    <row r="32" spans="1:26" s="24" customFormat="1" hidden="1" outlineLevel="2" x14ac:dyDescent="0.25">
      <c r="A32" s="26"/>
      <c r="B32" s="11" t="str">
        <f>CONCATENATE("          ", "6118", " - ", "VACATION")</f>
        <v xml:space="preserve">          6118 - VACATION</v>
      </c>
      <c r="C32" s="11"/>
      <c r="D32" s="7"/>
      <c r="E32" s="2"/>
      <c r="F32" s="6">
        <f t="shared" si="13"/>
        <v>0</v>
      </c>
      <c r="G32" s="2"/>
      <c r="H32" s="7">
        <v>41.529923076923097</v>
      </c>
      <c r="I32" s="2"/>
      <c r="J32" s="6">
        <f t="shared" si="14"/>
        <v>1.8037666381568406E-3</v>
      </c>
      <c r="K32" s="2"/>
      <c r="L32" s="7">
        <f t="shared" si="15"/>
        <v>-41.529923076923097</v>
      </c>
      <c r="M32" s="2"/>
      <c r="N32" s="6">
        <f t="shared" si="16"/>
        <v>-1</v>
      </c>
      <c r="O32" s="11"/>
      <c r="P32" s="7">
        <v>1098.8</v>
      </c>
      <c r="Q32" s="2"/>
      <c r="R32" s="6">
        <f t="shared" si="17"/>
        <v>3.9035596250437004E-3</v>
      </c>
      <c r="S32" s="2"/>
      <c r="T32" s="7">
        <v>485.50457692307714</v>
      </c>
      <c r="U32" s="2"/>
      <c r="V32" s="6">
        <f t="shared" si="18"/>
        <v>1.5006199524104803E-3</v>
      </c>
      <c r="W32" s="2"/>
      <c r="X32" s="7">
        <f t="shared" si="19"/>
        <v>613.29542307692282</v>
      </c>
      <c r="Y32" s="2"/>
      <c r="Z32" s="6">
        <f t="shared" si="20"/>
        <v>1.2632124437708292</v>
      </c>
    </row>
    <row r="33" spans="1:26" s="24" customFormat="1" hidden="1" outlineLevel="2" x14ac:dyDescent="0.25">
      <c r="A33" s="26"/>
      <c r="B33" s="11" t="str">
        <f>CONCATENATE("          ", "6119", " - ", "SICK LEAVE")</f>
        <v xml:space="preserve">          6119 - SICK LEAVE</v>
      </c>
      <c r="C33" s="11"/>
      <c r="D33" s="7"/>
      <c r="E33" s="2"/>
      <c r="F33" s="6">
        <f t="shared" si="13"/>
        <v>0</v>
      </c>
      <c r="G33" s="2"/>
      <c r="H33" s="7">
        <v>230.569684615385</v>
      </c>
      <c r="I33" s="2"/>
      <c r="J33" s="6">
        <f t="shared" si="14"/>
        <v>1.0014319171967729E-2</v>
      </c>
      <c r="K33" s="2"/>
      <c r="L33" s="7">
        <f t="shared" si="15"/>
        <v>-230.569684615385</v>
      </c>
      <c r="M33" s="2"/>
      <c r="N33" s="6">
        <f t="shared" si="16"/>
        <v>-1</v>
      </c>
      <c r="O33" s="11"/>
      <c r="P33" s="7">
        <v>398.52</v>
      </c>
      <c r="Q33" s="2"/>
      <c r="R33" s="6">
        <f t="shared" si="17"/>
        <v>1.4157686401277897E-3</v>
      </c>
      <c r="S33" s="2"/>
      <c r="T33" s="7">
        <v>2369.1908653846194</v>
      </c>
      <c r="U33" s="2"/>
      <c r="V33" s="6">
        <f t="shared" si="18"/>
        <v>7.3228044649888092E-3</v>
      </c>
      <c r="W33" s="2"/>
      <c r="X33" s="7">
        <f t="shared" si="19"/>
        <v>-1970.6708653846194</v>
      </c>
      <c r="Y33" s="2"/>
      <c r="Z33" s="6">
        <f t="shared" si="20"/>
        <v>-0.8317906734224626</v>
      </c>
    </row>
    <row r="34" spans="1:26" s="27" customFormat="1" outlineLevel="1" collapsed="1" x14ac:dyDescent="0.25">
      <c r="A34" s="25"/>
      <c r="B34" s="12" t="str">
        <f>CONCATENATE("     ","*Payroll                                          ")</f>
        <v xml:space="preserve">     *Payroll                                          </v>
      </c>
      <c r="C34" s="12"/>
      <c r="D34" s="1">
        <f>SUM(OSRRefD22_1x_0)</f>
        <v>0</v>
      </c>
      <c r="E34" s="1"/>
      <c r="F34" s="5">
        <f t="shared" ref="F34:F44" si="21">IF(D$12=0,0,D34/D$12)</f>
        <v>0</v>
      </c>
      <c r="G34" s="1"/>
      <c r="H34" s="1">
        <f>SUM(OSRRefH22_1x_0)</f>
        <v>7581.8313461538501</v>
      </c>
      <c r="I34" s="1"/>
      <c r="J34" s="5">
        <f t="shared" ref="J34:J44" si="22">IF(H$12=0,0,H34/H$12)</f>
        <v>0.3293012224701985</v>
      </c>
      <c r="K34" s="1"/>
      <c r="L34" s="1">
        <f t="shared" ref="L34:L44" si="23">+D34-H34</f>
        <v>-7581.8313461538501</v>
      </c>
      <c r="M34" s="1"/>
      <c r="N34" s="5">
        <f t="shared" ref="N34:N44" si="24">IF(H34=0,0,L34/H34)</f>
        <v>-1</v>
      </c>
      <c r="O34" s="12"/>
      <c r="P34" s="1">
        <f>SUM(OSRRefP22_1x_0)</f>
        <v>51305.1</v>
      </c>
      <c r="Q34" s="1"/>
      <c r="R34" s="5">
        <f t="shared" ref="R34:R44" si="25">IF(P$12=0,0,P34/P$12)</f>
        <v>0.18226475875394024</v>
      </c>
      <c r="S34" s="1"/>
      <c r="T34" s="1">
        <f>SUM(OSRRefT22_1x_0)</f>
        <v>77759.267403846199</v>
      </c>
      <c r="U34" s="1"/>
      <c r="V34" s="5">
        <f t="shared" ref="V34:V44" si="26">IF(T$12=0,0,T34/T$12)</f>
        <v>0.24034193228526718</v>
      </c>
      <c r="W34" s="1"/>
      <c r="X34" s="1">
        <f t="shared" ref="X34:X44" si="27">+P34-T34</f>
        <v>-26454.167403846201</v>
      </c>
      <c r="Y34" s="1"/>
      <c r="Z34" s="5">
        <f t="shared" ref="Z34:Z44" si="28">IF(T34=0,0,X34/T34)</f>
        <v>-0.34020597527565827</v>
      </c>
    </row>
    <row r="35" spans="1:26" s="24" customFormat="1" hidden="1" outlineLevel="2" x14ac:dyDescent="0.25">
      <c r="A35" s="26"/>
      <c r="B35" s="11" t="str">
        <f>CONCATENATE("          ", "6001", " - ", "ADMINISTRATIVE SALARIES")</f>
        <v xml:space="preserve">          6001 - ADMINISTRATIVE SALARIES</v>
      </c>
      <c r="C35" s="11"/>
      <c r="D35" s="7"/>
      <c r="E35" s="2"/>
      <c r="F35" s="6">
        <f t="shared" si="21"/>
        <v>0</v>
      </c>
      <c r="G35" s="2"/>
      <c r="H35" s="7">
        <v>1972.67134615385</v>
      </c>
      <c r="I35" s="2"/>
      <c r="J35" s="6">
        <f t="shared" si="22"/>
        <v>8.5678915312450046E-2</v>
      </c>
      <c r="K35" s="2"/>
      <c r="L35" s="7">
        <f t="shared" si="23"/>
        <v>-1972.67134615385</v>
      </c>
      <c r="M35" s="2"/>
      <c r="N35" s="6">
        <f t="shared" si="24"/>
        <v>-1</v>
      </c>
      <c r="O35" s="11"/>
      <c r="P35" s="7"/>
      <c r="Q35" s="2"/>
      <c r="R35" s="6">
        <f t="shared" si="25"/>
        <v>0</v>
      </c>
      <c r="S35" s="2"/>
      <c r="T35" s="7">
        <v>23061.467403846189</v>
      </c>
      <c r="U35" s="2"/>
      <c r="V35" s="6">
        <f t="shared" si="26"/>
        <v>7.1279447739497889E-2</v>
      </c>
      <c r="W35" s="2"/>
      <c r="X35" s="7">
        <f t="shared" si="27"/>
        <v>-23061.467403846189</v>
      </c>
      <c r="Y35" s="2"/>
      <c r="Z35" s="6">
        <f t="shared" si="28"/>
        <v>-1</v>
      </c>
    </row>
    <row r="36" spans="1:26" s="24" customFormat="1" hidden="1" outlineLevel="2" x14ac:dyDescent="0.25">
      <c r="A36" s="26"/>
      <c r="B36" s="11" t="str">
        <f>CONCATENATE("          ", "6002", " - ", "STAFF SALARIES")</f>
        <v xml:space="preserve">          6002 - STAFF SALARIES</v>
      </c>
      <c r="C36" s="11"/>
      <c r="D36" s="7"/>
      <c r="E36" s="2"/>
      <c r="F36" s="6">
        <f t="shared" si="21"/>
        <v>0</v>
      </c>
      <c r="G36" s="2"/>
      <c r="H36" s="7">
        <v>0</v>
      </c>
      <c r="I36" s="2"/>
      <c r="J36" s="6">
        <f t="shared" si="22"/>
        <v>0</v>
      </c>
      <c r="K36" s="2"/>
      <c r="L36" s="7">
        <f t="shared" si="23"/>
        <v>0</v>
      </c>
      <c r="M36" s="2"/>
      <c r="N36" s="6">
        <f t="shared" si="24"/>
        <v>0</v>
      </c>
      <c r="O36" s="11"/>
      <c r="P36" s="7">
        <v>10272</v>
      </c>
      <c r="Q36" s="2"/>
      <c r="R36" s="6">
        <f t="shared" si="25"/>
        <v>3.6491958926509728E-2</v>
      </c>
      <c r="S36" s="2"/>
      <c r="T36" s="7">
        <v>0</v>
      </c>
      <c r="U36" s="2"/>
      <c r="V36" s="6">
        <f t="shared" si="26"/>
        <v>0</v>
      </c>
      <c r="W36" s="2"/>
      <c r="X36" s="7">
        <f t="shared" si="27"/>
        <v>10272</v>
      </c>
      <c r="Y36" s="2"/>
      <c r="Z36" s="6">
        <f t="shared" si="28"/>
        <v>0</v>
      </c>
    </row>
    <row r="37" spans="1:26" s="24" customFormat="1" hidden="1" outlineLevel="2" x14ac:dyDescent="0.25">
      <c r="A37" s="26"/>
      <c r="B37" s="11" t="str">
        <f>CONCATENATE("          ", "6003", " - ", "STAFF HOURLY-9 MONTH")</f>
        <v xml:space="preserve">          6003 - STAFF HOURLY-9 MONTH</v>
      </c>
      <c r="C37" s="11"/>
      <c r="D37" s="7"/>
      <c r="E37" s="2"/>
      <c r="F37" s="6">
        <f t="shared" si="21"/>
        <v>0</v>
      </c>
      <c r="G37" s="2"/>
      <c r="H37" s="7">
        <v>0</v>
      </c>
      <c r="I37" s="2"/>
      <c r="J37" s="6">
        <f t="shared" si="22"/>
        <v>0</v>
      </c>
      <c r="K37" s="2"/>
      <c r="L37" s="7">
        <f t="shared" si="23"/>
        <v>0</v>
      </c>
      <c r="M37" s="2"/>
      <c r="N37" s="6">
        <f t="shared" si="24"/>
        <v>0</v>
      </c>
      <c r="O37" s="11"/>
      <c r="P37" s="7"/>
      <c r="Q37" s="2"/>
      <c r="R37" s="6">
        <f t="shared" si="25"/>
        <v>0</v>
      </c>
      <c r="S37" s="2"/>
      <c r="T37" s="7">
        <v>0</v>
      </c>
      <c r="U37" s="2"/>
      <c r="V37" s="6">
        <f t="shared" si="26"/>
        <v>0</v>
      </c>
      <c r="W37" s="2"/>
      <c r="X37" s="7">
        <f t="shared" si="27"/>
        <v>0</v>
      </c>
      <c r="Y37" s="2"/>
      <c r="Z37" s="6">
        <f t="shared" si="28"/>
        <v>0</v>
      </c>
    </row>
    <row r="38" spans="1:26" s="24" customFormat="1" hidden="1" outlineLevel="2" x14ac:dyDescent="0.25">
      <c r="A38" s="26"/>
      <c r="B38" s="11" t="str">
        <f>CONCATENATE("          ", "6004", " - ", "STAFF HOURLY")</f>
        <v xml:space="preserve">          6004 - STAFF HOURLY</v>
      </c>
      <c r="C38" s="11"/>
      <c r="D38" s="7"/>
      <c r="E38" s="2"/>
      <c r="F38" s="6">
        <f t="shared" si="21"/>
        <v>0</v>
      </c>
      <c r="G38" s="2"/>
      <c r="H38" s="7">
        <v>0</v>
      </c>
      <c r="I38" s="2"/>
      <c r="J38" s="6">
        <f t="shared" si="22"/>
        <v>0</v>
      </c>
      <c r="K38" s="2"/>
      <c r="L38" s="7">
        <f t="shared" si="23"/>
        <v>0</v>
      </c>
      <c r="M38" s="2"/>
      <c r="N38" s="6">
        <f t="shared" si="24"/>
        <v>0</v>
      </c>
      <c r="O38" s="11"/>
      <c r="P38" s="7"/>
      <c r="Q38" s="2"/>
      <c r="R38" s="6">
        <f t="shared" si="25"/>
        <v>0</v>
      </c>
      <c r="S38" s="2"/>
      <c r="T38" s="7">
        <v>0</v>
      </c>
      <c r="U38" s="2"/>
      <c r="V38" s="6">
        <f t="shared" si="26"/>
        <v>0</v>
      </c>
      <c r="W38" s="2"/>
      <c r="X38" s="7">
        <f t="shared" si="27"/>
        <v>0</v>
      </c>
      <c r="Y38" s="2"/>
      <c r="Z38" s="6">
        <f t="shared" si="28"/>
        <v>0</v>
      </c>
    </row>
    <row r="39" spans="1:26" s="24" customFormat="1" hidden="1" outlineLevel="2" x14ac:dyDescent="0.25">
      <c r="A39" s="26"/>
      <c r="B39" s="11" t="str">
        <f>CONCATENATE("          ", "6005", " - ", "TEMPORARY WAGES-HOURLY")</f>
        <v xml:space="preserve">          6005 - TEMPORARY WAGES-HOURLY</v>
      </c>
      <c r="C39" s="11"/>
      <c r="D39" s="7"/>
      <c r="E39" s="2"/>
      <c r="F39" s="6">
        <f t="shared" si="21"/>
        <v>0</v>
      </c>
      <c r="G39" s="2"/>
      <c r="H39" s="7">
        <v>0</v>
      </c>
      <c r="I39" s="2"/>
      <c r="J39" s="6">
        <f t="shared" si="22"/>
        <v>0</v>
      </c>
      <c r="K39" s="2"/>
      <c r="L39" s="7">
        <f t="shared" si="23"/>
        <v>0</v>
      </c>
      <c r="M39" s="2"/>
      <c r="N39" s="6">
        <f t="shared" si="24"/>
        <v>0</v>
      </c>
      <c r="O39" s="11"/>
      <c r="P39" s="7">
        <v>3822.17</v>
      </c>
      <c r="Q39" s="2"/>
      <c r="R39" s="6">
        <f t="shared" si="25"/>
        <v>1.3578511550831162E-2</v>
      </c>
      <c r="S39" s="2"/>
      <c r="T39" s="7">
        <v>0</v>
      </c>
      <c r="U39" s="2"/>
      <c r="V39" s="6">
        <f t="shared" si="26"/>
        <v>0</v>
      </c>
      <c r="W39" s="2"/>
      <c r="X39" s="7">
        <f t="shared" si="27"/>
        <v>3822.17</v>
      </c>
      <c r="Y39" s="2"/>
      <c r="Z39" s="6">
        <f t="shared" si="28"/>
        <v>0</v>
      </c>
    </row>
    <row r="40" spans="1:26" s="24" customFormat="1" hidden="1" outlineLevel="2" x14ac:dyDescent="0.25">
      <c r="A40" s="26"/>
      <c r="B40" s="11" t="str">
        <f>CONCATENATE("          ", "6006", " - ", "TEMPORARY PART TIME")</f>
        <v xml:space="preserve">          6006 - TEMPORARY PART TIME</v>
      </c>
      <c r="C40" s="11"/>
      <c r="D40" s="7"/>
      <c r="E40" s="2"/>
      <c r="F40" s="6">
        <f t="shared" si="21"/>
        <v>0</v>
      </c>
      <c r="G40" s="2"/>
      <c r="H40" s="7">
        <v>0</v>
      </c>
      <c r="I40" s="2"/>
      <c r="J40" s="6">
        <f t="shared" si="22"/>
        <v>0</v>
      </c>
      <c r="K40" s="2"/>
      <c r="L40" s="7">
        <f t="shared" si="23"/>
        <v>0</v>
      </c>
      <c r="M40" s="2"/>
      <c r="N40" s="6">
        <f t="shared" si="24"/>
        <v>0</v>
      </c>
      <c r="O40" s="11"/>
      <c r="P40" s="7">
        <v>13120.47</v>
      </c>
      <c r="Q40" s="2"/>
      <c r="R40" s="6">
        <f t="shared" si="25"/>
        <v>4.6611336870765491E-2</v>
      </c>
      <c r="S40" s="2"/>
      <c r="T40" s="7">
        <v>0</v>
      </c>
      <c r="U40" s="2"/>
      <c r="V40" s="6">
        <f t="shared" si="26"/>
        <v>0</v>
      </c>
      <c r="W40" s="2"/>
      <c r="X40" s="7">
        <f t="shared" si="27"/>
        <v>13120.47</v>
      </c>
      <c r="Y40" s="2"/>
      <c r="Z40" s="6">
        <f t="shared" si="28"/>
        <v>0</v>
      </c>
    </row>
    <row r="41" spans="1:26" s="24" customFormat="1" hidden="1" outlineLevel="2" x14ac:dyDescent="0.25">
      <c r="A41" s="26"/>
      <c r="B41" s="11" t="str">
        <f>CONCATENATE("          ", "6007", " - ", "STUDENT HOURLY")</f>
        <v xml:space="preserve">          6007 - STUDENT HOURLY</v>
      </c>
      <c r="C41" s="11"/>
      <c r="D41" s="7"/>
      <c r="E41" s="2"/>
      <c r="F41" s="6">
        <f t="shared" si="21"/>
        <v>0</v>
      </c>
      <c r="G41" s="2"/>
      <c r="H41" s="7">
        <v>0</v>
      </c>
      <c r="I41" s="2"/>
      <c r="J41" s="6">
        <f t="shared" si="22"/>
        <v>0</v>
      </c>
      <c r="K41" s="2"/>
      <c r="L41" s="7">
        <f t="shared" si="23"/>
        <v>0</v>
      </c>
      <c r="M41" s="2"/>
      <c r="N41" s="6">
        <f t="shared" si="24"/>
        <v>0</v>
      </c>
      <c r="O41" s="11"/>
      <c r="P41" s="7">
        <v>23036.15</v>
      </c>
      <c r="Q41" s="2"/>
      <c r="R41" s="6">
        <f t="shared" si="25"/>
        <v>8.1837445446350965E-2</v>
      </c>
      <c r="S41" s="2"/>
      <c r="T41" s="7">
        <v>1785</v>
      </c>
      <c r="U41" s="2"/>
      <c r="V41" s="6">
        <f t="shared" si="26"/>
        <v>5.5171603778250335E-3</v>
      </c>
      <c r="W41" s="2"/>
      <c r="X41" s="7">
        <f t="shared" si="27"/>
        <v>21251.15</v>
      </c>
      <c r="Y41" s="2"/>
      <c r="Z41" s="6">
        <f t="shared" si="28"/>
        <v>11.905406162464987</v>
      </c>
    </row>
    <row r="42" spans="1:26" s="24" customFormat="1" hidden="1" outlineLevel="2" x14ac:dyDescent="0.25">
      <c r="A42" s="26"/>
      <c r="B42" s="11" t="str">
        <f>CONCATENATE("          ", "6008", " - ", "STUDENT HOURLY-FICA EXEMPT")</f>
        <v xml:space="preserve">          6008 - STUDENT HOURLY-FICA EXEMPT</v>
      </c>
      <c r="C42" s="11"/>
      <c r="D42" s="7"/>
      <c r="E42" s="2"/>
      <c r="F42" s="6">
        <f t="shared" si="21"/>
        <v>0</v>
      </c>
      <c r="G42" s="2"/>
      <c r="H42" s="7">
        <v>5609.16</v>
      </c>
      <c r="I42" s="2"/>
      <c r="J42" s="6">
        <f t="shared" si="22"/>
        <v>0.24362230715774844</v>
      </c>
      <c r="K42" s="2"/>
      <c r="L42" s="7">
        <f t="shared" si="23"/>
        <v>-5609.16</v>
      </c>
      <c r="M42" s="2"/>
      <c r="N42" s="6">
        <f t="shared" si="24"/>
        <v>-1</v>
      </c>
      <c r="O42" s="11"/>
      <c r="P42" s="7">
        <v>1054.31</v>
      </c>
      <c r="Q42" s="2"/>
      <c r="R42" s="6">
        <f t="shared" si="25"/>
        <v>3.7455059594829121E-3</v>
      </c>
      <c r="S42" s="2"/>
      <c r="T42" s="7">
        <v>52912.800000000003</v>
      </c>
      <c r="U42" s="2"/>
      <c r="V42" s="6">
        <f t="shared" si="26"/>
        <v>0.16354532416794423</v>
      </c>
      <c r="W42" s="2"/>
      <c r="X42" s="7">
        <f t="shared" si="27"/>
        <v>-51858.490000000005</v>
      </c>
      <c r="Y42" s="2"/>
      <c r="Z42" s="6">
        <f t="shared" si="28"/>
        <v>-0.98007457552803867</v>
      </c>
    </row>
    <row r="43" spans="1:26" s="24" customFormat="1" hidden="1" outlineLevel="2" x14ac:dyDescent="0.25">
      <c r="A43" s="26"/>
      <c r="B43" s="11" t="str">
        <f>CONCATENATE("          ", "6009", " - ", "TEMPORARY-SEASONAL")</f>
        <v xml:space="preserve">          6009 - TEMPORARY-SEASONAL</v>
      </c>
      <c r="C43" s="11"/>
      <c r="D43" s="7"/>
      <c r="E43" s="2"/>
      <c r="F43" s="6">
        <f t="shared" si="21"/>
        <v>0</v>
      </c>
      <c r="G43" s="2"/>
      <c r="H43" s="7">
        <v>0</v>
      </c>
      <c r="I43" s="2"/>
      <c r="J43" s="6">
        <f t="shared" si="22"/>
        <v>0</v>
      </c>
      <c r="K43" s="2"/>
      <c r="L43" s="7">
        <f t="shared" si="23"/>
        <v>0</v>
      </c>
      <c r="M43" s="2"/>
      <c r="N43" s="6">
        <f t="shared" si="24"/>
        <v>0</v>
      </c>
      <c r="O43" s="11"/>
      <c r="P43" s="7"/>
      <c r="Q43" s="2"/>
      <c r="R43" s="6">
        <f t="shared" si="25"/>
        <v>0</v>
      </c>
      <c r="S43" s="2"/>
      <c r="T43" s="7">
        <v>0</v>
      </c>
      <c r="U43" s="2"/>
      <c r="V43" s="6">
        <f t="shared" si="26"/>
        <v>0</v>
      </c>
      <c r="W43" s="2"/>
      <c r="X43" s="7">
        <f t="shared" si="27"/>
        <v>0</v>
      </c>
      <c r="Y43" s="2"/>
      <c r="Z43" s="6">
        <f t="shared" si="28"/>
        <v>0</v>
      </c>
    </row>
    <row r="44" spans="1:26" s="24" customFormat="1" hidden="1" outlineLevel="2" x14ac:dyDescent="0.25">
      <c r="A44" s="26"/>
      <c r="B44" s="11" t="str">
        <f>CONCATENATE("          ", "6010", " - ", "GRATUITY")</f>
        <v xml:space="preserve">          6010 - GRATUITY</v>
      </c>
      <c r="C44" s="11"/>
      <c r="D44" s="7"/>
      <c r="E44" s="2"/>
      <c r="F44" s="6">
        <f t="shared" si="21"/>
        <v>0</v>
      </c>
      <c r="G44" s="2"/>
      <c r="H44" s="7">
        <v>0</v>
      </c>
      <c r="I44" s="2"/>
      <c r="J44" s="6">
        <f t="shared" si="22"/>
        <v>0</v>
      </c>
      <c r="K44" s="2"/>
      <c r="L44" s="7">
        <f t="shared" si="23"/>
        <v>0</v>
      </c>
      <c r="M44" s="2"/>
      <c r="N44" s="6">
        <f t="shared" si="24"/>
        <v>0</v>
      </c>
      <c r="O44" s="11"/>
      <c r="P44" s="7"/>
      <c r="Q44" s="2"/>
      <c r="R44" s="6">
        <f t="shared" si="25"/>
        <v>0</v>
      </c>
      <c r="S44" s="2"/>
      <c r="T44" s="7">
        <v>0</v>
      </c>
      <c r="U44" s="2"/>
      <c r="V44" s="6">
        <f t="shared" si="26"/>
        <v>0</v>
      </c>
      <c r="W44" s="2"/>
      <c r="X44" s="7">
        <f t="shared" si="27"/>
        <v>0</v>
      </c>
      <c r="Y44" s="2"/>
      <c r="Z44" s="6">
        <f t="shared" si="28"/>
        <v>0</v>
      </c>
    </row>
    <row r="45" spans="1:26" s="27" customFormat="1" outlineLevel="1" collapsed="1" x14ac:dyDescent="0.25">
      <c r="A45" s="25"/>
      <c r="B45" s="12" t="str">
        <f>CONCATENATE("     ","Advertising/Promo                                 ")</f>
        <v xml:space="preserve">     Advertising/Promo                                 </v>
      </c>
      <c r="C45" s="12"/>
      <c r="D45" s="1">
        <f>SUM(OSRRefD22_2x_0)</f>
        <v>0</v>
      </c>
      <c r="E45" s="1"/>
      <c r="F45" s="5">
        <f t="shared" ref="F45:F62" si="29">IF(D$12=0,0,D45/D$12)</f>
        <v>0</v>
      </c>
      <c r="G45" s="1"/>
      <c r="H45" s="1">
        <f>SUM(OSRRefH22_2x_0)</f>
        <v>0</v>
      </c>
      <c r="I45" s="1"/>
      <c r="J45" s="5">
        <f t="shared" ref="J45:J62" si="30">IF(H$12=0,0,H45/H$12)</f>
        <v>0</v>
      </c>
      <c r="K45" s="1"/>
      <c r="L45" s="1">
        <f t="shared" ref="L45:L62" si="31">+D45-H45</f>
        <v>0</v>
      </c>
      <c r="M45" s="1"/>
      <c r="N45" s="5">
        <f t="shared" ref="N45:N62" si="32">IF(H45=0,0,L45/H45)</f>
        <v>0</v>
      </c>
      <c r="O45" s="12"/>
      <c r="P45" s="1">
        <f>SUM(OSRRefP22_2x_0)</f>
        <v>2.4900000000000002</v>
      </c>
      <c r="Q45" s="1"/>
      <c r="R45" s="5">
        <f t="shared" ref="R45:R62" si="33">IF(P$12=0,0,P45/P$12)</f>
        <v>8.8458895762275348E-6</v>
      </c>
      <c r="S45" s="1"/>
      <c r="T45" s="1">
        <f>SUM(OSRRefT22_2x_0)</f>
        <v>0</v>
      </c>
      <c r="U45" s="1"/>
      <c r="V45" s="5">
        <f t="shared" ref="V45:V62" si="34">IF(T$12=0,0,T45/T$12)</f>
        <v>0</v>
      </c>
      <c r="W45" s="1"/>
      <c r="X45" s="1">
        <f t="shared" ref="X45:X62" si="35">+P45-T45</f>
        <v>2.4900000000000002</v>
      </c>
      <c r="Y45" s="1"/>
      <c r="Z45" s="5">
        <f t="shared" ref="Z45:Z62" si="36">IF(T45=0,0,X45/T45)</f>
        <v>0</v>
      </c>
    </row>
    <row r="46" spans="1:26" s="24" customFormat="1" hidden="1" outlineLevel="2" x14ac:dyDescent="0.25">
      <c r="A46" s="26"/>
      <c r="B46" s="11" t="str">
        <f>CONCATENATE("          ", "6362", " - ", "ADVERTISING EXPENSE")</f>
        <v xml:space="preserve">          6362 - ADVERTISING EXPENSE</v>
      </c>
      <c r="C46" s="11"/>
      <c r="D46" s="7"/>
      <c r="E46" s="2"/>
      <c r="F46" s="6">
        <f t="shared" si="29"/>
        <v>0</v>
      </c>
      <c r="G46" s="2"/>
      <c r="H46" s="7">
        <v>0</v>
      </c>
      <c r="I46" s="2"/>
      <c r="J46" s="6">
        <f t="shared" si="30"/>
        <v>0</v>
      </c>
      <c r="K46" s="2"/>
      <c r="L46" s="7">
        <f t="shared" si="31"/>
        <v>0</v>
      </c>
      <c r="M46" s="2"/>
      <c r="N46" s="6">
        <f t="shared" si="32"/>
        <v>0</v>
      </c>
      <c r="O46" s="11"/>
      <c r="P46" s="7">
        <v>2.4900000000000002</v>
      </c>
      <c r="Q46" s="2"/>
      <c r="R46" s="6">
        <f t="shared" si="33"/>
        <v>8.8458895762275348E-6</v>
      </c>
      <c r="S46" s="2"/>
      <c r="T46" s="7">
        <v>0</v>
      </c>
      <c r="U46" s="2"/>
      <c r="V46" s="6">
        <f t="shared" si="34"/>
        <v>0</v>
      </c>
      <c r="W46" s="2"/>
      <c r="X46" s="7">
        <f t="shared" si="35"/>
        <v>2.4900000000000002</v>
      </c>
      <c r="Y46" s="2"/>
      <c r="Z46" s="6">
        <f t="shared" si="36"/>
        <v>0</v>
      </c>
    </row>
    <row r="47" spans="1:26" s="27" customFormat="1" outlineLevel="1" collapsed="1" x14ac:dyDescent="0.25">
      <c r="A47" s="25"/>
      <c r="B47" s="12" t="str">
        <f>CONCATENATE("     ","Bad Debts/Over/Short                              ")</f>
        <v xml:space="preserve">     Bad Debts/Over/Short                              </v>
      </c>
      <c r="C47" s="12"/>
      <c r="D47" s="1">
        <f>SUM(OSRRefD22_3x_0)</f>
        <v>0</v>
      </c>
      <c r="E47" s="1"/>
      <c r="F47" s="5">
        <f t="shared" si="29"/>
        <v>0</v>
      </c>
      <c r="G47" s="1"/>
      <c r="H47" s="1">
        <f>SUM(OSRRefH22_3x_0)</f>
        <v>0</v>
      </c>
      <c r="I47" s="1"/>
      <c r="J47" s="5">
        <f t="shared" si="30"/>
        <v>0</v>
      </c>
      <c r="K47" s="1"/>
      <c r="L47" s="1">
        <f t="shared" si="31"/>
        <v>0</v>
      </c>
      <c r="M47" s="1"/>
      <c r="N47" s="5">
        <f t="shared" si="32"/>
        <v>0</v>
      </c>
      <c r="O47" s="12"/>
      <c r="P47" s="1">
        <f>SUM(OSRRefP22_3x_0)</f>
        <v>-74.03</v>
      </c>
      <c r="Q47" s="1"/>
      <c r="R47" s="5">
        <f t="shared" si="33"/>
        <v>-2.6299646800326276E-4</v>
      </c>
      <c r="S47" s="1"/>
      <c r="T47" s="1">
        <f>SUM(OSRRefT22_3x_0)</f>
        <v>0</v>
      </c>
      <c r="U47" s="1"/>
      <c r="V47" s="5">
        <f t="shared" si="34"/>
        <v>0</v>
      </c>
      <c r="W47" s="1"/>
      <c r="X47" s="1">
        <f t="shared" si="35"/>
        <v>-74.03</v>
      </c>
      <c r="Y47" s="1"/>
      <c r="Z47" s="5">
        <f t="shared" si="36"/>
        <v>0</v>
      </c>
    </row>
    <row r="48" spans="1:26" s="24" customFormat="1" hidden="1" outlineLevel="2" x14ac:dyDescent="0.25">
      <c r="A48" s="26"/>
      <c r="B48" s="11" t="str">
        <f>CONCATENATE("          ", "6272", " - ", "CASH (OVER/SHORT)")</f>
        <v xml:space="preserve">          6272 - CASH (OVER/SHORT)</v>
      </c>
      <c r="C48" s="11"/>
      <c r="D48" s="7"/>
      <c r="E48" s="2"/>
      <c r="F48" s="6">
        <f t="shared" si="29"/>
        <v>0</v>
      </c>
      <c r="G48" s="2"/>
      <c r="H48" s="7">
        <v>0</v>
      </c>
      <c r="I48" s="2"/>
      <c r="J48" s="6">
        <f t="shared" si="30"/>
        <v>0</v>
      </c>
      <c r="K48" s="2"/>
      <c r="L48" s="7">
        <f t="shared" si="31"/>
        <v>0</v>
      </c>
      <c r="M48" s="2"/>
      <c r="N48" s="6">
        <f t="shared" si="32"/>
        <v>0</v>
      </c>
      <c r="O48" s="11"/>
      <c r="P48" s="7">
        <v>-74.03</v>
      </c>
      <c r="Q48" s="2"/>
      <c r="R48" s="6">
        <f t="shared" si="33"/>
        <v>-2.6299646800326276E-4</v>
      </c>
      <c r="S48" s="2"/>
      <c r="T48" s="7">
        <v>0</v>
      </c>
      <c r="U48" s="2"/>
      <c r="V48" s="6">
        <f t="shared" si="34"/>
        <v>0</v>
      </c>
      <c r="W48" s="2"/>
      <c r="X48" s="7">
        <f t="shared" si="35"/>
        <v>-74.03</v>
      </c>
      <c r="Y48" s="2"/>
      <c r="Z48" s="6">
        <f t="shared" si="36"/>
        <v>0</v>
      </c>
    </row>
    <row r="49" spans="1:26" s="27" customFormat="1" outlineLevel="1" collapsed="1" x14ac:dyDescent="0.25">
      <c r="A49" s="25"/>
      <c r="B49" s="12" t="str">
        <f>CONCATENATE("     ","Bank/card Fees                                    ")</f>
        <v xml:space="preserve">     Bank/card Fees                                    </v>
      </c>
      <c r="C49" s="12"/>
      <c r="D49" s="1">
        <f>SUM(OSRRefD22_4x_0)</f>
        <v>0</v>
      </c>
      <c r="E49" s="1"/>
      <c r="F49" s="5">
        <f t="shared" si="29"/>
        <v>0</v>
      </c>
      <c r="G49" s="1"/>
      <c r="H49" s="1">
        <f>SUM(OSRRefH22_4x_0)</f>
        <v>707</v>
      </c>
      <c r="I49" s="1"/>
      <c r="J49" s="5">
        <f t="shared" si="30"/>
        <v>3.0707088255733147E-2</v>
      </c>
      <c r="K49" s="1"/>
      <c r="L49" s="1">
        <f t="shared" si="31"/>
        <v>-707</v>
      </c>
      <c r="M49" s="1"/>
      <c r="N49" s="5">
        <f t="shared" si="32"/>
        <v>-1</v>
      </c>
      <c r="O49" s="12"/>
      <c r="P49" s="1">
        <f>SUM(OSRRefP22_4x_0)</f>
        <v>10703.22</v>
      </c>
      <c r="Q49" s="1"/>
      <c r="R49" s="5">
        <f t="shared" si="33"/>
        <v>3.802389647793978E-2</v>
      </c>
      <c r="S49" s="1"/>
      <c r="T49" s="1">
        <f>SUM(OSRRefT22_4x_0)</f>
        <v>9934</v>
      </c>
      <c r="U49" s="1"/>
      <c r="V49" s="5">
        <f t="shared" si="34"/>
        <v>3.0704465654517579E-2</v>
      </c>
      <c r="W49" s="1"/>
      <c r="X49" s="1">
        <f t="shared" si="35"/>
        <v>769.21999999999935</v>
      </c>
      <c r="Y49" s="1"/>
      <c r="Z49" s="5">
        <f t="shared" si="36"/>
        <v>7.7433058184014428E-2</v>
      </c>
    </row>
    <row r="50" spans="1:26" s="24" customFormat="1" hidden="1" outlineLevel="2" x14ac:dyDescent="0.25">
      <c r="A50" s="26"/>
      <c r="B50" s="11" t="str">
        <f>CONCATENATE("          ", "6381", " - ", "BANK/CREDIT CARD FEES")</f>
        <v xml:space="preserve">          6381 - BANK/CREDIT CARD FEES</v>
      </c>
      <c r="C50" s="11"/>
      <c r="D50" s="7"/>
      <c r="E50" s="2"/>
      <c r="F50" s="6">
        <f t="shared" si="29"/>
        <v>0</v>
      </c>
      <c r="G50" s="2"/>
      <c r="H50" s="7">
        <v>707</v>
      </c>
      <c r="I50" s="2"/>
      <c r="J50" s="6">
        <f t="shared" si="30"/>
        <v>3.0707088255733147E-2</v>
      </c>
      <c r="K50" s="2"/>
      <c r="L50" s="7">
        <f t="shared" si="31"/>
        <v>-707</v>
      </c>
      <c r="M50" s="2"/>
      <c r="N50" s="6">
        <f t="shared" si="32"/>
        <v>-1</v>
      </c>
      <c r="O50" s="11"/>
      <c r="P50" s="7">
        <v>10703.22</v>
      </c>
      <c r="Q50" s="2"/>
      <c r="R50" s="6">
        <f t="shared" si="33"/>
        <v>3.802389647793978E-2</v>
      </c>
      <c r="S50" s="2"/>
      <c r="T50" s="7">
        <v>9934</v>
      </c>
      <c r="U50" s="2"/>
      <c r="V50" s="6">
        <f t="shared" si="34"/>
        <v>3.0704465654517579E-2</v>
      </c>
      <c r="W50" s="2"/>
      <c r="X50" s="7">
        <f t="shared" si="35"/>
        <v>769.21999999999935</v>
      </c>
      <c r="Y50" s="2"/>
      <c r="Z50" s="6">
        <f t="shared" si="36"/>
        <v>7.7433058184014428E-2</v>
      </c>
    </row>
    <row r="51" spans="1:26" s="27" customFormat="1" outlineLevel="1" collapsed="1" x14ac:dyDescent="0.25">
      <c r="A51" s="25"/>
      <c r="B51" s="12" t="str">
        <f>CONCATENATE("     ","Depreciation                                      ")</f>
        <v xml:space="preserve">     Depreciation                                      </v>
      </c>
      <c r="C51" s="12"/>
      <c r="D51" s="1">
        <f>SUM(OSRRefD22_5x_0)</f>
        <v>1075.3699999999999</v>
      </c>
      <c r="E51" s="1"/>
      <c r="F51" s="5">
        <f t="shared" si="29"/>
        <v>0</v>
      </c>
      <c r="G51" s="1"/>
      <c r="H51" s="1">
        <f>SUM(OSRRefH22_5x_0)</f>
        <v>969</v>
      </c>
      <c r="I51" s="1"/>
      <c r="J51" s="5">
        <f t="shared" si="30"/>
        <v>4.2086518415566362E-2</v>
      </c>
      <c r="K51" s="1"/>
      <c r="L51" s="1">
        <f t="shared" si="31"/>
        <v>106.36999999999989</v>
      </c>
      <c r="M51" s="1"/>
      <c r="N51" s="5">
        <f t="shared" si="32"/>
        <v>0.10977296181630536</v>
      </c>
      <c r="O51" s="12"/>
      <c r="P51" s="1">
        <f>SUM(OSRRefP22_5x_0)</f>
        <v>10976.99</v>
      </c>
      <c r="Q51" s="1"/>
      <c r="R51" s="5">
        <f t="shared" si="33"/>
        <v>3.8996482497732479E-2</v>
      </c>
      <c r="S51" s="1"/>
      <c r="T51" s="1">
        <f>SUM(OSRRefT22_5x_0)</f>
        <v>10659</v>
      </c>
      <c r="U51" s="1"/>
      <c r="V51" s="5">
        <f t="shared" si="34"/>
        <v>3.2945329113298054E-2</v>
      </c>
      <c r="W51" s="1"/>
      <c r="X51" s="1">
        <f t="shared" si="35"/>
        <v>317.98999999999978</v>
      </c>
      <c r="Y51" s="1"/>
      <c r="Z51" s="5">
        <f t="shared" si="36"/>
        <v>2.9833004972323836E-2</v>
      </c>
    </row>
    <row r="52" spans="1:26" s="24" customFormat="1" hidden="1" outlineLevel="2" x14ac:dyDescent="0.25">
      <c r="A52" s="26"/>
      <c r="B52" s="11" t="str">
        <f>CONCATENATE("          ", "6322", " - ", "EQUIPMENT DEPRECIATION EXPENSE")</f>
        <v xml:space="preserve">          6322 - EQUIPMENT DEPRECIATION EXPENSE</v>
      </c>
      <c r="C52" s="11"/>
      <c r="D52" s="7">
        <v>1075.3699999999999</v>
      </c>
      <c r="E52" s="2"/>
      <c r="F52" s="6">
        <f t="shared" si="29"/>
        <v>0</v>
      </c>
      <c r="G52" s="2"/>
      <c r="H52" s="7">
        <v>969</v>
      </c>
      <c r="I52" s="2"/>
      <c r="J52" s="6">
        <f t="shared" si="30"/>
        <v>4.2086518415566362E-2</v>
      </c>
      <c r="K52" s="2"/>
      <c r="L52" s="7">
        <f t="shared" si="31"/>
        <v>106.36999999999989</v>
      </c>
      <c r="M52" s="2"/>
      <c r="N52" s="6">
        <f t="shared" si="32"/>
        <v>0.10977296181630536</v>
      </c>
      <c r="O52" s="11"/>
      <c r="P52" s="7">
        <v>10976.99</v>
      </c>
      <c r="Q52" s="2"/>
      <c r="R52" s="6">
        <f t="shared" si="33"/>
        <v>3.8996482497732479E-2</v>
      </c>
      <c r="S52" s="2"/>
      <c r="T52" s="7">
        <v>10659</v>
      </c>
      <c r="U52" s="2"/>
      <c r="V52" s="6">
        <f t="shared" si="34"/>
        <v>3.2945329113298054E-2</v>
      </c>
      <c r="W52" s="2"/>
      <c r="X52" s="7">
        <f t="shared" si="35"/>
        <v>317.98999999999978</v>
      </c>
      <c r="Y52" s="2"/>
      <c r="Z52" s="6">
        <f t="shared" si="36"/>
        <v>2.9833004972323836E-2</v>
      </c>
    </row>
    <row r="53" spans="1:26" s="27" customFormat="1" outlineLevel="1" collapsed="1" x14ac:dyDescent="0.25">
      <c r="A53" s="25"/>
      <c r="B53" s="12" t="str">
        <f>CONCATENATE("     ","Employees' Appreciation                           ")</f>
        <v xml:space="preserve">     Employees' Appreciation                           </v>
      </c>
      <c r="C53" s="12"/>
      <c r="D53" s="1">
        <f>SUM(OSRRefD22_6x_0)</f>
        <v>0</v>
      </c>
      <c r="E53" s="1"/>
      <c r="F53" s="5">
        <f t="shared" si="29"/>
        <v>0</v>
      </c>
      <c r="G53" s="1"/>
      <c r="H53" s="1">
        <f>SUM(OSRRefH22_6x_0)</f>
        <v>0</v>
      </c>
      <c r="I53" s="1"/>
      <c r="J53" s="5">
        <f t="shared" si="30"/>
        <v>0</v>
      </c>
      <c r="K53" s="1"/>
      <c r="L53" s="1">
        <f t="shared" si="31"/>
        <v>0</v>
      </c>
      <c r="M53" s="1"/>
      <c r="N53" s="5">
        <f t="shared" si="32"/>
        <v>0</v>
      </c>
      <c r="O53" s="12"/>
      <c r="P53" s="1">
        <f>SUM(OSRRefP22_6x_0)</f>
        <v>0</v>
      </c>
      <c r="Q53" s="1"/>
      <c r="R53" s="5">
        <f t="shared" si="33"/>
        <v>0</v>
      </c>
      <c r="S53" s="1"/>
      <c r="T53" s="1">
        <f>SUM(OSRRefT22_6x_0)</f>
        <v>0</v>
      </c>
      <c r="U53" s="1"/>
      <c r="V53" s="5">
        <f t="shared" si="34"/>
        <v>0</v>
      </c>
      <c r="W53" s="1"/>
      <c r="X53" s="1">
        <f t="shared" si="35"/>
        <v>0</v>
      </c>
      <c r="Y53" s="1"/>
      <c r="Z53" s="5">
        <f t="shared" si="36"/>
        <v>0</v>
      </c>
    </row>
    <row r="54" spans="1:26" s="24" customFormat="1" hidden="1" outlineLevel="2" x14ac:dyDescent="0.25">
      <c r="A54" s="26"/>
      <c r="B54" s="11" t="str">
        <f>CONCATENATE("          ", "6277", " - ", "EMPLOYEE APPRECIATION")</f>
        <v xml:space="preserve">          6277 - EMPLOYEE APPRECIATION</v>
      </c>
      <c r="C54" s="11"/>
      <c r="D54" s="7"/>
      <c r="E54" s="2"/>
      <c r="F54" s="6">
        <f t="shared" si="29"/>
        <v>0</v>
      </c>
      <c r="G54" s="2"/>
      <c r="H54" s="7">
        <v>0</v>
      </c>
      <c r="I54" s="2"/>
      <c r="J54" s="6">
        <f t="shared" si="30"/>
        <v>0</v>
      </c>
      <c r="K54" s="2"/>
      <c r="L54" s="7">
        <f t="shared" si="31"/>
        <v>0</v>
      </c>
      <c r="M54" s="2"/>
      <c r="N54" s="6">
        <f t="shared" si="32"/>
        <v>0</v>
      </c>
      <c r="O54" s="11"/>
      <c r="P54" s="7"/>
      <c r="Q54" s="2"/>
      <c r="R54" s="6">
        <f t="shared" si="33"/>
        <v>0</v>
      </c>
      <c r="S54" s="2"/>
      <c r="T54" s="7">
        <v>0</v>
      </c>
      <c r="U54" s="2"/>
      <c r="V54" s="6">
        <f t="shared" si="34"/>
        <v>0</v>
      </c>
      <c r="W54" s="2"/>
      <c r="X54" s="7">
        <f t="shared" si="35"/>
        <v>0</v>
      </c>
      <c r="Y54" s="2"/>
      <c r="Z54" s="6">
        <f t="shared" si="36"/>
        <v>0</v>
      </c>
    </row>
    <row r="55" spans="1:26" s="27" customFormat="1" outlineLevel="1" collapsed="1" x14ac:dyDescent="0.25">
      <c r="A55" s="25"/>
      <c r="B55" s="12" t="str">
        <f>CONCATENATE("     ","General                                           ")</f>
        <v xml:space="preserve">     General                                           </v>
      </c>
      <c r="C55" s="12"/>
      <c r="D55" s="1">
        <f>SUM(OSRRefD22_7x_0)</f>
        <v>0</v>
      </c>
      <c r="E55" s="1"/>
      <c r="F55" s="5">
        <f t="shared" si="29"/>
        <v>0</v>
      </c>
      <c r="G55" s="1"/>
      <c r="H55" s="1">
        <f>SUM(OSRRefH22_7x_0)</f>
        <v>160</v>
      </c>
      <c r="I55" s="1"/>
      <c r="J55" s="5">
        <f t="shared" si="30"/>
        <v>6.9492703266157054E-3</v>
      </c>
      <c r="K55" s="1"/>
      <c r="L55" s="1">
        <f t="shared" si="31"/>
        <v>-160</v>
      </c>
      <c r="M55" s="1"/>
      <c r="N55" s="5">
        <f t="shared" si="32"/>
        <v>-1</v>
      </c>
      <c r="O55" s="12"/>
      <c r="P55" s="1">
        <f>SUM(OSRRefP22_7x_0)</f>
        <v>1356.19</v>
      </c>
      <c r="Q55" s="1"/>
      <c r="R55" s="5">
        <f t="shared" si="33"/>
        <v>4.8179546122024174E-3</v>
      </c>
      <c r="S55" s="1"/>
      <c r="T55" s="1">
        <f>SUM(OSRRefT22_7x_0)</f>
        <v>2243</v>
      </c>
      <c r="U55" s="1"/>
      <c r="V55" s="5">
        <f t="shared" si="34"/>
        <v>6.9327679145442861E-3</v>
      </c>
      <c r="W55" s="1"/>
      <c r="X55" s="1">
        <f t="shared" si="35"/>
        <v>-886.81</v>
      </c>
      <c r="Y55" s="1"/>
      <c r="Z55" s="5">
        <f t="shared" si="36"/>
        <v>-0.39536781096745427</v>
      </c>
    </row>
    <row r="56" spans="1:26" s="24" customFormat="1" hidden="1" outlineLevel="2" x14ac:dyDescent="0.25">
      <c r="A56" s="26"/>
      <c r="B56" s="11" t="str">
        <f>CONCATENATE("          ", "6279", " - ", "GENERAL EXPENSE")</f>
        <v xml:space="preserve">          6279 - GENERAL EXPENSE</v>
      </c>
      <c r="C56" s="11"/>
      <c r="D56" s="7"/>
      <c r="E56" s="2"/>
      <c r="F56" s="6">
        <f t="shared" si="29"/>
        <v>0</v>
      </c>
      <c r="G56" s="2"/>
      <c r="H56" s="7">
        <v>160</v>
      </c>
      <c r="I56" s="2"/>
      <c r="J56" s="6">
        <f t="shared" si="30"/>
        <v>6.9492703266157054E-3</v>
      </c>
      <c r="K56" s="2"/>
      <c r="L56" s="7">
        <f t="shared" si="31"/>
        <v>-160</v>
      </c>
      <c r="M56" s="2"/>
      <c r="N56" s="6">
        <f t="shared" si="32"/>
        <v>-1</v>
      </c>
      <c r="O56" s="11"/>
      <c r="P56" s="7">
        <v>1356.19</v>
      </c>
      <c r="Q56" s="2"/>
      <c r="R56" s="6">
        <f t="shared" si="33"/>
        <v>4.8179546122024174E-3</v>
      </c>
      <c r="S56" s="2"/>
      <c r="T56" s="7">
        <v>2243</v>
      </c>
      <c r="U56" s="2"/>
      <c r="V56" s="6">
        <f t="shared" si="34"/>
        <v>6.9327679145442861E-3</v>
      </c>
      <c r="W56" s="2"/>
      <c r="X56" s="7">
        <f t="shared" si="35"/>
        <v>-886.81</v>
      </c>
      <c r="Y56" s="2"/>
      <c r="Z56" s="6">
        <f t="shared" si="36"/>
        <v>-0.39536781096745427</v>
      </c>
    </row>
    <row r="57" spans="1:26" s="27" customFormat="1" outlineLevel="1" collapsed="1" x14ac:dyDescent="0.25">
      <c r="A57" s="25"/>
      <c r="B57" s="12" t="str">
        <f>CONCATENATE("     ","R/H Commissions                                   ")</f>
        <v xml:space="preserve">     R/H Commissions                                   </v>
      </c>
      <c r="C57" s="12"/>
      <c r="D57" s="1">
        <f>SUM(OSRRefD22_8x_0)</f>
        <v>0</v>
      </c>
      <c r="E57" s="1"/>
      <c r="F57" s="5">
        <f t="shared" si="29"/>
        <v>0</v>
      </c>
      <c r="G57" s="1"/>
      <c r="H57" s="1">
        <f>SUM(OSRRefH22_8x_0)</f>
        <v>0</v>
      </c>
      <c r="I57" s="1"/>
      <c r="J57" s="5">
        <f t="shared" si="30"/>
        <v>0</v>
      </c>
      <c r="K57" s="1"/>
      <c r="L57" s="1">
        <f t="shared" si="31"/>
        <v>0</v>
      </c>
      <c r="M57" s="1"/>
      <c r="N57" s="5">
        <f t="shared" si="32"/>
        <v>0</v>
      </c>
      <c r="O57" s="12"/>
      <c r="P57" s="1">
        <f>SUM(OSRRefP22_8x_0)</f>
        <v>0</v>
      </c>
      <c r="Q57" s="1"/>
      <c r="R57" s="5">
        <f t="shared" si="33"/>
        <v>0</v>
      </c>
      <c r="S57" s="1"/>
      <c r="T57" s="1">
        <f>SUM(OSRRefT22_8x_0)</f>
        <v>0</v>
      </c>
      <c r="U57" s="1"/>
      <c r="V57" s="5">
        <f t="shared" si="34"/>
        <v>0</v>
      </c>
      <c r="W57" s="1"/>
      <c r="X57" s="1">
        <f t="shared" si="35"/>
        <v>0</v>
      </c>
      <c r="Y57" s="1"/>
      <c r="Z57" s="5">
        <f t="shared" si="36"/>
        <v>0</v>
      </c>
    </row>
    <row r="58" spans="1:26" s="24" customFormat="1" hidden="1" outlineLevel="2" x14ac:dyDescent="0.25">
      <c r="A58" s="26"/>
      <c r="B58" s="11" t="str">
        <f>CONCATENATE("          ", "6387", " - ", "COMMISSION DUE HOUSING")</f>
        <v xml:space="preserve">          6387 - COMMISSION DUE HOUSING</v>
      </c>
      <c r="C58" s="11"/>
      <c r="D58" s="7"/>
      <c r="E58" s="2"/>
      <c r="F58" s="6">
        <f t="shared" si="29"/>
        <v>0</v>
      </c>
      <c r="G58" s="2"/>
      <c r="H58" s="7"/>
      <c r="I58" s="2"/>
      <c r="J58" s="6">
        <f t="shared" si="30"/>
        <v>0</v>
      </c>
      <c r="K58" s="2"/>
      <c r="L58" s="7">
        <f t="shared" si="31"/>
        <v>0</v>
      </c>
      <c r="M58" s="2"/>
      <c r="N58" s="6">
        <f t="shared" si="32"/>
        <v>0</v>
      </c>
      <c r="O58" s="11"/>
      <c r="P58" s="7"/>
      <c r="Q58" s="2"/>
      <c r="R58" s="6">
        <f t="shared" si="33"/>
        <v>0</v>
      </c>
      <c r="S58" s="2"/>
      <c r="T58" s="7">
        <v>0</v>
      </c>
      <c r="U58" s="2"/>
      <c r="V58" s="6">
        <f t="shared" si="34"/>
        <v>0</v>
      </c>
      <c r="W58" s="2"/>
      <c r="X58" s="7">
        <f t="shared" si="35"/>
        <v>0</v>
      </c>
      <c r="Y58" s="2"/>
      <c r="Z58" s="6">
        <f t="shared" si="36"/>
        <v>0</v>
      </c>
    </row>
    <row r="59" spans="1:26" s="27" customFormat="1" outlineLevel="1" collapsed="1" x14ac:dyDescent="0.25">
      <c r="A59" s="25"/>
      <c r="B59" s="12" t="str">
        <f>CONCATENATE("     ","Repair and Maintenance                            ")</f>
        <v xml:space="preserve">     Repair and Maintenance                            </v>
      </c>
      <c r="C59" s="12"/>
      <c r="D59" s="1">
        <f>SUM(OSRRefD22_9x_0)</f>
        <v>0</v>
      </c>
      <c r="E59" s="1"/>
      <c r="F59" s="5">
        <f t="shared" si="29"/>
        <v>0</v>
      </c>
      <c r="G59" s="1"/>
      <c r="H59" s="1">
        <f>SUM(OSRRefH22_9x_0)</f>
        <v>0</v>
      </c>
      <c r="I59" s="1"/>
      <c r="J59" s="5">
        <f t="shared" si="30"/>
        <v>0</v>
      </c>
      <c r="K59" s="1"/>
      <c r="L59" s="1">
        <f t="shared" si="31"/>
        <v>0</v>
      </c>
      <c r="M59" s="1"/>
      <c r="N59" s="5">
        <f t="shared" si="32"/>
        <v>0</v>
      </c>
      <c r="O59" s="12"/>
      <c r="P59" s="1">
        <f>SUM(OSRRefP22_9x_0)</f>
        <v>1665.12</v>
      </c>
      <c r="Q59" s="1"/>
      <c r="R59" s="5">
        <f t="shared" si="33"/>
        <v>5.9154488558907587E-3</v>
      </c>
      <c r="S59" s="1"/>
      <c r="T59" s="1">
        <f>SUM(OSRRefT22_9x_0)</f>
        <v>0</v>
      </c>
      <c r="U59" s="1"/>
      <c r="V59" s="5">
        <f t="shared" si="34"/>
        <v>0</v>
      </c>
      <c r="W59" s="1"/>
      <c r="X59" s="1">
        <f t="shared" si="35"/>
        <v>1665.12</v>
      </c>
      <c r="Y59" s="1"/>
      <c r="Z59" s="5">
        <f t="shared" si="36"/>
        <v>0</v>
      </c>
    </row>
    <row r="60" spans="1:26" s="24" customFormat="1" hidden="1" outlineLevel="2" x14ac:dyDescent="0.25">
      <c r="A60" s="26"/>
      <c r="B60" s="11" t="str">
        <f>CONCATENATE("          ", "6371", " - ", "COMPUTER SOFTWARE MAINTENANCE")</f>
        <v xml:space="preserve">          6371 - COMPUTER SOFTWARE MAINTENANCE</v>
      </c>
      <c r="C60" s="11"/>
      <c r="D60" s="7"/>
      <c r="E60" s="2"/>
      <c r="F60" s="6">
        <f t="shared" si="29"/>
        <v>0</v>
      </c>
      <c r="G60" s="2"/>
      <c r="H60" s="7"/>
      <c r="I60" s="2"/>
      <c r="J60" s="6">
        <f t="shared" si="30"/>
        <v>0</v>
      </c>
      <c r="K60" s="2"/>
      <c r="L60" s="7">
        <f t="shared" si="31"/>
        <v>0</v>
      </c>
      <c r="M60" s="2"/>
      <c r="N60" s="6">
        <f t="shared" si="32"/>
        <v>0</v>
      </c>
      <c r="O60" s="11"/>
      <c r="P60" s="7">
        <v>437.31</v>
      </c>
      <c r="Q60" s="2"/>
      <c r="R60" s="6">
        <f t="shared" si="33"/>
        <v>1.5535726789478164E-3</v>
      </c>
      <c r="S60" s="2"/>
      <c r="T60" s="7">
        <v>0</v>
      </c>
      <c r="U60" s="2"/>
      <c r="V60" s="6">
        <f t="shared" si="34"/>
        <v>0</v>
      </c>
      <c r="W60" s="2"/>
      <c r="X60" s="7">
        <f t="shared" si="35"/>
        <v>437.31</v>
      </c>
      <c r="Y60" s="2"/>
      <c r="Z60" s="6">
        <f t="shared" si="36"/>
        <v>0</v>
      </c>
    </row>
    <row r="61" spans="1:26" s="24" customFormat="1" hidden="1" outlineLevel="2" x14ac:dyDescent="0.25">
      <c r="A61" s="26"/>
      <c r="B61" s="11" t="str">
        <f>CONCATENATE("          ", "6373", " - ", "MAINTENANCE CONTRACTS")</f>
        <v xml:space="preserve">          6373 - MAINTENANCE CONTRACTS</v>
      </c>
      <c r="C61" s="11"/>
      <c r="D61" s="7"/>
      <c r="E61" s="2"/>
      <c r="F61" s="6">
        <f t="shared" si="29"/>
        <v>0</v>
      </c>
      <c r="G61" s="2"/>
      <c r="H61" s="7"/>
      <c r="I61" s="2"/>
      <c r="J61" s="6">
        <f t="shared" si="30"/>
        <v>0</v>
      </c>
      <c r="K61" s="2"/>
      <c r="L61" s="7">
        <f t="shared" si="31"/>
        <v>0</v>
      </c>
      <c r="M61" s="2"/>
      <c r="N61" s="6">
        <f t="shared" si="32"/>
        <v>0</v>
      </c>
      <c r="O61" s="11"/>
      <c r="P61" s="7">
        <v>141.44999999999999</v>
      </c>
      <c r="Q61" s="2"/>
      <c r="R61" s="6">
        <f t="shared" si="33"/>
        <v>5.025104741194315E-4</v>
      </c>
      <c r="S61" s="2"/>
      <c r="T61" s="7"/>
      <c r="U61" s="2"/>
      <c r="V61" s="6">
        <f t="shared" si="34"/>
        <v>0</v>
      </c>
      <c r="W61" s="2"/>
      <c r="X61" s="7">
        <f t="shared" si="35"/>
        <v>141.44999999999999</v>
      </c>
      <c r="Y61" s="2"/>
      <c r="Z61" s="6">
        <f t="shared" si="36"/>
        <v>0</v>
      </c>
    </row>
    <row r="62" spans="1:26" s="24" customFormat="1" hidden="1" outlineLevel="2" x14ac:dyDescent="0.25">
      <c r="A62" s="26"/>
      <c r="B62" s="11" t="str">
        <f>CONCATENATE("          ", "6375", " - ", "OUTSIDE REPAIRS &amp; MAINTENANCE")</f>
        <v xml:space="preserve">          6375 - OUTSIDE REPAIRS &amp; MAINTENANCE</v>
      </c>
      <c r="C62" s="11"/>
      <c r="D62" s="7"/>
      <c r="E62" s="2"/>
      <c r="F62" s="6">
        <f t="shared" si="29"/>
        <v>0</v>
      </c>
      <c r="G62" s="2"/>
      <c r="H62" s="7"/>
      <c r="I62" s="2"/>
      <c r="J62" s="6">
        <f t="shared" si="30"/>
        <v>0</v>
      </c>
      <c r="K62" s="2"/>
      <c r="L62" s="7">
        <f t="shared" si="31"/>
        <v>0</v>
      </c>
      <c r="M62" s="2"/>
      <c r="N62" s="6">
        <f t="shared" si="32"/>
        <v>0</v>
      </c>
      <c r="O62" s="11"/>
      <c r="P62" s="7">
        <v>1086.3599999999999</v>
      </c>
      <c r="Q62" s="2"/>
      <c r="R62" s="6">
        <f t="shared" si="33"/>
        <v>3.8593657028235112E-3</v>
      </c>
      <c r="S62" s="2"/>
      <c r="T62" s="7"/>
      <c r="U62" s="2"/>
      <c r="V62" s="6">
        <f t="shared" si="34"/>
        <v>0</v>
      </c>
      <c r="W62" s="2"/>
      <c r="X62" s="7">
        <f t="shared" si="35"/>
        <v>1086.3599999999999</v>
      </c>
      <c r="Y62" s="2"/>
      <c r="Z62" s="6">
        <f t="shared" si="36"/>
        <v>0</v>
      </c>
    </row>
    <row r="63" spans="1:26" s="27" customFormat="1" outlineLevel="1" collapsed="1" x14ac:dyDescent="0.25">
      <c r="A63" s="25"/>
      <c r="B63" s="12" t="str">
        <f>CONCATENATE("     ","Royalty &amp; Commissions                             ")</f>
        <v xml:space="preserve">     Royalty &amp; Commissions                             </v>
      </c>
      <c r="C63" s="12"/>
      <c r="D63" s="1">
        <f>SUM(OSRRefD22_10x_0)</f>
        <v>0</v>
      </c>
      <c r="E63" s="1"/>
      <c r="F63" s="5">
        <f t="shared" ref="F63:F65" si="37">IF(D$12=0,0,D63/D$12)</f>
        <v>0</v>
      </c>
      <c r="G63" s="1"/>
      <c r="H63" s="1">
        <f>SUM(OSRRefH22_10x_0)</f>
        <v>2052</v>
      </c>
      <c r="I63" s="1"/>
      <c r="J63" s="5">
        <f t="shared" ref="J63:J65" si="38">IF(H$12=0,0,H63/H$12)</f>
        <v>8.9124391938846415E-2</v>
      </c>
      <c r="K63" s="1"/>
      <c r="L63" s="1">
        <f t="shared" ref="L63:L65" si="39">+D63-H63</f>
        <v>-2052</v>
      </c>
      <c r="M63" s="1"/>
      <c r="N63" s="5">
        <f t="shared" ref="N63:N65" si="40">IF(H63=0,0,L63/H63)</f>
        <v>-1</v>
      </c>
      <c r="O63" s="12"/>
      <c r="P63" s="1">
        <f>SUM(OSRRefP22_10x_0)</f>
        <v>24556.14</v>
      </c>
      <c r="Q63" s="1"/>
      <c r="R63" s="5">
        <f t="shared" ref="R63:R65" si="41">IF(P$12=0,0,P63/P$12)</f>
        <v>8.7237310384893171E-2</v>
      </c>
      <c r="S63" s="1"/>
      <c r="T63" s="1">
        <f>SUM(OSRRefT22_10x_0)</f>
        <v>28836</v>
      </c>
      <c r="U63" s="1"/>
      <c r="V63" s="5">
        <f t="shared" ref="V63:V65" si="42">IF(T$12=0,0,T63/T$12)</f>
        <v>8.9127639582612134E-2</v>
      </c>
      <c r="W63" s="1"/>
      <c r="X63" s="1">
        <f t="shared" ref="X63:X65" si="43">+P63-T63</f>
        <v>-4279.8600000000006</v>
      </c>
      <c r="Y63" s="1"/>
      <c r="Z63" s="5">
        <f t="shared" ref="Z63:Z65" si="44">IF(T63=0,0,X63/T63)</f>
        <v>-0.14842072409488141</v>
      </c>
    </row>
    <row r="64" spans="1:26" s="24" customFormat="1" hidden="1" outlineLevel="2" x14ac:dyDescent="0.25">
      <c r="A64" s="26"/>
      <c r="B64" s="11" t="str">
        <f>CONCATENATE("          ", "6254", " - ", "ROYALTY &amp; COMMISSIONS")</f>
        <v xml:space="preserve">          6254 - ROYALTY &amp; COMMISSIONS</v>
      </c>
      <c r="C64" s="11"/>
      <c r="D64" s="7"/>
      <c r="E64" s="2"/>
      <c r="F64" s="6">
        <f t="shared" si="37"/>
        <v>0</v>
      </c>
      <c r="G64" s="2"/>
      <c r="H64" s="7"/>
      <c r="I64" s="2"/>
      <c r="J64" s="6">
        <f t="shared" si="38"/>
        <v>0</v>
      </c>
      <c r="K64" s="2"/>
      <c r="L64" s="7">
        <f t="shared" si="39"/>
        <v>0</v>
      </c>
      <c r="M64" s="2"/>
      <c r="N64" s="6">
        <f t="shared" si="40"/>
        <v>0</v>
      </c>
      <c r="O64" s="11"/>
      <c r="P64" s="7">
        <v>24556.14</v>
      </c>
      <c r="Q64" s="2"/>
      <c r="R64" s="6">
        <f t="shared" si="41"/>
        <v>8.7237310384893171E-2</v>
      </c>
      <c r="S64" s="2"/>
      <c r="T64" s="7"/>
      <c r="U64" s="2"/>
      <c r="V64" s="6">
        <f t="shared" si="42"/>
        <v>0</v>
      </c>
      <c r="W64" s="2"/>
      <c r="X64" s="7">
        <f t="shared" si="43"/>
        <v>24556.14</v>
      </c>
      <c r="Y64" s="2"/>
      <c r="Z64" s="6">
        <f t="shared" si="44"/>
        <v>0</v>
      </c>
    </row>
    <row r="65" spans="1:26" s="24" customFormat="1" hidden="1" outlineLevel="2" x14ac:dyDescent="0.25">
      <c r="A65" s="26"/>
      <c r="B65" s="11" t="str">
        <f>CONCATENATE("          ", "6259", " - ", "ROYALTY &amp; COMMISSIONS")</f>
        <v xml:space="preserve">          6259 - ROYALTY &amp; COMMISSIONS</v>
      </c>
      <c r="C65" s="11"/>
      <c r="D65" s="7"/>
      <c r="E65" s="2"/>
      <c r="F65" s="6">
        <f t="shared" si="37"/>
        <v>0</v>
      </c>
      <c r="G65" s="2"/>
      <c r="H65" s="7">
        <v>2052</v>
      </c>
      <c r="I65" s="2"/>
      <c r="J65" s="6">
        <f t="shared" si="38"/>
        <v>8.9124391938846415E-2</v>
      </c>
      <c r="K65" s="2"/>
      <c r="L65" s="7">
        <f t="shared" si="39"/>
        <v>-2052</v>
      </c>
      <c r="M65" s="2"/>
      <c r="N65" s="6">
        <f t="shared" si="40"/>
        <v>-1</v>
      </c>
      <c r="O65" s="11"/>
      <c r="P65" s="7"/>
      <c r="Q65" s="2"/>
      <c r="R65" s="6">
        <f t="shared" si="41"/>
        <v>0</v>
      </c>
      <c r="S65" s="2"/>
      <c r="T65" s="7">
        <v>28836</v>
      </c>
      <c r="U65" s="2"/>
      <c r="V65" s="6">
        <f t="shared" si="42"/>
        <v>8.9127639582612134E-2</v>
      </c>
      <c r="W65" s="2"/>
      <c r="X65" s="7">
        <f t="shared" si="43"/>
        <v>-28836</v>
      </c>
      <c r="Y65" s="2"/>
      <c r="Z65" s="6">
        <f t="shared" si="44"/>
        <v>-1</v>
      </c>
    </row>
    <row r="66" spans="1:26" s="27" customFormat="1" outlineLevel="1" collapsed="1" x14ac:dyDescent="0.25">
      <c r="A66" s="25"/>
      <c r="B66" s="12" t="str">
        <f>CONCATENATE("     ","Services                                          ")</f>
        <v xml:space="preserve">     Services                                          </v>
      </c>
      <c r="C66" s="12"/>
      <c r="D66" s="1">
        <f>SUM(OSRRefD22_11x_0)</f>
        <v>24.22</v>
      </c>
      <c r="E66" s="1"/>
      <c r="F66" s="5">
        <f t="shared" ref="F66:F69" si="45">IF(D$12=0,0,D66/D$12)</f>
        <v>0</v>
      </c>
      <c r="G66" s="1"/>
      <c r="H66" s="1">
        <f>SUM(OSRRefH22_11x_0)</f>
        <v>137</v>
      </c>
      <c r="I66" s="1"/>
      <c r="J66" s="5">
        <f t="shared" ref="J66:J69" si="46">IF(H$12=0,0,H66/H$12)</f>
        <v>5.9503127171646976E-3</v>
      </c>
      <c r="K66" s="1"/>
      <c r="L66" s="1">
        <f t="shared" ref="L66:L69" si="47">+D66-H66</f>
        <v>-112.78</v>
      </c>
      <c r="M66" s="1"/>
      <c r="N66" s="5">
        <f t="shared" ref="N66:N69" si="48">IF(H66=0,0,L66/H66)</f>
        <v>-0.82321167883211677</v>
      </c>
      <c r="O66" s="12"/>
      <c r="P66" s="1">
        <f>SUM(OSRRefP22_11x_0)</f>
        <v>1919.3999999999999</v>
      </c>
      <c r="Q66" s="1"/>
      <c r="R66" s="5">
        <f t="shared" ref="R66:R69" si="49">IF(P$12=0,0,P66/P$12)</f>
        <v>6.8187953624944285E-3</v>
      </c>
      <c r="S66" s="1"/>
      <c r="T66" s="1">
        <f>SUM(OSRRefT22_11x_0)</f>
        <v>1923</v>
      </c>
      <c r="U66" s="1"/>
      <c r="V66" s="5">
        <f t="shared" ref="V66:V69" si="50">IF(T$12=0,0,T66/T$12)</f>
        <v>5.9436971465308339E-3</v>
      </c>
      <c r="W66" s="1"/>
      <c r="X66" s="1">
        <f t="shared" ref="X66:X69" si="51">+P66-T66</f>
        <v>-3.6000000000001364</v>
      </c>
      <c r="Y66" s="1"/>
      <c r="Z66" s="5">
        <f t="shared" ref="Z66:Z69" si="52">IF(T66=0,0,X66/T66)</f>
        <v>-1.8720748829953908E-3</v>
      </c>
    </row>
    <row r="67" spans="1:26" s="24" customFormat="1" hidden="1" outlineLevel="2" x14ac:dyDescent="0.25">
      <c r="A67" s="26"/>
      <c r="B67" s="11" t="str">
        <f>CONCATENATE("          ", "6282", " - ", "JANITORIAL/EXTERMINATOR EXPENS")</f>
        <v xml:space="preserve">          6282 - JANITORIAL/EXTERMINATOR EXPENS</v>
      </c>
      <c r="C67" s="11"/>
      <c r="D67" s="7"/>
      <c r="E67" s="2"/>
      <c r="F67" s="6">
        <f t="shared" si="45"/>
        <v>0</v>
      </c>
      <c r="G67" s="2"/>
      <c r="H67" s="7"/>
      <c r="I67" s="2"/>
      <c r="J67" s="6">
        <f t="shared" si="46"/>
        <v>0</v>
      </c>
      <c r="K67" s="2"/>
      <c r="L67" s="7">
        <f t="shared" si="47"/>
        <v>0</v>
      </c>
      <c r="M67" s="2"/>
      <c r="N67" s="6">
        <f t="shared" si="48"/>
        <v>0</v>
      </c>
      <c r="O67" s="11"/>
      <c r="P67" s="7">
        <v>328</v>
      </c>
      <c r="Q67" s="2"/>
      <c r="R67" s="6">
        <f t="shared" si="49"/>
        <v>1.1652416791175224E-3</v>
      </c>
      <c r="S67" s="2"/>
      <c r="T67" s="7"/>
      <c r="U67" s="2"/>
      <c r="V67" s="6">
        <f t="shared" si="50"/>
        <v>0</v>
      </c>
      <c r="W67" s="2"/>
      <c r="X67" s="7">
        <f t="shared" si="51"/>
        <v>328</v>
      </c>
      <c r="Y67" s="2"/>
      <c r="Z67" s="6">
        <f t="shared" si="52"/>
        <v>0</v>
      </c>
    </row>
    <row r="68" spans="1:26" s="24" customFormat="1" hidden="1" outlineLevel="2" x14ac:dyDescent="0.25">
      <c r="A68" s="26"/>
      <c r="B68" s="11" t="str">
        <f>CONCATENATE("          ", "6285", " - ", "JANITORIAL SERVICES")</f>
        <v xml:space="preserve">          6285 - JANITORIAL SERVICES</v>
      </c>
      <c r="C68" s="11"/>
      <c r="D68" s="7">
        <v>24.22</v>
      </c>
      <c r="E68" s="2"/>
      <c r="F68" s="6">
        <f t="shared" si="45"/>
        <v>0</v>
      </c>
      <c r="G68" s="2"/>
      <c r="H68" s="7">
        <v>137</v>
      </c>
      <c r="I68" s="2"/>
      <c r="J68" s="6">
        <f t="shared" si="46"/>
        <v>5.9503127171646976E-3</v>
      </c>
      <c r="K68" s="2"/>
      <c r="L68" s="7">
        <f t="shared" si="47"/>
        <v>-112.78</v>
      </c>
      <c r="M68" s="2"/>
      <c r="N68" s="6">
        <f t="shared" si="48"/>
        <v>-0.82321167883211677</v>
      </c>
      <c r="O68" s="11"/>
      <c r="P68" s="7">
        <v>256.82</v>
      </c>
      <c r="Q68" s="2"/>
      <c r="R68" s="6">
        <f t="shared" si="49"/>
        <v>9.1237002448464057E-4</v>
      </c>
      <c r="S68" s="2"/>
      <c r="T68" s="7">
        <v>1923</v>
      </c>
      <c r="U68" s="2"/>
      <c r="V68" s="6">
        <f t="shared" si="50"/>
        <v>5.9436971465308339E-3</v>
      </c>
      <c r="W68" s="2"/>
      <c r="X68" s="7">
        <f t="shared" si="51"/>
        <v>-1666.18</v>
      </c>
      <c r="Y68" s="2"/>
      <c r="Z68" s="6">
        <f t="shared" si="52"/>
        <v>-0.86644825793031721</v>
      </c>
    </row>
    <row r="69" spans="1:26" s="24" customFormat="1" hidden="1" outlineLevel="2" x14ac:dyDescent="0.25">
      <c r="A69" s="26"/>
      <c r="B69" s="11" t="str">
        <f>CONCATENATE("          ", "6286", " - ", "LAUNDRY EXPENSE")</f>
        <v xml:space="preserve">          6286 - LAUNDRY EXPENSE</v>
      </c>
      <c r="C69" s="11"/>
      <c r="D69" s="7"/>
      <c r="E69" s="2"/>
      <c r="F69" s="6">
        <f t="shared" si="45"/>
        <v>0</v>
      </c>
      <c r="G69" s="2"/>
      <c r="H69" s="7"/>
      <c r="I69" s="2"/>
      <c r="J69" s="6">
        <f t="shared" si="46"/>
        <v>0</v>
      </c>
      <c r="K69" s="2"/>
      <c r="L69" s="7">
        <f t="shared" si="47"/>
        <v>0</v>
      </c>
      <c r="M69" s="2"/>
      <c r="N69" s="6">
        <f t="shared" si="48"/>
        <v>0</v>
      </c>
      <c r="O69" s="11"/>
      <c r="P69" s="7">
        <v>1334.58</v>
      </c>
      <c r="Q69" s="2"/>
      <c r="R69" s="6">
        <f t="shared" si="49"/>
        <v>4.7411836588922658E-3</v>
      </c>
      <c r="S69" s="2"/>
      <c r="T69" s="7"/>
      <c r="U69" s="2"/>
      <c r="V69" s="6">
        <f t="shared" si="50"/>
        <v>0</v>
      </c>
      <c r="W69" s="2"/>
      <c r="X69" s="7">
        <f t="shared" si="51"/>
        <v>1334.58</v>
      </c>
      <c r="Y69" s="2"/>
      <c r="Z69" s="6">
        <f t="shared" si="52"/>
        <v>0</v>
      </c>
    </row>
    <row r="70" spans="1:26" s="27" customFormat="1" outlineLevel="1" collapsed="1" x14ac:dyDescent="0.25">
      <c r="A70" s="25"/>
      <c r="B70" s="12" t="str">
        <f>CONCATENATE("     ","Supplies                                          ")</f>
        <v xml:space="preserve">     Supplies                                          </v>
      </c>
      <c r="C70" s="12"/>
      <c r="D70" s="1">
        <f>SUM(OSRRefD22_12x_0)</f>
        <v>41.07</v>
      </c>
      <c r="E70" s="1"/>
      <c r="F70" s="5">
        <f t="shared" ref="F70:F74" si="53">IF(D$12=0,0,D70/D$12)</f>
        <v>0</v>
      </c>
      <c r="G70" s="1"/>
      <c r="H70" s="1">
        <f>SUM(OSRRefH22_12x_0)</f>
        <v>365</v>
      </c>
      <c r="I70" s="1"/>
      <c r="J70" s="5">
        <f t="shared" ref="J70:J74" si="54">IF(H$12=0,0,H70/H$12)</f>
        <v>1.5853022932592078E-2</v>
      </c>
      <c r="K70" s="1"/>
      <c r="L70" s="1">
        <f t="shared" ref="L70:L74" si="55">+D70-H70</f>
        <v>-323.93</v>
      </c>
      <c r="M70" s="1"/>
      <c r="N70" s="5">
        <f t="shared" ref="N70:N74" si="56">IF(H70=0,0,L70/H70)</f>
        <v>-0.8874794520547945</v>
      </c>
      <c r="O70" s="12"/>
      <c r="P70" s="1">
        <f>SUM(OSRRefP22_12x_0)</f>
        <v>7668.1800000000012</v>
      </c>
      <c r="Q70" s="1"/>
      <c r="R70" s="5">
        <f t="shared" ref="R70:R74" si="57">IF(P$12=0,0,P70/P$12)</f>
        <v>2.7241716277364041E-2</v>
      </c>
      <c r="S70" s="1"/>
      <c r="T70" s="1">
        <f>SUM(OSRRefT22_12x_0)</f>
        <v>5126</v>
      </c>
      <c r="U70" s="1"/>
      <c r="V70" s="5">
        <f t="shared" ref="V70:V74" si="58">IF(T$12=0,0,T70/T$12)</f>
        <v>1.5843677365115473E-2</v>
      </c>
      <c r="W70" s="1"/>
      <c r="X70" s="1">
        <f t="shared" ref="X70:X74" si="59">+P70-T70</f>
        <v>2542.1800000000012</v>
      </c>
      <c r="Y70" s="1"/>
      <c r="Z70" s="5">
        <f t="shared" ref="Z70:Z74" si="60">IF(T70=0,0,X70/T70)</f>
        <v>0.49593835349200177</v>
      </c>
    </row>
    <row r="71" spans="1:26" s="24" customFormat="1" hidden="1" outlineLevel="2" x14ac:dyDescent="0.25">
      <c r="A71" s="26"/>
      <c r="B71" s="11" t="str">
        <f>CONCATENATE("          ", "6234", " - ", "EXPENDABLE SUPPLIES &amp; EQUIPMEN")</f>
        <v xml:space="preserve">          6234 - EXPENDABLE SUPPLIES &amp; EQUIPMEN</v>
      </c>
      <c r="C71" s="11"/>
      <c r="D71" s="7"/>
      <c r="E71" s="2"/>
      <c r="F71" s="6">
        <f t="shared" si="53"/>
        <v>0</v>
      </c>
      <c r="G71" s="2"/>
      <c r="H71" s="7"/>
      <c r="I71" s="2"/>
      <c r="J71" s="6">
        <f t="shared" si="54"/>
        <v>0</v>
      </c>
      <c r="K71" s="2"/>
      <c r="L71" s="7">
        <f t="shared" si="55"/>
        <v>0</v>
      </c>
      <c r="M71" s="2"/>
      <c r="N71" s="6">
        <f t="shared" si="56"/>
        <v>0</v>
      </c>
      <c r="O71" s="11"/>
      <c r="P71" s="7">
        <v>354.71</v>
      </c>
      <c r="Q71" s="2"/>
      <c r="R71" s="6">
        <f t="shared" si="57"/>
        <v>1.2601307195115135E-3</v>
      </c>
      <c r="S71" s="2"/>
      <c r="T71" s="7"/>
      <c r="U71" s="2"/>
      <c r="V71" s="6">
        <f t="shared" si="58"/>
        <v>0</v>
      </c>
      <c r="W71" s="2"/>
      <c r="X71" s="7">
        <f t="shared" si="59"/>
        <v>354.71</v>
      </c>
      <c r="Y71" s="2"/>
      <c r="Z71" s="6">
        <f t="shared" si="60"/>
        <v>0</v>
      </c>
    </row>
    <row r="72" spans="1:26" s="24" customFormat="1" hidden="1" outlineLevel="2" x14ac:dyDescent="0.25">
      <c r="A72" s="26"/>
      <c r="B72" s="11" t="str">
        <f>CONCATENATE("          ", "6237", " - ", "JANITORIAL SUPPLIES")</f>
        <v xml:space="preserve">          6237 - JANITORIAL SUPPLIES</v>
      </c>
      <c r="C72" s="11"/>
      <c r="D72" s="7"/>
      <c r="E72" s="2"/>
      <c r="F72" s="6">
        <f t="shared" si="53"/>
        <v>0</v>
      </c>
      <c r="G72" s="2"/>
      <c r="H72" s="7"/>
      <c r="I72" s="2"/>
      <c r="J72" s="6">
        <f t="shared" si="54"/>
        <v>0</v>
      </c>
      <c r="K72" s="2"/>
      <c r="L72" s="7">
        <f t="shared" si="55"/>
        <v>0</v>
      </c>
      <c r="M72" s="2"/>
      <c r="N72" s="6">
        <f t="shared" si="56"/>
        <v>0</v>
      </c>
      <c r="O72" s="11"/>
      <c r="P72" s="7">
        <v>38.56</v>
      </c>
      <c r="Q72" s="2"/>
      <c r="R72" s="6">
        <f t="shared" si="57"/>
        <v>1.369869486182063E-4</v>
      </c>
      <c r="S72" s="2"/>
      <c r="T72" s="7"/>
      <c r="U72" s="2"/>
      <c r="V72" s="6">
        <f t="shared" si="58"/>
        <v>0</v>
      </c>
      <c r="W72" s="2"/>
      <c r="X72" s="7">
        <f t="shared" si="59"/>
        <v>38.56</v>
      </c>
      <c r="Y72" s="2"/>
      <c r="Z72" s="6">
        <f t="shared" si="60"/>
        <v>0</v>
      </c>
    </row>
    <row r="73" spans="1:26" s="24" customFormat="1" hidden="1" outlineLevel="2" x14ac:dyDescent="0.25">
      <c r="A73" s="26"/>
      <c r="B73" s="11" t="str">
        <f>CONCATENATE("          ", "6247", " - ", "STORE SUPPLIES")</f>
        <v xml:space="preserve">          6247 - STORE SUPPLIES</v>
      </c>
      <c r="C73" s="11"/>
      <c r="D73" s="7"/>
      <c r="E73" s="2"/>
      <c r="F73" s="6">
        <f t="shared" si="53"/>
        <v>0</v>
      </c>
      <c r="G73" s="2"/>
      <c r="H73" s="7">
        <v>365</v>
      </c>
      <c r="I73" s="2"/>
      <c r="J73" s="6">
        <f t="shared" si="54"/>
        <v>1.5853022932592078E-2</v>
      </c>
      <c r="K73" s="2"/>
      <c r="L73" s="7">
        <f t="shared" si="55"/>
        <v>-365</v>
      </c>
      <c r="M73" s="2"/>
      <c r="N73" s="6">
        <f t="shared" si="56"/>
        <v>-1</v>
      </c>
      <c r="O73" s="11"/>
      <c r="P73" s="7">
        <v>7192.77</v>
      </c>
      <c r="Q73" s="2"/>
      <c r="R73" s="6">
        <f t="shared" si="57"/>
        <v>2.5552790830201656E-2</v>
      </c>
      <c r="S73" s="2"/>
      <c r="T73" s="7">
        <v>5126</v>
      </c>
      <c r="U73" s="2"/>
      <c r="V73" s="6">
        <f t="shared" si="58"/>
        <v>1.5843677365115473E-2</v>
      </c>
      <c r="W73" s="2"/>
      <c r="X73" s="7">
        <f t="shared" si="59"/>
        <v>2066.7700000000004</v>
      </c>
      <c r="Y73" s="2"/>
      <c r="Z73" s="6">
        <f t="shared" si="60"/>
        <v>0.40319352321498253</v>
      </c>
    </row>
    <row r="74" spans="1:26" s="24" customFormat="1" hidden="1" outlineLevel="2" x14ac:dyDescent="0.25">
      <c r="A74" s="26"/>
      <c r="B74" s="11" t="str">
        <f>CONCATENATE("          ", "6248", " - ", "UNIFORMS")</f>
        <v xml:space="preserve">          6248 - UNIFORMS</v>
      </c>
      <c r="C74" s="11"/>
      <c r="D74" s="7">
        <v>41.07</v>
      </c>
      <c r="E74" s="2"/>
      <c r="F74" s="6">
        <f t="shared" si="53"/>
        <v>0</v>
      </c>
      <c r="G74" s="2"/>
      <c r="H74" s="7"/>
      <c r="I74" s="2"/>
      <c r="J74" s="6">
        <f t="shared" si="54"/>
        <v>0</v>
      </c>
      <c r="K74" s="2"/>
      <c r="L74" s="7">
        <f t="shared" si="55"/>
        <v>41.07</v>
      </c>
      <c r="M74" s="2"/>
      <c r="N74" s="6">
        <f t="shared" si="56"/>
        <v>0</v>
      </c>
      <c r="O74" s="11"/>
      <c r="P74" s="7">
        <v>82.14</v>
      </c>
      <c r="Q74" s="2"/>
      <c r="R74" s="6">
        <f t="shared" si="57"/>
        <v>2.9180777903266248E-4</v>
      </c>
      <c r="S74" s="2"/>
      <c r="T74" s="7"/>
      <c r="U74" s="2"/>
      <c r="V74" s="6">
        <f t="shared" si="58"/>
        <v>0</v>
      </c>
      <c r="W74" s="2"/>
      <c r="X74" s="7">
        <f t="shared" si="59"/>
        <v>82.14</v>
      </c>
      <c r="Y74" s="2"/>
      <c r="Z74" s="6">
        <f t="shared" si="60"/>
        <v>0</v>
      </c>
    </row>
    <row r="75" spans="1:26" s="27" customFormat="1" outlineLevel="1" collapsed="1" x14ac:dyDescent="0.25">
      <c r="A75" s="25"/>
      <c r="B75" s="12" t="str">
        <f>CONCATENATE("     ","Telephone/Data Lines                              ")</f>
        <v xml:space="preserve">     Telephone/Data Lines                              </v>
      </c>
      <c r="C75" s="12"/>
      <c r="D75" s="1">
        <f>SUM(OSRRefD22_13x_0)</f>
        <v>51.5</v>
      </c>
      <c r="E75" s="1"/>
      <c r="F75" s="5">
        <f t="shared" ref="F75:F78" si="61">IF(D$12=0,0,D75/D$12)</f>
        <v>0</v>
      </c>
      <c r="G75" s="1"/>
      <c r="H75" s="1">
        <f>SUM(OSRRefH22_13x_0)</f>
        <v>75</v>
      </c>
      <c r="I75" s="1"/>
      <c r="J75" s="5">
        <f t="shared" ref="J75:J78" si="62">IF(H$12=0,0,H75/H$12)</f>
        <v>3.2574704656011121E-3</v>
      </c>
      <c r="K75" s="1"/>
      <c r="L75" s="1">
        <f t="shared" ref="L75:L78" si="63">+D75-H75</f>
        <v>-23.5</v>
      </c>
      <c r="M75" s="1"/>
      <c r="N75" s="5">
        <f t="shared" ref="N75:N78" si="64">IF(H75=0,0,L75/H75)</f>
        <v>-0.31333333333333335</v>
      </c>
      <c r="O75" s="12"/>
      <c r="P75" s="1">
        <f>SUM(OSRRefP22_13x_0)</f>
        <v>628.09</v>
      </c>
      <c r="Q75" s="1"/>
      <c r="R75" s="5">
        <f t="shared" ref="R75:R78" si="65">IF(P$12=0,0,P75/P$12)</f>
        <v>2.2313312385272097E-3</v>
      </c>
      <c r="S75" s="1"/>
      <c r="T75" s="1">
        <f>SUM(OSRRefT22_13x_0)</f>
        <v>825</v>
      </c>
      <c r="U75" s="1"/>
      <c r="V75" s="5">
        <f t="shared" ref="V75:V78" si="66">IF(T$12=0,0,T75/T$12)</f>
        <v>2.5499480737846791E-3</v>
      </c>
      <c r="W75" s="1"/>
      <c r="X75" s="1">
        <f t="shared" ref="X75:X78" si="67">+P75-T75</f>
        <v>-196.90999999999997</v>
      </c>
      <c r="Y75" s="1"/>
      <c r="Z75" s="5">
        <f t="shared" ref="Z75:Z78" si="68">IF(T75=0,0,X75/T75)</f>
        <v>-0.23867878787878785</v>
      </c>
    </row>
    <row r="76" spans="1:26" s="24" customFormat="1" hidden="1" outlineLevel="2" x14ac:dyDescent="0.25">
      <c r="A76" s="26"/>
      <c r="B76" s="11" t="str">
        <f>CONCATENATE("          ", "6309", " - ", "TELEPHONE")</f>
        <v xml:space="preserve">          6309 - TELEPHONE</v>
      </c>
      <c r="C76" s="11"/>
      <c r="D76" s="7">
        <v>51.5</v>
      </c>
      <c r="E76" s="2"/>
      <c r="F76" s="6">
        <f t="shared" si="61"/>
        <v>0</v>
      </c>
      <c r="G76" s="2"/>
      <c r="H76" s="7">
        <v>75</v>
      </c>
      <c r="I76" s="2"/>
      <c r="J76" s="6">
        <f t="shared" si="62"/>
        <v>3.2574704656011121E-3</v>
      </c>
      <c r="K76" s="2"/>
      <c r="L76" s="7">
        <f t="shared" si="63"/>
        <v>-23.5</v>
      </c>
      <c r="M76" s="2"/>
      <c r="N76" s="6">
        <f t="shared" si="64"/>
        <v>-0.31333333333333335</v>
      </c>
      <c r="O76" s="11"/>
      <c r="P76" s="7">
        <v>628.09</v>
      </c>
      <c r="Q76" s="2"/>
      <c r="R76" s="6">
        <f t="shared" si="65"/>
        <v>2.2313312385272097E-3</v>
      </c>
      <c r="S76" s="2"/>
      <c r="T76" s="7">
        <v>825</v>
      </c>
      <c r="U76" s="2"/>
      <c r="V76" s="6">
        <f t="shared" si="66"/>
        <v>2.5499480737846791E-3</v>
      </c>
      <c r="W76" s="2"/>
      <c r="X76" s="7">
        <f t="shared" si="67"/>
        <v>-196.90999999999997</v>
      </c>
      <c r="Y76" s="2"/>
      <c r="Z76" s="6">
        <f t="shared" si="68"/>
        <v>-0.23867878787878785</v>
      </c>
    </row>
    <row r="77" spans="1:26" s="27" customFormat="1" outlineLevel="1" collapsed="1" x14ac:dyDescent="0.25">
      <c r="A77" s="25"/>
      <c r="B77" s="12" t="str">
        <f>CONCATENATE("     ","Utilities                                         ")</f>
        <v xml:space="preserve">     Utilities                                         </v>
      </c>
      <c r="C77" s="12"/>
      <c r="D77" s="1">
        <f>SUM(OSRRefD22_14x_0)</f>
        <v>23</v>
      </c>
      <c r="E77" s="1"/>
      <c r="F77" s="5">
        <f t="shared" si="61"/>
        <v>0</v>
      </c>
      <c r="G77" s="1"/>
      <c r="H77" s="1">
        <f>SUM(OSRRefH22_14x_0)</f>
        <v>23</v>
      </c>
      <c r="I77" s="1"/>
      <c r="J77" s="5">
        <f t="shared" si="62"/>
        <v>9.9895760945100764E-4</v>
      </c>
      <c r="K77" s="1"/>
      <c r="L77" s="1">
        <f t="shared" si="63"/>
        <v>0</v>
      </c>
      <c r="M77" s="1"/>
      <c r="N77" s="5">
        <f t="shared" si="64"/>
        <v>0</v>
      </c>
      <c r="O77" s="12"/>
      <c r="P77" s="1">
        <f>SUM(OSRRefP22_14x_0)</f>
        <v>-27.26</v>
      </c>
      <c r="Q77" s="1"/>
      <c r="R77" s="5">
        <f t="shared" si="65"/>
        <v>-9.6842951746169714E-5</v>
      </c>
      <c r="S77" s="1"/>
      <c r="T77" s="1">
        <f>SUM(OSRRefT22_14x_0)</f>
        <v>321</v>
      </c>
      <c r="U77" s="1"/>
      <c r="V77" s="5">
        <f t="shared" si="66"/>
        <v>9.9216161416349337E-4</v>
      </c>
      <c r="W77" s="1"/>
      <c r="X77" s="1">
        <f t="shared" si="67"/>
        <v>-348.26</v>
      </c>
      <c r="Y77" s="1"/>
      <c r="Z77" s="5">
        <f t="shared" si="68"/>
        <v>-1.0849221183800624</v>
      </c>
    </row>
    <row r="78" spans="1:26" s="24" customFormat="1" hidden="1" outlineLevel="2" x14ac:dyDescent="0.25">
      <c r="A78" s="26"/>
      <c r="B78" s="11" t="str">
        <f>CONCATENATE("          ", "6274", " - ", "UTILITIES")</f>
        <v xml:space="preserve">          6274 - UTILITIES</v>
      </c>
      <c r="C78" s="11"/>
      <c r="D78" s="7">
        <v>23</v>
      </c>
      <c r="E78" s="2"/>
      <c r="F78" s="6">
        <f t="shared" si="61"/>
        <v>0</v>
      </c>
      <c r="G78" s="2"/>
      <c r="H78" s="7">
        <v>23</v>
      </c>
      <c r="I78" s="2"/>
      <c r="J78" s="6">
        <f t="shared" si="62"/>
        <v>9.9895760945100764E-4</v>
      </c>
      <c r="K78" s="2"/>
      <c r="L78" s="7">
        <f t="shared" si="63"/>
        <v>0</v>
      </c>
      <c r="M78" s="2"/>
      <c r="N78" s="6">
        <f t="shared" si="64"/>
        <v>0</v>
      </c>
      <c r="O78" s="11"/>
      <c r="P78" s="7">
        <v>-27.26</v>
      </c>
      <c r="Q78" s="2"/>
      <c r="R78" s="6">
        <f t="shared" si="65"/>
        <v>-9.6842951746169714E-5</v>
      </c>
      <c r="S78" s="2"/>
      <c r="T78" s="7">
        <v>321</v>
      </c>
      <c r="U78" s="2"/>
      <c r="V78" s="6">
        <f t="shared" si="66"/>
        <v>9.9216161416349337E-4</v>
      </c>
      <c r="W78" s="2"/>
      <c r="X78" s="7">
        <f t="shared" si="67"/>
        <v>-348.26</v>
      </c>
      <c r="Y78" s="2"/>
      <c r="Z78" s="6">
        <f t="shared" si="68"/>
        <v>-1.0849221183800624</v>
      </c>
    </row>
    <row r="79" spans="1:26" s="62" customFormat="1" x14ac:dyDescent="0.25">
      <c r="A79" s="36"/>
      <c r="B79" s="36"/>
      <c r="C79" s="36"/>
      <c r="D79" s="1"/>
      <c r="E79" s="1"/>
      <c r="F79" s="5"/>
      <c r="G79" s="1"/>
      <c r="H79" s="1"/>
      <c r="I79" s="1"/>
      <c r="J79" s="5"/>
      <c r="K79" s="1"/>
      <c r="L79" s="1"/>
      <c r="M79" s="1"/>
      <c r="N79" s="5"/>
      <c r="O79" s="36"/>
      <c r="P79" s="1"/>
      <c r="Q79" s="1"/>
      <c r="R79" s="5"/>
      <c r="S79" s="1"/>
      <c r="T79" s="1"/>
      <c r="U79" s="1"/>
      <c r="V79" s="5"/>
      <c r="W79" s="1"/>
      <c r="X79" s="1"/>
      <c r="Y79" s="1"/>
      <c r="Z79" s="5"/>
    </row>
    <row r="80" spans="1:26" s="23" customFormat="1" x14ac:dyDescent="0.25">
      <c r="A80" s="10"/>
      <c r="B80" s="28" t="s">
        <v>0</v>
      </c>
      <c r="C80" s="10"/>
      <c r="D80" s="4">
        <f>SUM(0)</f>
        <v>0</v>
      </c>
      <c r="E80" s="4"/>
      <c r="F80" s="13">
        <f>IF(D$12=0,0,D80/D$12)</f>
        <v>0</v>
      </c>
      <c r="G80" s="4"/>
      <c r="H80" s="4">
        <f>SUM(0)</f>
        <v>0</v>
      </c>
      <c r="I80" s="4"/>
      <c r="J80" s="13">
        <f>IF(H$12=0,0,H80/H$12)</f>
        <v>0</v>
      </c>
      <c r="K80" s="4"/>
      <c r="L80" s="4">
        <f>+D80-H80</f>
        <v>0</v>
      </c>
      <c r="M80" s="4"/>
      <c r="N80" s="13">
        <f>IF(H80=0,0,L80/H80)</f>
        <v>0</v>
      </c>
      <c r="O80" s="10"/>
      <c r="P80" s="4">
        <f>SUM(0)</f>
        <v>0</v>
      </c>
      <c r="Q80" s="4"/>
      <c r="R80" s="13">
        <f>IF(P$12=0,0,P80/P$12)</f>
        <v>0</v>
      </c>
      <c r="S80" s="4"/>
      <c r="T80" s="4">
        <f>SUM(0)</f>
        <v>0</v>
      </c>
      <c r="U80" s="4"/>
      <c r="V80" s="13">
        <f>IF(T$12=0,0,T80/T$12)</f>
        <v>0</v>
      </c>
      <c r="W80" s="4"/>
      <c r="X80" s="4">
        <f>+P80-T80</f>
        <v>0</v>
      </c>
      <c r="Y80" s="4"/>
      <c r="Z80" s="13">
        <f>IF(T80=0,0,X80/T80)</f>
        <v>0</v>
      </c>
    </row>
    <row r="81" spans="1:26" x14ac:dyDescent="0.25">
      <c r="A81" s="9"/>
      <c r="B81" s="10"/>
      <c r="C81" s="10"/>
      <c r="D81" s="3"/>
      <c r="E81" s="3"/>
      <c r="F81" s="8"/>
      <c r="G81" s="3"/>
      <c r="H81" s="3"/>
      <c r="I81" s="3"/>
      <c r="J81" s="8"/>
      <c r="K81" s="3"/>
      <c r="L81" s="3"/>
      <c r="M81" s="3"/>
      <c r="N81" s="8"/>
      <c r="O81" s="10"/>
      <c r="P81" s="3"/>
      <c r="Q81" s="3"/>
      <c r="R81" s="8"/>
      <c r="S81" s="3"/>
      <c r="T81" s="3"/>
      <c r="U81" s="3"/>
      <c r="V81" s="8"/>
      <c r="W81" s="3"/>
      <c r="X81" s="3"/>
      <c r="Y81" s="3"/>
      <c r="Z81" s="8"/>
    </row>
    <row r="82" spans="1:26" s="23" customFormat="1" x14ac:dyDescent="0.25">
      <c r="A82" s="10"/>
      <c r="B82" s="29" t="s">
        <v>3</v>
      </c>
      <c r="C82" s="29"/>
      <c r="D82" s="20">
        <f>+D22-D24+D80</f>
        <v>-1328.5099999999998</v>
      </c>
      <c r="E82" s="14"/>
      <c r="F82" s="22">
        <f>IF(D$12=0,0,D82/D$12)</f>
        <v>0</v>
      </c>
      <c r="G82" s="14"/>
      <c r="H82" s="20">
        <f>+H22-H24+H80</f>
        <v>-1517.9340466538488</v>
      </c>
      <c r="I82" s="14"/>
      <c r="J82" s="22">
        <f>IF(H$12=0,0,H82/H$12)</f>
        <v>-6.5928337676070564E-2</v>
      </c>
      <c r="K82" s="16"/>
      <c r="L82" s="20">
        <f>+D82-H82</f>
        <v>189.42404665384902</v>
      </c>
      <c r="M82" s="16"/>
      <c r="N82" s="22">
        <f>IF(H82=0,0,L82/H82)</f>
        <v>-0.12479069632268777</v>
      </c>
      <c r="O82" s="28"/>
      <c r="P82" s="20">
        <f>+P22-P24+P80</f>
        <v>13933.530000000013</v>
      </c>
      <c r="Q82" s="14"/>
      <c r="R82" s="22">
        <f>IF(P$12=0,0,P82/P$12)</f>
        <v>4.9499786259860942E-2</v>
      </c>
      <c r="S82" s="14"/>
      <c r="T82" s="20">
        <f>+T22-T24+T80</f>
        <v>15020.660736403806</v>
      </c>
      <c r="U82" s="14"/>
      <c r="V82" s="22">
        <f>IF(T$12=0,0,T82/T$12)</f>
        <v>4.6426551408201268E-2</v>
      </c>
      <c r="W82" s="16"/>
      <c r="X82" s="20">
        <f>+P82-T82</f>
        <v>-1087.130736403793</v>
      </c>
      <c r="Y82" s="16"/>
      <c r="Z82" s="22">
        <f>IF(T82=0,0,X82/T82)</f>
        <v>-7.237569341866848E-2</v>
      </c>
    </row>
    <row r="83" spans="1:26" x14ac:dyDescent="0.25">
      <c r="A83" s="9"/>
      <c r="B83" s="10"/>
      <c r="C83" s="9"/>
      <c r="D83" s="3"/>
      <c r="E83" s="3"/>
      <c r="F83" s="8"/>
      <c r="G83" s="3"/>
      <c r="H83" s="3"/>
      <c r="I83" s="3"/>
      <c r="J83" s="8"/>
      <c r="K83" s="3"/>
      <c r="L83" s="3"/>
      <c r="M83" s="3"/>
      <c r="N83" s="8"/>
      <c r="P83" s="3"/>
      <c r="Q83" s="3"/>
      <c r="R83" s="8"/>
      <c r="S83" s="3"/>
      <c r="T83" s="3"/>
      <c r="U83" s="3"/>
      <c r="V83" s="8"/>
      <c r="W83" s="3"/>
      <c r="X83" s="3"/>
      <c r="Y83" s="3"/>
      <c r="Z83" s="8"/>
    </row>
    <row r="84" spans="1:26" s="23" customFormat="1" x14ac:dyDescent="0.25">
      <c r="A84" s="52"/>
      <c r="B84" s="10" t="s">
        <v>14</v>
      </c>
      <c r="C84" s="10"/>
      <c r="D84" s="4">
        <v>1371.62</v>
      </c>
      <c r="E84" s="4"/>
      <c r="F84" s="13">
        <f>IF(D$12=0,0,D84/D$12)</f>
        <v>0</v>
      </c>
      <c r="G84" s="4"/>
      <c r="H84" s="4">
        <v>2361</v>
      </c>
      <c r="I84" s="4"/>
      <c r="J84" s="13">
        <f>IF(H$12=0,0,H84/H$12)</f>
        <v>0.10254517025712301</v>
      </c>
      <c r="K84" s="4"/>
      <c r="L84" s="4">
        <f>+D84-H84</f>
        <v>-989.38000000000011</v>
      </c>
      <c r="M84" s="4"/>
      <c r="N84" s="13">
        <f>IF(H84=0,0,L84/H84)</f>
        <v>-0.41905124947056338</v>
      </c>
      <c r="O84" s="10"/>
      <c r="P84" s="4">
        <v>33332.42</v>
      </c>
      <c r="Q84" s="4"/>
      <c r="R84" s="13">
        <f>IF(P$12=0,0,P84/P$12)</f>
        <v>0.1184156251519832</v>
      </c>
      <c r="S84" s="4"/>
      <c r="T84" s="4">
        <v>37473</v>
      </c>
      <c r="U84" s="4"/>
      <c r="V84" s="13">
        <f>IF(T$12=0,0,T84/T$12)</f>
        <v>0.1158232777805252</v>
      </c>
      <c r="W84" s="4"/>
      <c r="X84" s="4">
        <f>+P84-T84</f>
        <v>-4140.5800000000017</v>
      </c>
      <c r="Y84" s="4"/>
      <c r="Z84" s="13">
        <f>IF(T84=0,0,X84/T84)</f>
        <v>-0.11049502308328668</v>
      </c>
    </row>
    <row r="85" spans="1:26" x14ac:dyDescent="0.25">
      <c r="A85" s="9"/>
      <c r="B85" s="10"/>
      <c r="C85" s="10"/>
      <c r="D85" s="3"/>
      <c r="E85" s="3"/>
      <c r="F85" s="8"/>
      <c r="G85" s="3"/>
      <c r="H85" s="3"/>
      <c r="I85" s="3"/>
      <c r="J85" s="8"/>
      <c r="K85" s="3"/>
      <c r="L85" s="3"/>
      <c r="M85" s="3"/>
      <c r="N85" s="8"/>
      <c r="O85" s="10"/>
      <c r="P85" s="3"/>
      <c r="Q85" s="3"/>
      <c r="R85" s="8"/>
      <c r="S85" s="3"/>
      <c r="T85" s="3"/>
      <c r="U85" s="3"/>
      <c r="V85" s="8"/>
      <c r="W85" s="3"/>
      <c r="X85" s="3"/>
      <c r="Y85" s="3"/>
      <c r="Z85" s="8"/>
    </row>
    <row r="86" spans="1:26" s="23" customFormat="1" ht="15.75" thickBot="1" x14ac:dyDescent="0.3">
      <c r="A86" s="10"/>
      <c r="B86" s="29" t="s">
        <v>4</v>
      </c>
      <c r="C86" s="29"/>
      <c r="D86" s="35">
        <f>+D82-D84</f>
        <v>-2700.1299999999997</v>
      </c>
      <c r="E86" s="14"/>
      <c r="F86" s="32">
        <f>IF(D$12=0,0,D86/D$12)</f>
        <v>0</v>
      </c>
      <c r="G86" s="14"/>
      <c r="H86" s="35">
        <f>+H82-H84</f>
        <v>-3878.9340466538488</v>
      </c>
      <c r="I86" s="14"/>
      <c r="J86" s="32">
        <f>IF(H$12=0,0,H86/H$12)</f>
        <v>-0.16847350793319357</v>
      </c>
      <c r="K86" s="16"/>
      <c r="L86" s="35">
        <f>D86-H86</f>
        <v>1178.8040466538491</v>
      </c>
      <c r="M86" s="16"/>
      <c r="N86" s="32">
        <f>IF(H86=0,0,L86/H86)</f>
        <v>-0.3038989661787988</v>
      </c>
      <c r="O86" s="28"/>
      <c r="P86" s="35">
        <f>+P82-P84</f>
        <v>-19398.889999999985</v>
      </c>
      <c r="Q86" s="14"/>
      <c r="R86" s="32">
        <f>IF(P$12=0,0,P86/P$12)</f>
        <v>-6.8915838892122258E-2</v>
      </c>
      <c r="S86" s="14"/>
      <c r="T86" s="35">
        <f>+T82-T84</f>
        <v>-22452.339263596194</v>
      </c>
      <c r="U86" s="14"/>
      <c r="V86" s="32">
        <f>IF(T$12=0,0,T86/T$12)</f>
        <v>-6.9396726372323927E-2</v>
      </c>
      <c r="W86" s="16"/>
      <c r="X86" s="35">
        <f>P86-T86</f>
        <v>3053.4492635962088</v>
      </c>
      <c r="Y86" s="16"/>
      <c r="Z86" s="32">
        <f>IF(T86=0,0,X86/T86)</f>
        <v>-0.13599693233510929</v>
      </c>
    </row>
    <row r="87" spans="1:26" ht="15.75" thickTop="1" x14ac:dyDescent="0.25">
      <c r="A87" s="9"/>
      <c r="B87" s="9"/>
      <c r="C87" s="9"/>
      <c r="D87" s="3"/>
      <c r="E87" s="3"/>
      <c r="F87" s="8"/>
      <c r="G87" s="3"/>
      <c r="H87" s="3"/>
      <c r="I87" s="3"/>
      <c r="J87" s="8"/>
      <c r="K87" s="3"/>
      <c r="L87" s="3"/>
      <c r="M87" s="3"/>
      <c r="N87" s="8"/>
      <c r="P87" s="3"/>
      <c r="Q87" s="3"/>
      <c r="R87" s="8"/>
      <c r="S87" s="3"/>
      <c r="T87" s="3"/>
      <c r="U87" s="3"/>
      <c r="V87" s="8"/>
      <c r="W87" s="3"/>
      <c r="X87" s="3"/>
      <c r="Y87" s="3"/>
      <c r="Z87" s="8"/>
    </row>
    <row r="88" spans="1:26" x14ac:dyDescent="0.25">
      <c r="A88" s="9"/>
      <c r="B88" s="9"/>
      <c r="C88" s="9"/>
      <c r="D88" s="3"/>
      <c r="E88" s="3"/>
      <c r="F88" s="8"/>
      <c r="G88" s="3"/>
      <c r="H88" s="3"/>
      <c r="I88" s="3"/>
      <c r="J88" s="8"/>
      <c r="K88" s="3"/>
      <c r="L88" s="3"/>
      <c r="M88" s="3"/>
      <c r="N88" s="8"/>
      <c r="P88" s="3"/>
      <c r="Q88" s="3"/>
      <c r="R88" s="8"/>
      <c r="S88" s="3"/>
      <c r="T88" s="3"/>
      <c r="U88" s="3"/>
      <c r="V88" s="8"/>
      <c r="W88" s="3"/>
      <c r="X88" s="3"/>
      <c r="Y88" s="3"/>
      <c r="Z88" s="8"/>
    </row>
    <row r="89" spans="1:26" s="23" customFormat="1" ht="15.75" thickBot="1" x14ac:dyDescent="0.3">
      <c r="A89" s="10"/>
      <c r="B89" s="29" t="s">
        <v>5</v>
      </c>
      <c r="C89" s="29"/>
      <c r="D89" s="34">
        <f>SUM(D86:D88)</f>
        <v>-2700.1299999999997</v>
      </c>
      <c r="E89" s="14"/>
      <c r="F89" s="31">
        <f>IF(D$12=0,0,D89/D$12)</f>
        <v>0</v>
      </c>
      <c r="G89" s="14"/>
      <c r="H89" s="34">
        <f>SUM(H86:H88)</f>
        <v>-3878.9340466538488</v>
      </c>
      <c r="I89" s="14"/>
      <c r="J89" s="31">
        <f>IF(H$12=0,0,H89/H$12)</f>
        <v>-0.16847350793319357</v>
      </c>
      <c r="K89" s="16"/>
      <c r="L89" s="34">
        <f>+D89-H89</f>
        <v>1178.8040466538491</v>
      </c>
      <c r="M89" s="16"/>
      <c r="N89" s="31">
        <f>IF(H89=0,0,L89/H89)</f>
        <v>-0.3038989661787988</v>
      </c>
      <c r="O89" s="28"/>
      <c r="P89" s="34">
        <f>SUM(P86:P88)</f>
        <v>-19398.889999999985</v>
      </c>
      <c r="Q89" s="14"/>
      <c r="R89" s="31">
        <f>IF(P$12=0,0,P89/P$12)</f>
        <v>-6.8915838892122258E-2</v>
      </c>
      <c r="S89" s="14"/>
      <c r="T89" s="34">
        <f>SUM(T86:T88)</f>
        <v>-22452.339263596194</v>
      </c>
      <c r="U89" s="14"/>
      <c r="V89" s="31">
        <f>IF(T$12=0,0,T89/T$12)</f>
        <v>-6.9396726372323927E-2</v>
      </c>
      <c r="W89" s="16"/>
      <c r="X89" s="34">
        <f>+P89-T89</f>
        <v>3053.4492635962088</v>
      </c>
      <c r="Y89" s="16"/>
      <c r="Z89" s="31">
        <f>IF(T89=0,0,X89/T89)</f>
        <v>-0.13599693233510929</v>
      </c>
    </row>
    <row r="90" spans="1:26" ht="15.75" thickTop="1" x14ac:dyDescent="0.25">
      <c r="A90" s="9"/>
      <c r="C90" s="9"/>
      <c r="D90" s="18"/>
      <c r="E90" s="18"/>
      <c r="G90" s="18"/>
      <c r="H90" s="18"/>
      <c r="I90" s="18"/>
      <c r="J90" s="42"/>
      <c r="K90" s="18"/>
      <c r="L90" s="18"/>
      <c r="M90" s="18"/>
      <c r="P90" s="18"/>
      <c r="Q90" s="18"/>
      <c r="R90" s="42"/>
      <c r="S90" s="18"/>
      <c r="T90" s="18"/>
      <c r="U90" s="18"/>
      <c r="V90" s="42"/>
      <c r="W90" s="18"/>
      <c r="X90" s="18"/>
    </row>
    <row r="91" spans="1:26" x14ac:dyDescent="0.25">
      <c r="A91" s="9"/>
      <c r="B91" s="59">
        <v>43992.371746215278</v>
      </c>
      <c r="D91" s="18"/>
      <c r="E91" s="18"/>
      <c r="G91" s="18"/>
      <c r="H91" s="18"/>
      <c r="I91" s="18"/>
      <c r="J91" s="42"/>
      <c r="K91" s="18"/>
      <c r="L91" s="18"/>
      <c r="M91" s="18"/>
      <c r="P91" s="18"/>
      <c r="Q91" s="18"/>
      <c r="R91" s="42"/>
      <c r="S91" s="18"/>
      <c r="T91" s="18"/>
      <c r="U91" s="18"/>
      <c r="V91" s="42"/>
      <c r="W91" s="18"/>
      <c r="X91" s="18"/>
    </row>
    <row r="92" spans="1:26" x14ac:dyDescent="0.25">
      <c r="A92" s="9"/>
      <c r="B92" s="56" t="s">
        <v>314</v>
      </c>
      <c r="D92" s="18"/>
      <c r="E92" s="18"/>
      <c r="G92" s="18"/>
      <c r="H92" s="18"/>
      <c r="I92" s="18"/>
      <c r="J92" s="42"/>
      <c r="K92" s="18"/>
      <c r="L92" s="18"/>
      <c r="M92" s="18"/>
      <c r="P92" s="18"/>
      <c r="Q92" s="18"/>
      <c r="R92" s="42"/>
      <c r="S92" s="18"/>
      <c r="T92" s="18"/>
      <c r="U92" s="18"/>
      <c r="V92" s="42"/>
      <c r="W92" s="18"/>
      <c r="X92" s="18"/>
    </row>
    <row r="93" spans="1:26" x14ac:dyDescent="0.25">
      <c r="A93" s="9"/>
      <c r="B93" s="54"/>
      <c r="D93" s="18"/>
      <c r="E93" s="18"/>
      <c r="G93" s="18"/>
      <c r="H93" s="18"/>
      <c r="I93" s="18"/>
      <c r="J93" s="42"/>
      <c r="K93" s="18"/>
      <c r="L93" s="18"/>
      <c r="M93" s="18"/>
      <c r="P93" s="18"/>
      <c r="Q93" s="18"/>
      <c r="R93" s="42"/>
      <c r="S93" s="18"/>
      <c r="T93" s="18"/>
      <c r="U93" s="18"/>
      <c r="V93" s="42"/>
      <c r="W93" s="18"/>
      <c r="X93" s="18"/>
    </row>
    <row r="94" spans="1:26" x14ac:dyDescent="0.25">
      <c r="D94" s="18"/>
      <c r="E94" s="18"/>
      <c r="G94" s="18"/>
      <c r="H94" s="18"/>
      <c r="I94" s="18"/>
      <c r="J94" s="42"/>
      <c r="K94" s="18"/>
      <c r="L94" s="18"/>
      <c r="M94" s="18"/>
      <c r="P94" s="18"/>
      <c r="Q94" s="18"/>
      <c r="R94" s="42"/>
      <c r="S94" s="18"/>
      <c r="T94" s="18"/>
      <c r="U94" s="18"/>
      <c r="V94" s="42"/>
      <c r="W94" s="18"/>
      <c r="X94" s="18"/>
    </row>
  </sheetData>
  <pageMargins left="0.25" right="0.25" top="0.75" bottom="0.75" header="0.3" footer="0.3"/>
  <pageSetup scale="55" fitToWidth="2" orientation="landscape"/>
  <drawing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78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63" t="s">
        <v>13</v>
      </c>
    </row>
    <row r="3" spans="1:26" x14ac:dyDescent="0.25">
      <c r="D3" s="63" t="s">
        <v>296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61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63" t="str">
        <f>CONCATENATE("Period ",RIGHT(202011,2),", ",2020)</f>
        <v>Period 11, 2020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61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4">
        <v>43981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61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51"/>
      <c r="C6" s="51"/>
      <c r="D6" s="23" t="str">
        <f>CONCATENATE("Department ","322", " - ", "Beach Hut")</f>
        <v>Department 322 - Beach Hut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57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5" t="s">
        <v>294</v>
      </c>
      <c r="E9" s="15"/>
      <c r="F9" s="38"/>
      <c r="G9" s="15"/>
      <c r="H9" s="15"/>
      <c r="I9" s="15"/>
      <c r="J9" s="46"/>
      <c r="K9" s="15"/>
      <c r="L9" s="15"/>
      <c r="M9" s="15"/>
      <c r="N9" s="38"/>
      <c r="P9" s="15" t="s">
        <v>295</v>
      </c>
      <c r="Q9" s="15"/>
      <c r="R9" s="38"/>
      <c r="S9" s="15"/>
      <c r="T9" s="15"/>
      <c r="U9" s="15"/>
      <c r="V9" s="46"/>
      <c r="W9" s="15"/>
      <c r="X9" s="15"/>
      <c r="Y9" s="15"/>
      <c r="Z9" s="38"/>
    </row>
    <row r="10" spans="1:26" x14ac:dyDescent="0.25">
      <c r="A10" s="10"/>
      <c r="B10" s="55"/>
      <c r="C10" s="10"/>
      <c r="D10" s="43" t="s">
        <v>10</v>
      </c>
      <c r="E10" s="33"/>
      <c r="F10" s="40" t="s">
        <v>15</v>
      </c>
      <c r="G10" s="33"/>
      <c r="H10" s="47" t="s">
        <v>11</v>
      </c>
      <c r="I10" s="33"/>
      <c r="J10" s="45" t="s">
        <v>16</v>
      </c>
      <c r="K10" s="10"/>
      <c r="L10" s="43" t="s">
        <v>12</v>
      </c>
      <c r="M10" s="10"/>
      <c r="N10" s="40" t="s">
        <v>17</v>
      </c>
      <c r="O10" s="10"/>
      <c r="P10" s="53" t="s">
        <v>10</v>
      </c>
      <c r="Q10" s="33"/>
      <c r="R10" s="40" t="s">
        <v>15</v>
      </c>
      <c r="S10" s="33"/>
      <c r="T10" s="47" t="s">
        <v>11</v>
      </c>
      <c r="U10" s="33"/>
      <c r="V10" s="45" t="s">
        <v>16</v>
      </c>
      <c r="W10" s="10"/>
      <c r="X10" s="43" t="s">
        <v>12</v>
      </c>
      <c r="Y10" s="10"/>
      <c r="Z10" s="40" t="s">
        <v>17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0</v>
      </c>
      <c r="E12" s="4"/>
      <c r="F12" s="13"/>
      <c r="G12" s="4"/>
      <c r="H12" s="4">
        <f>SUM(OSRRefH13x_0)</f>
        <v>112998</v>
      </c>
      <c r="I12" s="4"/>
      <c r="J12" s="13"/>
      <c r="K12" s="4"/>
      <c r="L12" s="4">
        <f t="shared" ref="L12:L13" si="0">+D12-H12</f>
        <v>-112998</v>
      </c>
      <c r="M12" s="4"/>
      <c r="N12" s="13">
        <f t="shared" ref="N12:N13" si="1">IF(H12=0,0,L12/H12)</f>
        <v>-1</v>
      </c>
      <c r="O12" s="10"/>
      <c r="P12" s="4">
        <f>SUM(OSRRefP13x_0)</f>
        <v>0</v>
      </c>
      <c r="Q12" s="4"/>
      <c r="R12" s="13"/>
      <c r="S12" s="4"/>
      <c r="T12" s="4">
        <f>SUM(OSRRefT13x_0)</f>
        <v>1066896</v>
      </c>
      <c r="U12" s="4"/>
      <c r="V12" s="13"/>
      <c r="W12" s="4"/>
      <c r="X12" s="4">
        <f t="shared" ref="X12:X13" si="2">+P12-T12</f>
        <v>-1066896</v>
      </c>
      <c r="Y12" s="4"/>
      <c r="Z12" s="13">
        <f t="shared" ref="Z12:Z13" si="3">IF(T12=0,0,X12/T12)</f>
        <v>-1</v>
      </c>
    </row>
    <row r="13" spans="1:26" s="24" customFormat="1" hidden="1" outlineLevel="1" x14ac:dyDescent="0.25">
      <c r="A13" s="44"/>
      <c r="B13" s="11" t="str">
        <f>CONCATENATE("          ", "4100", " - ", "NON-TAXABLE SALES")</f>
        <v xml:space="preserve">          4100 - NON-TAXABLE SALES</v>
      </c>
      <c r="C13" s="11"/>
      <c r="D13" s="2">
        <f>0</f>
        <v>0</v>
      </c>
      <c r="E13" s="2"/>
      <c r="F13" s="19"/>
      <c r="G13" s="2"/>
      <c r="H13" s="2">
        <v>112998</v>
      </c>
      <c r="I13" s="2"/>
      <c r="J13" s="19"/>
      <c r="K13" s="2"/>
      <c r="L13" s="2">
        <f t="shared" si="0"/>
        <v>-112998</v>
      </c>
      <c r="M13" s="2"/>
      <c r="N13" s="19">
        <f t="shared" si="1"/>
        <v>-1</v>
      </c>
      <c r="O13" s="11"/>
      <c r="P13" s="2">
        <f>0</f>
        <v>0</v>
      </c>
      <c r="Q13" s="2"/>
      <c r="R13" s="19"/>
      <c r="S13" s="2"/>
      <c r="T13" s="2">
        <v>1066896</v>
      </c>
      <c r="U13" s="2"/>
      <c r="V13" s="19"/>
      <c r="W13" s="2"/>
      <c r="X13" s="2">
        <f t="shared" si="2"/>
        <v>-1066896</v>
      </c>
      <c r="Y13" s="2"/>
      <c r="Z13" s="19">
        <f t="shared" si="3"/>
        <v>-1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8</v>
      </c>
      <c r="C15" s="10"/>
      <c r="D15" s="4">
        <f>SUM(OSRRefD16x_0)</f>
        <v>0</v>
      </c>
      <c r="E15" s="4"/>
      <c r="F15" s="13">
        <f t="shared" ref="F15:F16" si="4">IF(D$12=0,0,D15/D$12)</f>
        <v>0</v>
      </c>
      <c r="G15" s="4"/>
      <c r="H15" s="4">
        <f>SUM(OSRRefH16x_0)</f>
        <v>54239</v>
      </c>
      <c r="I15" s="4"/>
      <c r="J15" s="13">
        <f t="shared" ref="J15:J16" si="5">IF(H$12=0,0,H15/H$12)</f>
        <v>0.47999964601143386</v>
      </c>
      <c r="K15" s="4"/>
      <c r="L15" s="4">
        <f t="shared" ref="L15:L16" si="6">+D15-H15</f>
        <v>-54239</v>
      </c>
      <c r="M15" s="4"/>
      <c r="N15" s="13">
        <f t="shared" ref="N15:N16" si="7">IF(H15=0,0,L15/H15)</f>
        <v>-1</v>
      </c>
      <c r="O15" s="10"/>
      <c r="P15" s="4">
        <f>SUM(OSRRefP16x_0)</f>
        <v>0</v>
      </c>
      <c r="Q15" s="4"/>
      <c r="R15" s="13">
        <f t="shared" ref="R15:R16" si="8">IF(P$12=0,0,P15/P$12)</f>
        <v>0</v>
      </c>
      <c r="S15" s="4"/>
      <c r="T15" s="4">
        <f>SUM(OSRRefT16x_0)</f>
        <v>512111</v>
      </c>
      <c r="U15" s="4"/>
      <c r="V15" s="13">
        <f t="shared" ref="V15:V16" si="9">IF(T$12=0,0,T15/T$12)</f>
        <v>0.48000086231460237</v>
      </c>
      <c r="W15" s="4"/>
      <c r="X15" s="4">
        <f t="shared" ref="X15:X16" si="10">+P15-T15</f>
        <v>-512111</v>
      </c>
      <c r="Y15" s="4"/>
      <c r="Z15" s="13">
        <f t="shared" ref="Z15:Z16" si="11">IF(T15=0,0,X15/T15)</f>
        <v>-1</v>
      </c>
    </row>
    <row r="16" spans="1:26" s="24" customFormat="1" hidden="1" outlineLevel="1" x14ac:dyDescent="0.25">
      <c r="A16" s="44"/>
      <c r="B16" s="11" t="str">
        <f>CONCATENATE("          ", "5000", " - ", "PURCHASES @ COST")</f>
        <v xml:space="preserve">          5000 - PURCHASES @ COST</v>
      </c>
      <c r="C16" s="11"/>
      <c r="D16" s="2"/>
      <c r="E16" s="2"/>
      <c r="F16" s="19">
        <f t="shared" si="4"/>
        <v>0</v>
      </c>
      <c r="G16" s="2"/>
      <c r="H16" s="2">
        <v>54239</v>
      </c>
      <c r="I16" s="2"/>
      <c r="J16" s="19">
        <f t="shared" si="5"/>
        <v>0.47999964601143386</v>
      </c>
      <c r="K16" s="2"/>
      <c r="L16" s="2">
        <f t="shared" si="6"/>
        <v>-54239</v>
      </c>
      <c r="M16" s="2"/>
      <c r="N16" s="19">
        <f t="shared" si="7"/>
        <v>-1</v>
      </c>
      <c r="O16" s="11"/>
      <c r="P16" s="2"/>
      <c r="Q16" s="2"/>
      <c r="R16" s="19">
        <f t="shared" si="8"/>
        <v>0</v>
      </c>
      <c r="S16" s="2"/>
      <c r="T16" s="2">
        <v>512111</v>
      </c>
      <c r="U16" s="2"/>
      <c r="V16" s="19">
        <f t="shared" si="9"/>
        <v>0.48000086231460237</v>
      </c>
      <c r="W16" s="2"/>
      <c r="X16" s="2">
        <f t="shared" si="10"/>
        <v>-512111</v>
      </c>
      <c r="Y16" s="2"/>
      <c r="Z16" s="19">
        <f t="shared" si="11"/>
        <v>-1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6</v>
      </c>
      <c r="C18" s="29"/>
      <c r="D18" s="20">
        <f>D12-D15</f>
        <v>0</v>
      </c>
      <c r="E18" s="14"/>
      <c r="F18" s="22">
        <f>IF(D$12=0,0,D18/D$12)</f>
        <v>0</v>
      </c>
      <c r="G18" s="14"/>
      <c r="H18" s="20">
        <f>H12-H15</f>
        <v>58759</v>
      </c>
      <c r="I18" s="14"/>
      <c r="J18" s="22">
        <f>IF(H$12=0,0,H18/H$12)</f>
        <v>0.52000035398856614</v>
      </c>
      <c r="K18" s="16"/>
      <c r="L18" s="20">
        <f>+D18-H18</f>
        <v>-58759</v>
      </c>
      <c r="M18" s="16"/>
      <c r="N18" s="22">
        <f>IF(H18=0,0,L18/H18)</f>
        <v>-1</v>
      </c>
      <c r="O18" s="28"/>
      <c r="P18" s="20">
        <f>P12-P15</f>
        <v>0</v>
      </c>
      <c r="Q18" s="14"/>
      <c r="R18" s="22">
        <f>IF(P$12=0,0,P18/P$12)</f>
        <v>0</v>
      </c>
      <c r="S18" s="14"/>
      <c r="T18" s="20">
        <f>T12-T15</f>
        <v>554785</v>
      </c>
      <c r="U18" s="14"/>
      <c r="V18" s="22">
        <f>IF(T$12=0,0,T18/T$12)</f>
        <v>0.51999913768539763</v>
      </c>
      <c r="W18" s="16"/>
      <c r="X18" s="20">
        <f>+P18-T18</f>
        <v>-554785</v>
      </c>
      <c r="Y18" s="16"/>
      <c r="Z18" s="22">
        <f>IF(T18=0,0,X18/T18)</f>
        <v>-1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9</v>
      </c>
      <c r="C20" s="10"/>
      <c r="D20" s="21">
        <f>SUM(OSRRefD22x_0)</f>
        <v>0</v>
      </c>
      <c r="E20" s="21"/>
      <c r="F20" s="30">
        <f t="shared" ref="F20:F29" si="12">IF(D$12=0,0,D20/D$12)</f>
        <v>0</v>
      </c>
      <c r="G20" s="21"/>
      <c r="H20" s="21">
        <f>SUM(OSRRefH22x_0)</f>
        <v>34455.86094812923</v>
      </c>
      <c r="I20" s="21"/>
      <c r="J20" s="30">
        <f t="shared" ref="J20:J29" si="13">IF(H$12=0,0,H20/H$12)</f>
        <v>0.30492452032893708</v>
      </c>
      <c r="K20" s="4"/>
      <c r="L20" s="21">
        <f t="shared" ref="L20:L29" si="14">+D20-H20</f>
        <v>-34455.86094812923</v>
      </c>
      <c r="M20" s="4"/>
      <c r="N20" s="30">
        <f t="shared" ref="N20:N29" si="15">IF(H20=0,0,L20/H20)</f>
        <v>-1</v>
      </c>
      <c r="O20" s="10"/>
      <c r="P20" s="21">
        <f>SUM(OSRRefP22x_0)</f>
        <v>0</v>
      </c>
      <c r="Q20" s="21"/>
      <c r="R20" s="30">
        <f t="shared" ref="R20:R29" si="16">IF(P$12=0,0,P20/P$12)</f>
        <v>0</v>
      </c>
      <c r="S20" s="21"/>
      <c r="T20" s="21">
        <f>SUM(OSRRefT22x_0)</f>
        <v>332050.53942521079</v>
      </c>
      <c r="U20" s="21"/>
      <c r="V20" s="30">
        <f t="shared" ref="V20:V29" si="17">IF(T$12=0,0,T20/T$12)</f>
        <v>0.31123046616091055</v>
      </c>
      <c r="W20" s="4"/>
      <c r="X20" s="21">
        <f t="shared" ref="X20:X29" si="18">+P20-T20</f>
        <v>-332050.53942521079</v>
      </c>
      <c r="Y20" s="4"/>
      <c r="Z20" s="30">
        <f t="shared" ref="Z20:Z29" si="19">IF(T20=0,0,X20/T20)</f>
        <v>-1</v>
      </c>
    </row>
    <row r="21" spans="1:26" s="27" customFormat="1" outlineLevel="1" collapsed="1" x14ac:dyDescent="0.25">
      <c r="A21" s="25"/>
      <c r="B21" s="12" t="str">
        <f>CONCATENATE("     ","*Benefits                                         ")</f>
        <v xml:space="preserve">     *Benefits                                         </v>
      </c>
      <c r="C21" s="12"/>
      <c r="D21" s="1">
        <f>SUM(OSRRefD22_0x_0)</f>
        <v>0</v>
      </c>
      <c r="E21" s="1"/>
      <c r="F21" s="5">
        <f t="shared" si="12"/>
        <v>0</v>
      </c>
      <c r="G21" s="1"/>
      <c r="H21" s="1">
        <f>SUM(OSRRefH22_0x_0)</f>
        <v>2582.2833173600002</v>
      </c>
      <c r="I21" s="1"/>
      <c r="J21" s="5">
        <f t="shared" si="13"/>
        <v>2.2852469223880071E-2</v>
      </c>
      <c r="K21" s="1"/>
      <c r="L21" s="1">
        <f t="shared" si="14"/>
        <v>-2582.2833173600002</v>
      </c>
      <c r="M21" s="1"/>
      <c r="N21" s="5">
        <f t="shared" si="15"/>
        <v>-1</v>
      </c>
      <c r="O21" s="12"/>
      <c r="P21" s="1">
        <f>SUM(OSRRefP22_0x_0)</f>
        <v>0</v>
      </c>
      <c r="Q21" s="1"/>
      <c r="R21" s="5">
        <f t="shared" si="16"/>
        <v>0</v>
      </c>
      <c r="S21" s="1"/>
      <c r="T21" s="1">
        <f>SUM(OSRRefT22_0x_0)</f>
        <v>27437.607455980004</v>
      </c>
      <c r="U21" s="1"/>
      <c r="V21" s="5">
        <f t="shared" si="17"/>
        <v>2.5717227786007262E-2</v>
      </c>
      <c r="W21" s="1"/>
      <c r="X21" s="1">
        <f t="shared" si="18"/>
        <v>-27437.607455980004</v>
      </c>
      <c r="Y21" s="1"/>
      <c r="Z21" s="5">
        <f t="shared" si="19"/>
        <v>-1</v>
      </c>
    </row>
    <row r="22" spans="1:26" s="24" customFormat="1" hidden="1" outlineLevel="2" x14ac:dyDescent="0.25">
      <c r="A22" s="26"/>
      <c r="B22" s="11" t="str">
        <f>CONCATENATE("          ", "6111", " - ", "F.I.C.A.")</f>
        <v xml:space="preserve">          6111 - F.I.C.A.</v>
      </c>
      <c r="C22" s="11"/>
      <c r="D22" s="7"/>
      <c r="E22" s="2"/>
      <c r="F22" s="6">
        <f t="shared" si="12"/>
        <v>0</v>
      </c>
      <c r="G22" s="2"/>
      <c r="H22" s="7">
        <v>318.43388892923099</v>
      </c>
      <c r="I22" s="2"/>
      <c r="J22" s="6">
        <f t="shared" si="13"/>
        <v>2.8180488940444167E-3</v>
      </c>
      <c r="K22" s="2"/>
      <c r="L22" s="7">
        <f t="shared" si="14"/>
        <v>-318.43388892923099</v>
      </c>
      <c r="M22" s="2"/>
      <c r="N22" s="6">
        <f t="shared" si="15"/>
        <v>-1</v>
      </c>
      <c r="O22" s="11"/>
      <c r="P22" s="7"/>
      <c r="Q22" s="2"/>
      <c r="R22" s="6">
        <f t="shared" si="16"/>
        <v>0</v>
      </c>
      <c r="S22" s="2"/>
      <c r="T22" s="7">
        <v>4071.0298216107731</v>
      </c>
      <c r="U22" s="2"/>
      <c r="V22" s="6">
        <f t="shared" si="17"/>
        <v>3.8157700671956527E-3</v>
      </c>
      <c r="W22" s="2"/>
      <c r="X22" s="7">
        <f t="shared" si="18"/>
        <v>-4071.0298216107731</v>
      </c>
      <c r="Y22" s="2"/>
      <c r="Z22" s="6">
        <f t="shared" si="19"/>
        <v>-1</v>
      </c>
    </row>
    <row r="23" spans="1:26" s="24" customFormat="1" hidden="1" outlineLevel="2" x14ac:dyDescent="0.25">
      <c r="A23" s="26"/>
      <c r="B23" s="11" t="str">
        <f>CONCATENATE("          ", "6112", " - ", "COMPENSATION INSURANCE")</f>
        <v xml:space="preserve">          6112 - COMPENSATION INSURANCE</v>
      </c>
      <c r="C23" s="11"/>
      <c r="D23" s="7"/>
      <c r="E23" s="2"/>
      <c r="F23" s="6">
        <f t="shared" si="12"/>
        <v>0</v>
      </c>
      <c r="G23" s="2"/>
      <c r="H23" s="7">
        <v>427.05583261538499</v>
      </c>
      <c r="I23" s="2"/>
      <c r="J23" s="6">
        <f t="shared" si="13"/>
        <v>3.7793220465440537E-3</v>
      </c>
      <c r="K23" s="2"/>
      <c r="L23" s="7">
        <f t="shared" si="14"/>
        <v>-427.05583261538499</v>
      </c>
      <c r="M23" s="2"/>
      <c r="N23" s="6">
        <f t="shared" si="15"/>
        <v>-1</v>
      </c>
      <c r="O23" s="11"/>
      <c r="P23" s="7"/>
      <c r="Q23" s="2"/>
      <c r="R23" s="6">
        <f t="shared" si="16"/>
        <v>0</v>
      </c>
      <c r="S23" s="2"/>
      <c r="T23" s="7">
        <v>4021.8939743846186</v>
      </c>
      <c r="U23" s="2"/>
      <c r="V23" s="6">
        <f t="shared" si="17"/>
        <v>3.7697151122364492E-3</v>
      </c>
      <c r="W23" s="2"/>
      <c r="X23" s="7">
        <f t="shared" si="18"/>
        <v>-4021.8939743846186</v>
      </c>
      <c r="Y23" s="2"/>
      <c r="Z23" s="6">
        <f t="shared" si="19"/>
        <v>-1</v>
      </c>
    </row>
    <row r="24" spans="1:26" s="24" customFormat="1" hidden="1" outlineLevel="2" x14ac:dyDescent="0.25">
      <c r="A24" s="26"/>
      <c r="B24" s="11" t="str">
        <f>CONCATENATE("          ", "6113", " - ", "GROUP INSURANCE")</f>
        <v xml:space="preserve">          6113 - GROUP INSURANCE</v>
      </c>
      <c r="C24" s="11"/>
      <c r="D24" s="7"/>
      <c r="E24" s="2"/>
      <c r="F24" s="6">
        <f t="shared" si="12"/>
        <v>0</v>
      </c>
      <c r="G24" s="2"/>
      <c r="H24" s="7">
        <v>663</v>
      </c>
      <c r="I24" s="2"/>
      <c r="J24" s="6">
        <f t="shared" si="13"/>
        <v>5.8673604842563584E-3</v>
      </c>
      <c r="K24" s="2"/>
      <c r="L24" s="7">
        <f t="shared" si="14"/>
        <v>-663</v>
      </c>
      <c r="M24" s="2"/>
      <c r="N24" s="6">
        <f t="shared" si="15"/>
        <v>-1</v>
      </c>
      <c r="O24" s="11"/>
      <c r="P24" s="7"/>
      <c r="Q24" s="2"/>
      <c r="R24" s="6">
        <f t="shared" si="16"/>
        <v>0</v>
      </c>
      <c r="S24" s="2"/>
      <c r="T24" s="7">
        <v>7293</v>
      </c>
      <c r="U24" s="2"/>
      <c r="V24" s="6">
        <f t="shared" si="17"/>
        <v>6.8357178206685564E-3</v>
      </c>
      <c r="W24" s="2"/>
      <c r="X24" s="7">
        <f t="shared" si="18"/>
        <v>-7293</v>
      </c>
      <c r="Y24" s="2"/>
      <c r="Z24" s="6">
        <f t="shared" si="19"/>
        <v>-1</v>
      </c>
    </row>
    <row r="25" spans="1:26" s="24" customFormat="1" hidden="1" outlineLevel="2" x14ac:dyDescent="0.25">
      <c r="A25" s="26"/>
      <c r="B25" s="11" t="str">
        <f>CONCATENATE("          ", "6114", " - ", "STATE UNEMPLOYMENT INSURANCE")</f>
        <v xml:space="preserve">          6114 - STATE UNEMPLOYMENT INSURANCE</v>
      </c>
      <c r="C25" s="11"/>
      <c r="D25" s="7"/>
      <c r="E25" s="2"/>
      <c r="F25" s="6">
        <f t="shared" si="12"/>
        <v>0</v>
      </c>
      <c r="G25" s="2"/>
      <c r="H25" s="7">
        <v>58.439219199999997</v>
      </c>
      <c r="I25" s="2"/>
      <c r="J25" s="6">
        <f t="shared" si="13"/>
        <v>5.1717038531655423E-4</v>
      </c>
      <c r="K25" s="2"/>
      <c r="L25" s="7">
        <f t="shared" si="14"/>
        <v>-58.439219199999997</v>
      </c>
      <c r="M25" s="2"/>
      <c r="N25" s="6">
        <f t="shared" si="15"/>
        <v>-1</v>
      </c>
      <c r="O25" s="11"/>
      <c r="P25" s="7"/>
      <c r="Q25" s="2"/>
      <c r="R25" s="6">
        <f t="shared" si="16"/>
        <v>0</v>
      </c>
      <c r="S25" s="2"/>
      <c r="T25" s="7">
        <v>550.36443859999997</v>
      </c>
      <c r="U25" s="2"/>
      <c r="V25" s="6">
        <f t="shared" si="17"/>
        <v>5.1585575220077678E-4</v>
      </c>
      <c r="W25" s="2"/>
      <c r="X25" s="7">
        <f t="shared" si="18"/>
        <v>-550.36443859999997</v>
      </c>
      <c r="Y25" s="2"/>
      <c r="Z25" s="6">
        <f t="shared" si="19"/>
        <v>-1</v>
      </c>
    </row>
    <row r="26" spans="1:26" s="24" customFormat="1" hidden="1" outlineLevel="2" x14ac:dyDescent="0.25">
      <c r="A26" s="26"/>
      <c r="B26" s="11" t="str">
        <f>CONCATENATE("          ", "6115", " - ", "P.E.R.S.")</f>
        <v xml:space="preserve">          6115 - P.E.R.S.</v>
      </c>
      <c r="C26" s="11"/>
      <c r="D26" s="7"/>
      <c r="E26" s="2"/>
      <c r="F26" s="6">
        <f t="shared" si="12"/>
        <v>0</v>
      </c>
      <c r="G26" s="2"/>
      <c r="H26" s="7">
        <v>357.837638153846</v>
      </c>
      <c r="I26" s="2"/>
      <c r="J26" s="6">
        <f t="shared" si="13"/>
        <v>3.1667608112873327E-3</v>
      </c>
      <c r="K26" s="2"/>
      <c r="L26" s="7">
        <f t="shared" si="14"/>
        <v>-357.837638153846</v>
      </c>
      <c r="M26" s="2"/>
      <c r="N26" s="6">
        <f t="shared" si="15"/>
        <v>-1</v>
      </c>
      <c r="O26" s="11"/>
      <c r="P26" s="7"/>
      <c r="Q26" s="2"/>
      <c r="R26" s="6">
        <f t="shared" si="16"/>
        <v>0</v>
      </c>
      <c r="S26" s="2"/>
      <c r="T26" s="7">
        <v>4179.0810098461543</v>
      </c>
      <c r="U26" s="2"/>
      <c r="V26" s="6">
        <f t="shared" si="17"/>
        <v>3.9170462817801873E-3</v>
      </c>
      <c r="W26" s="2"/>
      <c r="X26" s="7">
        <f t="shared" si="18"/>
        <v>-4179.0810098461543</v>
      </c>
      <c r="Y26" s="2"/>
      <c r="Z26" s="6">
        <f t="shared" si="19"/>
        <v>-1</v>
      </c>
    </row>
    <row r="27" spans="1:26" s="24" customFormat="1" hidden="1" outlineLevel="2" x14ac:dyDescent="0.25">
      <c r="A27" s="26"/>
      <c r="B27" s="11" t="str">
        <f>CONCATENATE("          ", "6116", " - ", "EDUCATIONAL BENEFITS")</f>
        <v xml:space="preserve">          6116 - EDUCATIONAL BENEFITS</v>
      </c>
      <c r="C27" s="11"/>
      <c r="D27" s="7"/>
      <c r="E27" s="2"/>
      <c r="F27" s="6">
        <f t="shared" si="12"/>
        <v>0</v>
      </c>
      <c r="G27" s="2"/>
      <c r="H27" s="7">
        <v>0</v>
      </c>
      <c r="I27" s="2"/>
      <c r="J27" s="6">
        <f t="shared" si="13"/>
        <v>0</v>
      </c>
      <c r="K27" s="2"/>
      <c r="L27" s="7">
        <f t="shared" si="14"/>
        <v>0</v>
      </c>
      <c r="M27" s="2"/>
      <c r="N27" s="6">
        <f t="shared" si="15"/>
        <v>0</v>
      </c>
      <c r="O27" s="11"/>
      <c r="P27" s="7"/>
      <c r="Q27" s="2"/>
      <c r="R27" s="6">
        <f t="shared" si="16"/>
        <v>0</v>
      </c>
      <c r="S27" s="2"/>
      <c r="T27" s="7">
        <v>0</v>
      </c>
      <c r="U27" s="2"/>
      <c r="V27" s="6">
        <f t="shared" si="17"/>
        <v>0</v>
      </c>
      <c r="W27" s="2"/>
      <c r="X27" s="7">
        <f t="shared" si="18"/>
        <v>0</v>
      </c>
      <c r="Y27" s="2"/>
      <c r="Z27" s="6">
        <f t="shared" si="19"/>
        <v>0</v>
      </c>
    </row>
    <row r="28" spans="1:26" s="24" customFormat="1" hidden="1" outlineLevel="2" x14ac:dyDescent="0.25">
      <c r="A28" s="26"/>
      <c r="B28" s="11" t="str">
        <f>CONCATENATE("          ", "6118", " - ", "VACATION")</f>
        <v xml:space="preserve">          6118 - VACATION</v>
      </c>
      <c r="C28" s="11"/>
      <c r="D28" s="7"/>
      <c r="E28" s="2"/>
      <c r="F28" s="6">
        <f t="shared" si="12"/>
        <v>0</v>
      </c>
      <c r="G28" s="2"/>
      <c r="H28" s="7">
        <v>124.827083076923</v>
      </c>
      <c r="I28" s="2"/>
      <c r="J28" s="6">
        <f t="shared" si="13"/>
        <v>1.1046840039374414E-3</v>
      </c>
      <c r="K28" s="2"/>
      <c r="L28" s="7">
        <f t="shared" si="14"/>
        <v>-124.827083076923</v>
      </c>
      <c r="M28" s="2"/>
      <c r="N28" s="6">
        <f t="shared" si="15"/>
        <v>-1</v>
      </c>
      <c r="O28" s="11"/>
      <c r="P28" s="7"/>
      <c r="Q28" s="2"/>
      <c r="R28" s="6">
        <f t="shared" si="16"/>
        <v>0</v>
      </c>
      <c r="S28" s="2"/>
      <c r="T28" s="7">
        <v>1457.8189569230769</v>
      </c>
      <c r="U28" s="2"/>
      <c r="V28" s="6">
        <f t="shared" si="17"/>
        <v>1.366411493644251E-3</v>
      </c>
      <c r="W28" s="2"/>
      <c r="X28" s="7">
        <f t="shared" si="18"/>
        <v>-1457.8189569230769</v>
      </c>
      <c r="Y28" s="2"/>
      <c r="Z28" s="6">
        <f t="shared" si="19"/>
        <v>-1</v>
      </c>
    </row>
    <row r="29" spans="1:26" s="24" customFormat="1" hidden="1" outlineLevel="2" x14ac:dyDescent="0.25">
      <c r="A29" s="26"/>
      <c r="B29" s="11" t="str">
        <f>CONCATENATE("          ", "6119", " - ", "SICK LEAVE")</f>
        <v xml:space="preserve">          6119 - SICK LEAVE</v>
      </c>
      <c r="C29" s="11"/>
      <c r="D29" s="7"/>
      <c r="E29" s="2"/>
      <c r="F29" s="6">
        <f t="shared" si="12"/>
        <v>0</v>
      </c>
      <c r="G29" s="2"/>
      <c r="H29" s="7">
        <v>632.68965538461498</v>
      </c>
      <c r="I29" s="2"/>
      <c r="J29" s="6">
        <f t="shared" si="13"/>
        <v>5.5991225984939113E-3</v>
      </c>
      <c r="K29" s="2"/>
      <c r="L29" s="7">
        <f t="shared" si="14"/>
        <v>-632.68965538461498</v>
      </c>
      <c r="M29" s="2"/>
      <c r="N29" s="6">
        <f t="shared" si="15"/>
        <v>-1</v>
      </c>
      <c r="O29" s="11"/>
      <c r="P29" s="7"/>
      <c r="Q29" s="2"/>
      <c r="R29" s="6">
        <f t="shared" si="16"/>
        <v>0</v>
      </c>
      <c r="S29" s="2"/>
      <c r="T29" s="7">
        <v>5864.4192546153809</v>
      </c>
      <c r="U29" s="2"/>
      <c r="V29" s="6">
        <f t="shared" si="17"/>
        <v>5.4967112582813889E-3</v>
      </c>
      <c r="W29" s="2"/>
      <c r="X29" s="7">
        <f t="shared" si="18"/>
        <v>-5864.4192546153809</v>
      </c>
      <c r="Y29" s="2"/>
      <c r="Z29" s="6">
        <f t="shared" si="19"/>
        <v>-1</v>
      </c>
    </row>
    <row r="30" spans="1:26" s="27" customFormat="1" outlineLevel="1" collapsed="1" x14ac:dyDescent="0.25">
      <c r="A30" s="25"/>
      <c r="B30" s="12" t="str">
        <f>CONCATENATE("     ","*Payroll                                          ")</f>
        <v xml:space="preserve">     *Payroll                                          </v>
      </c>
      <c r="C30" s="12"/>
      <c r="D30" s="1">
        <f>SUM(OSRRefD22_1x_0)</f>
        <v>0</v>
      </c>
      <c r="E30" s="1"/>
      <c r="F30" s="5">
        <f t="shared" ref="F30:F40" si="20">IF(D$12=0,0,D30/D$12)</f>
        <v>0</v>
      </c>
      <c r="G30" s="1"/>
      <c r="H30" s="1">
        <f>SUM(OSRRefH22_1x_0)</f>
        <v>22268.577630769232</v>
      </c>
      <c r="I30" s="1"/>
      <c r="J30" s="5">
        <f t="shared" ref="J30:J40" si="21">IF(H$12=0,0,H30/H$12)</f>
        <v>0.19707054665365079</v>
      </c>
      <c r="K30" s="1"/>
      <c r="L30" s="1">
        <f t="shared" ref="L30:L40" si="22">+D30-H30</f>
        <v>-22268.577630769232</v>
      </c>
      <c r="M30" s="1"/>
      <c r="N30" s="5">
        <f t="shared" ref="N30:N40" si="23">IF(H30=0,0,L30/H30)</f>
        <v>-1</v>
      </c>
      <c r="O30" s="12"/>
      <c r="P30" s="1">
        <f>SUM(OSRRefP22_1x_0)</f>
        <v>0</v>
      </c>
      <c r="Q30" s="1"/>
      <c r="R30" s="5">
        <f t="shared" ref="R30:R40" si="24">IF(P$12=0,0,P30/P$12)</f>
        <v>0</v>
      </c>
      <c r="S30" s="1"/>
      <c r="T30" s="1">
        <f>SUM(OSRRefT22_1x_0)</f>
        <v>209248.93196923076</v>
      </c>
      <c r="U30" s="1"/>
      <c r="V30" s="5">
        <f t="shared" ref="V30:V40" si="25">IF(T$12=0,0,T30/T$12)</f>
        <v>0.19612870604935323</v>
      </c>
      <c r="W30" s="1"/>
      <c r="X30" s="1">
        <f t="shared" ref="X30:X40" si="26">+P30-T30</f>
        <v>-209248.93196923076</v>
      </c>
      <c r="Y30" s="1"/>
      <c r="Z30" s="5">
        <f t="shared" ref="Z30:Z40" si="27">IF(T30=0,0,X30/T30)</f>
        <v>-1</v>
      </c>
    </row>
    <row r="31" spans="1:26" s="24" customFormat="1" hidden="1" outlineLevel="2" x14ac:dyDescent="0.25">
      <c r="A31" s="26"/>
      <c r="B31" s="11" t="str">
        <f>CONCATENATE("          ", "6001", " - ", "ADMINISTRATIVE SALARIES")</f>
        <v xml:space="preserve">          6001 - ADMINISTRATIVE SALARIES</v>
      </c>
      <c r="C31" s="11"/>
      <c r="D31" s="7"/>
      <c r="E31" s="2"/>
      <c r="F31" s="6">
        <f t="shared" si="20"/>
        <v>0</v>
      </c>
      <c r="G31" s="2"/>
      <c r="H31" s="7">
        <v>3952.8576307692297</v>
      </c>
      <c r="I31" s="2"/>
      <c r="J31" s="6">
        <f t="shared" si="21"/>
        <v>3.4981660124685655E-2</v>
      </c>
      <c r="K31" s="2"/>
      <c r="L31" s="7">
        <f t="shared" si="22"/>
        <v>-3952.8576307692297</v>
      </c>
      <c r="M31" s="2"/>
      <c r="N31" s="6">
        <f t="shared" si="23"/>
        <v>-1</v>
      </c>
      <c r="O31" s="11"/>
      <c r="P31" s="7"/>
      <c r="Q31" s="2"/>
      <c r="R31" s="6">
        <f t="shared" si="24"/>
        <v>0</v>
      </c>
      <c r="S31" s="2"/>
      <c r="T31" s="7">
        <v>46164.266969230768</v>
      </c>
      <c r="U31" s="2"/>
      <c r="V31" s="6">
        <f t="shared" si="25"/>
        <v>4.3269697298734616E-2</v>
      </c>
      <c r="W31" s="2"/>
      <c r="X31" s="7">
        <f t="shared" si="26"/>
        <v>-46164.266969230768</v>
      </c>
      <c r="Y31" s="2"/>
      <c r="Z31" s="6">
        <f t="shared" si="27"/>
        <v>-1</v>
      </c>
    </row>
    <row r="32" spans="1:26" s="24" customFormat="1" hidden="1" outlineLevel="2" x14ac:dyDescent="0.25">
      <c r="A32" s="26"/>
      <c r="B32" s="11" t="str">
        <f>CONCATENATE("          ", "6002", " - ", "STAFF SALARIES")</f>
        <v xml:space="preserve">          6002 - STAFF SALARIES</v>
      </c>
      <c r="C32" s="11"/>
      <c r="D32" s="7"/>
      <c r="E32" s="2"/>
      <c r="F32" s="6">
        <f t="shared" si="20"/>
        <v>0</v>
      </c>
      <c r="G32" s="2"/>
      <c r="H32" s="7">
        <v>0</v>
      </c>
      <c r="I32" s="2"/>
      <c r="J32" s="6">
        <f t="shared" si="21"/>
        <v>0</v>
      </c>
      <c r="K32" s="2"/>
      <c r="L32" s="7">
        <f t="shared" si="22"/>
        <v>0</v>
      </c>
      <c r="M32" s="2"/>
      <c r="N32" s="6">
        <f t="shared" si="23"/>
        <v>0</v>
      </c>
      <c r="O32" s="11"/>
      <c r="P32" s="7"/>
      <c r="Q32" s="2"/>
      <c r="R32" s="6">
        <f t="shared" si="24"/>
        <v>0</v>
      </c>
      <c r="S32" s="2"/>
      <c r="T32" s="7">
        <v>0</v>
      </c>
      <c r="U32" s="2"/>
      <c r="V32" s="6">
        <f t="shared" si="25"/>
        <v>0</v>
      </c>
      <c r="W32" s="2"/>
      <c r="X32" s="7">
        <f t="shared" si="26"/>
        <v>0</v>
      </c>
      <c r="Y32" s="2"/>
      <c r="Z32" s="6">
        <f t="shared" si="27"/>
        <v>0</v>
      </c>
    </row>
    <row r="33" spans="1:26" s="24" customFormat="1" hidden="1" outlineLevel="2" x14ac:dyDescent="0.25">
      <c r="A33" s="26"/>
      <c r="B33" s="11" t="str">
        <f>CONCATENATE("          ", "6003", " - ", "STAFF HOURLY-9 MONTH")</f>
        <v xml:space="preserve">          6003 - STAFF HOURLY-9 MONTH</v>
      </c>
      <c r="C33" s="11"/>
      <c r="D33" s="7"/>
      <c r="E33" s="2"/>
      <c r="F33" s="6">
        <f t="shared" si="20"/>
        <v>0</v>
      </c>
      <c r="G33" s="2"/>
      <c r="H33" s="7">
        <v>0</v>
      </c>
      <c r="I33" s="2"/>
      <c r="J33" s="6">
        <f t="shared" si="21"/>
        <v>0</v>
      </c>
      <c r="K33" s="2"/>
      <c r="L33" s="7">
        <f t="shared" si="22"/>
        <v>0</v>
      </c>
      <c r="M33" s="2"/>
      <c r="N33" s="6">
        <f t="shared" si="23"/>
        <v>0</v>
      </c>
      <c r="O33" s="11"/>
      <c r="P33" s="7"/>
      <c r="Q33" s="2"/>
      <c r="R33" s="6">
        <f t="shared" si="24"/>
        <v>0</v>
      </c>
      <c r="S33" s="2"/>
      <c r="T33" s="7">
        <v>0</v>
      </c>
      <c r="U33" s="2"/>
      <c r="V33" s="6">
        <f t="shared" si="25"/>
        <v>0</v>
      </c>
      <c r="W33" s="2"/>
      <c r="X33" s="7">
        <f t="shared" si="26"/>
        <v>0</v>
      </c>
      <c r="Y33" s="2"/>
      <c r="Z33" s="6">
        <f t="shared" si="27"/>
        <v>0</v>
      </c>
    </row>
    <row r="34" spans="1:26" s="24" customFormat="1" hidden="1" outlineLevel="2" x14ac:dyDescent="0.25">
      <c r="A34" s="26"/>
      <c r="B34" s="11" t="str">
        <f>CONCATENATE("          ", "6004", " - ", "STAFF HOURLY")</f>
        <v xml:space="preserve">          6004 - STAFF HOURLY</v>
      </c>
      <c r="C34" s="11"/>
      <c r="D34" s="7"/>
      <c r="E34" s="2"/>
      <c r="F34" s="6">
        <f t="shared" si="20"/>
        <v>0</v>
      </c>
      <c r="G34" s="2"/>
      <c r="H34" s="7">
        <v>0</v>
      </c>
      <c r="I34" s="2"/>
      <c r="J34" s="6">
        <f t="shared" si="21"/>
        <v>0</v>
      </c>
      <c r="K34" s="2"/>
      <c r="L34" s="7">
        <f t="shared" si="22"/>
        <v>0</v>
      </c>
      <c r="M34" s="2"/>
      <c r="N34" s="6">
        <f t="shared" si="23"/>
        <v>0</v>
      </c>
      <c r="O34" s="11"/>
      <c r="P34" s="7"/>
      <c r="Q34" s="2"/>
      <c r="R34" s="6">
        <f t="shared" si="24"/>
        <v>0</v>
      </c>
      <c r="S34" s="2"/>
      <c r="T34" s="7">
        <v>0</v>
      </c>
      <c r="U34" s="2"/>
      <c r="V34" s="6">
        <f t="shared" si="25"/>
        <v>0</v>
      </c>
      <c r="W34" s="2"/>
      <c r="X34" s="7">
        <f t="shared" si="26"/>
        <v>0</v>
      </c>
      <c r="Y34" s="2"/>
      <c r="Z34" s="6">
        <f t="shared" si="27"/>
        <v>0</v>
      </c>
    </row>
    <row r="35" spans="1:26" s="24" customFormat="1" hidden="1" outlineLevel="2" x14ac:dyDescent="0.25">
      <c r="A35" s="26"/>
      <c r="B35" s="11" t="str">
        <f>CONCATENATE("          ", "6005", " - ", "TEMPORARY WAGES-HOURLY")</f>
        <v xml:space="preserve">          6005 - TEMPORARY WAGES-HOURLY</v>
      </c>
      <c r="C35" s="11"/>
      <c r="D35" s="7"/>
      <c r="E35" s="2"/>
      <c r="F35" s="6">
        <f t="shared" si="20"/>
        <v>0</v>
      </c>
      <c r="G35" s="2"/>
      <c r="H35" s="7">
        <v>0</v>
      </c>
      <c r="I35" s="2"/>
      <c r="J35" s="6">
        <f t="shared" si="21"/>
        <v>0</v>
      </c>
      <c r="K35" s="2"/>
      <c r="L35" s="7">
        <f t="shared" si="22"/>
        <v>0</v>
      </c>
      <c r="M35" s="2"/>
      <c r="N35" s="6">
        <f t="shared" si="23"/>
        <v>0</v>
      </c>
      <c r="O35" s="11"/>
      <c r="P35" s="7"/>
      <c r="Q35" s="2"/>
      <c r="R35" s="6">
        <f t="shared" si="24"/>
        <v>0</v>
      </c>
      <c r="S35" s="2"/>
      <c r="T35" s="7">
        <v>0</v>
      </c>
      <c r="U35" s="2"/>
      <c r="V35" s="6">
        <f t="shared" si="25"/>
        <v>0</v>
      </c>
      <c r="W35" s="2"/>
      <c r="X35" s="7">
        <f t="shared" si="26"/>
        <v>0</v>
      </c>
      <c r="Y35" s="2"/>
      <c r="Z35" s="6">
        <f t="shared" si="27"/>
        <v>0</v>
      </c>
    </row>
    <row r="36" spans="1:26" s="24" customFormat="1" hidden="1" outlineLevel="2" x14ac:dyDescent="0.25">
      <c r="A36" s="26"/>
      <c r="B36" s="11" t="str">
        <f>CONCATENATE("          ", "6006", " - ", "TEMPORARY PART TIME")</f>
        <v xml:space="preserve">          6006 - TEMPORARY PART TIME</v>
      </c>
      <c r="C36" s="11"/>
      <c r="D36" s="7"/>
      <c r="E36" s="2"/>
      <c r="F36" s="6">
        <f t="shared" si="20"/>
        <v>0</v>
      </c>
      <c r="G36" s="2"/>
      <c r="H36" s="7">
        <v>0</v>
      </c>
      <c r="I36" s="2"/>
      <c r="J36" s="6">
        <f t="shared" si="21"/>
        <v>0</v>
      </c>
      <c r="K36" s="2"/>
      <c r="L36" s="7">
        <f t="shared" si="22"/>
        <v>0</v>
      </c>
      <c r="M36" s="2"/>
      <c r="N36" s="6">
        <f t="shared" si="23"/>
        <v>0</v>
      </c>
      <c r="O36" s="11"/>
      <c r="P36" s="7"/>
      <c r="Q36" s="2"/>
      <c r="R36" s="6">
        <f t="shared" si="24"/>
        <v>0</v>
      </c>
      <c r="S36" s="2"/>
      <c r="T36" s="7">
        <v>0</v>
      </c>
      <c r="U36" s="2"/>
      <c r="V36" s="6">
        <f t="shared" si="25"/>
        <v>0</v>
      </c>
      <c r="W36" s="2"/>
      <c r="X36" s="7">
        <f t="shared" si="26"/>
        <v>0</v>
      </c>
      <c r="Y36" s="2"/>
      <c r="Z36" s="6">
        <f t="shared" si="27"/>
        <v>0</v>
      </c>
    </row>
    <row r="37" spans="1:26" s="24" customFormat="1" hidden="1" outlineLevel="2" x14ac:dyDescent="0.25">
      <c r="A37" s="26"/>
      <c r="B37" s="11" t="str">
        <f>CONCATENATE("          ", "6007", " - ", "STUDENT HOURLY")</f>
        <v xml:space="preserve">          6007 - STUDENT HOURLY</v>
      </c>
      <c r="C37" s="11"/>
      <c r="D37" s="7"/>
      <c r="E37" s="2"/>
      <c r="F37" s="6">
        <f t="shared" si="20"/>
        <v>0</v>
      </c>
      <c r="G37" s="2"/>
      <c r="H37" s="7">
        <v>0</v>
      </c>
      <c r="I37" s="2"/>
      <c r="J37" s="6">
        <f t="shared" si="21"/>
        <v>0</v>
      </c>
      <c r="K37" s="2"/>
      <c r="L37" s="7">
        <f t="shared" si="22"/>
        <v>0</v>
      </c>
      <c r="M37" s="2"/>
      <c r="N37" s="6">
        <f t="shared" si="23"/>
        <v>0</v>
      </c>
      <c r="O37" s="11"/>
      <c r="P37" s="7"/>
      <c r="Q37" s="2"/>
      <c r="R37" s="6">
        <f t="shared" si="24"/>
        <v>0</v>
      </c>
      <c r="S37" s="2"/>
      <c r="T37" s="7">
        <v>4601.25</v>
      </c>
      <c r="U37" s="2"/>
      <c r="V37" s="6">
        <f t="shared" si="25"/>
        <v>4.3127446349034955E-3</v>
      </c>
      <c r="W37" s="2"/>
      <c r="X37" s="7">
        <f t="shared" si="26"/>
        <v>-4601.25</v>
      </c>
      <c r="Y37" s="2"/>
      <c r="Z37" s="6">
        <f t="shared" si="27"/>
        <v>-1</v>
      </c>
    </row>
    <row r="38" spans="1:26" s="24" customFormat="1" hidden="1" outlineLevel="2" x14ac:dyDescent="0.25">
      <c r="A38" s="26"/>
      <c r="B38" s="11" t="str">
        <f>CONCATENATE("          ", "6008", " - ", "STUDENT HOURLY-FICA EXEMPT")</f>
        <v xml:space="preserve">          6008 - STUDENT HOURLY-FICA EXEMPT</v>
      </c>
      <c r="C38" s="11"/>
      <c r="D38" s="7"/>
      <c r="E38" s="2"/>
      <c r="F38" s="6">
        <f t="shared" si="20"/>
        <v>0</v>
      </c>
      <c r="G38" s="2"/>
      <c r="H38" s="7">
        <v>18315.72</v>
      </c>
      <c r="I38" s="2"/>
      <c r="J38" s="6">
        <f t="shared" si="21"/>
        <v>0.16208888652896514</v>
      </c>
      <c r="K38" s="2"/>
      <c r="L38" s="7">
        <f t="shared" si="22"/>
        <v>-18315.72</v>
      </c>
      <c r="M38" s="2"/>
      <c r="N38" s="6">
        <f t="shared" si="23"/>
        <v>-1</v>
      </c>
      <c r="O38" s="11"/>
      <c r="P38" s="7"/>
      <c r="Q38" s="2"/>
      <c r="R38" s="6">
        <f t="shared" si="24"/>
        <v>0</v>
      </c>
      <c r="S38" s="2"/>
      <c r="T38" s="7">
        <v>158483.41500000001</v>
      </c>
      <c r="U38" s="2"/>
      <c r="V38" s="6">
        <f t="shared" si="25"/>
        <v>0.14854626411571512</v>
      </c>
      <c r="W38" s="2"/>
      <c r="X38" s="7">
        <f t="shared" si="26"/>
        <v>-158483.41500000001</v>
      </c>
      <c r="Y38" s="2"/>
      <c r="Z38" s="6">
        <f t="shared" si="27"/>
        <v>-1</v>
      </c>
    </row>
    <row r="39" spans="1:26" s="24" customFormat="1" hidden="1" outlineLevel="2" x14ac:dyDescent="0.25">
      <c r="A39" s="26"/>
      <c r="B39" s="11" t="str">
        <f>CONCATENATE("          ", "6009", " - ", "TEMPORARY-SEASONAL")</f>
        <v xml:space="preserve">          6009 - TEMPORARY-SEASONAL</v>
      </c>
      <c r="C39" s="11"/>
      <c r="D39" s="7"/>
      <c r="E39" s="2"/>
      <c r="F39" s="6">
        <f t="shared" si="20"/>
        <v>0</v>
      </c>
      <c r="G39" s="2"/>
      <c r="H39" s="7">
        <v>0</v>
      </c>
      <c r="I39" s="2"/>
      <c r="J39" s="6">
        <f t="shared" si="21"/>
        <v>0</v>
      </c>
      <c r="K39" s="2"/>
      <c r="L39" s="7">
        <f t="shared" si="22"/>
        <v>0</v>
      </c>
      <c r="M39" s="2"/>
      <c r="N39" s="6">
        <f t="shared" si="23"/>
        <v>0</v>
      </c>
      <c r="O39" s="11"/>
      <c r="P39" s="7"/>
      <c r="Q39" s="2"/>
      <c r="R39" s="6">
        <f t="shared" si="24"/>
        <v>0</v>
      </c>
      <c r="S39" s="2"/>
      <c r="T39" s="7">
        <v>0</v>
      </c>
      <c r="U39" s="2"/>
      <c r="V39" s="6">
        <f t="shared" si="25"/>
        <v>0</v>
      </c>
      <c r="W39" s="2"/>
      <c r="X39" s="7">
        <f t="shared" si="26"/>
        <v>0</v>
      </c>
      <c r="Y39" s="2"/>
      <c r="Z39" s="6">
        <f t="shared" si="27"/>
        <v>0</v>
      </c>
    </row>
    <row r="40" spans="1:26" s="24" customFormat="1" hidden="1" outlineLevel="2" x14ac:dyDescent="0.25">
      <c r="A40" s="26"/>
      <c r="B40" s="11" t="str">
        <f>CONCATENATE("          ", "6010", " - ", "GRATUITY")</f>
        <v xml:space="preserve">          6010 - GRATUITY</v>
      </c>
      <c r="C40" s="11"/>
      <c r="D40" s="7"/>
      <c r="E40" s="2"/>
      <c r="F40" s="6">
        <f t="shared" si="20"/>
        <v>0</v>
      </c>
      <c r="G40" s="2"/>
      <c r="H40" s="7">
        <v>0</v>
      </c>
      <c r="I40" s="2"/>
      <c r="J40" s="6">
        <f t="shared" si="21"/>
        <v>0</v>
      </c>
      <c r="K40" s="2"/>
      <c r="L40" s="7">
        <f t="shared" si="22"/>
        <v>0</v>
      </c>
      <c r="M40" s="2"/>
      <c r="N40" s="6">
        <f t="shared" si="23"/>
        <v>0</v>
      </c>
      <c r="O40" s="11"/>
      <c r="P40" s="7"/>
      <c r="Q40" s="2"/>
      <c r="R40" s="6">
        <f t="shared" si="24"/>
        <v>0</v>
      </c>
      <c r="S40" s="2"/>
      <c r="T40" s="7">
        <v>0</v>
      </c>
      <c r="U40" s="2"/>
      <c r="V40" s="6">
        <f t="shared" si="25"/>
        <v>0</v>
      </c>
      <c r="W40" s="2"/>
      <c r="X40" s="7">
        <f t="shared" si="26"/>
        <v>0</v>
      </c>
      <c r="Y40" s="2"/>
      <c r="Z40" s="6">
        <f t="shared" si="27"/>
        <v>0</v>
      </c>
    </row>
    <row r="41" spans="1:26" s="27" customFormat="1" outlineLevel="1" collapsed="1" x14ac:dyDescent="0.25">
      <c r="A41" s="25"/>
      <c r="B41" s="12" t="str">
        <f>CONCATENATE("     ","Advertising/Promo                                 ")</f>
        <v xml:space="preserve">     Advertising/Promo                                 </v>
      </c>
      <c r="C41" s="12"/>
      <c r="D41" s="1">
        <f>SUM(OSRRefD22_2x_0)</f>
        <v>0</v>
      </c>
      <c r="E41" s="1"/>
      <c r="F41" s="5">
        <f t="shared" ref="F41:F49" si="28">IF(D$12=0,0,D41/D$12)</f>
        <v>0</v>
      </c>
      <c r="G41" s="1"/>
      <c r="H41" s="1">
        <f>SUM(OSRRefH22_2x_0)</f>
        <v>0</v>
      </c>
      <c r="I41" s="1"/>
      <c r="J41" s="5">
        <f t="shared" ref="J41:J49" si="29">IF(H$12=0,0,H41/H$12)</f>
        <v>0</v>
      </c>
      <c r="K41" s="1"/>
      <c r="L41" s="1">
        <f t="shared" ref="L41:L49" si="30">+D41-H41</f>
        <v>0</v>
      </c>
      <c r="M41" s="1"/>
      <c r="N41" s="5">
        <f t="shared" ref="N41:N49" si="31">IF(H41=0,0,L41/H41)</f>
        <v>0</v>
      </c>
      <c r="O41" s="12"/>
      <c r="P41" s="1">
        <f>SUM(OSRRefP22_2x_0)</f>
        <v>0</v>
      </c>
      <c r="Q41" s="1"/>
      <c r="R41" s="5">
        <f t="shared" ref="R41:R49" si="32">IF(P$12=0,0,P41/P$12)</f>
        <v>0</v>
      </c>
      <c r="S41" s="1"/>
      <c r="T41" s="1">
        <f>SUM(OSRRefT22_2x_0)</f>
        <v>0</v>
      </c>
      <c r="U41" s="1"/>
      <c r="V41" s="5">
        <f t="shared" ref="V41:V49" si="33">IF(T$12=0,0,T41/T$12)</f>
        <v>0</v>
      </c>
      <c r="W41" s="1"/>
      <c r="X41" s="1">
        <f t="shared" ref="X41:X49" si="34">+P41-T41</f>
        <v>0</v>
      </c>
      <c r="Y41" s="1"/>
      <c r="Z41" s="5">
        <f t="shared" ref="Z41:Z49" si="35">IF(T41=0,0,X41/T41)</f>
        <v>0</v>
      </c>
    </row>
    <row r="42" spans="1:26" s="24" customFormat="1" hidden="1" outlineLevel="2" x14ac:dyDescent="0.25">
      <c r="A42" s="26"/>
      <c r="B42" s="11" t="str">
        <f>CONCATENATE("          ", "6362", " - ", "ADVERTISING EXPENSE")</f>
        <v xml:space="preserve">          6362 - ADVERTISING EXPENSE</v>
      </c>
      <c r="C42" s="11"/>
      <c r="D42" s="7"/>
      <c r="E42" s="2"/>
      <c r="F42" s="6">
        <f t="shared" si="28"/>
        <v>0</v>
      </c>
      <c r="G42" s="2"/>
      <c r="H42" s="7">
        <v>0</v>
      </c>
      <c r="I42" s="2"/>
      <c r="J42" s="6">
        <f t="shared" si="29"/>
        <v>0</v>
      </c>
      <c r="K42" s="2"/>
      <c r="L42" s="7">
        <f t="shared" si="30"/>
        <v>0</v>
      </c>
      <c r="M42" s="2"/>
      <c r="N42" s="6">
        <f t="shared" si="31"/>
        <v>0</v>
      </c>
      <c r="O42" s="11"/>
      <c r="P42" s="7"/>
      <c r="Q42" s="2"/>
      <c r="R42" s="6">
        <f t="shared" si="32"/>
        <v>0</v>
      </c>
      <c r="S42" s="2"/>
      <c r="T42" s="7">
        <v>0</v>
      </c>
      <c r="U42" s="2"/>
      <c r="V42" s="6">
        <f t="shared" si="33"/>
        <v>0</v>
      </c>
      <c r="W42" s="2"/>
      <c r="X42" s="7">
        <f t="shared" si="34"/>
        <v>0</v>
      </c>
      <c r="Y42" s="2"/>
      <c r="Z42" s="6">
        <f t="shared" si="35"/>
        <v>0</v>
      </c>
    </row>
    <row r="43" spans="1:26" s="27" customFormat="1" outlineLevel="1" collapsed="1" x14ac:dyDescent="0.25">
      <c r="A43" s="25"/>
      <c r="B43" s="12" t="str">
        <f>CONCATENATE("     ","Bad Debts/Over/Short                              ")</f>
        <v xml:space="preserve">     Bad Debts/Over/Short                              </v>
      </c>
      <c r="C43" s="12"/>
      <c r="D43" s="1">
        <f>SUM(OSRRefD22_3x_0)</f>
        <v>0</v>
      </c>
      <c r="E43" s="1"/>
      <c r="F43" s="5">
        <f t="shared" si="28"/>
        <v>0</v>
      </c>
      <c r="G43" s="1"/>
      <c r="H43" s="1">
        <f>SUM(OSRRefH22_3x_0)</f>
        <v>0</v>
      </c>
      <c r="I43" s="1"/>
      <c r="J43" s="5">
        <f t="shared" si="29"/>
        <v>0</v>
      </c>
      <c r="K43" s="1"/>
      <c r="L43" s="1">
        <f t="shared" si="30"/>
        <v>0</v>
      </c>
      <c r="M43" s="1"/>
      <c r="N43" s="5">
        <f t="shared" si="31"/>
        <v>0</v>
      </c>
      <c r="O43" s="12"/>
      <c r="P43" s="1">
        <f>SUM(OSRRefP22_3x_0)</f>
        <v>0</v>
      </c>
      <c r="Q43" s="1"/>
      <c r="R43" s="5">
        <f t="shared" si="32"/>
        <v>0</v>
      </c>
      <c r="S43" s="1"/>
      <c r="T43" s="1">
        <f>SUM(OSRRefT22_3x_0)</f>
        <v>0</v>
      </c>
      <c r="U43" s="1"/>
      <c r="V43" s="5">
        <f t="shared" si="33"/>
        <v>0</v>
      </c>
      <c r="W43" s="1"/>
      <c r="X43" s="1">
        <f t="shared" si="34"/>
        <v>0</v>
      </c>
      <c r="Y43" s="1"/>
      <c r="Z43" s="5">
        <f t="shared" si="35"/>
        <v>0</v>
      </c>
    </row>
    <row r="44" spans="1:26" s="24" customFormat="1" hidden="1" outlineLevel="2" x14ac:dyDescent="0.25">
      <c r="A44" s="26"/>
      <c r="B44" s="11" t="str">
        <f>CONCATENATE("          ", "6272", " - ", "CASH (OVER/SHORT)")</f>
        <v xml:space="preserve">          6272 - CASH (OVER/SHORT)</v>
      </c>
      <c r="C44" s="11"/>
      <c r="D44" s="7"/>
      <c r="E44" s="2"/>
      <c r="F44" s="6">
        <f t="shared" si="28"/>
        <v>0</v>
      </c>
      <c r="G44" s="2"/>
      <c r="H44" s="7">
        <v>0</v>
      </c>
      <c r="I44" s="2"/>
      <c r="J44" s="6">
        <f t="shared" si="29"/>
        <v>0</v>
      </c>
      <c r="K44" s="2"/>
      <c r="L44" s="7">
        <f t="shared" si="30"/>
        <v>0</v>
      </c>
      <c r="M44" s="2"/>
      <c r="N44" s="6">
        <f t="shared" si="31"/>
        <v>0</v>
      </c>
      <c r="O44" s="11"/>
      <c r="P44" s="7"/>
      <c r="Q44" s="2"/>
      <c r="R44" s="6">
        <f t="shared" si="32"/>
        <v>0</v>
      </c>
      <c r="S44" s="2"/>
      <c r="T44" s="7">
        <v>0</v>
      </c>
      <c r="U44" s="2"/>
      <c r="V44" s="6">
        <f t="shared" si="33"/>
        <v>0</v>
      </c>
      <c r="W44" s="2"/>
      <c r="X44" s="7">
        <f t="shared" si="34"/>
        <v>0</v>
      </c>
      <c r="Y44" s="2"/>
      <c r="Z44" s="6">
        <f t="shared" si="35"/>
        <v>0</v>
      </c>
    </row>
    <row r="45" spans="1:26" s="27" customFormat="1" outlineLevel="1" collapsed="1" x14ac:dyDescent="0.25">
      <c r="A45" s="25"/>
      <c r="B45" s="12" t="str">
        <f>CONCATENATE("     ","Bank/card Fees                                    ")</f>
        <v xml:space="preserve">     Bank/card Fees                                    </v>
      </c>
      <c r="C45" s="12"/>
      <c r="D45" s="1">
        <f>SUM(OSRRefD22_4x_0)</f>
        <v>0</v>
      </c>
      <c r="E45" s="1"/>
      <c r="F45" s="5">
        <f t="shared" si="28"/>
        <v>0</v>
      </c>
      <c r="G45" s="1"/>
      <c r="H45" s="1">
        <f>SUM(OSRRefH22_4x_0)</f>
        <v>3427</v>
      </c>
      <c r="I45" s="1"/>
      <c r="J45" s="5">
        <f t="shared" si="29"/>
        <v>3.0327970406555868E-2</v>
      </c>
      <c r="K45" s="1"/>
      <c r="L45" s="1">
        <f t="shared" si="30"/>
        <v>-3427</v>
      </c>
      <c r="M45" s="1"/>
      <c r="N45" s="5">
        <f t="shared" si="31"/>
        <v>-1</v>
      </c>
      <c r="O45" s="12"/>
      <c r="P45" s="1">
        <f>SUM(OSRRefP22_4x_0)</f>
        <v>0</v>
      </c>
      <c r="Q45" s="1"/>
      <c r="R45" s="5">
        <f t="shared" si="32"/>
        <v>0</v>
      </c>
      <c r="S45" s="1"/>
      <c r="T45" s="1">
        <f>SUM(OSRRefT22_4x_0)</f>
        <v>32355</v>
      </c>
      <c r="U45" s="1"/>
      <c r="V45" s="5">
        <f t="shared" si="33"/>
        <v>3.0326292347145362E-2</v>
      </c>
      <c r="W45" s="1"/>
      <c r="X45" s="1">
        <f t="shared" si="34"/>
        <v>-32355</v>
      </c>
      <c r="Y45" s="1"/>
      <c r="Z45" s="5">
        <f t="shared" si="35"/>
        <v>-1</v>
      </c>
    </row>
    <row r="46" spans="1:26" s="24" customFormat="1" hidden="1" outlineLevel="2" x14ac:dyDescent="0.25">
      <c r="A46" s="26"/>
      <c r="B46" s="11" t="str">
        <f>CONCATENATE("          ", "6381", " - ", "BANK/CREDIT CARD FEES")</f>
        <v xml:space="preserve">          6381 - BANK/CREDIT CARD FEES</v>
      </c>
      <c r="C46" s="11"/>
      <c r="D46" s="7"/>
      <c r="E46" s="2"/>
      <c r="F46" s="6">
        <f t="shared" si="28"/>
        <v>0</v>
      </c>
      <c r="G46" s="2"/>
      <c r="H46" s="7">
        <v>3427</v>
      </c>
      <c r="I46" s="2"/>
      <c r="J46" s="6">
        <f t="shared" si="29"/>
        <v>3.0327970406555868E-2</v>
      </c>
      <c r="K46" s="2"/>
      <c r="L46" s="7">
        <f t="shared" si="30"/>
        <v>-3427</v>
      </c>
      <c r="M46" s="2"/>
      <c r="N46" s="6">
        <f t="shared" si="31"/>
        <v>-1</v>
      </c>
      <c r="O46" s="11"/>
      <c r="P46" s="7"/>
      <c r="Q46" s="2"/>
      <c r="R46" s="6">
        <f t="shared" si="32"/>
        <v>0</v>
      </c>
      <c r="S46" s="2"/>
      <c r="T46" s="7">
        <v>32355</v>
      </c>
      <c r="U46" s="2"/>
      <c r="V46" s="6">
        <f t="shared" si="33"/>
        <v>3.0326292347145362E-2</v>
      </c>
      <c r="W46" s="2"/>
      <c r="X46" s="7">
        <f t="shared" si="34"/>
        <v>-32355</v>
      </c>
      <c r="Y46" s="2"/>
      <c r="Z46" s="6">
        <f t="shared" si="35"/>
        <v>-1</v>
      </c>
    </row>
    <row r="47" spans="1:26" s="27" customFormat="1" outlineLevel="1" collapsed="1" x14ac:dyDescent="0.25">
      <c r="A47" s="25"/>
      <c r="B47" s="12" t="str">
        <f>CONCATENATE("     ","Depreciation                                      ")</f>
        <v xml:space="preserve">     Depreciation                                      </v>
      </c>
      <c r="C47" s="12"/>
      <c r="D47" s="1">
        <f>SUM(OSRRefD22_5x_0)</f>
        <v>0</v>
      </c>
      <c r="E47" s="1"/>
      <c r="F47" s="5">
        <f t="shared" si="28"/>
        <v>0</v>
      </c>
      <c r="G47" s="1"/>
      <c r="H47" s="1">
        <f>SUM(OSRRefH22_5x_0)</f>
        <v>1941</v>
      </c>
      <c r="I47" s="1"/>
      <c r="J47" s="5">
        <f t="shared" si="29"/>
        <v>1.71772951733659E-2</v>
      </c>
      <c r="K47" s="1"/>
      <c r="L47" s="1">
        <f t="shared" si="30"/>
        <v>-1941</v>
      </c>
      <c r="M47" s="1"/>
      <c r="N47" s="5">
        <f t="shared" si="31"/>
        <v>-1</v>
      </c>
      <c r="O47" s="12"/>
      <c r="P47" s="1">
        <f>SUM(OSRRefP22_5x_0)</f>
        <v>0</v>
      </c>
      <c r="Q47" s="1"/>
      <c r="R47" s="5">
        <f t="shared" si="32"/>
        <v>0</v>
      </c>
      <c r="S47" s="1"/>
      <c r="T47" s="1">
        <f>SUM(OSRRefT22_5x_0)</f>
        <v>21102</v>
      </c>
      <c r="U47" s="1"/>
      <c r="V47" s="5">
        <f t="shared" si="33"/>
        <v>1.9778872542403382E-2</v>
      </c>
      <c r="W47" s="1"/>
      <c r="X47" s="1">
        <f t="shared" si="34"/>
        <v>-21102</v>
      </c>
      <c r="Y47" s="1"/>
      <c r="Z47" s="5">
        <f t="shared" si="35"/>
        <v>-1</v>
      </c>
    </row>
    <row r="48" spans="1:26" s="24" customFormat="1" hidden="1" outlineLevel="2" x14ac:dyDescent="0.25">
      <c r="A48" s="26"/>
      <c r="B48" s="11" t="str">
        <f>CONCATENATE("          ", "6322", " - ", "EQUIPMENT DEPRECIATION EXPENSE")</f>
        <v xml:space="preserve">          6322 - EQUIPMENT DEPRECIATION EXPENSE</v>
      </c>
      <c r="C48" s="11"/>
      <c r="D48" s="7"/>
      <c r="E48" s="2"/>
      <c r="F48" s="6">
        <f t="shared" si="28"/>
        <v>0</v>
      </c>
      <c r="G48" s="2"/>
      <c r="H48" s="7">
        <v>1858</v>
      </c>
      <c r="I48" s="2"/>
      <c r="J48" s="6">
        <f t="shared" si="29"/>
        <v>1.6442768898564577E-2</v>
      </c>
      <c r="K48" s="2"/>
      <c r="L48" s="7">
        <f t="shared" si="30"/>
        <v>-1858</v>
      </c>
      <c r="M48" s="2"/>
      <c r="N48" s="6">
        <f t="shared" si="31"/>
        <v>-1</v>
      </c>
      <c r="O48" s="11"/>
      <c r="P48" s="7"/>
      <c r="Q48" s="2"/>
      <c r="R48" s="6">
        <f t="shared" si="32"/>
        <v>0</v>
      </c>
      <c r="S48" s="2"/>
      <c r="T48" s="7">
        <v>20438</v>
      </c>
      <c r="U48" s="2"/>
      <c r="V48" s="6">
        <f t="shared" si="33"/>
        <v>1.9156506351134507E-2</v>
      </c>
      <c r="W48" s="2"/>
      <c r="X48" s="7">
        <f t="shared" si="34"/>
        <v>-20438</v>
      </c>
      <c r="Y48" s="2"/>
      <c r="Z48" s="6">
        <f t="shared" si="35"/>
        <v>-1</v>
      </c>
    </row>
    <row r="49" spans="1:26" s="24" customFormat="1" hidden="1" outlineLevel="2" x14ac:dyDescent="0.25">
      <c r="A49" s="26"/>
      <c r="B49" s="11" t="str">
        <f>CONCATENATE("          ", "6324", " - ", "FURNITURE + FIXT DEPRECIATION")</f>
        <v xml:space="preserve">          6324 - FURNITURE + FIXT DEPRECIATION</v>
      </c>
      <c r="C49" s="11"/>
      <c r="D49" s="7"/>
      <c r="E49" s="2"/>
      <c r="F49" s="6">
        <f t="shared" si="28"/>
        <v>0</v>
      </c>
      <c r="G49" s="2"/>
      <c r="H49" s="7">
        <v>83</v>
      </c>
      <c r="I49" s="2"/>
      <c r="J49" s="6">
        <f t="shared" si="29"/>
        <v>7.3452627480132394E-4</v>
      </c>
      <c r="K49" s="2"/>
      <c r="L49" s="7">
        <f t="shared" si="30"/>
        <v>-83</v>
      </c>
      <c r="M49" s="2"/>
      <c r="N49" s="6">
        <f t="shared" si="31"/>
        <v>-1</v>
      </c>
      <c r="O49" s="11"/>
      <c r="P49" s="7"/>
      <c r="Q49" s="2"/>
      <c r="R49" s="6">
        <f t="shared" si="32"/>
        <v>0</v>
      </c>
      <c r="S49" s="2"/>
      <c r="T49" s="7">
        <v>664</v>
      </c>
      <c r="U49" s="2"/>
      <c r="V49" s="6">
        <f t="shared" si="33"/>
        <v>6.2236619126887721E-4</v>
      </c>
      <c r="W49" s="2"/>
      <c r="X49" s="7">
        <f t="shared" si="34"/>
        <v>-664</v>
      </c>
      <c r="Y49" s="2"/>
      <c r="Z49" s="6">
        <f t="shared" si="35"/>
        <v>-1</v>
      </c>
    </row>
    <row r="50" spans="1:26" s="27" customFormat="1" outlineLevel="1" collapsed="1" x14ac:dyDescent="0.25">
      <c r="A50" s="25"/>
      <c r="B50" s="12" t="str">
        <f>CONCATENATE("     ","Employees' Appreciation                           ")</f>
        <v xml:space="preserve">     Employees' Appreciation                           </v>
      </c>
      <c r="C50" s="12"/>
      <c r="D50" s="1">
        <f>SUM(OSRRefD22_6x_0)</f>
        <v>0</v>
      </c>
      <c r="E50" s="1"/>
      <c r="F50" s="5">
        <f t="shared" ref="F50:F58" si="36">IF(D$12=0,0,D50/D$12)</f>
        <v>0</v>
      </c>
      <c r="G50" s="1"/>
      <c r="H50" s="1">
        <f>SUM(OSRRefH22_6x_0)</f>
        <v>0</v>
      </c>
      <c r="I50" s="1"/>
      <c r="J50" s="5">
        <f t="shared" ref="J50:J58" si="37">IF(H$12=0,0,H50/H$12)</f>
        <v>0</v>
      </c>
      <c r="K50" s="1"/>
      <c r="L50" s="1">
        <f t="shared" ref="L50:L58" si="38">+D50-H50</f>
        <v>0</v>
      </c>
      <c r="M50" s="1"/>
      <c r="N50" s="5">
        <f t="shared" ref="N50:N58" si="39">IF(H50=0,0,L50/H50)</f>
        <v>0</v>
      </c>
      <c r="O50" s="12"/>
      <c r="P50" s="1">
        <f>SUM(OSRRefP22_6x_0)</f>
        <v>0</v>
      </c>
      <c r="Q50" s="1"/>
      <c r="R50" s="5">
        <f t="shared" ref="R50:R58" si="40">IF(P$12=0,0,P50/P$12)</f>
        <v>0</v>
      </c>
      <c r="S50" s="1"/>
      <c r="T50" s="1">
        <f>SUM(OSRRefT22_6x_0)</f>
        <v>0</v>
      </c>
      <c r="U50" s="1"/>
      <c r="V50" s="5">
        <f t="shared" ref="V50:V58" si="41">IF(T$12=0,0,T50/T$12)</f>
        <v>0</v>
      </c>
      <c r="W50" s="1"/>
      <c r="X50" s="1">
        <f t="shared" ref="X50:X58" si="42">+P50-T50</f>
        <v>0</v>
      </c>
      <c r="Y50" s="1"/>
      <c r="Z50" s="5">
        <f t="shared" ref="Z50:Z58" si="43">IF(T50=0,0,X50/T50)</f>
        <v>0</v>
      </c>
    </row>
    <row r="51" spans="1:26" s="24" customFormat="1" hidden="1" outlineLevel="2" x14ac:dyDescent="0.25">
      <c r="A51" s="26"/>
      <c r="B51" s="11" t="str">
        <f>CONCATENATE("          ", "6277", " - ", "EMPLOYEE APPRECIATION")</f>
        <v xml:space="preserve">          6277 - EMPLOYEE APPRECIATION</v>
      </c>
      <c r="C51" s="11"/>
      <c r="D51" s="7"/>
      <c r="E51" s="2"/>
      <c r="F51" s="6">
        <f t="shared" si="36"/>
        <v>0</v>
      </c>
      <c r="G51" s="2"/>
      <c r="H51" s="7">
        <v>0</v>
      </c>
      <c r="I51" s="2"/>
      <c r="J51" s="6">
        <f t="shared" si="37"/>
        <v>0</v>
      </c>
      <c r="K51" s="2"/>
      <c r="L51" s="7">
        <f t="shared" si="38"/>
        <v>0</v>
      </c>
      <c r="M51" s="2"/>
      <c r="N51" s="6">
        <f t="shared" si="39"/>
        <v>0</v>
      </c>
      <c r="O51" s="11"/>
      <c r="P51" s="7"/>
      <c r="Q51" s="2"/>
      <c r="R51" s="6">
        <f t="shared" si="40"/>
        <v>0</v>
      </c>
      <c r="S51" s="2"/>
      <c r="T51" s="7">
        <v>0</v>
      </c>
      <c r="U51" s="2"/>
      <c r="V51" s="6">
        <f t="shared" si="41"/>
        <v>0</v>
      </c>
      <c r="W51" s="2"/>
      <c r="X51" s="7">
        <f t="shared" si="42"/>
        <v>0</v>
      </c>
      <c r="Y51" s="2"/>
      <c r="Z51" s="6">
        <f t="shared" si="43"/>
        <v>0</v>
      </c>
    </row>
    <row r="52" spans="1:26" s="27" customFormat="1" outlineLevel="1" collapsed="1" x14ac:dyDescent="0.25">
      <c r="A52" s="25"/>
      <c r="B52" s="12" t="str">
        <f>CONCATENATE("     ","General                                           ")</f>
        <v xml:space="preserve">     General                                           </v>
      </c>
      <c r="C52" s="12"/>
      <c r="D52" s="1">
        <f>SUM(OSRRefD22_7x_0)</f>
        <v>0</v>
      </c>
      <c r="E52" s="1"/>
      <c r="F52" s="5">
        <f t="shared" si="36"/>
        <v>0</v>
      </c>
      <c r="G52" s="1"/>
      <c r="H52" s="1">
        <f>SUM(OSRRefH22_7x_0)</f>
        <v>312</v>
      </c>
      <c r="I52" s="1"/>
      <c r="J52" s="5">
        <f t="shared" si="37"/>
        <v>2.7611108161206392E-3</v>
      </c>
      <c r="K52" s="1"/>
      <c r="L52" s="1">
        <f t="shared" si="38"/>
        <v>-312</v>
      </c>
      <c r="M52" s="1"/>
      <c r="N52" s="5">
        <f t="shared" si="39"/>
        <v>-1</v>
      </c>
      <c r="O52" s="12"/>
      <c r="P52" s="1">
        <f>SUM(OSRRefP22_7x_0)</f>
        <v>0</v>
      </c>
      <c r="Q52" s="1"/>
      <c r="R52" s="5">
        <f t="shared" si="40"/>
        <v>0</v>
      </c>
      <c r="S52" s="1"/>
      <c r="T52" s="1">
        <f>SUM(OSRRefT22_7x_0)</f>
        <v>2943</v>
      </c>
      <c r="U52" s="1"/>
      <c r="V52" s="5">
        <f t="shared" si="41"/>
        <v>2.7584694290727495E-3</v>
      </c>
      <c r="W52" s="1"/>
      <c r="X52" s="1">
        <f t="shared" si="42"/>
        <v>-2943</v>
      </c>
      <c r="Y52" s="1"/>
      <c r="Z52" s="5">
        <f t="shared" si="43"/>
        <v>-1</v>
      </c>
    </row>
    <row r="53" spans="1:26" s="24" customFormat="1" hidden="1" outlineLevel="2" x14ac:dyDescent="0.25">
      <c r="A53" s="26"/>
      <c r="B53" s="11" t="str">
        <f>CONCATENATE("          ", "6279", " - ", "GENERAL EXPENSE")</f>
        <v xml:space="preserve">          6279 - GENERAL EXPENSE</v>
      </c>
      <c r="C53" s="11"/>
      <c r="D53" s="7"/>
      <c r="E53" s="2"/>
      <c r="F53" s="6">
        <f t="shared" si="36"/>
        <v>0</v>
      </c>
      <c r="G53" s="2"/>
      <c r="H53" s="7">
        <v>312</v>
      </c>
      <c r="I53" s="2"/>
      <c r="J53" s="6">
        <f t="shared" si="37"/>
        <v>2.7611108161206392E-3</v>
      </c>
      <c r="K53" s="2"/>
      <c r="L53" s="7">
        <f t="shared" si="38"/>
        <v>-312</v>
      </c>
      <c r="M53" s="2"/>
      <c r="N53" s="6">
        <f t="shared" si="39"/>
        <v>-1</v>
      </c>
      <c r="O53" s="11"/>
      <c r="P53" s="7"/>
      <c r="Q53" s="2"/>
      <c r="R53" s="6">
        <f t="shared" si="40"/>
        <v>0</v>
      </c>
      <c r="S53" s="2"/>
      <c r="T53" s="7">
        <v>2943</v>
      </c>
      <c r="U53" s="2"/>
      <c r="V53" s="6">
        <f t="shared" si="41"/>
        <v>2.7584694290727495E-3</v>
      </c>
      <c r="W53" s="2"/>
      <c r="X53" s="7">
        <f t="shared" si="42"/>
        <v>-2943</v>
      </c>
      <c r="Y53" s="2"/>
      <c r="Z53" s="6">
        <f t="shared" si="43"/>
        <v>-1</v>
      </c>
    </row>
    <row r="54" spans="1:26" s="27" customFormat="1" outlineLevel="1" collapsed="1" x14ac:dyDescent="0.25">
      <c r="A54" s="25"/>
      <c r="B54" s="12" t="str">
        <f>CONCATENATE("     ","Rent                                              ")</f>
        <v xml:space="preserve">     Rent                                              </v>
      </c>
      <c r="C54" s="12"/>
      <c r="D54" s="1">
        <f>SUM(OSRRefD22_8x_0)</f>
        <v>0</v>
      </c>
      <c r="E54" s="1"/>
      <c r="F54" s="5">
        <f t="shared" si="36"/>
        <v>0</v>
      </c>
      <c r="G54" s="1"/>
      <c r="H54" s="1">
        <f>SUM(OSRRefH22_8x_0)</f>
        <v>1150</v>
      </c>
      <c r="I54" s="1"/>
      <c r="J54" s="5">
        <f t="shared" si="37"/>
        <v>1.017717127736774E-2</v>
      </c>
      <c r="K54" s="1"/>
      <c r="L54" s="1">
        <f t="shared" si="38"/>
        <v>-1150</v>
      </c>
      <c r="M54" s="1"/>
      <c r="N54" s="5">
        <f t="shared" si="39"/>
        <v>-1</v>
      </c>
      <c r="O54" s="12"/>
      <c r="P54" s="1">
        <f>SUM(OSRRefP22_8x_0)</f>
        <v>0</v>
      </c>
      <c r="Q54" s="1"/>
      <c r="R54" s="5">
        <f t="shared" si="40"/>
        <v>0</v>
      </c>
      <c r="S54" s="1"/>
      <c r="T54" s="1">
        <f>SUM(OSRRefT22_8x_0)</f>
        <v>12650</v>
      </c>
      <c r="U54" s="1"/>
      <c r="V54" s="5">
        <f t="shared" si="41"/>
        <v>1.1856825782456773E-2</v>
      </c>
      <c r="W54" s="1"/>
      <c r="X54" s="1">
        <f t="shared" si="42"/>
        <v>-12650</v>
      </c>
      <c r="Y54" s="1"/>
      <c r="Z54" s="5">
        <f t="shared" si="43"/>
        <v>-1</v>
      </c>
    </row>
    <row r="55" spans="1:26" s="24" customFormat="1" hidden="1" outlineLevel="2" x14ac:dyDescent="0.25">
      <c r="A55" s="26"/>
      <c r="B55" s="11" t="str">
        <f>CONCATENATE("          ", "6273", " - ", "RENT")</f>
        <v xml:space="preserve">          6273 - RENT</v>
      </c>
      <c r="C55" s="11"/>
      <c r="D55" s="7"/>
      <c r="E55" s="2"/>
      <c r="F55" s="6">
        <f t="shared" si="36"/>
        <v>0</v>
      </c>
      <c r="G55" s="2"/>
      <c r="H55" s="7">
        <v>1150</v>
      </c>
      <c r="I55" s="2"/>
      <c r="J55" s="6">
        <f t="shared" si="37"/>
        <v>1.017717127736774E-2</v>
      </c>
      <c r="K55" s="2"/>
      <c r="L55" s="7">
        <f t="shared" si="38"/>
        <v>-1150</v>
      </c>
      <c r="M55" s="2"/>
      <c r="N55" s="6">
        <f t="shared" si="39"/>
        <v>-1</v>
      </c>
      <c r="O55" s="11"/>
      <c r="P55" s="7"/>
      <c r="Q55" s="2"/>
      <c r="R55" s="6">
        <f t="shared" si="40"/>
        <v>0</v>
      </c>
      <c r="S55" s="2"/>
      <c r="T55" s="7">
        <v>12650</v>
      </c>
      <c r="U55" s="2"/>
      <c r="V55" s="6">
        <f t="shared" si="41"/>
        <v>1.1856825782456773E-2</v>
      </c>
      <c r="W55" s="2"/>
      <c r="X55" s="7">
        <f t="shared" si="42"/>
        <v>-12650</v>
      </c>
      <c r="Y55" s="2"/>
      <c r="Z55" s="6">
        <f t="shared" si="43"/>
        <v>-1</v>
      </c>
    </row>
    <row r="56" spans="1:26" s="27" customFormat="1" outlineLevel="1" collapsed="1" x14ac:dyDescent="0.25">
      <c r="A56" s="25"/>
      <c r="B56" s="12" t="str">
        <f>CONCATENATE("     ","Repair and Maintenance                            ")</f>
        <v xml:space="preserve">     Repair and Maintenance                            </v>
      </c>
      <c r="C56" s="12"/>
      <c r="D56" s="1">
        <f>SUM(OSRRefD22_9x_0)</f>
        <v>0</v>
      </c>
      <c r="E56" s="1"/>
      <c r="F56" s="5">
        <f t="shared" si="36"/>
        <v>0</v>
      </c>
      <c r="G56" s="1"/>
      <c r="H56" s="1">
        <f>SUM(OSRRefH22_9x_0)</f>
        <v>519</v>
      </c>
      <c r="I56" s="1"/>
      <c r="J56" s="5">
        <f t="shared" si="37"/>
        <v>4.5930016460468326E-3</v>
      </c>
      <c r="K56" s="1"/>
      <c r="L56" s="1">
        <f t="shared" si="38"/>
        <v>-519</v>
      </c>
      <c r="M56" s="1"/>
      <c r="N56" s="5">
        <f t="shared" si="39"/>
        <v>-1</v>
      </c>
      <c r="O56" s="12"/>
      <c r="P56" s="1">
        <f>SUM(OSRRefP22_9x_0)</f>
        <v>0</v>
      </c>
      <c r="Q56" s="1"/>
      <c r="R56" s="5">
        <f t="shared" si="40"/>
        <v>0</v>
      </c>
      <c r="S56" s="1"/>
      <c r="T56" s="1">
        <f>SUM(OSRRefT22_9x_0)</f>
        <v>4902</v>
      </c>
      <c r="U56" s="1"/>
      <c r="V56" s="5">
        <f t="shared" si="41"/>
        <v>4.5946371530121025E-3</v>
      </c>
      <c r="W56" s="1"/>
      <c r="X56" s="1">
        <f t="shared" si="42"/>
        <v>-4902</v>
      </c>
      <c r="Y56" s="1"/>
      <c r="Z56" s="5">
        <f t="shared" si="43"/>
        <v>-1</v>
      </c>
    </row>
    <row r="57" spans="1:26" s="24" customFormat="1" hidden="1" outlineLevel="2" x14ac:dyDescent="0.25">
      <c r="A57" s="26"/>
      <c r="B57" s="11" t="str">
        <f>CONCATENATE("          ", "6371", " - ", "COMPUTER SOFTWARE MAINTENANCE")</f>
        <v xml:space="preserve">          6371 - COMPUTER SOFTWARE MAINTENANCE</v>
      </c>
      <c r="C57" s="11"/>
      <c r="D57" s="7"/>
      <c r="E57" s="2"/>
      <c r="F57" s="6">
        <f t="shared" si="36"/>
        <v>0</v>
      </c>
      <c r="G57" s="2"/>
      <c r="H57" s="7"/>
      <c r="I57" s="2"/>
      <c r="J57" s="6">
        <f t="shared" si="37"/>
        <v>0</v>
      </c>
      <c r="K57" s="2"/>
      <c r="L57" s="7">
        <f t="shared" si="38"/>
        <v>0</v>
      </c>
      <c r="M57" s="2"/>
      <c r="N57" s="6">
        <f t="shared" si="39"/>
        <v>0</v>
      </c>
      <c r="O57" s="11"/>
      <c r="P57" s="7"/>
      <c r="Q57" s="2"/>
      <c r="R57" s="6">
        <f t="shared" si="40"/>
        <v>0</v>
      </c>
      <c r="S57" s="2"/>
      <c r="T57" s="7">
        <v>0</v>
      </c>
      <c r="U57" s="2"/>
      <c r="V57" s="6">
        <f t="shared" si="41"/>
        <v>0</v>
      </c>
      <c r="W57" s="2"/>
      <c r="X57" s="7">
        <f t="shared" si="42"/>
        <v>0</v>
      </c>
      <c r="Y57" s="2"/>
      <c r="Z57" s="6">
        <f t="shared" si="43"/>
        <v>0</v>
      </c>
    </row>
    <row r="58" spans="1:26" s="24" customFormat="1" hidden="1" outlineLevel="2" x14ac:dyDescent="0.25">
      <c r="A58" s="26"/>
      <c r="B58" s="11" t="str">
        <f>CONCATENATE("          ", "6375", " - ", "OUTSIDE REPAIRS &amp; MAINTENANCE")</f>
        <v xml:space="preserve">          6375 - OUTSIDE REPAIRS &amp; MAINTENANCE</v>
      </c>
      <c r="C58" s="11"/>
      <c r="D58" s="7"/>
      <c r="E58" s="2"/>
      <c r="F58" s="6">
        <f t="shared" si="36"/>
        <v>0</v>
      </c>
      <c r="G58" s="2"/>
      <c r="H58" s="7">
        <v>519</v>
      </c>
      <c r="I58" s="2"/>
      <c r="J58" s="6">
        <f t="shared" si="37"/>
        <v>4.5930016460468326E-3</v>
      </c>
      <c r="K58" s="2"/>
      <c r="L58" s="7">
        <f t="shared" si="38"/>
        <v>-519</v>
      </c>
      <c r="M58" s="2"/>
      <c r="N58" s="6">
        <f t="shared" si="39"/>
        <v>-1</v>
      </c>
      <c r="O58" s="11"/>
      <c r="P58" s="7"/>
      <c r="Q58" s="2"/>
      <c r="R58" s="6">
        <f t="shared" si="40"/>
        <v>0</v>
      </c>
      <c r="S58" s="2"/>
      <c r="T58" s="7">
        <v>4902</v>
      </c>
      <c r="U58" s="2"/>
      <c r="V58" s="6">
        <f t="shared" si="41"/>
        <v>4.5946371530121025E-3</v>
      </c>
      <c r="W58" s="2"/>
      <c r="X58" s="7">
        <f t="shared" si="42"/>
        <v>-4902</v>
      </c>
      <c r="Y58" s="2"/>
      <c r="Z58" s="6">
        <f t="shared" si="43"/>
        <v>-1</v>
      </c>
    </row>
    <row r="59" spans="1:26" s="27" customFormat="1" outlineLevel="1" collapsed="1" x14ac:dyDescent="0.25">
      <c r="A59" s="25"/>
      <c r="B59" s="12" t="str">
        <f>CONCATENATE("     ","Supplies                                          ")</f>
        <v xml:space="preserve">     Supplies                                          </v>
      </c>
      <c r="C59" s="12"/>
      <c r="D59" s="1">
        <f>SUM(OSRRefD22_10x_0)</f>
        <v>0</v>
      </c>
      <c r="E59" s="1"/>
      <c r="F59" s="5">
        <f t="shared" ref="F59:F62" si="44">IF(D$12=0,0,D59/D$12)</f>
        <v>0</v>
      </c>
      <c r="G59" s="1"/>
      <c r="H59" s="1">
        <f>SUM(OSRRefH22_10x_0)</f>
        <v>2181</v>
      </c>
      <c r="I59" s="1"/>
      <c r="J59" s="5">
        <f t="shared" ref="J59:J62" si="45">IF(H$12=0,0,H59/H$12)</f>
        <v>1.9301226570381778E-2</v>
      </c>
      <c r="K59" s="1"/>
      <c r="L59" s="1">
        <f t="shared" ref="L59:L62" si="46">+D59-H59</f>
        <v>-2181</v>
      </c>
      <c r="M59" s="1"/>
      <c r="N59" s="5">
        <f t="shared" ref="N59:N62" si="47">IF(H59=0,0,L59/H59)</f>
        <v>-1</v>
      </c>
      <c r="O59" s="12"/>
      <c r="P59" s="1">
        <f>SUM(OSRRefP22_10x_0)</f>
        <v>0</v>
      </c>
      <c r="Q59" s="1"/>
      <c r="R59" s="5">
        <f t="shared" ref="R59:R62" si="48">IF(P$12=0,0,P59/P$12)</f>
        <v>0</v>
      </c>
      <c r="S59" s="1"/>
      <c r="T59" s="1">
        <f>SUM(OSRRefT22_10x_0)</f>
        <v>20587</v>
      </c>
      <c r="U59" s="1"/>
      <c r="V59" s="5">
        <f t="shared" ref="V59:V62" si="49">IF(T$12=0,0,T59/T$12)</f>
        <v>1.9296163824777671E-2</v>
      </c>
      <c r="W59" s="1"/>
      <c r="X59" s="1">
        <f t="shared" ref="X59:X62" si="50">+P59-T59</f>
        <v>-20587</v>
      </c>
      <c r="Y59" s="1"/>
      <c r="Z59" s="5">
        <f t="shared" ref="Z59:Z62" si="51">IF(T59=0,0,X59/T59)</f>
        <v>-1</v>
      </c>
    </row>
    <row r="60" spans="1:26" s="24" customFormat="1" hidden="1" outlineLevel="2" x14ac:dyDescent="0.25">
      <c r="A60" s="26"/>
      <c r="B60" s="11" t="str">
        <f>CONCATENATE("          ", "6247", " - ", "STORE SUPPLIES")</f>
        <v xml:space="preserve">          6247 - STORE SUPPLIES</v>
      </c>
      <c r="C60" s="11"/>
      <c r="D60" s="7"/>
      <c r="E60" s="2"/>
      <c r="F60" s="6">
        <f t="shared" si="44"/>
        <v>0</v>
      </c>
      <c r="G60" s="2"/>
      <c r="H60" s="7">
        <v>2181</v>
      </c>
      <c r="I60" s="2"/>
      <c r="J60" s="6">
        <f t="shared" si="45"/>
        <v>1.9301226570381778E-2</v>
      </c>
      <c r="K60" s="2"/>
      <c r="L60" s="7">
        <f t="shared" si="46"/>
        <v>-2181</v>
      </c>
      <c r="M60" s="2"/>
      <c r="N60" s="6">
        <f t="shared" si="47"/>
        <v>-1</v>
      </c>
      <c r="O60" s="11"/>
      <c r="P60" s="7"/>
      <c r="Q60" s="2"/>
      <c r="R60" s="6">
        <f t="shared" si="48"/>
        <v>0</v>
      </c>
      <c r="S60" s="2"/>
      <c r="T60" s="7">
        <v>20587</v>
      </c>
      <c r="U60" s="2"/>
      <c r="V60" s="6">
        <f t="shared" si="49"/>
        <v>1.9296163824777671E-2</v>
      </c>
      <c r="W60" s="2"/>
      <c r="X60" s="7">
        <f t="shared" si="50"/>
        <v>-20587</v>
      </c>
      <c r="Y60" s="2"/>
      <c r="Z60" s="6">
        <f t="shared" si="51"/>
        <v>-1</v>
      </c>
    </row>
    <row r="61" spans="1:26" s="27" customFormat="1" outlineLevel="1" collapsed="1" x14ac:dyDescent="0.25">
      <c r="A61" s="25"/>
      <c r="B61" s="12" t="str">
        <f>CONCATENATE("     ","Telephone/Data Lines                              ")</f>
        <v xml:space="preserve">     Telephone/Data Lines                              </v>
      </c>
      <c r="C61" s="12"/>
      <c r="D61" s="1">
        <f>SUM(OSRRefD22_11x_0)</f>
        <v>0</v>
      </c>
      <c r="E61" s="1"/>
      <c r="F61" s="5">
        <f t="shared" si="44"/>
        <v>0</v>
      </c>
      <c r="G61" s="1"/>
      <c r="H61" s="1">
        <f>SUM(OSRRefH22_11x_0)</f>
        <v>75</v>
      </c>
      <c r="I61" s="1"/>
      <c r="J61" s="5">
        <f t="shared" si="45"/>
        <v>6.6372856156746141E-4</v>
      </c>
      <c r="K61" s="1"/>
      <c r="L61" s="1">
        <f t="shared" si="46"/>
        <v>-75</v>
      </c>
      <c r="M61" s="1"/>
      <c r="N61" s="5">
        <f t="shared" si="47"/>
        <v>-1</v>
      </c>
      <c r="O61" s="12"/>
      <c r="P61" s="1">
        <f>SUM(OSRRefP22_11x_0)</f>
        <v>0</v>
      </c>
      <c r="Q61" s="1"/>
      <c r="R61" s="5">
        <f t="shared" si="48"/>
        <v>0</v>
      </c>
      <c r="S61" s="1"/>
      <c r="T61" s="1">
        <f>SUM(OSRRefT22_11x_0)</f>
        <v>825</v>
      </c>
      <c r="U61" s="1"/>
      <c r="V61" s="5">
        <f t="shared" si="49"/>
        <v>7.7327124668196334E-4</v>
      </c>
      <c r="W61" s="1"/>
      <c r="X61" s="1">
        <f t="shared" si="50"/>
        <v>-825</v>
      </c>
      <c r="Y61" s="1"/>
      <c r="Z61" s="5">
        <f t="shared" si="51"/>
        <v>-1</v>
      </c>
    </row>
    <row r="62" spans="1:26" s="24" customFormat="1" hidden="1" outlineLevel="2" x14ac:dyDescent="0.25">
      <c r="A62" s="26"/>
      <c r="B62" s="11" t="str">
        <f>CONCATENATE("          ", "6309", " - ", "TELEPHONE")</f>
        <v xml:space="preserve">          6309 - TELEPHONE</v>
      </c>
      <c r="C62" s="11"/>
      <c r="D62" s="7"/>
      <c r="E62" s="2"/>
      <c r="F62" s="6">
        <f t="shared" si="44"/>
        <v>0</v>
      </c>
      <c r="G62" s="2"/>
      <c r="H62" s="7">
        <v>75</v>
      </c>
      <c r="I62" s="2"/>
      <c r="J62" s="6">
        <f t="shared" si="45"/>
        <v>6.6372856156746141E-4</v>
      </c>
      <c r="K62" s="2"/>
      <c r="L62" s="7">
        <f t="shared" si="46"/>
        <v>-75</v>
      </c>
      <c r="M62" s="2"/>
      <c r="N62" s="6">
        <f t="shared" si="47"/>
        <v>-1</v>
      </c>
      <c r="O62" s="11"/>
      <c r="P62" s="7"/>
      <c r="Q62" s="2"/>
      <c r="R62" s="6">
        <f t="shared" si="48"/>
        <v>0</v>
      </c>
      <c r="S62" s="2"/>
      <c r="T62" s="7">
        <v>825</v>
      </c>
      <c r="U62" s="2"/>
      <c r="V62" s="6">
        <f t="shared" si="49"/>
        <v>7.7327124668196334E-4</v>
      </c>
      <c r="W62" s="2"/>
      <c r="X62" s="7">
        <f t="shared" si="50"/>
        <v>-825</v>
      </c>
      <c r="Y62" s="2"/>
      <c r="Z62" s="6">
        <f t="shared" si="51"/>
        <v>-1</v>
      </c>
    </row>
    <row r="63" spans="1:26" s="62" customFormat="1" x14ac:dyDescent="0.25">
      <c r="A63" s="36"/>
      <c r="B63" s="36"/>
      <c r="C63" s="36"/>
      <c r="D63" s="1"/>
      <c r="E63" s="1"/>
      <c r="F63" s="5"/>
      <c r="G63" s="1"/>
      <c r="H63" s="1"/>
      <c r="I63" s="1"/>
      <c r="J63" s="5"/>
      <c r="K63" s="1"/>
      <c r="L63" s="1"/>
      <c r="M63" s="1"/>
      <c r="N63" s="5"/>
      <c r="O63" s="36"/>
      <c r="P63" s="1"/>
      <c r="Q63" s="1"/>
      <c r="R63" s="5"/>
      <c r="S63" s="1"/>
      <c r="T63" s="1"/>
      <c r="U63" s="1"/>
      <c r="V63" s="5"/>
      <c r="W63" s="1"/>
      <c r="X63" s="1"/>
      <c r="Y63" s="1"/>
      <c r="Z63" s="5"/>
    </row>
    <row r="64" spans="1:26" s="23" customFormat="1" x14ac:dyDescent="0.25">
      <c r="A64" s="10"/>
      <c r="B64" s="28" t="s">
        <v>0</v>
      </c>
      <c r="C64" s="10"/>
      <c r="D64" s="4">
        <f>SUM(0)</f>
        <v>0</v>
      </c>
      <c r="E64" s="4"/>
      <c r="F64" s="13">
        <f>IF(D$12=0,0,D64/D$12)</f>
        <v>0</v>
      </c>
      <c r="G64" s="4"/>
      <c r="H64" s="4">
        <f>SUM(0)</f>
        <v>0</v>
      </c>
      <c r="I64" s="4"/>
      <c r="J64" s="13">
        <f>IF(H$12=0,0,H64/H$12)</f>
        <v>0</v>
      </c>
      <c r="K64" s="4"/>
      <c r="L64" s="4">
        <f>+D64-H64</f>
        <v>0</v>
      </c>
      <c r="M64" s="4"/>
      <c r="N64" s="13">
        <f>IF(H64=0,0,L64/H64)</f>
        <v>0</v>
      </c>
      <c r="O64" s="10"/>
      <c r="P64" s="4">
        <f>SUM(0)</f>
        <v>0</v>
      </c>
      <c r="Q64" s="4"/>
      <c r="R64" s="13">
        <f>IF(P$12=0,0,P64/P$12)</f>
        <v>0</v>
      </c>
      <c r="S64" s="4"/>
      <c r="T64" s="4">
        <f>SUM(0)</f>
        <v>0</v>
      </c>
      <c r="U64" s="4"/>
      <c r="V64" s="13">
        <f>IF(T$12=0,0,T64/T$12)</f>
        <v>0</v>
      </c>
      <c r="W64" s="4"/>
      <c r="X64" s="4">
        <f>+P64-T64</f>
        <v>0</v>
      </c>
      <c r="Y64" s="4"/>
      <c r="Z64" s="13">
        <f>IF(T64=0,0,X64/T64)</f>
        <v>0</v>
      </c>
    </row>
    <row r="65" spans="1:26" x14ac:dyDescent="0.25">
      <c r="A65" s="9"/>
      <c r="B65" s="10"/>
      <c r="C65" s="10"/>
      <c r="D65" s="3"/>
      <c r="E65" s="3"/>
      <c r="F65" s="8"/>
      <c r="G65" s="3"/>
      <c r="H65" s="3"/>
      <c r="I65" s="3"/>
      <c r="J65" s="8"/>
      <c r="K65" s="3"/>
      <c r="L65" s="3"/>
      <c r="M65" s="3"/>
      <c r="N65" s="8"/>
      <c r="O65" s="10"/>
      <c r="P65" s="3"/>
      <c r="Q65" s="3"/>
      <c r="R65" s="8"/>
      <c r="S65" s="3"/>
      <c r="T65" s="3"/>
      <c r="U65" s="3"/>
      <c r="V65" s="8"/>
      <c r="W65" s="3"/>
      <c r="X65" s="3"/>
      <c r="Y65" s="3"/>
      <c r="Z65" s="8"/>
    </row>
    <row r="66" spans="1:26" s="23" customFormat="1" x14ac:dyDescent="0.25">
      <c r="A66" s="10"/>
      <c r="B66" s="29" t="s">
        <v>3</v>
      </c>
      <c r="C66" s="29"/>
      <c r="D66" s="20">
        <f>+D18-D20+D64</f>
        <v>0</v>
      </c>
      <c r="E66" s="14"/>
      <c r="F66" s="22">
        <f>IF(D$12=0,0,D66/D$12)</f>
        <v>0</v>
      </c>
      <c r="G66" s="14"/>
      <c r="H66" s="20">
        <f>+H18-H20+H64</f>
        <v>24303.13905187077</v>
      </c>
      <c r="I66" s="14"/>
      <c r="J66" s="22">
        <f>IF(H$12=0,0,H66/H$12)</f>
        <v>0.21507583365962912</v>
      </c>
      <c r="K66" s="16"/>
      <c r="L66" s="20">
        <f>+D66-H66</f>
        <v>-24303.13905187077</v>
      </c>
      <c r="M66" s="16"/>
      <c r="N66" s="22">
        <f>IF(H66=0,0,L66/H66)</f>
        <v>-1</v>
      </c>
      <c r="O66" s="28"/>
      <c r="P66" s="20">
        <f>+P18-P20+P64</f>
        <v>0</v>
      </c>
      <c r="Q66" s="14"/>
      <c r="R66" s="22">
        <f>IF(P$12=0,0,P66/P$12)</f>
        <v>0</v>
      </c>
      <c r="S66" s="14"/>
      <c r="T66" s="20">
        <f>+T18-T20+T64</f>
        <v>222734.46057478921</v>
      </c>
      <c r="U66" s="14"/>
      <c r="V66" s="22">
        <f>IF(T$12=0,0,T66/T$12)</f>
        <v>0.20876867152448711</v>
      </c>
      <c r="W66" s="16"/>
      <c r="X66" s="20">
        <f>+P66-T66</f>
        <v>-222734.46057478921</v>
      </c>
      <c r="Y66" s="16"/>
      <c r="Z66" s="22">
        <f>IF(T66=0,0,X66/T66)</f>
        <v>-1</v>
      </c>
    </row>
    <row r="67" spans="1:26" x14ac:dyDescent="0.25">
      <c r="A67" s="9"/>
      <c r="B67" s="10"/>
      <c r="C67" s="9"/>
      <c r="D67" s="3"/>
      <c r="E67" s="3"/>
      <c r="F67" s="8"/>
      <c r="G67" s="3"/>
      <c r="H67" s="3"/>
      <c r="I67" s="3"/>
      <c r="J67" s="8"/>
      <c r="K67" s="3"/>
      <c r="L67" s="3"/>
      <c r="M67" s="3"/>
      <c r="N67" s="8"/>
      <c r="P67" s="3"/>
      <c r="Q67" s="3"/>
      <c r="R67" s="8"/>
      <c r="S67" s="3"/>
      <c r="T67" s="3"/>
      <c r="U67" s="3"/>
      <c r="V67" s="8"/>
      <c r="W67" s="3"/>
      <c r="X67" s="3"/>
      <c r="Y67" s="3"/>
      <c r="Z67" s="8"/>
    </row>
    <row r="68" spans="1:26" s="23" customFormat="1" x14ac:dyDescent="0.25">
      <c r="A68" s="52"/>
      <c r="B68" s="10" t="s">
        <v>14</v>
      </c>
      <c r="C68" s="10"/>
      <c r="D68" s="4"/>
      <c r="E68" s="4"/>
      <c r="F68" s="13">
        <f>IF(D$12=0,0,D68/D$12)</f>
        <v>0</v>
      </c>
      <c r="G68" s="4"/>
      <c r="H68" s="4">
        <v>12119</v>
      </c>
      <c r="I68" s="4"/>
      <c r="J68" s="13">
        <f>IF(H$12=0,0,H68/H$12)</f>
        <v>0.10724968583514752</v>
      </c>
      <c r="K68" s="4"/>
      <c r="L68" s="4">
        <f>+D68-H68</f>
        <v>-12119</v>
      </c>
      <c r="M68" s="4"/>
      <c r="N68" s="13">
        <f>IF(H68=0,0,L68/H68)</f>
        <v>-1</v>
      </c>
      <c r="O68" s="10"/>
      <c r="P68" s="4"/>
      <c r="Q68" s="4"/>
      <c r="R68" s="13">
        <f>IF(P$12=0,0,P68/P$12)</f>
        <v>0</v>
      </c>
      <c r="S68" s="4"/>
      <c r="T68" s="4">
        <v>123572</v>
      </c>
      <c r="U68" s="4"/>
      <c r="V68" s="13">
        <f>IF(T$12=0,0,T68/T$12)</f>
        <v>0.11582384787270737</v>
      </c>
      <c r="W68" s="4"/>
      <c r="X68" s="4">
        <f>+P68-T68</f>
        <v>-123572</v>
      </c>
      <c r="Y68" s="4"/>
      <c r="Z68" s="13">
        <f>IF(T68=0,0,X68/T68)</f>
        <v>-1</v>
      </c>
    </row>
    <row r="69" spans="1:26" x14ac:dyDescent="0.25">
      <c r="A69" s="9"/>
      <c r="B69" s="10"/>
      <c r="C69" s="10"/>
      <c r="D69" s="3"/>
      <c r="E69" s="3"/>
      <c r="F69" s="8"/>
      <c r="G69" s="3"/>
      <c r="H69" s="3"/>
      <c r="I69" s="3"/>
      <c r="J69" s="8"/>
      <c r="K69" s="3"/>
      <c r="L69" s="3"/>
      <c r="M69" s="3"/>
      <c r="N69" s="8"/>
      <c r="O69" s="10"/>
      <c r="P69" s="3"/>
      <c r="Q69" s="3"/>
      <c r="R69" s="8"/>
      <c r="S69" s="3"/>
      <c r="T69" s="3"/>
      <c r="U69" s="3"/>
      <c r="V69" s="8"/>
      <c r="W69" s="3"/>
      <c r="X69" s="3"/>
      <c r="Y69" s="3"/>
      <c r="Z69" s="8"/>
    </row>
    <row r="70" spans="1:26" s="23" customFormat="1" ht="15.75" thickBot="1" x14ac:dyDescent="0.3">
      <c r="A70" s="10"/>
      <c r="B70" s="29" t="s">
        <v>4</v>
      </c>
      <c r="C70" s="29"/>
      <c r="D70" s="35">
        <f>+D66-D68</f>
        <v>0</v>
      </c>
      <c r="E70" s="14"/>
      <c r="F70" s="32">
        <f>IF(D$12=0,0,D70/D$12)</f>
        <v>0</v>
      </c>
      <c r="G70" s="14"/>
      <c r="H70" s="35">
        <f>+H66-H68</f>
        <v>12184.13905187077</v>
      </c>
      <c r="I70" s="14"/>
      <c r="J70" s="32">
        <f>IF(H$12=0,0,H70/H$12)</f>
        <v>0.10782614782448159</v>
      </c>
      <c r="K70" s="16"/>
      <c r="L70" s="35">
        <f>D70-H70</f>
        <v>-12184.13905187077</v>
      </c>
      <c r="M70" s="16"/>
      <c r="N70" s="32">
        <f>IF(H70=0,0,L70/H70)</f>
        <v>-1</v>
      </c>
      <c r="O70" s="28"/>
      <c r="P70" s="35">
        <f>+P66-P68</f>
        <v>0</v>
      </c>
      <c r="Q70" s="14"/>
      <c r="R70" s="32">
        <f>IF(P$12=0,0,P70/P$12)</f>
        <v>0</v>
      </c>
      <c r="S70" s="14"/>
      <c r="T70" s="35">
        <f>+T66-T68</f>
        <v>99162.460574789206</v>
      </c>
      <c r="U70" s="14"/>
      <c r="V70" s="32">
        <f>IF(T$12=0,0,T70/T$12)</f>
        <v>9.2944823651779751E-2</v>
      </c>
      <c r="W70" s="16"/>
      <c r="X70" s="35">
        <f>P70-T70</f>
        <v>-99162.460574789206</v>
      </c>
      <c r="Y70" s="16"/>
      <c r="Z70" s="32">
        <f>IF(T70=0,0,X70/T70)</f>
        <v>-1</v>
      </c>
    </row>
    <row r="71" spans="1:26" ht="15.75" thickTop="1" x14ac:dyDescent="0.25">
      <c r="A71" s="9"/>
      <c r="B71" s="9"/>
      <c r="C71" s="9"/>
      <c r="D71" s="3"/>
      <c r="E71" s="3"/>
      <c r="F71" s="8"/>
      <c r="G71" s="3"/>
      <c r="H71" s="3"/>
      <c r="I71" s="3"/>
      <c r="J71" s="8"/>
      <c r="K71" s="3"/>
      <c r="L71" s="3"/>
      <c r="M71" s="3"/>
      <c r="N71" s="8"/>
      <c r="P71" s="3"/>
      <c r="Q71" s="3"/>
      <c r="R71" s="8"/>
      <c r="S71" s="3"/>
      <c r="T71" s="3"/>
      <c r="U71" s="3"/>
      <c r="V71" s="8"/>
      <c r="W71" s="3"/>
      <c r="X71" s="3"/>
      <c r="Y71" s="3"/>
      <c r="Z71" s="8"/>
    </row>
    <row r="72" spans="1:26" x14ac:dyDescent="0.25">
      <c r="A72" s="9"/>
      <c r="B72" s="9"/>
      <c r="C72" s="9"/>
      <c r="D72" s="3"/>
      <c r="E72" s="3"/>
      <c r="F72" s="8"/>
      <c r="G72" s="3"/>
      <c r="H72" s="3"/>
      <c r="I72" s="3"/>
      <c r="J72" s="8"/>
      <c r="K72" s="3"/>
      <c r="L72" s="3"/>
      <c r="M72" s="3"/>
      <c r="N72" s="8"/>
      <c r="P72" s="3"/>
      <c r="Q72" s="3"/>
      <c r="R72" s="8"/>
      <c r="S72" s="3"/>
      <c r="T72" s="3"/>
      <c r="U72" s="3"/>
      <c r="V72" s="8"/>
      <c r="W72" s="3"/>
      <c r="X72" s="3"/>
      <c r="Y72" s="3"/>
      <c r="Z72" s="8"/>
    </row>
    <row r="73" spans="1:26" s="23" customFormat="1" ht="15.75" thickBot="1" x14ac:dyDescent="0.3">
      <c r="A73" s="10"/>
      <c r="B73" s="29" t="s">
        <v>5</v>
      </c>
      <c r="C73" s="29"/>
      <c r="D73" s="34">
        <f>SUM(D70:D72)</f>
        <v>0</v>
      </c>
      <c r="E73" s="14"/>
      <c r="F73" s="31">
        <f>IF(D$12=0,0,D73/D$12)</f>
        <v>0</v>
      </c>
      <c r="G73" s="14"/>
      <c r="H73" s="34">
        <f>SUM(H70:H72)</f>
        <v>12184.13905187077</v>
      </c>
      <c r="I73" s="14"/>
      <c r="J73" s="31">
        <f>IF(H$12=0,0,H73/H$12)</f>
        <v>0.10782614782448159</v>
      </c>
      <c r="K73" s="16"/>
      <c r="L73" s="34">
        <f>+D73-H73</f>
        <v>-12184.13905187077</v>
      </c>
      <c r="M73" s="16"/>
      <c r="N73" s="31">
        <f>IF(H73=0,0,L73/H73)</f>
        <v>-1</v>
      </c>
      <c r="O73" s="28"/>
      <c r="P73" s="34">
        <f>SUM(P70:P72)</f>
        <v>0</v>
      </c>
      <c r="Q73" s="14"/>
      <c r="R73" s="31">
        <f>IF(P$12=0,0,P73/P$12)</f>
        <v>0</v>
      </c>
      <c r="S73" s="14"/>
      <c r="T73" s="34">
        <f>SUM(T70:T72)</f>
        <v>99162.460574789206</v>
      </c>
      <c r="U73" s="14"/>
      <c r="V73" s="31">
        <f>IF(T$12=0,0,T73/T$12)</f>
        <v>9.2944823651779751E-2</v>
      </c>
      <c r="W73" s="16"/>
      <c r="X73" s="34">
        <f>+P73-T73</f>
        <v>-99162.460574789206</v>
      </c>
      <c r="Y73" s="16"/>
      <c r="Z73" s="31">
        <f>IF(T73=0,0,X73/T73)</f>
        <v>-1</v>
      </c>
    </row>
    <row r="74" spans="1:26" ht="15.75" thickTop="1" x14ac:dyDescent="0.25">
      <c r="A74" s="9"/>
      <c r="C74" s="9"/>
      <c r="D74" s="18"/>
      <c r="E74" s="18"/>
      <c r="G74" s="18"/>
      <c r="H74" s="18"/>
      <c r="I74" s="18"/>
      <c r="J74" s="42"/>
      <c r="K74" s="18"/>
      <c r="L74" s="18"/>
      <c r="M74" s="18"/>
      <c r="P74" s="18"/>
      <c r="Q74" s="18"/>
      <c r="R74" s="42"/>
      <c r="S74" s="18"/>
      <c r="T74" s="18"/>
      <c r="U74" s="18"/>
      <c r="V74" s="42"/>
      <c r="W74" s="18"/>
      <c r="X74" s="18"/>
    </row>
    <row r="75" spans="1:26" x14ac:dyDescent="0.25">
      <c r="A75" s="9"/>
      <c r="B75" s="59">
        <v>43992.371800081019</v>
      </c>
      <c r="D75" s="18"/>
      <c r="E75" s="18"/>
      <c r="G75" s="18"/>
      <c r="H75" s="18"/>
      <c r="I75" s="18"/>
      <c r="J75" s="42"/>
      <c r="K75" s="18"/>
      <c r="L75" s="18"/>
      <c r="M75" s="18"/>
      <c r="P75" s="18"/>
      <c r="Q75" s="18"/>
      <c r="R75" s="42"/>
      <c r="S75" s="18"/>
      <c r="T75" s="18"/>
      <c r="U75" s="18"/>
      <c r="V75" s="42"/>
      <c r="W75" s="18"/>
      <c r="X75" s="18"/>
    </row>
    <row r="76" spans="1:26" x14ac:dyDescent="0.25">
      <c r="A76" s="9"/>
      <c r="B76" s="56" t="s">
        <v>314</v>
      </c>
      <c r="D76" s="18"/>
      <c r="E76" s="18"/>
      <c r="G76" s="18"/>
      <c r="H76" s="18"/>
      <c r="I76" s="18"/>
      <c r="J76" s="42"/>
      <c r="K76" s="18"/>
      <c r="L76" s="18"/>
      <c r="M76" s="18"/>
      <c r="P76" s="18"/>
      <c r="Q76" s="18"/>
      <c r="R76" s="42"/>
      <c r="S76" s="18"/>
      <c r="T76" s="18"/>
      <c r="U76" s="18"/>
      <c r="V76" s="42"/>
      <c r="W76" s="18"/>
      <c r="X76" s="18"/>
    </row>
    <row r="77" spans="1:26" x14ac:dyDescent="0.25">
      <c r="A77" s="9"/>
      <c r="B77" s="54"/>
      <c r="D77" s="18"/>
      <c r="E77" s="18"/>
      <c r="G77" s="18"/>
      <c r="H77" s="18"/>
      <c r="I77" s="18"/>
      <c r="J77" s="42"/>
      <c r="K77" s="18"/>
      <c r="L77" s="18"/>
      <c r="M77" s="18"/>
      <c r="P77" s="18"/>
      <c r="Q77" s="18"/>
      <c r="R77" s="42"/>
      <c r="S77" s="18"/>
      <c r="T77" s="18"/>
      <c r="U77" s="18"/>
      <c r="V77" s="42"/>
      <c r="W77" s="18"/>
      <c r="X77" s="18"/>
    </row>
    <row r="78" spans="1:26" x14ac:dyDescent="0.25">
      <c r="D78" s="18"/>
      <c r="E78" s="18"/>
      <c r="G78" s="18"/>
      <c r="H78" s="18"/>
      <c r="I78" s="18"/>
      <c r="J78" s="42"/>
      <c r="K78" s="18"/>
      <c r="L78" s="18"/>
      <c r="M78" s="18"/>
      <c r="P78" s="18"/>
      <c r="Q78" s="18"/>
      <c r="R78" s="42"/>
      <c r="S78" s="18"/>
      <c r="T78" s="18"/>
      <c r="U78" s="18"/>
      <c r="V78" s="42"/>
      <c r="W78" s="18"/>
      <c r="X78" s="18"/>
    </row>
  </sheetData>
  <pageMargins left="0.25" right="0.25" top="0.75" bottom="0.75" header="0.3" footer="0.3"/>
  <pageSetup scale="55" fitToWidth="2" orientation="landscape"/>
  <drawing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34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63" t="s">
        <v>13</v>
      </c>
    </row>
    <row r="3" spans="1:26" x14ac:dyDescent="0.25">
      <c r="D3" s="63" t="s">
        <v>296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61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63" t="str">
        <f>CONCATENATE("Period ",RIGHT(202011,2),", ",2020)</f>
        <v>Period 11, 2020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61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4">
        <v>43981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61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51"/>
      <c r="C6" s="51"/>
      <c r="D6" s="23" t="str">
        <f>CONCATENATE("Department ","323", " - ", "Library Copy Center")</f>
        <v>Department 323 - Library Copy Center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57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5" t="s">
        <v>294</v>
      </c>
      <c r="E9" s="15"/>
      <c r="F9" s="38"/>
      <c r="G9" s="15"/>
      <c r="H9" s="15"/>
      <c r="I9" s="15"/>
      <c r="J9" s="46"/>
      <c r="K9" s="15"/>
      <c r="L9" s="15"/>
      <c r="M9" s="15"/>
      <c r="N9" s="38"/>
      <c r="P9" s="15" t="s">
        <v>295</v>
      </c>
      <c r="Q9" s="15"/>
      <c r="R9" s="38"/>
      <c r="S9" s="15"/>
      <c r="T9" s="15"/>
      <c r="U9" s="15"/>
      <c r="V9" s="46"/>
      <c r="W9" s="15"/>
      <c r="X9" s="15"/>
      <c r="Y9" s="15"/>
      <c r="Z9" s="38"/>
    </row>
    <row r="10" spans="1:26" x14ac:dyDescent="0.25">
      <c r="A10" s="10"/>
      <c r="B10" s="55"/>
      <c r="C10" s="10"/>
      <c r="D10" s="43" t="s">
        <v>10</v>
      </c>
      <c r="E10" s="33"/>
      <c r="F10" s="40" t="s">
        <v>15</v>
      </c>
      <c r="G10" s="33"/>
      <c r="H10" s="47" t="s">
        <v>11</v>
      </c>
      <c r="I10" s="33"/>
      <c r="J10" s="45" t="s">
        <v>16</v>
      </c>
      <c r="K10" s="10"/>
      <c r="L10" s="43" t="s">
        <v>12</v>
      </c>
      <c r="M10" s="10"/>
      <c r="N10" s="40" t="s">
        <v>17</v>
      </c>
      <c r="O10" s="10"/>
      <c r="P10" s="53" t="s">
        <v>10</v>
      </c>
      <c r="Q10" s="33"/>
      <c r="R10" s="40" t="s">
        <v>15</v>
      </c>
      <c r="S10" s="33"/>
      <c r="T10" s="47" t="s">
        <v>11</v>
      </c>
      <c r="U10" s="33"/>
      <c r="V10" s="45" t="s">
        <v>16</v>
      </c>
      <c r="W10" s="10"/>
      <c r="X10" s="43" t="s">
        <v>12</v>
      </c>
      <c r="Y10" s="10"/>
      <c r="Z10" s="40" t="s">
        <v>17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x14ac:dyDescent="0.25">
      <c r="A12" s="10"/>
      <c r="B12" s="28" t="s">
        <v>7</v>
      </c>
      <c r="C12" s="10"/>
      <c r="D12" s="4">
        <f>SUM(0)</f>
        <v>0</v>
      </c>
      <c r="E12" s="4"/>
      <c r="F12" s="13"/>
      <c r="G12" s="4"/>
      <c r="H12" s="4">
        <f>SUM(0)</f>
        <v>0</v>
      </c>
      <c r="I12" s="4"/>
      <c r="J12" s="13"/>
      <c r="K12" s="4"/>
      <c r="L12" s="4">
        <f>+D12-H12</f>
        <v>0</v>
      </c>
      <c r="M12" s="4"/>
      <c r="N12" s="13">
        <f>IF(H12=0,0,L12/H12)</f>
        <v>0</v>
      </c>
      <c r="O12" s="10"/>
      <c r="P12" s="4">
        <f>SUM(0)</f>
        <v>0</v>
      </c>
      <c r="Q12" s="4"/>
      <c r="R12" s="13"/>
      <c r="S12" s="4"/>
      <c r="T12" s="4">
        <f>SUM(0)</f>
        <v>0</v>
      </c>
      <c r="U12" s="4"/>
      <c r="V12" s="13"/>
      <c r="W12" s="4"/>
      <c r="X12" s="4">
        <f>+P12-T12</f>
        <v>0</v>
      </c>
      <c r="Y12" s="4"/>
      <c r="Z12" s="13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8" t="s">
        <v>8</v>
      </c>
      <c r="C14" s="10"/>
      <c r="D14" s="4">
        <f>SUM(0)</f>
        <v>0</v>
      </c>
      <c r="E14" s="4"/>
      <c r="F14" s="13">
        <f>IF(D$12=0,0,D14/D$12)</f>
        <v>0</v>
      </c>
      <c r="G14" s="4"/>
      <c r="H14" s="4">
        <f>SUM(0)</f>
        <v>0</v>
      </c>
      <c r="I14" s="4"/>
      <c r="J14" s="13">
        <f>IF(H$12=0,0,H14/H$12)</f>
        <v>0</v>
      </c>
      <c r="K14" s="4"/>
      <c r="L14" s="4">
        <f>+D14-H14</f>
        <v>0</v>
      </c>
      <c r="M14" s="4"/>
      <c r="N14" s="13">
        <f>IF(H14=0,0,L14/H14)</f>
        <v>0</v>
      </c>
      <c r="O14" s="10"/>
      <c r="P14" s="4">
        <f>SUM(0)</f>
        <v>0</v>
      </c>
      <c r="Q14" s="4"/>
      <c r="R14" s="13">
        <f>IF(P$12=0,0,P14/P$12)</f>
        <v>0</v>
      </c>
      <c r="S14" s="4"/>
      <c r="T14" s="4">
        <f>SUM(0)</f>
        <v>0</v>
      </c>
      <c r="U14" s="4"/>
      <c r="V14" s="13">
        <f>IF(T$12=0,0,T14/T$12)</f>
        <v>0</v>
      </c>
      <c r="W14" s="4"/>
      <c r="X14" s="4">
        <f>+P14-T14</f>
        <v>0</v>
      </c>
      <c r="Y14" s="4"/>
      <c r="Z14" s="13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9" t="s">
        <v>6</v>
      </c>
      <c r="C16" s="29"/>
      <c r="D16" s="20">
        <f>D12-D14</f>
        <v>0</v>
      </c>
      <c r="E16" s="14"/>
      <c r="F16" s="22">
        <f>IF(D$12=0,0,D16/D$12)</f>
        <v>0</v>
      </c>
      <c r="G16" s="14"/>
      <c r="H16" s="20">
        <f>H12-H14</f>
        <v>0</v>
      </c>
      <c r="I16" s="14"/>
      <c r="J16" s="22">
        <f>IF(H$12=0,0,H16/H$12)</f>
        <v>0</v>
      </c>
      <c r="K16" s="16"/>
      <c r="L16" s="20">
        <f>+D16-H16</f>
        <v>0</v>
      </c>
      <c r="M16" s="16"/>
      <c r="N16" s="22">
        <f>IF(H16=0,0,L16/H16)</f>
        <v>0</v>
      </c>
      <c r="O16" s="28"/>
      <c r="P16" s="20">
        <f>P12-P14</f>
        <v>0</v>
      </c>
      <c r="Q16" s="14"/>
      <c r="R16" s="22">
        <f>IF(P$12=0,0,P16/P$12)</f>
        <v>0</v>
      </c>
      <c r="S16" s="14"/>
      <c r="T16" s="20">
        <f>T12-T14</f>
        <v>0</v>
      </c>
      <c r="U16" s="14"/>
      <c r="V16" s="22">
        <f>IF(T$12=0,0,T16/T$12)</f>
        <v>0</v>
      </c>
      <c r="W16" s="16"/>
      <c r="X16" s="20">
        <f>+P16-T16</f>
        <v>0</v>
      </c>
      <c r="Y16" s="16"/>
      <c r="Z16" s="22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8" t="s">
        <v>9</v>
      </c>
      <c r="C18" s="10"/>
      <c r="D18" s="21">
        <f>SUM(0)</f>
        <v>0</v>
      </c>
      <c r="E18" s="21"/>
      <c r="F18" s="30">
        <f>IF(D$12=0,0,D18/D$12)</f>
        <v>0</v>
      </c>
      <c r="G18" s="21"/>
      <c r="H18" s="21">
        <f>SUM(0)</f>
        <v>0</v>
      </c>
      <c r="I18" s="21"/>
      <c r="J18" s="30">
        <f>IF(H$12=0,0,H18/H$12)</f>
        <v>0</v>
      </c>
      <c r="K18" s="4"/>
      <c r="L18" s="21">
        <f>+D18-H18</f>
        <v>0</v>
      </c>
      <c r="M18" s="4"/>
      <c r="N18" s="30">
        <f>IF(H18=0,0,L18/H18)</f>
        <v>0</v>
      </c>
      <c r="O18" s="10"/>
      <c r="P18" s="21">
        <f>SUM(0)</f>
        <v>0</v>
      </c>
      <c r="Q18" s="21"/>
      <c r="R18" s="30">
        <f>IF(P$12=0,0,P18/P$12)</f>
        <v>0</v>
      </c>
      <c r="S18" s="21"/>
      <c r="T18" s="21">
        <f>SUM(0)</f>
        <v>0</v>
      </c>
      <c r="U18" s="21"/>
      <c r="V18" s="30">
        <f>IF(T$12=0,0,T18/T$12)</f>
        <v>0</v>
      </c>
      <c r="W18" s="4"/>
      <c r="X18" s="21">
        <f>+P18-T18</f>
        <v>0</v>
      </c>
      <c r="Y18" s="4"/>
      <c r="Z18" s="30">
        <f>IF(T18=0,0,X18/T18)</f>
        <v>0</v>
      </c>
    </row>
    <row r="19" spans="1:26" s="62" customFormat="1" x14ac:dyDescent="0.25">
      <c r="A19" s="36"/>
      <c r="B19" s="36"/>
      <c r="C19" s="36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0</v>
      </c>
      <c r="C20" s="10"/>
      <c r="D20" s="4">
        <f>SUM(0)</f>
        <v>0</v>
      </c>
      <c r="E20" s="4"/>
      <c r="F20" s="13">
        <f>IF(D$12=0,0,D20/D$12)</f>
        <v>0</v>
      </c>
      <c r="G20" s="4"/>
      <c r="H20" s="4">
        <f>SUM(0)</f>
        <v>0</v>
      </c>
      <c r="I20" s="4"/>
      <c r="J20" s="13">
        <f>IF(H$12=0,0,H20/H$12)</f>
        <v>0</v>
      </c>
      <c r="K20" s="4"/>
      <c r="L20" s="4">
        <f>+D20-H20</f>
        <v>0</v>
      </c>
      <c r="M20" s="4"/>
      <c r="N20" s="13">
        <f>IF(H20=0,0,L20/H20)</f>
        <v>0</v>
      </c>
      <c r="O20" s="10"/>
      <c r="P20" s="4">
        <f>SUM(0)</f>
        <v>0</v>
      </c>
      <c r="Q20" s="4"/>
      <c r="R20" s="13">
        <f>IF(P$12=0,0,P20/P$12)</f>
        <v>0</v>
      </c>
      <c r="S20" s="4"/>
      <c r="T20" s="4">
        <f>SUM(0)</f>
        <v>0</v>
      </c>
      <c r="U20" s="4"/>
      <c r="V20" s="13">
        <f>IF(T$12=0,0,T20/T$12)</f>
        <v>0</v>
      </c>
      <c r="W20" s="4"/>
      <c r="X20" s="4">
        <f>+P20-T20</f>
        <v>0</v>
      </c>
      <c r="Y20" s="4"/>
      <c r="Z20" s="13">
        <f>IF(T20=0,0,X20/T20)</f>
        <v>0</v>
      </c>
    </row>
    <row r="21" spans="1:26" x14ac:dyDescent="0.25">
      <c r="A21" s="9"/>
      <c r="B21" s="10"/>
      <c r="C21" s="10"/>
      <c r="D21" s="3"/>
      <c r="E21" s="3"/>
      <c r="F21" s="8"/>
      <c r="G21" s="3"/>
      <c r="H21" s="3"/>
      <c r="I21" s="3"/>
      <c r="J21" s="8"/>
      <c r="K21" s="3"/>
      <c r="L21" s="3"/>
      <c r="M21" s="3"/>
      <c r="N21" s="8"/>
      <c r="O21" s="10"/>
      <c r="P21" s="3"/>
      <c r="Q21" s="3"/>
      <c r="R21" s="8"/>
      <c r="S21" s="3"/>
      <c r="T21" s="3"/>
      <c r="U21" s="3"/>
      <c r="V21" s="8"/>
      <c r="W21" s="3"/>
      <c r="X21" s="3"/>
      <c r="Y21" s="3"/>
      <c r="Z21" s="8"/>
    </row>
    <row r="22" spans="1:26" s="23" customFormat="1" x14ac:dyDescent="0.25">
      <c r="A22" s="10"/>
      <c r="B22" s="29" t="s">
        <v>3</v>
      </c>
      <c r="C22" s="29"/>
      <c r="D22" s="20">
        <f>+D16-D18+D20</f>
        <v>0</v>
      </c>
      <c r="E22" s="14"/>
      <c r="F22" s="22">
        <f>IF(D$12=0,0,D22/D$12)</f>
        <v>0</v>
      </c>
      <c r="G22" s="14"/>
      <c r="H22" s="20">
        <f>+H16-H18+H20</f>
        <v>0</v>
      </c>
      <c r="I22" s="14"/>
      <c r="J22" s="22">
        <f>IF(H$12=0,0,H22/H$12)</f>
        <v>0</v>
      </c>
      <c r="K22" s="16"/>
      <c r="L22" s="20">
        <f>+D22-H22</f>
        <v>0</v>
      </c>
      <c r="M22" s="16"/>
      <c r="N22" s="22">
        <f>IF(H22=0,0,L22/H22)</f>
        <v>0</v>
      </c>
      <c r="O22" s="28"/>
      <c r="P22" s="20">
        <f>+P16-P18+P20</f>
        <v>0</v>
      </c>
      <c r="Q22" s="14"/>
      <c r="R22" s="22">
        <f>IF(P$12=0,0,P22/P$12)</f>
        <v>0</v>
      </c>
      <c r="S22" s="14"/>
      <c r="T22" s="20">
        <f>+T16-T18+T20</f>
        <v>0</v>
      </c>
      <c r="U22" s="14"/>
      <c r="V22" s="22">
        <f>IF(T$12=0,0,T22/T$12)</f>
        <v>0</v>
      </c>
      <c r="W22" s="16"/>
      <c r="X22" s="20">
        <f>+P22-T22</f>
        <v>0</v>
      </c>
      <c r="Y22" s="16"/>
      <c r="Z22" s="22">
        <f>IF(T22=0,0,X22/T22)</f>
        <v>0</v>
      </c>
    </row>
    <row r="23" spans="1:26" x14ac:dyDescent="0.25">
      <c r="A23" s="9"/>
      <c r="B23" s="10"/>
      <c r="C23" s="9"/>
      <c r="D23" s="3"/>
      <c r="E23" s="3"/>
      <c r="F23" s="8"/>
      <c r="G23" s="3"/>
      <c r="H23" s="3"/>
      <c r="I23" s="3"/>
      <c r="J23" s="8"/>
      <c r="K23" s="3"/>
      <c r="L23" s="3"/>
      <c r="M23" s="3"/>
      <c r="N23" s="8"/>
      <c r="P23" s="3"/>
      <c r="Q23" s="3"/>
      <c r="R23" s="8"/>
      <c r="S23" s="3"/>
      <c r="T23" s="3"/>
      <c r="U23" s="3"/>
      <c r="V23" s="8"/>
      <c r="W23" s="3"/>
      <c r="X23" s="3"/>
      <c r="Y23" s="3"/>
      <c r="Z23" s="8"/>
    </row>
    <row r="24" spans="1:26" s="23" customFormat="1" x14ac:dyDescent="0.25">
      <c r="A24" s="52"/>
      <c r="B24" s="10" t="s">
        <v>14</v>
      </c>
      <c r="C24" s="10"/>
      <c r="D24" s="4"/>
      <c r="E24" s="4"/>
      <c r="F24" s="13">
        <f>IF(D$12=0,0,D24/D$12)</f>
        <v>0</v>
      </c>
      <c r="G24" s="4"/>
      <c r="H24" s="4"/>
      <c r="I24" s="4"/>
      <c r="J24" s="13">
        <f>IF(H$12=0,0,H24/H$12)</f>
        <v>0</v>
      </c>
      <c r="K24" s="4"/>
      <c r="L24" s="4">
        <f>+D24-H24</f>
        <v>0</v>
      </c>
      <c r="M24" s="4"/>
      <c r="N24" s="13">
        <f>IF(H24=0,0,L24/H24)</f>
        <v>0</v>
      </c>
      <c r="O24" s="10"/>
      <c r="P24" s="4"/>
      <c r="Q24" s="4"/>
      <c r="R24" s="13">
        <f>IF(P$12=0,0,P24/P$12)</f>
        <v>0</v>
      </c>
      <c r="S24" s="4"/>
      <c r="T24" s="4"/>
      <c r="U24" s="4"/>
      <c r="V24" s="13">
        <f>IF(T$12=0,0,T24/T$12)</f>
        <v>0</v>
      </c>
      <c r="W24" s="4"/>
      <c r="X24" s="4">
        <f>+P24-T24</f>
        <v>0</v>
      </c>
      <c r="Y24" s="4"/>
      <c r="Z24" s="13">
        <f>IF(T24=0,0,X24/T24)</f>
        <v>0</v>
      </c>
    </row>
    <row r="25" spans="1:26" x14ac:dyDescent="0.25">
      <c r="A25" s="9"/>
      <c r="B25" s="10"/>
      <c r="C25" s="10"/>
      <c r="D25" s="3"/>
      <c r="E25" s="3"/>
      <c r="F25" s="8"/>
      <c r="G25" s="3"/>
      <c r="H25" s="3"/>
      <c r="I25" s="3"/>
      <c r="J25" s="8"/>
      <c r="K25" s="3"/>
      <c r="L25" s="3"/>
      <c r="M25" s="3"/>
      <c r="N25" s="8"/>
      <c r="O25" s="10"/>
      <c r="P25" s="3"/>
      <c r="Q25" s="3"/>
      <c r="R25" s="8"/>
      <c r="S25" s="3"/>
      <c r="T25" s="3"/>
      <c r="U25" s="3"/>
      <c r="V25" s="8"/>
      <c r="W25" s="3"/>
      <c r="X25" s="3"/>
      <c r="Y25" s="3"/>
      <c r="Z25" s="8"/>
    </row>
    <row r="26" spans="1:26" s="23" customFormat="1" ht="15.75" thickBot="1" x14ac:dyDescent="0.3">
      <c r="A26" s="10"/>
      <c r="B26" s="29" t="s">
        <v>4</v>
      </c>
      <c r="C26" s="29"/>
      <c r="D26" s="35">
        <f>+D22-D24</f>
        <v>0</v>
      </c>
      <c r="E26" s="14"/>
      <c r="F26" s="32">
        <f>IF(D$12=0,0,D26/D$12)</f>
        <v>0</v>
      </c>
      <c r="G26" s="14"/>
      <c r="H26" s="35">
        <f>+H22-H24</f>
        <v>0</v>
      </c>
      <c r="I26" s="14"/>
      <c r="J26" s="32">
        <f>IF(H$12=0,0,H26/H$12)</f>
        <v>0</v>
      </c>
      <c r="K26" s="16"/>
      <c r="L26" s="35">
        <f>D26-H26</f>
        <v>0</v>
      </c>
      <c r="M26" s="16"/>
      <c r="N26" s="32">
        <f>IF(H26=0,0,L26/H26)</f>
        <v>0</v>
      </c>
      <c r="O26" s="28"/>
      <c r="P26" s="35">
        <f>+P22-P24</f>
        <v>0</v>
      </c>
      <c r="Q26" s="14"/>
      <c r="R26" s="32">
        <f>IF(P$12=0,0,P26/P$12)</f>
        <v>0</v>
      </c>
      <c r="S26" s="14"/>
      <c r="T26" s="35">
        <f>+T22-T24</f>
        <v>0</v>
      </c>
      <c r="U26" s="14"/>
      <c r="V26" s="32">
        <f>IF(T$12=0,0,T26/T$12)</f>
        <v>0</v>
      </c>
      <c r="W26" s="16"/>
      <c r="X26" s="35">
        <f>P26-T26</f>
        <v>0</v>
      </c>
      <c r="Y26" s="16"/>
      <c r="Z26" s="32">
        <f>IF(T26=0,0,X26/T26)</f>
        <v>0</v>
      </c>
    </row>
    <row r="27" spans="1:26" ht="15.75" thickTop="1" x14ac:dyDescent="0.25">
      <c r="A27" s="9"/>
      <c r="B27" s="9"/>
      <c r="C27" s="9"/>
      <c r="D27" s="3"/>
      <c r="E27" s="3"/>
      <c r="F27" s="8"/>
      <c r="G27" s="3"/>
      <c r="H27" s="3"/>
      <c r="I27" s="3"/>
      <c r="J27" s="8"/>
      <c r="K27" s="3"/>
      <c r="L27" s="3"/>
      <c r="M27" s="3"/>
      <c r="N27" s="8"/>
      <c r="P27" s="3"/>
      <c r="Q27" s="3"/>
      <c r="R27" s="8"/>
      <c r="S27" s="3"/>
      <c r="T27" s="3"/>
      <c r="U27" s="3"/>
      <c r="V27" s="8"/>
      <c r="W27" s="3"/>
      <c r="X27" s="3"/>
      <c r="Y27" s="3"/>
      <c r="Z27" s="8"/>
    </row>
    <row r="28" spans="1:26" x14ac:dyDescent="0.25">
      <c r="A28" s="9"/>
      <c r="B28" s="9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ht="15.75" thickBot="1" x14ac:dyDescent="0.3">
      <c r="A29" s="10"/>
      <c r="B29" s="29" t="s">
        <v>5</v>
      </c>
      <c r="C29" s="29"/>
      <c r="D29" s="34">
        <f>SUM(D26:D28)</f>
        <v>0</v>
      </c>
      <c r="E29" s="14"/>
      <c r="F29" s="31">
        <f>IF(D$12=0,0,D29/D$12)</f>
        <v>0</v>
      </c>
      <c r="G29" s="14"/>
      <c r="H29" s="34">
        <f>SUM(H26:H28)</f>
        <v>0</v>
      </c>
      <c r="I29" s="14"/>
      <c r="J29" s="31">
        <f>IF(H$12=0,0,H29/H$12)</f>
        <v>0</v>
      </c>
      <c r="K29" s="16"/>
      <c r="L29" s="34">
        <f>+D29-H29</f>
        <v>0</v>
      </c>
      <c r="M29" s="16"/>
      <c r="N29" s="31">
        <f>IF(H29=0,0,L29/H29)</f>
        <v>0</v>
      </c>
      <c r="O29" s="28"/>
      <c r="P29" s="34">
        <f>SUM(P26:P28)</f>
        <v>0</v>
      </c>
      <c r="Q29" s="14"/>
      <c r="R29" s="31">
        <f>IF(P$12=0,0,P29/P$12)</f>
        <v>0</v>
      </c>
      <c r="S29" s="14"/>
      <c r="T29" s="34">
        <f>SUM(T26:T28)</f>
        <v>0</v>
      </c>
      <c r="U29" s="14"/>
      <c r="V29" s="31">
        <f>IF(T$12=0,0,T29/T$12)</f>
        <v>0</v>
      </c>
      <c r="W29" s="16"/>
      <c r="X29" s="34">
        <f>+P29-T29</f>
        <v>0</v>
      </c>
      <c r="Y29" s="16"/>
      <c r="Z29" s="31">
        <f>IF(T29=0,0,X29/T29)</f>
        <v>0</v>
      </c>
    </row>
    <row r="30" spans="1:26" ht="15.75" thickTop="1" x14ac:dyDescent="0.25">
      <c r="A30" s="9"/>
      <c r="C30" s="9"/>
      <c r="D30" s="18"/>
      <c r="E30" s="18"/>
      <c r="G30" s="18"/>
      <c r="H30" s="18"/>
      <c r="I30" s="18"/>
      <c r="J30" s="42"/>
      <c r="K30" s="18"/>
      <c r="L30" s="18"/>
      <c r="M30" s="18"/>
      <c r="P30" s="18"/>
      <c r="Q30" s="18"/>
      <c r="R30" s="42"/>
      <c r="S30" s="18"/>
      <c r="T30" s="18"/>
      <c r="U30" s="18"/>
      <c r="V30" s="42"/>
      <c r="W30" s="18"/>
      <c r="X30" s="18"/>
    </row>
    <row r="31" spans="1:26" x14ac:dyDescent="0.25">
      <c r="A31" s="9"/>
      <c r="B31" s="59">
        <v>43992.371850844909</v>
      </c>
      <c r="D31" s="18"/>
      <c r="E31" s="18"/>
      <c r="G31" s="18"/>
      <c r="H31" s="18"/>
      <c r="I31" s="18"/>
      <c r="J31" s="42"/>
      <c r="K31" s="18"/>
      <c r="L31" s="18"/>
      <c r="M31" s="18"/>
      <c r="P31" s="18"/>
      <c r="Q31" s="18"/>
      <c r="R31" s="42"/>
      <c r="S31" s="18"/>
      <c r="T31" s="18"/>
      <c r="U31" s="18"/>
      <c r="V31" s="42"/>
      <c r="W31" s="18"/>
      <c r="X31" s="18"/>
    </row>
    <row r="32" spans="1:26" x14ac:dyDescent="0.25">
      <c r="A32" s="9"/>
      <c r="B32" s="56" t="s">
        <v>314</v>
      </c>
      <c r="D32" s="18"/>
      <c r="E32" s="18"/>
      <c r="G32" s="18"/>
      <c r="H32" s="18"/>
      <c r="I32" s="18"/>
      <c r="J32" s="42"/>
      <c r="K32" s="18"/>
      <c r="L32" s="18"/>
      <c r="M32" s="18"/>
      <c r="P32" s="18"/>
      <c r="Q32" s="18"/>
      <c r="R32" s="42"/>
      <c r="S32" s="18"/>
      <c r="T32" s="18"/>
      <c r="U32" s="18"/>
      <c r="V32" s="42"/>
      <c r="W32" s="18"/>
      <c r="X32" s="18"/>
    </row>
    <row r="33" spans="1:24" x14ac:dyDescent="0.25">
      <c r="A33" s="9"/>
      <c r="B33" s="54"/>
      <c r="D33" s="18"/>
      <c r="E33" s="18"/>
      <c r="G33" s="18"/>
      <c r="H33" s="18"/>
      <c r="I33" s="18"/>
      <c r="J33" s="42"/>
      <c r="K33" s="18"/>
      <c r="L33" s="18"/>
      <c r="M33" s="18"/>
      <c r="P33" s="18"/>
      <c r="Q33" s="18"/>
      <c r="R33" s="42"/>
      <c r="S33" s="18"/>
      <c r="T33" s="18"/>
      <c r="U33" s="18"/>
      <c r="V33" s="42"/>
      <c r="W33" s="18"/>
      <c r="X33" s="18"/>
    </row>
    <row r="34" spans="1:24" x14ac:dyDescent="0.25">
      <c r="D34" s="18"/>
      <c r="E34" s="18"/>
      <c r="G34" s="18"/>
      <c r="H34" s="18"/>
      <c r="I34" s="18"/>
      <c r="J34" s="42"/>
      <c r="K34" s="18"/>
      <c r="L34" s="18"/>
      <c r="M34" s="18"/>
      <c r="P34" s="18"/>
      <c r="Q34" s="18"/>
      <c r="R34" s="42"/>
      <c r="S34" s="18"/>
      <c r="T34" s="18"/>
      <c r="U34" s="18"/>
      <c r="V34" s="42"/>
      <c r="W34" s="18"/>
      <c r="X34" s="18"/>
    </row>
  </sheetData>
  <pageMargins left="0.25" right="0.25" top="0.75" bottom="0.75" header="0.3" footer="0.3"/>
  <pageSetup scale="55" fitToWidth="2" orientation="landscape"/>
  <drawing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4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63" t="s">
        <v>13</v>
      </c>
    </row>
    <row r="3" spans="1:26" x14ac:dyDescent="0.25">
      <c r="D3" s="63" t="s">
        <v>296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61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63" t="str">
        <f>CONCATENATE("Period ",RIGHT(202011,2),", ",2020)</f>
        <v>Period 11, 2020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61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4">
        <v>43981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61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51"/>
      <c r="C6" s="51"/>
      <c r="D6" s="23" t="str">
        <f>CONCATENATE("Department ","327", " - ", "C-Store Vending Machine(s)")</f>
        <v>Department 327 - C-Store Vending Machine(s)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57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5" t="s">
        <v>294</v>
      </c>
      <c r="E9" s="15"/>
      <c r="F9" s="38"/>
      <c r="G9" s="15"/>
      <c r="H9" s="15"/>
      <c r="I9" s="15"/>
      <c r="J9" s="46"/>
      <c r="K9" s="15"/>
      <c r="L9" s="15"/>
      <c r="M9" s="15"/>
      <c r="N9" s="38"/>
      <c r="P9" s="15" t="s">
        <v>295</v>
      </c>
      <c r="Q9" s="15"/>
      <c r="R9" s="38"/>
      <c r="S9" s="15"/>
      <c r="T9" s="15"/>
      <c r="U9" s="15"/>
      <c r="V9" s="46"/>
      <c r="W9" s="15"/>
      <c r="X9" s="15"/>
      <c r="Y9" s="15"/>
      <c r="Z9" s="38"/>
    </row>
    <row r="10" spans="1:26" x14ac:dyDescent="0.25">
      <c r="A10" s="10"/>
      <c r="B10" s="55"/>
      <c r="C10" s="10"/>
      <c r="D10" s="43" t="s">
        <v>10</v>
      </c>
      <c r="E10" s="33"/>
      <c r="F10" s="40" t="s">
        <v>15</v>
      </c>
      <c r="G10" s="33"/>
      <c r="H10" s="47" t="s">
        <v>11</v>
      </c>
      <c r="I10" s="33"/>
      <c r="J10" s="45" t="s">
        <v>16</v>
      </c>
      <c r="K10" s="10"/>
      <c r="L10" s="43" t="s">
        <v>12</v>
      </c>
      <c r="M10" s="10"/>
      <c r="N10" s="40" t="s">
        <v>17</v>
      </c>
      <c r="O10" s="10"/>
      <c r="P10" s="53" t="s">
        <v>10</v>
      </c>
      <c r="Q10" s="33"/>
      <c r="R10" s="40" t="s">
        <v>15</v>
      </c>
      <c r="S10" s="33"/>
      <c r="T10" s="47" t="s">
        <v>11</v>
      </c>
      <c r="U10" s="33"/>
      <c r="V10" s="45" t="s">
        <v>16</v>
      </c>
      <c r="W10" s="10"/>
      <c r="X10" s="43" t="s">
        <v>12</v>
      </c>
      <c r="Y10" s="10"/>
      <c r="Z10" s="40" t="s">
        <v>17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0</v>
      </c>
      <c r="E12" s="4"/>
      <c r="F12" s="13"/>
      <c r="G12" s="4"/>
      <c r="H12" s="4">
        <f>SUM(OSRRefH13x_0)</f>
        <v>1647</v>
      </c>
      <c r="I12" s="4"/>
      <c r="J12" s="13"/>
      <c r="K12" s="4"/>
      <c r="L12" s="4">
        <f t="shared" ref="L12:L14" si="0">+D12-H12</f>
        <v>-1647</v>
      </c>
      <c r="M12" s="4"/>
      <c r="N12" s="13">
        <f t="shared" ref="N12:N14" si="1">IF(H12=0,0,L12/H12)</f>
        <v>-1</v>
      </c>
      <c r="O12" s="10"/>
      <c r="P12" s="4">
        <f>SUM(OSRRefP13x_0)</f>
        <v>12812.5</v>
      </c>
      <c r="Q12" s="4"/>
      <c r="R12" s="13"/>
      <c r="S12" s="4"/>
      <c r="T12" s="4">
        <f>SUM(OSRRefT13x_0)</f>
        <v>16258</v>
      </c>
      <c r="U12" s="4"/>
      <c r="V12" s="13"/>
      <c r="W12" s="4"/>
      <c r="X12" s="4">
        <f t="shared" ref="X12:X14" si="2">+P12-T12</f>
        <v>-3445.5</v>
      </c>
      <c r="Y12" s="4"/>
      <c r="Z12" s="13">
        <f t="shared" ref="Z12:Z14" si="3">IF(T12=0,0,X12/T12)</f>
        <v>-0.21192643621601673</v>
      </c>
    </row>
    <row r="13" spans="1:26" s="24" customFormat="1" hidden="1" outlineLevel="1" x14ac:dyDescent="0.25">
      <c r="A13" s="44"/>
      <c r="B13" s="11" t="str">
        <f>CONCATENATE("          ", "4100", " - ", "NON-TAXABLE SALES")</f>
        <v xml:space="preserve">          4100 - NON-TAXABLE SALES</v>
      </c>
      <c r="C13" s="11"/>
      <c r="D13" s="2">
        <f t="shared" ref="D13:D14" si="4">0</f>
        <v>0</v>
      </c>
      <c r="E13" s="2"/>
      <c r="F13" s="19"/>
      <c r="G13" s="2"/>
      <c r="H13" s="2">
        <v>1647</v>
      </c>
      <c r="I13" s="2"/>
      <c r="J13" s="19"/>
      <c r="K13" s="2"/>
      <c r="L13" s="2">
        <f t="shared" si="0"/>
        <v>-1647</v>
      </c>
      <c r="M13" s="2"/>
      <c r="N13" s="19">
        <f t="shared" si="1"/>
        <v>-1</v>
      </c>
      <c r="O13" s="11"/>
      <c r="P13" s="2">
        <f>0</f>
        <v>0</v>
      </c>
      <c r="Q13" s="2"/>
      <c r="R13" s="19"/>
      <c r="S13" s="2"/>
      <c r="T13" s="2">
        <v>16258</v>
      </c>
      <c r="U13" s="2"/>
      <c r="V13" s="19"/>
      <c r="W13" s="2"/>
      <c r="X13" s="2">
        <f t="shared" si="2"/>
        <v>-16258</v>
      </c>
      <c r="Y13" s="2"/>
      <c r="Z13" s="19">
        <f t="shared" si="3"/>
        <v>-1</v>
      </c>
    </row>
    <row r="14" spans="1:26" s="24" customFormat="1" hidden="1" outlineLevel="1" x14ac:dyDescent="0.25">
      <c r="A14" s="44"/>
      <c r="B14" s="11" t="str">
        <f>CONCATENATE("          ", "4153", " - ", "NON-TAXABLE SALES-FOOD")</f>
        <v xml:space="preserve">          4153 - NON-TAXABLE SALES-FOOD</v>
      </c>
      <c r="C14" s="11"/>
      <c r="D14" s="2">
        <f t="shared" si="4"/>
        <v>0</v>
      </c>
      <c r="E14" s="2"/>
      <c r="F14" s="19"/>
      <c r="G14" s="2"/>
      <c r="H14" s="2"/>
      <c r="I14" s="2"/>
      <c r="J14" s="19"/>
      <c r="K14" s="2"/>
      <c r="L14" s="2">
        <f t="shared" si="0"/>
        <v>0</v>
      </c>
      <c r="M14" s="2"/>
      <c r="N14" s="19">
        <f t="shared" si="1"/>
        <v>0</v>
      </c>
      <c r="O14" s="11"/>
      <c r="P14" s="2">
        <f>--12812.5</f>
        <v>12812.5</v>
      </c>
      <c r="Q14" s="2"/>
      <c r="R14" s="19"/>
      <c r="S14" s="2"/>
      <c r="T14" s="2"/>
      <c r="U14" s="2"/>
      <c r="V14" s="19"/>
      <c r="W14" s="2"/>
      <c r="X14" s="2">
        <f t="shared" si="2"/>
        <v>12812.5</v>
      </c>
      <c r="Y14" s="2"/>
      <c r="Z14" s="19">
        <f t="shared" si="3"/>
        <v>0</v>
      </c>
    </row>
    <row r="15" spans="1:26" x14ac:dyDescent="0.25">
      <c r="A15" s="9"/>
      <c r="B15" s="10"/>
      <c r="C15" s="9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collapsed="1" x14ac:dyDescent="0.25">
      <c r="A16" s="10"/>
      <c r="B16" s="28" t="s">
        <v>8</v>
      </c>
      <c r="C16" s="10"/>
      <c r="D16" s="4">
        <f>SUM(OSRRefD16x_0)</f>
        <v>0</v>
      </c>
      <c r="E16" s="4"/>
      <c r="F16" s="13">
        <f t="shared" ref="F16:F18" si="5">IF(D$12=0,0,D16/D$12)</f>
        <v>0</v>
      </c>
      <c r="G16" s="4"/>
      <c r="H16" s="4">
        <f>SUM(OSRRefH16x_0)</f>
        <v>824</v>
      </c>
      <c r="I16" s="4"/>
      <c r="J16" s="13">
        <f t="shared" ref="J16:J18" si="6">IF(H$12=0,0,H16/H$12)</f>
        <v>0.50030358227079541</v>
      </c>
      <c r="K16" s="4"/>
      <c r="L16" s="4">
        <f t="shared" ref="L16:L18" si="7">+D16-H16</f>
        <v>-824</v>
      </c>
      <c r="M16" s="4"/>
      <c r="N16" s="13">
        <f t="shared" ref="N16:N18" si="8">IF(H16=0,0,L16/H16)</f>
        <v>-1</v>
      </c>
      <c r="O16" s="10"/>
      <c r="P16" s="4">
        <f>SUM(OSRRefP16x_0)</f>
        <v>3256.12</v>
      </c>
      <c r="Q16" s="4"/>
      <c r="R16" s="13">
        <f t="shared" ref="R16:R18" si="9">IF(P$12=0,0,P16/P$12)</f>
        <v>0.25413619512195124</v>
      </c>
      <c r="S16" s="4"/>
      <c r="T16" s="4">
        <f>SUM(OSRRefT16x_0)</f>
        <v>8129</v>
      </c>
      <c r="U16" s="4"/>
      <c r="V16" s="13">
        <f t="shared" ref="V16:V18" si="10">IF(T$12=0,0,T16/T$12)</f>
        <v>0.5</v>
      </c>
      <c r="W16" s="4"/>
      <c r="X16" s="4">
        <f t="shared" ref="X16:X18" si="11">+P16-T16</f>
        <v>-4872.88</v>
      </c>
      <c r="Y16" s="4"/>
      <c r="Z16" s="13">
        <f t="shared" ref="Z16:Z18" si="12">IF(T16=0,0,X16/T16)</f>
        <v>-0.59944396604748429</v>
      </c>
    </row>
    <row r="17" spans="1:26" s="24" customFormat="1" hidden="1" outlineLevel="1" x14ac:dyDescent="0.25">
      <c r="A17" s="44"/>
      <c r="B17" s="11" t="str">
        <f>CONCATENATE("          ", "5000", " - ", "PURCHASES @ COST")</f>
        <v xml:space="preserve">          5000 - PURCHASES @ COST</v>
      </c>
      <c r="C17" s="11"/>
      <c r="D17" s="2"/>
      <c r="E17" s="2"/>
      <c r="F17" s="19">
        <f t="shared" si="5"/>
        <v>0</v>
      </c>
      <c r="G17" s="2"/>
      <c r="H17" s="2">
        <v>824</v>
      </c>
      <c r="I17" s="2"/>
      <c r="J17" s="19">
        <f t="shared" si="6"/>
        <v>0.50030358227079541</v>
      </c>
      <c r="K17" s="2"/>
      <c r="L17" s="2">
        <f t="shared" si="7"/>
        <v>-824</v>
      </c>
      <c r="M17" s="2"/>
      <c r="N17" s="19">
        <f t="shared" si="8"/>
        <v>-1</v>
      </c>
      <c r="O17" s="11"/>
      <c r="P17" s="2"/>
      <c r="Q17" s="2"/>
      <c r="R17" s="19">
        <f t="shared" si="9"/>
        <v>0</v>
      </c>
      <c r="S17" s="2"/>
      <c r="T17" s="2">
        <v>8129</v>
      </c>
      <c r="U17" s="2"/>
      <c r="V17" s="19">
        <f t="shared" si="10"/>
        <v>0.5</v>
      </c>
      <c r="W17" s="2"/>
      <c r="X17" s="2">
        <f t="shared" si="11"/>
        <v>-8129</v>
      </c>
      <c r="Y17" s="2"/>
      <c r="Z17" s="19">
        <f t="shared" si="12"/>
        <v>-1</v>
      </c>
    </row>
    <row r="18" spans="1:26" s="24" customFormat="1" hidden="1" outlineLevel="1" x14ac:dyDescent="0.25">
      <c r="A18" s="44"/>
      <c r="B18" s="11" t="str">
        <f>CONCATENATE("          ", "5059", " - ", "PURCHASES @ COST-FOOD")</f>
        <v xml:space="preserve">          5059 - PURCHASES @ COST-FOOD</v>
      </c>
      <c r="C18" s="11"/>
      <c r="D18" s="2"/>
      <c r="E18" s="2"/>
      <c r="F18" s="19">
        <f t="shared" si="5"/>
        <v>0</v>
      </c>
      <c r="G18" s="2"/>
      <c r="H18" s="2"/>
      <c r="I18" s="2"/>
      <c r="J18" s="19">
        <f t="shared" si="6"/>
        <v>0</v>
      </c>
      <c r="K18" s="2"/>
      <c r="L18" s="2">
        <f t="shared" si="7"/>
        <v>0</v>
      </c>
      <c r="M18" s="2"/>
      <c r="N18" s="19">
        <f t="shared" si="8"/>
        <v>0</v>
      </c>
      <c r="O18" s="11"/>
      <c r="P18" s="2">
        <v>3256.12</v>
      </c>
      <c r="Q18" s="2"/>
      <c r="R18" s="19">
        <f t="shared" si="9"/>
        <v>0.25413619512195124</v>
      </c>
      <c r="S18" s="2"/>
      <c r="T18" s="2"/>
      <c r="U18" s="2"/>
      <c r="V18" s="19">
        <f t="shared" si="10"/>
        <v>0</v>
      </c>
      <c r="W18" s="2"/>
      <c r="X18" s="2">
        <f t="shared" si="11"/>
        <v>3256.12</v>
      </c>
      <c r="Y18" s="2"/>
      <c r="Z18" s="19">
        <f t="shared" si="12"/>
        <v>0</v>
      </c>
    </row>
    <row r="19" spans="1:26" x14ac:dyDescent="0.25">
      <c r="A19" s="9"/>
      <c r="B19" s="10"/>
      <c r="C19" s="10"/>
      <c r="D19" s="3"/>
      <c r="E19" s="3"/>
      <c r="F19" s="8"/>
      <c r="G19" s="3"/>
      <c r="H19" s="3"/>
      <c r="I19" s="3"/>
      <c r="J19" s="8"/>
      <c r="K19" s="3"/>
      <c r="L19" s="3"/>
      <c r="M19" s="3"/>
      <c r="N19" s="8"/>
      <c r="O19" s="10"/>
      <c r="P19" s="3"/>
      <c r="Q19" s="3"/>
      <c r="R19" s="8"/>
      <c r="S19" s="3"/>
      <c r="T19" s="3"/>
      <c r="U19" s="3"/>
      <c r="V19" s="8"/>
      <c r="W19" s="3"/>
      <c r="X19" s="3"/>
      <c r="Y19" s="3"/>
      <c r="Z19" s="8"/>
    </row>
    <row r="20" spans="1:26" s="23" customFormat="1" x14ac:dyDescent="0.25">
      <c r="A20" s="10"/>
      <c r="B20" s="29" t="s">
        <v>6</v>
      </c>
      <c r="C20" s="29"/>
      <c r="D20" s="20">
        <f>D12-D16</f>
        <v>0</v>
      </c>
      <c r="E20" s="14"/>
      <c r="F20" s="22">
        <f>IF(D$12=0,0,D20/D$12)</f>
        <v>0</v>
      </c>
      <c r="G20" s="14"/>
      <c r="H20" s="20">
        <f>H12-H16</f>
        <v>823</v>
      </c>
      <c r="I20" s="14"/>
      <c r="J20" s="22">
        <f>IF(H$12=0,0,H20/H$12)</f>
        <v>0.49969641772920459</v>
      </c>
      <c r="K20" s="16"/>
      <c r="L20" s="20">
        <f>+D20-H20</f>
        <v>-823</v>
      </c>
      <c r="M20" s="16"/>
      <c r="N20" s="22">
        <f>IF(H20=0,0,L20/H20)</f>
        <v>-1</v>
      </c>
      <c r="O20" s="28"/>
      <c r="P20" s="20">
        <f>P12-P16</f>
        <v>9556.380000000001</v>
      </c>
      <c r="Q20" s="14"/>
      <c r="R20" s="22">
        <f>IF(P$12=0,0,P20/P$12)</f>
        <v>0.74586380487804882</v>
      </c>
      <c r="S20" s="14"/>
      <c r="T20" s="20">
        <f>T12-T16</f>
        <v>8129</v>
      </c>
      <c r="U20" s="14"/>
      <c r="V20" s="22">
        <f>IF(T$12=0,0,T20/T$12)</f>
        <v>0.5</v>
      </c>
      <c r="W20" s="16"/>
      <c r="X20" s="20">
        <f>+P20-T20</f>
        <v>1427.380000000001</v>
      </c>
      <c r="Y20" s="16"/>
      <c r="Z20" s="22">
        <f>IF(T20=0,0,X20/T20)</f>
        <v>0.17559109361545097</v>
      </c>
    </row>
    <row r="21" spans="1:26" x14ac:dyDescent="0.25">
      <c r="A21" s="9"/>
      <c r="B21" s="10"/>
      <c r="C21" s="9"/>
      <c r="D21" s="1"/>
      <c r="E21" s="1"/>
      <c r="F21" s="5"/>
      <c r="G21" s="1"/>
      <c r="H21" s="1"/>
      <c r="I21" s="1"/>
      <c r="J21" s="5"/>
      <c r="K21" s="1"/>
      <c r="L21" s="1"/>
      <c r="M21" s="1"/>
      <c r="N21" s="5"/>
      <c r="O21" s="36"/>
      <c r="P21" s="1"/>
      <c r="Q21" s="1"/>
      <c r="R21" s="5"/>
      <c r="S21" s="1"/>
      <c r="T21" s="1"/>
      <c r="U21" s="1"/>
      <c r="V21" s="5"/>
      <c r="W21" s="1"/>
      <c r="X21" s="1"/>
      <c r="Y21" s="1"/>
      <c r="Z21" s="5"/>
    </row>
    <row r="22" spans="1:26" s="23" customFormat="1" x14ac:dyDescent="0.25">
      <c r="A22" s="10"/>
      <c r="B22" s="28" t="s">
        <v>9</v>
      </c>
      <c r="C22" s="10"/>
      <c r="D22" s="21">
        <f>SUM(OSRRefD22x_0)</f>
        <v>0</v>
      </c>
      <c r="E22" s="21"/>
      <c r="F22" s="30">
        <f t="shared" ref="F22:F28" si="13">IF(D$12=0,0,D22/D$12)</f>
        <v>0</v>
      </c>
      <c r="G22" s="21"/>
      <c r="H22" s="21">
        <f>SUM(OSRRefH22x_0)</f>
        <v>142</v>
      </c>
      <c r="I22" s="21"/>
      <c r="J22" s="30">
        <f t="shared" ref="J22:J28" si="14">IF(H$12=0,0,H22/H$12)</f>
        <v>8.6217364905889493E-2</v>
      </c>
      <c r="K22" s="4"/>
      <c r="L22" s="21">
        <f t="shared" ref="L22:L28" si="15">+D22-H22</f>
        <v>-142</v>
      </c>
      <c r="M22" s="4"/>
      <c r="N22" s="30">
        <f t="shared" ref="N22:N28" si="16">IF(H22=0,0,L22/H22)</f>
        <v>-1</v>
      </c>
      <c r="O22" s="10"/>
      <c r="P22" s="21">
        <f>SUM(OSRRefP22x_0)</f>
        <v>1569.51</v>
      </c>
      <c r="Q22" s="21"/>
      <c r="R22" s="30">
        <f t="shared" ref="R22:R28" si="17">IF(P$12=0,0,P22/P$12)</f>
        <v>0.12249834146341464</v>
      </c>
      <c r="S22" s="21"/>
      <c r="T22" s="21">
        <f>SUM(OSRRefT22x_0)</f>
        <v>1398</v>
      </c>
      <c r="U22" s="21"/>
      <c r="V22" s="30">
        <f t="shared" ref="V22:V28" si="18">IF(T$12=0,0,T22/T$12)</f>
        <v>8.5988436462049456E-2</v>
      </c>
      <c r="W22" s="4"/>
      <c r="X22" s="21">
        <f t="shared" ref="X22:X28" si="19">+P22-T22</f>
        <v>171.51</v>
      </c>
      <c r="Y22" s="4"/>
      <c r="Z22" s="30">
        <f t="shared" ref="Z22:Z28" si="20">IF(T22=0,0,X22/T22)</f>
        <v>0.12268240343347639</v>
      </c>
    </row>
    <row r="23" spans="1:26" s="27" customFormat="1" outlineLevel="1" collapsed="1" x14ac:dyDescent="0.25">
      <c r="A23" s="25"/>
      <c r="B23" s="12" t="str">
        <f>CONCATENATE("     ","Bank/card Fees                                    ")</f>
        <v xml:space="preserve">     Bank/card Fees                                    </v>
      </c>
      <c r="C23" s="12"/>
      <c r="D23" s="1">
        <f>SUM(OSRRefD22_0x_0)</f>
        <v>0</v>
      </c>
      <c r="E23" s="1"/>
      <c r="F23" s="5">
        <f t="shared" si="13"/>
        <v>0</v>
      </c>
      <c r="G23" s="1"/>
      <c r="H23" s="1">
        <f>SUM(OSRRefH22_0x_0)</f>
        <v>142</v>
      </c>
      <c r="I23" s="1"/>
      <c r="J23" s="5">
        <f t="shared" si="14"/>
        <v>8.6217364905889493E-2</v>
      </c>
      <c r="K23" s="1"/>
      <c r="L23" s="1">
        <f t="shared" si="15"/>
        <v>-142</v>
      </c>
      <c r="M23" s="1"/>
      <c r="N23" s="5">
        <f t="shared" si="16"/>
        <v>-1</v>
      </c>
      <c r="O23" s="12"/>
      <c r="P23" s="1">
        <f>SUM(OSRRefP22_0x_0)</f>
        <v>1249.06</v>
      </c>
      <c r="Q23" s="1"/>
      <c r="R23" s="5">
        <f t="shared" si="17"/>
        <v>9.7487609756097562E-2</v>
      </c>
      <c r="S23" s="1"/>
      <c r="T23" s="1">
        <f>SUM(OSRRefT22_0x_0)</f>
        <v>1398</v>
      </c>
      <c r="U23" s="1"/>
      <c r="V23" s="5">
        <f t="shared" si="18"/>
        <v>8.5988436462049456E-2</v>
      </c>
      <c r="W23" s="1"/>
      <c r="X23" s="1">
        <f t="shared" si="19"/>
        <v>-148.94000000000005</v>
      </c>
      <c r="Y23" s="1"/>
      <c r="Z23" s="5">
        <f t="shared" si="20"/>
        <v>-0.10653791130185984</v>
      </c>
    </row>
    <row r="24" spans="1:26" s="24" customFormat="1" hidden="1" outlineLevel="2" x14ac:dyDescent="0.25">
      <c r="A24" s="26"/>
      <c r="B24" s="11" t="str">
        <f>CONCATENATE("          ", "6381", " - ", "BANK/CREDIT CARD FEES")</f>
        <v xml:space="preserve">          6381 - BANK/CREDIT CARD FEES</v>
      </c>
      <c r="C24" s="11"/>
      <c r="D24" s="7"/>
      <c r="E24" s="2"/>
      <c r="F24" s="6">
        <f t="shared" si="13"/>
        <v>0</v>
      </c>
      <c r="G24" s="2"/>
      <c r="H24" s="7">
        <v>142</v>
      </c>
      <c r="I24" s="2"/>
      <c r="J24" s="6">
        <f t="shared" si="14"/>
        <v>8.6217364905889493E-2</v>
      </c>
      <c r="K24" s="2"/>
      <c r="L24" s="7">
        <f t="shared" si="15"/>
        <v>-142</v>
      </c>
      <c r="M24" s="2"/>
      <c r="N24" s="6">
        <f t="shared" si="16"/>
        <v>-1</v>
      </c>
      <c r="O24" s="11"/>
      <c r="P24" s="7">
        <v>1249.06</v>
      </c>
      <c r="Q24" s="2"/>
      <c r="R24" s="6">
        <f t="shared" si="17"/>
        <v>9.7487609756097562E-2</v>
      </c>
      <c r="S24" s="2"/>
      <c r="T24" s="7">
        <v>1398</v>
      </c>
      <c r="U24" s="2"/>
      <c r="V24" s="6">
        <f t="shared" si="18"/>
        <v>8.5988436462049456E-2</v>
      </c>
      <c r="W24" s="2"/>
      <c r="X24" s="7">
        <f t="shared" si="19"/>
        <v>-148.94000000000005</v>
      </c>
      <c r="Y24" s="2"/>
      <c r="Z24" s="6">
        <f t="shared" si="20"/>
        <v>-0.10653791130185984</v>
      </c>
    </row>
    <row r="25" spans="1:26" s="27" customFormat="1" outlineLevel="1" collapsed="1" x14ac:dyDescent="0.25">
      <c r="A25" s="25"/>
      <c r="B25" s="12" t="str">
        <f>CONCATENATE("     ","General                                           ")</f>
        <v xml:space="preserve">     General                                           </v>
      </c>
      <c r="C25" s="12"/>
      <c r="D25" s="1">
        <f>SUM(OSRRefD22_1x_0)</f>
        <v>0</v>
      </c>
      <c r="E25" s="1"/>
      <c r="F25" s="5">
        <f t="shared" si="13"/>
        <v>0</v>
      </c>
      <c r="G25" s="1"/>
      <c r="H25" s="1">
        <f>SUM(OSRRefH22_1x_0)</f>
        <v>0</v>
      </c>
      <c r="I25" s="1"/>
      <c r="J25" s="5">
        <f t="shared" si="14"/>
        <v>0</v>
      </c>
      <c r="K25" s="1"/>
      <c r="L25" s="1">
        <f t="shared" si="15"/>
        <v>0</v>
      </c>
      <c r="M25" s="1"/>
      <c r="N25" s="5">
        <f t="shared" si="16"/>
        <v>0</v>
      </c>
      <c r="O25" s="12"/>
      <c r="P25" s="1">
        <f>SUM(OSRRefP22_1x_0)</f>
        <v>23.45</v>
      </c>
      <c r="Q25" s="1"/>
      <c r="R25" s="5">
        <f t="shared" si="17"/>
        <v>1.8302439024390244E-3</v>
      </c>
      <c r="S25" s="1"/>
      <c r="T25" s="1">
        <f>SUM(OSRRefT22_1x_0)</f>
        <v>0</v>
      </c>
      <c r="U25" s="1"/>
      <c r="V25" s="5">
        <f t="shared" si="18"/>
        <v>0</v>
      </c>
      <c r="W25" s="1"/>
      <c r="X25" s="1">
        <f t="shared" si="19"/>
        <v>23.45</v>
      </c>
      <c r="Y25" s="1"/>
      <c r="Z25" s="5">
        <f t="shared" si="20"/>
        <v>0</v>
      </c>
    </row>
    <row r="26" spans="1:26" s="24" customFormat="1" hidden="1" outlineLevel="2" x14ac:dyDescent="0.25">
      <c r="A26" s="26"/>
      <c r="B26" s="11" t="str">
        <f>CONCATENATE("          ", "6279", " - ", "GENERAL EXPENSE")</f>
        <v xml:space="preserve">          6279 - GENERAL EXPENSE</v>
      </c>
      <c r="C26" s="11"/>
      <c r="D26" s="7"/>
      <c r="E26" s="2"/>
      <c r="F26" s="6">
        <f t="shared" si="13"/>
        <v>0</v>
      </c>
      <c r="G26" s="2"/>
      <c r="H26" s="7"/>
      <c r="I26" s="2"/>
      <c r="J26" s="6">
        <f t="shared" si="14"/>
        <v>0</v>
      </c>
      <c r="K26" s="2"/>
      <c r="L26" s="7">
        <f t="shared" si="15"/>
        <v>0</v>
      </c>
      <c r="M26" s="2"/>
      <c r="N26" s="6">
        <f t="shared" si="16"/>
        <v>0</v>
      </c>
      <c r="O26" s="11"/>
      <c r="P26" s="7">
        <v>23.45</v>
      </c>
      <c r="Q26" s="2"/>
      <c r="R26" s="6">
        <f t="shared" si="17"/>
        <v>1.8302439024390244E-3</v>
      </c>
      <c r="S26" s="2"/>
      <c r="T26" s="7"/>
      <c r="U26" s="2"/>
      <c r="V26" s="6">
        <f t="shared" si="18"/>
        <v>0</v>
      </c>
      <c r="W26" s="2"/>
      <c r="X26" s="7">
        <f t="shared" si="19"/>
        <v>23.45</v>
      </c>
      <c r="Y26" s="2"/>
      <c r="Z26" s="6">
        <f t="shared" si="20"/>
        <v>0</v>
      </c>
    </row>
    <row r="27" spans="1:26" s="27" customFormat="1" outlineLevel="1" collapsed="1" x14ac:dyDescent="0.25">
      <c r="A27" s="25"/>
      <c r="B27" s="12" t="str">
        <f>CONCATENATE("     ","Supplies                                          ")</f>
        <v xml:space="preserve">     Supplies                                          </v>
      </c>
      <c r="C27" s="12"/>
      <c r="D27" s="1">
        <f>SUM(OSRRefD22_2x_0)</f>
        <v>0</v>
      </c>
      <c r="E27" s="1"/>
      <c r="F27" s="5">
        <f t="shared" si="13"/>
        <v>0</v>
      </c>
      <c r="G27" s="1"/>
      <c r="H27" s="1">
        <f>SUM(OSRRefH22_2x_0)</f>
        <v>0</v>
      </c>
      <c r="I27" s="1"/>
      <c r="J27" s="5">
        <f t="shared" si="14"/>
        <v>0</v>
      </c>
      <c r="K27" s="1"/>
      <c r="L27" s="1">
        <f t="shared" si="15"/>
        <v>0</v>
      </c>
      <c r="M27" s="1"/>
      <c r="N27" s="5">
        <f t="shared" si="16"/>
        <v>0</v>
      </c>
      <c r="O27" s="12"/>
      <c r="P27" s="1">
        <f>SUM(OSRRefP22_2x_0)</f>
        <v>297</v>
      </c>
      <c r="Q27" s="1"/>
      <c r="R27" s="5">
        <f t="shared" si="17"/>
        <v>2.3180487804878049E-2</v>
      </c>
      <c r="S27" s="1"/>
      <c r="T27" s="1">
        <f>SUM(OSRRefT22_2x_0)</f>
        <v>0</v>
      </c>
      <c r="U27" s="1"/>
      <c r="V27" s="5">
        <f t="shared" si="18"/>
        <v>0</v>
      </c>
      <c r="W27" s="1"/>
      <c r="X27" s="1">
        <f t="shared" si="19"/>
        <v>297</v>
      </c>
      <c r="Y27" s="1"/>
      <c r="Z27" s="5">
        <f t="shared" si="20"/>
        <v>0</v>
      </c>
    </row>
    <row r="28" spans="1:26" s="24" customFormat="1" hidden="1" outlineLevel="2" x14ac:dyDescent="0.25">
      <c r="A28" s="26"/>
      <c r="B28" s="11" t="str">
        <f>CONCATENATE("          ", "6247", " - ", "STORE SUPPLIES")</f>
        <v xml:space="preserve">          6247 - STORE SUPPLIES</v>
      </c>
      <c r="C28" s="11"/>
      <c r="D28" s="7"/>
      <c r="E28" s="2"/>
      <c r="F28" s="6">
        <f t="shared" si="13"/>
        <v>0</v>
      </c>
      <c r="G28" s="2"/>
      <c r="H28" s="7"/>
      <c r="I28" s="2"/>
      <c r="J28" s="6">
        <f t="shared" si="14"/>
        <v>0</v>
      </c>
      <c r="K28" s="2"/>
      <c r="L28" s="7">
        <f t="shared" si="15"/>
        <v>0</v>
      </c>
      <c r="M28" s="2"/>
      <c r="N28" s="6">
        <f t="shared" si="16"/>
        <v>0</v>
      </c>
      <c r="O28" s="11"/>
      <c r="P28" s="7">
        <v>297</v>
      </c>
      <c r="Q28" s="2"/>
      <c r="R28" s="6">
        <f t="shared" si="17"/>
        <v>2.3180487804878049E-2</v>
      </c>
      <c r="S28" s="2"/>
      <c r="T28" s="7"/>
      <c r="U28" s="2"/>
      <c r="V28" s="6">
        <f t="shared" si="18"/>
        <v>0</v>
      </c>
      <c r="W28" s="2"/>
      <c r="X28" s="7">
        <f t="shared" si="19"/>
        <v>297</v>
      </c>
      <c r="Y28" s="2"/>
      <c r="Z28" s="6">
        <f t="shared" si="20"/>
        <v>0</v>
      </c>
    </row>
    <row r="29" spans="1:26" s="62" customFormat="1" x14ac:dyDescent="0.25">
      <c r="A29" s="36"/>
      <c r="B29" s="36"/>
      <c r="C29" s="36"/>
      <c r="D29" s="1"/>
      <c r="E29" s="1"/>
      <c r="F29" s="5"/>
      <c r="G29" s="1"/>
      <c r="H29" s="1"/>
      <c r="I29" s="1"/>
      <c r="J29" s="5"/>
      <c r="K29" s="1"/>
      <c r="L29" s="1"/>
      <c r="M29" s="1"/>
      <c r="N29" s="5"/>
      <c r="O29" s="36"/>
      <c r="P29" s="1"/>
      <c r="Q29" s="1"/>
      <c r="R29" s="5"/>
      <c r="S29" s="1"/>
      <c r="T29" s="1"/>
      <c r="U29" s="1"/>
      <c r="V29" s="5"/>
      <c r="W29" s="1"/>
      <c r="X29" s="1"/>
      <c r="Y29" s="1"/>
      <c r="Z29" s="5"/>
    </row>
    <row r="30" spans="1:26" s="23" customFormat="1" x14ac:dyDescent="0.25">
      <c r="A30" s="10"/>
      <c r="B30" s="28" t="s">
        <v>0</v>
      </c>
      <c r="C30" s="10"/>
      <c r="D30" s="4">
        <f>SUM(0)</f>
        <v>0</v>
      </c>
      <c r="E30" s="4"/>
      <c r="F30" s="13">
        <f>IF(D$12=0,0,D30/D$12)</f>
        <v>0</v>
      </c>
      <c r="G30" s="4"/>
      <c r="H30" s="4">
        <f>SUM(0)</f>
        <v>0</v>
      </c>
      <c r="I30" s="4"/>
      <c r="J30" s="13">
        <f>IF(H$12=0,0,H30/H$12)</f>
        <v>0</v>
      </c>
      <c r="K30" s="4"/>
      <c r="L30" s="4">
        <f>+D30-H30</f>
        <v>0</v>
      </c>
      <c r="M30" s="4"/>
      <c r="N30" s="13">
        <f>IF(H30=0,0,L30/H30)</f>
        <v>0</v>
      </c>
      <c r="O30" s="10"/>
      <c r="P30" s="4">
        <f>SUM(0)</f>
        <v>0</v>
      </c>
      <c r="Q30" s="4"/>
      <c r="R30" s="13">
        <f>IF(P$12=0,0,P30/P$12)</f>
        <v>0</v>
      </c>
      <c r="S30" s="4"/>
      <c r="T30" s="4">
        <f>SUM(0)</f>
        <v>0</v>
      </c>
      <c r="U30" s="4"/>
      <c r="V30" s="13">
        <f>IF(T$12=0,0,T30/T$12)</f>
        <v>0</v>
      </c>
      <c r="W30" s="4"/>
      <c r="X30" s="4">
        <f>+P30-T30</f>
        <v>0</v>
      </c>
      <c r="Y30" s="4"/>
      <c r="Z30" s="13">
        <f>IF(T30=0,0,X30/T30)</f>
        <v>0</v>
      </c>
    </row>
    <row r="31" spans="1:26" x14ac:dyDescent="0.25">
      <c r="A31" s="9"/>
      <c r="B31" s="10"/>
      <c r="C31" s="10"/>
      <c r="D31" s="3"/>
      <c r="E31" s="3"/>
      <c r="F31" s="8"/>
      <c r="G31" s="3"/>
      <c r="H31" s="3"/>
      <c r="I31" s="3"/>
      <c r="J31" s="8"/>
      <c r="K31" s="3"/>
      <c r="L31" s="3"/>
      <c r="M31" s="3"/>
      <c r="N31" s="8"/>
      <c r="O31" s="10"/>
      <c r="P31" s="3"/>
      <c r="Q31" s="3"/>
      <c r="R31" s="8"/>
      <c r="S31" s="3"/>
      <c r="T31" s="3"/>
      <c r="U31" s="3"/>
      <c r="V31" s="8"/>
      <c r="W31" s="3"/>
      <c r="X31" s="3"/>
      <c r="Y31" s="3"/>
      <c r="Z31" s="8"/>
    </row>
    <row r="32" spans="1:26" s="23" customFormat="1" x14ac:dyDescent="0.25">
      <c r="A32" s="10"/>
      <c r="B32" s="29" t="s">
        <v>3</v>
      </c>
      <c r="C32" s="29"/>
      <c r="D32" s="20">
        <f>+D20-D22+D30</f>
        <v>0</v>
      </c>
      <c r="E32" s="14"/>
      <c r="F32" s="22">
        <f>IF(D$12=0,0,D32/D$12)</f>
        <v>0</v>
      </c>
      <c r="G32" s="14"/>
      <c r="H32" s="20">
        <f>+H20-H22+H30</f>
        <v>681</v>
      </c>
      <c r="I32" s="14"/>
      <c r="J32" s="22">
        <f>IF(H$12=0,0,H32/H$12)</f>
        <v>0.4134790528233151</v>
      </c>
      <c r="K32" s="16"/>
      <c r="L32" s="20">
        <f>+D32-H32</f>
        <v>-681</v>
      </c>
      <c r="M32" s="16"/>
      <c r="N32" s="22">
        <f>IF(H32=0,0,L32/H32)</f>
        <v>-1</v>
      </c>
      <c r="O32" s="28"/>
      <c r="P32" s="20">
        <f>+P20-P22+P30</f>
        <v>7986.8700000000008</v>
      </c>
      <c r="Q32" s="14"/>
      <c r="R32" s="22">
        <f>IF(P$12=0,0,P32/P$12)</f>
        <v>0.62336546341463417</v>
      </c>
      <c r="S32" s="14"/>
      <c r="T32" s="20">
        <f>+T20-T22+T30</f>
        <v>6731</v>
      </c>
      <c r="U32" s="14"/>
      <c r="V32" s="22">
        <f>IF(T$12=0,0,T32/T$12)</f>
        <v>0.41401156353795054</v>
      </c>
      <c r="W32" s="16"/>
      <c r="X32" s="20">
        <f>+P32-T32</f>
        <v>1255.8700000000008</v>
      </c>
      <c r="Y32" s="16"/>
      <c r="Z32" s="22">
        <f>IF(T32=0,0,X32/T32)</f>
        <v>0.18658000297132682</v>
      </c>
    </row>
    <row r="33" spans="1:26" x14ac:dyDescent="0.25">
      <c r="A33" s="9"/>
      <c r="B33" s="10"/>
      <c r="C33" s="9"/>
      <c r="D33" s="3"/>
      <c r="E33" s="3"/>
      <c r="F33" s="8"/>
      <c r="G33" s="3"/>
      <c r="H33" s="3"/>
      <c r="I33" s="3"/>
      <c r="J33" s="8"/>
      <c r="K33" s="3"/>
      <c r="L33" s="3"/>
      <c r="M33" s="3"/>
      <c r="N33" s="8"/>
      <c r="P33" s="3"/>
      <c r="Q33" s="3"/>
      <c r="R33" s="8"/>
      <c r="S33" s="3"/>
      <c r="T33" s="3"/>
      <c r="U33" s="3"/>
      <c r="V33" s="8"/>
      <c r="W33" s="3"/>
      <c r="X33" s="3"/>
      <c r="Y33" s="3"/>
      <c r="Z33" s="8"/>
    </row>
    <row r="34" spans="1:26" s="23" customFormat="1" x14ac:dyDescent="0.25">
      <c r="A34" s="52"/>
      <c r="B34" s="10" t="s">
        <v>14</v>
      </c>
      <c r="C34" s="10"/>
      <c r="D34" s="4">
        <v>62.43</v>
      </c>
      <c r="E34" s="4"/>
      <c r="F34" s="13">
        <f>IF(D$12=0,0,D34/D$12)</f>
        <v>0</v>
      </c>
      <c r="G34" s="4"/>
      <c r="H34" s="4">
        <v>176</v>
      </c>
      <c r="I34" s="4"/>
      <c r="J34" s="13">
        <f>IF(H$12=0,0,H34/H$12)</f>
        <v>0.10686095931997572</v>
      </c>
      <c r="K34" s="4"/>
      <c r="L34" s="4">
        <f>+D34-H34</f>
        <v>-113.57</v>
      </c>
      <c r="M34" s="4"/>
      <c r="N34" s="13">
        <f>IF(H34=0,0,L34/H34)</f>
        <v>-0.64528409090909089</v>
      </c>
      <c r="O34" s="10"/>
      <c r="P34" s="4">
        <v>1517.2</v>
      </c>
      <c r="Q34" s="4"/>
      <c r="R34" s="13">
        <f>IF(P$12=0,0,P34/P$12)</f>
        <v>0.11841560975609756</v>
      </c>
      <c r="S34" s="4"/>
      <c r="T34" s="4">
        <v>1883</v>
      </c>
      <c r="U34" s="4"/>
      <c r="V34" s="13">
        <f>IF(T$12=0,0,T34/T$12)</f>
        <v>0.11581990404723828</v>
      </c>
      <c r="W34" s="4"/>
      <c r="X34" s="4">
        <f>+P34-T34</f>
        <v>-365.79999999999995</v>
      </c>
      <c r="Y34" s="4"/>
      <c r="Z34" s="13">
        <f>IF(T34=0,0,X34/T34)</f>
        <v>-0.19426447158789165</v>
      </c>
    </row>
    <row r="35" spans="1:26" x14ac:dyDescent="0.25">
      <c r="A35" s="9"/>
      <c r="B35" s="10"/>
      <c r="C35" s="10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O35" s="10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4</v>
      </c>
      <c r="C36" s="29"/>
      <c r="D36" s="35">
        <f>+D32-D34</f>
        <v>-62.43</v>
      </c>
      <c r="E36" s="14"/>
      <c r="F36" s="32">
        <f>IF(D$12=0,0,D36/D$12)</f>
        <v>0</v>
      </c>
      <c r="G36" s="14"/>
      <c r="H36" s="35">
        <f>+H32-H34</f>
        <v>505</v>
      </c>
      <c r="I36" s="14"/>
      <c r="J36" s="32">
        <f>IF(H$12=0,0,H36/H$12)</f>
        <v>0.30661809350333941</v>
      </c>
      <c r="K36" s="16"/>
      <c r="L36" s="35">
        <f>D36-H36</f>
        <v>-567.42999999999995</v>
      </c>
      <c r="M36" s="16"/>
      <c r="N36" s="32">
        <f>IF(H36=0,0,L36/H36)</f>
        <v>-1.1236237623762375</v>
      </c>
      <c r="O36" s="28"/>
      <c r="P36" s="35">
        <f>+P32-P34</f>
        <v>6469.670000000001</v>
      </c>
      <c r="Q36" s="14"/>
      <c r="R36" s="32">
        <f>IF(P$12=0,0,P36/P$12)</f>
        <v>0.50494985365853662</v>
      </c>
      <c r="S36" s="14"/>
      <c r="T36" s="35">
        <f>+T32-T34</f>
        <v>4848</v>
      </c>
      <c r="U36" s="14"/>
      <c r="V36" s="32">
        <f>IF(T$12=0,0,T36/T$12)</f>
        <v>0.29819165949071225</v>
      </c>
      <c r="W36" s="16"/>
      <c r="X36" s="35">
        <f>P36-T36</f>
        <v>1621.670000000001</v>
      </c>
      <c r="Y36" s="16"/>
      <c r="Z36" s="32">
        <f>IF(T36=0,0,X36/T36)</f>
        <v>0.33450288778877907</v>
      </c>
    </row>
    <row r="37" spans="1:26" ht="15.75" thickTop="1" x14ac:dyDescent="0.25">
      <c r="A37" s="9"/>
      <c r="B37" s="9"/>
      <c r="C37" s="9"/>
      <c r="D37" s="3"/>
      <c r="E37" s="3"/>
      <c r="F37" s="8"/>
      <c r="G37" s="3"/>
      <c r="H37" s="3"/>
      <c r="I37" s="3"/>
      <c r="J37" s="8"/>
      <c r="K37" s="3"/>
      <c r="L37" s="3"/>
      <c r="M37" s="3"/>
      <c r="N37" s="8"/>
      <c r="P37" s="3"/>
      <c r="Q37" s="3"/>
      <c r="R37" s="8"/>
      <c r="S37" s="3"/>
      <c r="T37" s="3"/>
      <c r="U37" s="3"/>
      <c r="V37" s="8"/>
      <c r="W37" s="3"/>
      <c r="X37" s="3"/>
      <c r="Y37" s="3"/>
      <c r="Z37" s="8"/>
    </row>
    <row r="38" spans="1:26" x14ac:dyDescent="0.25">
      <c r="A38" s="9"/>
      <c r="B38" s="9"/>
      <c r="C38" s="9"/>
      <c r="D38" s="3"/>
      <c r="E38" s="3"/>
      <c r="F38" s="8"/>
      <c r="G38" s="3"/>
      <c r="H38" s="3"/>
      <c r="I38" s="3"/>
      <c r="J38" s="8"/>
      <c r="K38" s="3"/>
      <c r="L38" s="3"/>
      <c r="M38" s="3"/>
      <c r="N38" s="8"/>
      <c r="P38" s="3"/>
      <c r="Q38" s="3"/>
      <c r="R38" s="8"/>
      <c r="S38" s="3"/>
      <c r="T38" s="3"/>
      <c r="U38" s="3"/>
      <c r="V38" s="8"/>
      <c r="W38" s="3"/>
      <c r="X38" s="3"/>
      <c r="Y38" s="3"/>
      <c r="Z38" s="8"/>
    </row>
    <row r="39" spans="1:26" s="23" customFormat="1" ht="15.75" thickBot="1" x14ac:dyDescent="0.3">
      <c r="A39" s="10"/>
      <c r="B39" s="29" t="s">
        <v>5</v>
      </c>
      <c r="C39" s="29"/>
      <c r="D39" s="34">
        <f>SUM(D36:D38)</f>
        <v>-62.43</v>
      </c>
      <c r="E39" s="14"/>
      <c r="F39" s="31">
        <f>IF(D$12=0,0,D39/D$12)</f>
        <v>0</v>
      </c>
      <c r="G39" s="14"/>
      <c r="H39" s="34">
        <f>SUM(H36:H38)</f>
        <v>505</v>
      </c>
      <c r="I39" s="14"/>
      <c r="J39" s="31">
        <f>IF(H$12=0,0,H39/H$12)</f>
        <v>0.30661809350333941</v>
      </c>
      <c r="K39" s="16"/>
      <c r="L39" s="34">
        <f>+D39-H39</f>
        <v>-567.42999999999995</v>
      </c>
      <c r="M39" s="16"/>
      <c r="N39" s="31">
        <f>IF(H39=0,0,L39/H39)</f>
        <v>-1.1236237623762375</v>
      </c>
      <c r="O39" s="28"/>
      <c r="P39" s="34">
        <f>SUM(P36:P38)</f>
        <v>6469.670000000001</v>
      </c>
      <c r="Q39" s="14"/>
      <c r="R39" s="31">
        <f>IF(P$12=0,0,P39/P$12)</f>
        <v>0.50494985365853662</v>
      </c>
      <c r="S39" s="14"/>
      <c r="T39" s="34">
        <f>SUM(T36:T38)</f>
        <v>4848</v>
      </c>
      <c r="U39" s="14"/>
      <c r="V39" s="31">
        <f>IF(T$12=0,0,T39/T$12)</f>
        <v>0.29819165949071225</v>
      </c>
      <c r="W39" s="16"/>
      <c r="X39" s="34">
        <f>+P39-T39</f>
        <v>1621.670000000001</v>
      </c>
      <c r="Y39" s="16"/>
      <c r="Z39" s="31">
        <f>IF(T39=0,0,X39/T39)</f>
        <v>0.33450288778877907</v>
      </c>
    </row>
    <row r="40" spans="1:26" ht="15.75" thickTop="1" x14ac:dyDescent="0.25">
      <c r="A40" s="9"/>
      <c r="C40" s="9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A41" s="9"/>
      <c r="B41" s="59">
        <v>43992.371974155096</v>
      </c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  <row r="42" spans="1:26" x14ac:dyDescent="0.25">
      <c r="A42" s="9"/>
      <c r="B42" s="56" t="s">
        <v>314</v>
      </c>
      <c r="D42" s="18"/>
      <c r="E42" s="18"/>
      <c r="G42" s="18"/>
      <c r="H42" s="18"/>
      <c r="I42" s="18"/>
      <c r="J42" s="42"/>
      <c r="K42" s="18"/>
      <c r="L42" s="18"/>
      <c r="M42" s="18"/>
      <c r="P42" s="18"/>
      <c r="Q42" s="18"/>
      <c r="R42" s="42"/>
      <c r="S42" s="18"/>
      <c r="T42" s="18"/>
      <c r="U42" s="18"/>
      <c r="V42" s="42"/>
      <c r="W42" s="18"/>
      <c r="X42" s="18"/>
    </row>
    <row r="43" spans="1:26" x14ac:dyDescent="0.25">
      <c r="A43" s="9"/>
      <c r="B43" s="54"/>
      <c r="D43" s="18"/>
      <c r="E43" s="18"/>
      <c r="G43" s="18"/>
      <c r="H43" s="18"/>
      <c r="I43" s="18"/>
      <c r="J43" s="42"/>
      <c r="K43" s="18"/>
      <c r="L43" s="18"/>
      <c r="M43" s="18"/>
      <c r="P43" s="18"/>
      <c r="Q43" s="18"/>
      <c r="R43" s="42"/>
      <c r="S43" s="18"/>
      <c r="T43" s="18"/>
      <c r="U43" s="18"/>
      <c r="V43" s="42"/>
      <c r="W43" s="18"/>
      <c r="X43" s="18"/>
    </row>
    <row r="44" spans="1:26" x14ac:dyDescent="0.25">
      <c r="D44" s="18"/>
      <c r="E44" s="18"/>
      <c r="G44" s="18"/>
      <c r="H44" s="18"/>
      <c r="I44" s="18"/>
      <c r="J44" s="42"/>
      <c r="K44" s="18"/>
      <c r="L44" s="18"/>
      <c r="M44" s="18"/>
      <c r="P44" s="18"/>
      <c r="Q44" s="18"/>
      <c r="R44" s="42"/>
      <c r="S44" s="18"/>
      <c r="T44" s="18"/>
      <c r="U44" s="18"/>
      <c r="V44" s="42"/>
      <c r="W44" s="18"/>
      <c r="X44" s="18"/>
    </row>
  </sheetData>
  <pageMargins left="0.25" right="0.25" top="0.75" bottom="0.75" header="0.3" footer="0.3"/>
  <pageSetup scale="55" fitToWidth="2" orientation="landscape"/>
  <drawing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154"/>
  <sheetViews>
    <sheetView zoomScale="80" workbookViewId="0">
      <pane xSplit="3" ySplit="10" topLeftCell="D57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63" t="s">
        <v>13</v>
      </c>
    </row>
    <row r="3" spans="1:26" x14ac:dyDescent="0.25">
      <c r="D3" s="63" t="s">
        <v>296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61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63" t="str">
        <f>CONCATENATE("Period ",RIGHT(202011,2),", ",2020)</f>
        <v>Period 11, 2020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61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4">
        <v>43981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61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51"/>
      <c r="C6" s="51"/>
      <c r="D6" s="23" t="s">
        <v>310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57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5" t="s">
        <v>294</v>
      </c>
      <c r="E9" s="15"/>
      <c r="F9" s="38"/>
      <c r="G9" s="15"/>
      <c r="H9" s="15"/>
      <c r="I9" s="15"/>
      <c r="J9" s="46"/>
      <c r="K9" s="15"/>
      <c r="L9" s="15"/>
      <c r="M9" s="15"/>
      <c r="N9" s="38"/>
      <c r="P9" s="15" t="s">
        <v>295</v>
      </c>
      <c r="Q9" s="15"/>
      <c r="R9" s="38"/>
      <c r="S9" s="15"/>
      <c r="T9" s="15"/>
      <c r="U9" s="15"/>
      <c r="V9" s="46"/>
      <c r="W9" s="15"/>
      <c r="X9" s="15"/>
      <c r="Y9" s="15"/>
      <c r="Z9" s="38"/>
    </row>
    <row r="10" spans="1:26" x14ac:dyDescent="0.25">
      <c r="A10" s="10"/>
      <c r="B10" s="55"/>
      <c r="C10" s="10"/>
      <c r="D10" s="43" t="s">
        <v>10</v>
      </c>
      <c r="E10" s="33"/>
      <c r="F10" s="40" t="s">
        <v>15</v>
      </c>
      <c r="G10" s="33"/>
      <c r="H10" s="47" t="s">
        <v>11</v>
      </c>
      <c r="I10" s="33"/>
      <c r="J10" s="45" t="s">
        <v>16</v>
      </c>
      <c r="K10" s="10"/>
      <c r="L10" s="43" t="s">
        <v>12</v>
      </c>
      <c r="M10" s="10"/>
      <c r="N10" s="40" t="s">
        <v>17</v>
      </c>
      <c r="O10" s="10"/>
      <c r="P10" s="53" t="s">
        <v>10</v>
      </c>
      <c r="Q10" s="33"/>
      <c r="R10" s="40" t="s">
        <v>15</v>
      </c>
      <c r="S10" s="33"/>
      <c r="T10" s="47" t="s">
        <v>11</v>
      </c>
      <c r="U10" s="33"/>
      <c r="V10" s="45" t="s">
        <v>16</v>
      </c>
      <c r="W10" s="10"/>
      <c r="X10" s="43" t="s">
        <v>12</v>
      </c>
      <c r="Y10" s="10"/>
      <c r="Z10" s="40" t="s">
        <v>17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122566.18</v>
      </c>
      <c r="E12" s="4"/>
      <c r="F12" s="13"/>
      <c r="G12" s="4"/>
      <c r="H12" s="4">
        <f>SUM(OSRRefH13x_0)</f>
        <v>1326730</v>
      </c>
      <c r="I12" s="4"/>
      <c r="J12" s="13"/>
      <c r="K12" s="4"/>
      <c r="L12" s="4">
        <f t="shared" ref="L12:L25" si="0">+D12-H12</f>
        <v>-1204163.82</v>
      </c>
      <c r="M12" s="4"/>
      <c r="N12" s="13">
        <f t="shared" ref="N12:N25" si="1">IF(H12=0,0,L12/H12)</f>
        <v>-0.90761784236430931</v>
      </c>
      <c r="O12" s="10"/>
      <c r="P12" s="4">
        <f>SUM(OSRRefP13x_0)</f>
        <v>13791701.16</v>
      </c>
      <c r="Q12" s="4"/>
      <c r="R12" s="13"/>
      <c r="S12" s="4"/>
      <c r="T12" s="4">
        <f>SUM(OSRRefT13x_0)</f>
        <v>18425521</v>
      </c>
      <c r="U12" s="4"/>
      <c r="V12" s="13"/>
      <c r="W12" s="4"/>
      <c r="X12" s="4">
        <f t="shared" ref="X12:X25" si="2">+P12-T12</f>
        <v>-4633819.84</v>
      </c>
      <c r="Y12" s="4"/>
      <c r="Z12" s="13">
        <f t="shared" ref="Z12:Z25" si="3">IF(T12=0,0,X12/T12)</f>
        <v>-0.2514892165057368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 t="shared" ref="D13:D15" si="4">0</f>
        <v>0</v>
      </c>
      <c r="E13" s="2"/>
      <c r="F13" s="19"/>
      <c r="G13" s="2"/>
      <c r="H13" s="2">
        <v>337514</v>
      </c>
      <c r="I13" s="2"/>
      <c r="J13" s="19"/>
      <c r="K13" s="2"/>
      <c r="L13" s="2">
        <f t="shared" si="0"/>
        <v>-337514</v>
      </c>
      <c r="M13" s="2"/>
      <c r="N13" s="19">
        <f t="shared" si="1"/>
        <v>-1</v>
      </c>
      <c r="O13" s="11"/>
      <c r="P13" s="2">
        <f>0</f>
        <v>0</v>
      </c>
      <c r="Q13" s="2"/>
      <c r="R13" s="19"/>
      <c r="S13" s="2"/>
      <c r="T13" s="2">
        <v>3546591</v>
      </c>
      <c r="U13" s="2"/>
      <c r="V13" s="19"/>
      <c r="W13" s="2"/>
      <c r="X13" s="2">
        <f t="shared" si="2"/>
        <v>-3546591</v>
      </c>
      <c r="Y13" s="2"/>
      <c r="Z13" s="19">
        <f t="shared" si="3"/>
        <v>-1</v>
      </c>
    </row>
    <row r="14" spans="1:26" s="24" customFormat="1" hidden="1" outlineLevel="1" x14ac:dyDescent="0.25">
      <c r="A14" s="44"/>
      <c r="B14" s="11" t="str">
        <f>CONCATENATE("          ", "4051", " - ", "TAXABLE SALES-FOOD")</f>
        <v xml:space="preserve">          4051 - TAXABLE SALES-FOOD</v>
      </c>
      <c r="C14" s="11"/>
      <c r="D14" s="2">
        <f t="shared" si="4"/>
        <v>0</v>
      </c>
      <c r="E14" s="2"/>
      <c r="F14" s="19"/>
      <c r="G14" s="2"/>
      <c r="H14" s="2"/>
      <c r="I14" s="2"/>
      <c r="J14" s="19"/>
      <c r="K14" s="2"/>
      <c r="L14" s="2">
        <f t="shared" si="0"/>
        <v>0</v>
      </c>
      <c r="M14" s="2"/>
      <c r="N14" s="19">
        <f t="shared" si="1"/>
        <v>0</v>
      </c>
      <c r="O14" s="11"/>
      <c r="P14" s="2">
        <f>--454738.68</f>
        <v>454738.68</v>
      </c>
      <c r="Q14" s="2"/>
      <c r="R14" s="19"/>
      <c r="S14" s="2"/>
      <c r="T14" s="2"/>
      <c r="U14" s="2"/>
      <c r="V14" s="19"/>
      <c r="W14" s="2"/>
      <c r="X14" s="2">
        <f t="shared" si="2"/>
        <v>454738.68</v>
      </c>
      <c r="Y14" s="2"/>
      <c r="Z14" s="19">
        <f t="shared" si="3"/>
        <v>0</v>
      </c>
    </row>
    <row r="15" spans="1:26" s="24" customFormat="1" hidden="1" outlineLevel="1" x14ac:dyDescent="0.25">
      <c r="A15" s="44"/>
      <c r="B15" s="11" t="str">
        <f>CONCATENATE("          ", "4052", " - ", "TAXABLE SALES-FOOD")</f>
        <v xml:space="preserve">          4052 - TAXABLE SALES-FOOD</v>
      </c>
      <c r="C15" s="11"/>
      <c r="D15" s="2">
        <f t="shared" si="4"/>
        <v>0</v>
      </c>
      <c r="E15" s="2"/>
      <c r="F15" s="19"/>
      <c r="G15" s="2"/>
      <c r="H15" s="2"/>
      <c r="I15" s="2"/>
      <c r="J15" s="19"/>
      <c r="K15" s="2"/>
      <c r="L15" s="2">
        <f t="shared" si="0"/>
        <v>0</v>
      </c>
      <c r="M15" s="2"/>
      <c r="N15" s="19">
        <f t="shared" si="1"/>
        <v>0</v>
      </c>
      <c r="O15" s="11"/>
      <c r="P15" s="2">
        <f>--836487.29</f>
        <v>836487.29</v>
      </c>
      <c r="Q15" s="2"/>
      <c r="R15" s="19"/>
      <c r="S15" s="2"/>
      <c r="T15" s="2"/>
      <c r="U15" s="2"/>
      <c r="V15" s="19"/>
      <c r="W15" s="2"/>
      <c r="X15" s="2">
        <f t="shared" si="2"/>
        <v>836487.29</v>
      </c>
      <c r="Y15" s="2"/>
      <c r="Z15" s="19">
        <f t="shared" si="3"/>
        <v>0</v>
      </c>
    </row>
    <row r="16" spans="1:26" s="24" customFormat="1" hidden="1" outlineLevel="1" x14ac:dyDescent="0.25">
      <c r="A16" s="44"/>
      <c r="B16" s="11" t="str">
        <f>CONCATENATE("          ", "4053", " - ", "TAXABLE SALES-FOOD")</f>
        <v xml:space="preserve">          4053 - TAXABLE SALES-FOOD</v>
      </c>
      <c r="C16" s="11"/>
      <c r="D16" s="2">
        <f>--59.42</f>
        <v>59.42</v>
      </c>
      <c r="E16" s="2"/>
      <c r="F16" s="19"/>
      <c r="G16" s="2"/>
      <c r="H16" s="2"/>
      <c r="I16" s="2"/>
      <c r="J16" s="19"/>
      <c r="K16" s="2"/>
      <c r="L16" s="2">
        <f t="shared" si="0"/>
        <v>59.42</v>
      </c>
      <c r="M16" s="2"/>
      <c r="N16" s="19">
        <f t="shared" si="1"/>
        <v>0</v>
      </c>
      <c r="O16" s="11"/>
      <c r="P16" s="2">
        <f>--279986.09</f>
        <v>279986.09000000003</v>
      </c>
      <c r="Q16" s="2"/>
      <c r="R16" s="19"/>
      <c r="S16" s="2"/>
      <c r="T16" s="2"/>
      <c r="U16" s="2"/>
      <c r="V16" s="19"/>
      <c r="W16" s="2"/>
      <c r="X16" s="2">
        <f t="shared" si="2"/>
        <v>279986.09000000003</v>
      </c>
      <c r="Y16" s="2"/>
      <c r="Z16" s="19">
        <f t="shared" si="3"/>
        <v>0</v>
      </c>
    </row>
    <row r="17" spans="1:26" s="24" customFormat="1" hidden="1" outlineLevel="1" x14ac:dyDescent="0.25">
      <c r="A17" s="44"/>
      <c r="B17" s="11" t="str">
        <f>CONCATENATE("          ", "4055", " - ", "TAXABLE SALES-FOOD")</f>
        <v xml:space="preserve">          4055 - TAXABLE SALES-FOOD</v>
      </c>
      <c r="C17" s="11"/>
      <c r="D17" s="2">
        <f t="shared" ref="D17:D19" si="5">0</f>
        <v>0</v>
      </c>
      <c r="E17" s="2"/>
      <c r="F17" s="19"/>
      <c r="G17" s="2"/>
      <c r="H17" s="2"/>
      <c r="I17" s="2"/>
      <c r="J17" s="19"/>
      <c r="K17" s="2"/>
      <c r="L17" s="2">
        <f t="shared" si="0"/>
        <v>0</v>
      </c>
      <c r="M17" s="2"/>
      <c r="N17" s="19">
        <f t="shared" si="1"/>
        <v>0</v>
      </c>
      <c r="O17" s="11"/>
      <c r="P17" s="2">
        <f>--382379.53</f>
        <v>382379.53</v>
      </c>
      <c r="Q17" s="2"/>
      <c r="R17" s="19"/>
      <c r="S17" s="2"/>
      <c r="T17" s="2"/>
      <c r="U17" s="2"/>
      <c r="V17" s="19"/>
      <c r="W17" s="2"/>
      <c r="X17" s="2">
        <f t="shared" si="2"/>
        <v>382379.53</v>
      </c>
      <c r="Y17" s="2"/>
      <c r="Z17" s="19">
        <f t="shared" si="3"/>
        <v>0</v>
      </c>
    </row>
    <row r="18" spans="1:26" s="24" customFormat="1" hidden="1" outlineLevel="1" x14ac:dyDescent="0.25">
      <c r="A18" s="44"/>
      <c r="B18" s="11" t="str">
        <f>CONCATENATE("          ", "4058", " - ", "TAXABLE SALES-FOOD")</f>
        <v xml:space="preserve">          4058 - TAXABLE SALES-FOOD</v>
      </c>
      <c r="C18" s="11"/>
      <c r="D18" s="2">
        <f t="shared" si="5"/>
        <v>0</v>
      </c>
      <c r="E18" s="2"/>
      <c r="F18" s="19"/>
      <c r="G18" s="2"/>
      <c r="H18" s="2"/>
      <c r="I18" s="2"/>
      <c r="J18" s="19"/>
      <c r="K18" s="2"/>
      <c r="L18" s="2">
        <f t="shared" si="0"/>
        <v>0</v>
      </c>
      <c r="M18" s="2"/>
      <c r="N18" s="19">
        <f t="shared" si="1"/>
        <v>0</v>
      </c>
      <c r="O18" s="11"/>
      <c r="P18" s="2">
        <f>--117077.57</f>
        <v>117077.57</v>
      </c>
      <c r="Q18" s="2"/>
      <c r="R18" s="19"/>
      <c r="S18" s="2"/>
      <c r="T18" s="2"/>
      <c r="U18" s="2"/>
      <c r="V18" s="19"/>
      <c r="W18" s="2"/>
      <c r="X18" s="2">
        <f t="shared" si="2"/>
        <v>117077.57</v>
      </c>
      <c r="Y18" s="2"/>
      <c r="Z18" s="19">
        <f t="shared" si="3"/>
        <v>0</v>
      </c>
    </row>
    <row r="19" spans="1:26" s="24" customFormat="1" hidden="1" outlineLevel="1" x14ac:dyDescent="0.25">
      <c r="A19" s="44"/>
      <c r="B19" s="11" t="str">
        <f>CONCATENATE("          ", "4100", " - ", "NON-TAXABLE SALES")</f>
        <v xml:space="preserve">          4100 - NON-TAXABLE SALES</v>
      </c>
      <c r="C19" s="11"/>
      <c r="D19" s="2">
        <f t="shared" si="5"/>
        <v>0</v>
      </c>
      <c r="E19" s="2"/>
      <c r="F19" s="19"/>
      <c r="G19" s="2"/>
      <c r="H19" s="2">
        <v>989216</v>
      </c>
      <c r="I19" s="2"/>
      <c r="J19" s="19"/>
      <c r="K19" s="2"/>
      <c r="L19" s="2">
        <f t="shared" si="0"/>
        <v>-989216</v>
      </c>
      <c r="M19" s="2"/>
      <c r="N19" s="19">
        <f t="shared" si="1"/>
        <v>-1</v>
      </c>
      <c r="O19" s="11"/>
      <c r="P19" s="2">
        <f>0</f>
        <v>0</v>
      </c>
      <c r="Q19" s="2"/>
      <c r="R19" s="19"/>
      <c r="S19" s="2"/>
      <c r="T19" s="2">
        <v>14878930</v>
      </c>
      <c r="U19" s="2"/>
      <c r="V19" s="19"/>
      <c r="W19" s="2"/>
      <c r="X19" s="2">
        <f t="shared" si="2"/>
        <v>-14878930</v>
      </c>
      <c r="Y19" s="2"/>
      <c r="Z19" s="19">
        <f t="shared" si="3"/>
        <v>-1</v>
      </c>
    </row>
    <row r="20" spans="1:26" s="24" customFormat="1" hidden="1" outlineLevel="1" x14ac:dyDescent="0.25">
      <c r="A20" s="44"/>
      <c r="B20" s="11" t="str">
        <f>CONCATENATE("          ", "4151", " - ", "NON-TAXABLE SALES-FOOD")</f>
        <v xml:space="preserve">          4151 - NON-TAXABLE SALES-FOOD</v>
      </c>
      <c r="C20" s="11"/>
      <c r="D20" s="2">
        <f>--126289.52</f>
        <v>126289.52</v>
      </c>
      <c r="E20" s="2"/>
      <c r="F20" s="19"/>
      <c r="G20" s="2"/>
      <c r="H20" s="2"/>
      <c r="I20" s="2"/>
      <c r="J20" s="19"/>
      <c r="K20" s="2"/>
      <c r="L20" s="2">
        <f t="shared" si="0"/>
        <v>126289.52</v>
      </c>
      <c r="M20" s="2"/>
      <c r="N20" s="19">
        <f t="shared" si="1"/>
        <v>0</v>
      </c>
      <c r="O20" s="11"/>
      <c r="P20" s="2">
        <f>--10203802.01</f>
        <v>10203802.01</v>
      </c>
      <c r="Q20" s="2"/>
      <c r="R20" s="19"/>
      <c r="S20" s="2"/>
      <c r="T20" s="2"/>
      <c r="U20" s="2"/>
      <c r="V20" s="19"/>
      <c r="W20" s="2"/>
      <c r="X20" s="2">
        <f t="shared" si="2"/>
        <v>10203802.01</v>
      </c>
      <c r="Y20" s="2"/>
      <c r="Z20" s="19">
        <f t="shared" si="3"/>
        <v>0</v>
      </c>
    </row>
    <row r="21" spans="1:26" s="24" customFormat="1" hidden="1" outlineLevel="1" x14ac:dyDescent="0.25">
      <c r="A21" s="44"/>
      <c r="B21" s="11" t="str">
        <f>CONCATENATE("          ", "4152", " - ", "NON-TAXABLE SALES-FOOD")</f>
        <v xml:space="preserve">          4152 - NON-TAXABLE SALES-FOOD</v>
      </c>
      <c r="C21" s="11"/>
      <c r="D21" s="2">
        <f>0</f>
        <v>0</v>
      </c>
      <c r="E21" s="2"/>
      <c r="F21" s="19"/>
      <c r="G21" s="2"/>
      <c r="H21" s="2"/>
      <c r="I21" s="2"/>
      <c r="J21" s="19"/>
      <c r="K21" s="2"/>
      <c r="L21" s="2">
        <f t="shared" si="0"/>
        <v>0</v>
      </c>
      <c r="M21" s="2"/>
      <c r="N21" s="19">
        <f t="shared" si="1"/>
        <v>0</v>
      </c>
      <c r="O21" s="11"/>
      <c r="P21" s="2">
        <f>--51415.27</f>
        <v>51415.27</v>
      </c>
      <c r="Q21" s="2"/>
      <c r="R21" s="19"/>
      <c r="S21" s="2"/>
      <c r="T21" s="2"/>
      <c r="U21" s="2"/>
      <c r="V21" s="19"/>
      <c r="W21" s="2"/>
      <c r="X21" s="2">
        <f t="shared" si="2"/>
        <v>51415.27</v>
      </c>
      <c r="Y21" s="2"/>
      <c r="Z21" s="19">
        <f t="shared" si="3"/>
        <v>0</v>
      </c>
    </row>
    <row r="22" spans="1:26" s="24" customFormat="1" hidden="1" outlineLevel="1" x14ac:dyDescent="0.25">
      <c r="A22" s="44"/>
      <c r="B22" s="11" t="str">
        <f>CONCATENATE("          ", "4153", " - ", "NON-TAXABLE SALES-FOOD")</f>
        <v xml:space="preserve">          4153 - NON-TAXABLE SALES-FOOD</v>
      </c>
      <c r="C22" s="11"/>
      <c r="D22" s="2">
        <f>-4166.46</f>
        <v>-4166.46</v>
      </c>
      <c r="E22" s="2"/>
      <c r="F22" s="19"/>
      <c r="G22" s="2"/>
      <c r="H22" s="2"/>
      <c r="I22" s="2"/>
      <c r="J22" s="19"/>
      <c r="K22" s="2"/>
      <c r="L22" s="2">
        <f t="shared" si="0"/>
        <v>-4166.46</v>
      </c>
      <c r="M22" s="2"/>
      <c r="N22" s="19">
        <f t="shared" si="1"/>
        <v>0</v>
      </c>
      <c r="O22" s="11"/>
      <c r="P22" s="2">
        <f>--299453.72</f>
        <v>299453.71999999997</v>
      </c>
      <c r="Q22" s="2"/>
      <c r="R22" s="19"/>
      <c r="S22" s="2"/>
      <c r="T22" s="2"/>
      <c r="U22" s="2"/>
      <c r="V22" s="19"/>
      <c r="W22" s="2"/>
      <c r="X22" s="2">
        <f t="shared" si="2"/>
        <v>299453.71999999997</v>
      </c>
      <c r="Y22" s="2"/>
      <c r="Z22" s="19">
        <f t="shared" si="3"/>
        <v>0</v>
      </c>
    </row>
    <row r="23" spans="1:26" s="24" customFormat="1" hidden="1" outlineLevel="1" x14ac:dyDescent="0.25">
      <c r="A23" s="44"/>
      <c r="B23" s="11" t="str">
        <f>CONCATENATE("          ", "4155", " - ", "NON-TAXABLE SALES-FOOD")</f>
        <v xml:space="preserve">          4155 - NON-TAXABLE SALES-FOOD</v>
      </c>
      <c r="C23" s="11"/>
      <c r="D23" s="2">
        <f t="shared" ref="D23:D24" si="6">0</f>
        <v>0</v>
      </c>
      <c r="E23" s="2"/>
      <c r="F23" s="19"/>
      <c r="G23" s="2"/>
      <c r="H23" s="2"/>
      <c r="I23" s="2"/>
      <c r="J23" s="19"/>
      <c r="K23" s="2"/>
      <c r="L23" s="2">
        <f t="shared" si="0"/>
        <v>0</v>
      </c>
      <c r="M23" s="2"/>
      <c r="N23" s="19">
        <f t="shared" si="1"/>
        <v>0</v>
      </c>
      <c r="O23" s="11"/>
      <c r="P23" s="2">
        <f>--691123.63</f>
        <v>691123.63</v>
      </c>
      <c r="Q23" s="2"/>
      <c r="R23" s="19"/>
      <c r="S23" s="2"/>
      <c r="T23" s="2"/>
      <c r="U23" s="2"/>
      <c r="V23" s="19"/>
      <c r="W23" s="2"/>
      <c r="X23" s="2">
        <f t="shared" si="2"/>
        <v>691123.63</v>
      </c>
      <c r="Y23" s="2"/>
      <c r="Z23" s="19">
        <f t="shared" si="3"/>
        <v>0</v>
      </c>
    </row>
    <row r="24" spans="1:26" s="24" customFormat="1" hidden="1" outlineLevel="1" x14ac:dyDescent="0.25">
      <c r="A24" s="44"/>
      <c r="B24" s="11" t="str">
        <f>CONCATENATE("          ", "4158", " - ", "NON-TAXABLE SALES-FOOD")</f>
        <v xml:space="preserve">          4158 - NON-TAXABLE SALES-FOOD</v>
      </c>
      <c r="C24" s="11"/>
      <c r="D24" s="2">
        <f t="shared" si="6"/>
        <v>0</v>
      </c>
      <c r="E24" s="2"/>
      <c r="F24" s="19"/>
      <c r="G24" s="2"/>
      <c r="H24" s="2"/>
      <c r="I24" s="2"/>
      <c r="J24" s="19"/>
      <c r="K24" s="2"/>
      <c r="L24" s="2">
        <f t="shared" si="0"/>
        <v>0</v>
      </c>
      <c r="M24" s="2"/>
      <c r="N24" s="19">
        <f t="shared" si="1"/>
        <v>0</v>
      </c>
      <c r="O24" s="11"/>
      <c r="P24" s="2">
        <f>--474853.67</f>
        <v>474853.67</v>
      </c>
      <c r="Q24" s="2"/>
      <c r="R24" s="19"/>
      <c r="S24" s="2"/>
      <c r="T24" s="2"/>
      <c r="U24" s="2"/>
      <c r="V24" s="19"/>
      <c r="W24" s="2"/>
      <c r="X24" s="2">
        <f t="shared" si="2"/>
        <v>474853.67</v>
      </c>
      <c r="Y24" s="2"/>
      <c r="Z24" s="19">
        <f t="shared" si="3"/>
        <v>0</v>
      </c>
    </row>
    <row r="25" spans="1:26" s="24" customFormat="1" hidden="1" outlineLevel="1" x14ac:dyDescent="0.25">
      <c r="A25" s="44"/>
      <c r="B25" s="11" t="str">
        <f>CONCATENATE("          ", "4159", " - ", "NON-TAXABLE SALES-FOOD")</f>
        <v xml:space="preserve">          4159 - NON-TAXABLE SALES-FOOD</v>
      </c>
      <c r="C25" s="11"/>
      <c r="D25" s="2">
        <f>--383.7</f>
        <v>383.7</v>
      </c>
      <c r="E25" s="2"/>
      <c r="F25" s="19"/>
      <c r="G25" s="2"/>
      <c r="H25" s="2"/>
      <c r="I25" s="2"/>
      <c r="J25" s="19"/>
      <c r="K25" s="2"/>
      <c r="L25" s="2">
        <f t="shared" si="0"/>
        <v>383.7</v>
      </c>
      <c r="M25" s="2"/>
      <c r="N25" s="19">
        <f t="shared" si="1"/>
        <v>0</v>
      </c>
      <c r="O25" s="11"/>
      <c r="P25" s="2">
        <f>--383.7</f>
        <v>383.7</v>
      </c>
      <c r="Q25" s="2"/>
      <c r="R25" s="19"/>
      <c r="S25" s="2"/>
      <c r="T25" s="2"/>
      <c r="U25" s="2"/>
      <c r="V25" s="19"/>
      <c r="W25" s="2"/>
      <c r="X25" s="2">
        <f t="shared" si="2"/>
        <v>383.7</v>
      </c>
      <c r="Y25" s="2"/>
      <c r="Z25" s="19">
        <f t="shared" si="3"/>
        <v>0</v>
      </c>
    </row>
    <row r="26" spans="1:26" x14ac:dyDescent="0.25">
      <c r="A26" s="9"/>
      <c r="B26" s="10"/>
      <c r="C26" s="9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collapsed="1" x14ac:dyDescent="0.25">
      <c r="A27" s="10"/>
      <c r="B27" s="28" t="s">
        <v>8</v>
      </c>
      <c r="C27" s="10"/>
      <c r="D27" s="4">
        <f>SUM(OSRRefD16x_0)</f>
        <v>43795.15</v>
      </c>
      <c r="E27" s="4"/>
      <c r="F27" s="13">
        <f t="shared" ref="F27:F30" si="7">IF(D$12=0,0,D27/D$12)</f>
        <v>0.35731838913475156</v>
      </c>
      <c r="G27" s="4"/>
      <c r="H27" s="4">
        <f>SUM(OSRRefH16x_0)</f>
        <v>379586.07999999996</v>
      </c>
      <c r="I27" s="4"/>
      <c r="J27" s="13">
        <f t="shared" ref="J27:J30" si="8">IF(H$12=0,0,H27/H$12)</f>
        <v>0.28610650245340041</v>
      </c>
      <c r="K27" s="4"/>
      <c r="L27" s="4">
        <f t="shared" ref="L27:L30" si="9">+D27-H27</f>
        <v>-335790.92999999993</v>
      </c>
      <c r="M27" s="4"/>
      <c r="N27" s="13">
        <f t="shared" ref="N27:N30" si="10">IF(H27=0,0,L27/H27)</f>
        <v>-0.88462393036119757</v>
      </c>
      <c r="O27" s="10"/>
      <c r="P27" s="4">
        <f>SUM(OSRRefP16x_0)</f>
        <v>3839974.4</v>
      </c>
      <c r="Q27" s="4"/>
      <c r="R27" s="13">
        <f t="shared" ref="R27:R30" si="11">IF(P$12=0,0,P27/P$12)</f>
        <v>0.27842645047567138</v>
      </c>
      <c r="S27" s="4"/>
      <c r="T27" s="4">
        <f>SUM(OSRRefT16x_0)</f>
        <v>5170759.6399999997</v>
      </c>
      <c r="U27" s="4"/>
      <c r="V27" s="13">
        <f t="shared" ref="V27:V30" si="12">IF(T$12=0,0,T27/T$12)</f>
        <v>0.28063030836414338</v>
      </c>
      <c r="W27" s="4"/>
      <c r="X27" s="4">
        <f t="shared" ref="X27:X30" si="13">+P27-T27</f>
        <v>-1330785.2399999998</v>
      </c>
      <c r="Y27" s="4"/>
      <c r="Z27" s="13">
        <f t="shared" ref="Z27:Z30" si="14">IF(T27=0,0,X27/T27)</f>
        <v>-0.25736745326649912</v>
      </c>
    </row>
    <row r="28" spans="1:26" s="24" customFormat="1" hidden="1" outlineLevel="1" x14ac:dyDescent="0.25">
      <c r="A28" s="44"/>
      <c r="B28" s="11" t="str">
        <f>CONCATENATE("          ", "5000", " - ", "PURCHASES @ COST")</f>
        <v xml:space="preserve">          5000 - PURCHASES @ COST</v>
      </c>
      <c r="C28" s="11"/>
      <c r="D28" s="2"/>
      <c r="E28" s="2"/>
      <c r="F28" s="19">
        <f t="shared" si="7"/>
        <v>0</v>
      </c>
      <c r="G28" s="2"/>
      <c r="H28" s="2">
        <v>379586.07999999996</v>
      </c>
      <c r="I28" s="2"/>
      <c r="J28" s="19">
        <f t="shared" si="8"/>
        <v>0.28610650245340041</v>
      </c>
      <c r="K28" s="2"/>
      <c r="L28" s="2">
        <f t="shared" si="9"/>
        <v>-379586.07999999996</v>
      </c>
      <c r="M28" s="2"/>
      <c r="N28" s="19">
        <f t="shared" si="10"/>
        <v>-1</v>
      </c>
      <c r="O28" s="11"/>
      <c r="P28" s="2"/>
      <c r="Q28" s="2"/>
      <c r="R28" s="19">
        <f t="shared" si="11"/>
        <v>0</v>
      </c>
      <c r="S28" s="2"/>
      <c r="T28" s="2">
        <v>5170759.6399999997</v>
      </c>
      <c r="U28" s="2"/>
      <c r="V28" s="19">
        <f t="shared" si="12"/>
        <v>0.28063030836414338</v>
      </c>
      <c r="W28" s="2"/>
      <c r="X28" s="2">
        <f t="shared" si="13"/>
        <v>-5170759.6399999997</v>
      </c>
      <c r="Y28" s="2"/>
      <c r="Z28" s="19">
        <f t="shared" si="14"/>
        <v>-1</v>
      </c>
    </row>
    <row r="29" spans="1:26" s="24" customFormat="1" hidden="1" outlineLevel="1" x14ac:dyDescent="0.25">
      <c r="A29" s="44"/>
      <c r="B29" s="11" t="str">
        <f>CONCATENATE("          ", "5053", " - ", "PURCHASES @ COST-FOOD")</f>
        <v xml:space="preserve">          5053 - PURCHASES @ COST-FOOD</v>
      </c>
      <c r="C29" s="11"/>
      <c r="D29" s="2">
        <v>18227.150000000001</v>
      </c>
      <c r="E29" s="2"/>
      <c r="F29" s="19">
        <f t="shared" si="7"/>
        <v>0.1487127199362826</v>
      </c>
      <c r="G29" s="2"/>
      <c r="H29" s="2"/>
      <c r="I29" s="2"/>
      <c r="J29" s="19">
        <f t="shared" si="8"/>
        <v>0</v>
      </c>
      <c r="K29" s="2"/>
      <c r="L29" s="2">
        <f t="shared" si="9"/>
        <v>18227.150000000001</v>
      </c>
      <c r="M29" s="2"/>
      <c r="N29" s="19">
        <f t="shared" si="10"/>
        <v>0</v>
      </c>
      <c r="O29" s="11"/>
      <c r="P29" s="2">
        <v>3773599.67</v>
      </c>
      <c r="Q29" s="2"/>
      <c r="R29" s="19">
        <f t="shared" si="11"/>
        <v>0.27361379326754492</v>
      </c>
      <c r="S29" s="2"/>
      <c r="T29" s="2"/>
      <c r="U29" s="2"/>
      <c r="V29" s="19">
        <f t="shared" si="12"/>
        <v>0</v>
      </c>
      <c r="W29" s="2"/>
      <c r="X29" s="2">
        <f t="shared" si="13"/>
        <v>3773599.67</v>
      </c>
      <c r="Y29" s="2"/>
      <c r="Z29" s="19">
        <f t="shared" si="14"/>
        <v>0</v>
      </c>
    </row>
    <row r="30" spans="1:26" s="24" customFormat="1" hidden="1" outlineLevel="1" x14ac:dyDescent="0.25">
      <c r="A30" s="44"/>
      <c r="B30" s="11" t="str">
        <f>CONCATENATE("          ", "5059", " - ", "PURCHASES @ COST-FOOD")</f>
        <v xml:space="preserve">          5059 - PURCHASES @ COST-FOOD</v>
      </c>
      <c r="C30" s="11"/>
      <c r="D30" s="2">
        <v>25568</v>
      </c>
      <c r="E30" s="2"/>
      <c r="F30" s="19">
        <f t="shared" si="7"/>
        <v>0.20860566919846896</v>
      </c>
      <c r="G30" s="2"/>
      <c r="H30" s="2"/>
      <c r="I30" s="2"/>
      <c r="J30" s="19">
        <f t="shared" si="8"/>
        <v>0</v>
      </c>
      <c r="K30" s="2"/>
      <c r="L30" s="2">
        <f t="shared" si="9"/>
        <v>25568</v>
      </c>
      <c r="M30" s="2"/>
      <c r="N30" s="19">
        <f t="shared" si="10"/>
        <v>0</v>
      </c>
      <c r="O30" s="11"/>
      <c r="P30" s="2">
        <v>66374.73</v>
      </c>
      <c r="Q30" s="2"/>
      <c r="R30" s="19">
        <f t="shared" si="11"/>
        <v>4.812657208126455E-3</v>
      </c>
      <c r="S30" s="2"/>
      <c r="T30" s="2"/>
      <c r="U30" s="2"/>
      <c r="V30" s="19">
        <f t="shared" si="12"/>
        <v>0</v>
      </c>
      <c r="W30" s="2"/>
      <c r="X30" s="2">
        <f t="shared" si="13"/>
        <v>66374.73</v>
      </c>
      <c r="Y30" s="2"/>
      <c r="Z30" s="19">
        <f t="shared" si="14"/>
        <v>0</v>
      </c>
    </row>
    <row r="31" spans="1:26" x14ac:dyDescent="0.25">
      <c r="A31" s="9"/>
      <c r="B31" s="10"/>
      <c r="C31" s="10"/>
      <c r="D31" s="3"/>
      <c r="E31" s="3"/>
      <c r="F31" s="8"/>
      <c r="G31" s="3"/>
      <c r="H31" s="3"/>
      <c r="I31" s="3"/>
      <c r="J31" s="8"/>
      <c r="K31" s="3"/>
      <c r="L31" s="3"/>
      <c r="M31" s="3"/>
      <c r="N31" s="8"/>
      <c r="O31" s="10"/>
      <c r="P31" s="3"/>
      <c r="Q31" s="3"/>
      <c r="R31" s="8"/>
      <c r="S31" s="3"/>
      <c r="T31" s="3"/>
      <c r="U31" s="3"/>
      <c r="V31" s="8"/>
      <c r="W31" s="3"/>
      <c r="X31" s="3"/>
      <c r="Y31" s="3"/>
      <c r="Z31" s="8"/>
    </row>
    <row r="32" spans="1:26" s="23" customFormat="1" x14ac:dyDescent="0.25">
      <c r="A32" s="10"/>
      <c r="B32" s="29" t="s">
        <v>6</v>
      </c>
      <c r="C32" s="29"/>
      <c r="D32" s="20">
        <f>D12-D27</f>
        <v>78771.03</v>
      </c>
      <c r="E32" s="14"/>
      <c r="F32" s="22">
        <f>IF(D$12=0,0,D32/D$12)</f>
        <v>0.64268161086524855</v>
      </c>
      <c r="G32" s="14"/>
      <c r="H32" s="20">
        <f>H12-H27</f>
        <v>947143.92</v>
      </c>
      <c r="I32" s="14"/>
      <c r="J32" s="22">
        <f>IF(H$12=0,0,H32/H$12)</f>
        <v>0.71389349754659959</v>
      </c>
      <c r="K32" s="16"/>
      <c r="L32" s="20">
        <f>+D32-H32</f>
        <v>-868372.89</v>
      </c>
      <c r="M32" s="16"/>
      <c r="N32" s="22">
        <f>IF(H32=0,0,L32/H32)</f>
        <v>-0.91683309332756946</v>
      </c>
      <c r="O32" s="28"/>
      <c r="P32" s="20">
        <f>P12-P27</f>
        <v>9951726.7599999998</v>
      </c>
      <c r="Q32" s="14"/>
      <c r="R32" s="22">
        <f>IF(P$12=0,0,P32/P$12)</f>
        <v>0.72157354952432862</v>
      </c>
      <c r="S32" s="14"/>
      <c r="T32" s="20">
        <f>T12-T27</f>
        <v>13254761.359999999</v>
      </c>
      <c r="U32" s="14"/>
      <c r="V32" s="22">
        <f>IF(T$12=0,0,T32/T$12)</f>
        <v>0.71936969163585651</v>
      </c>
      <c r="W32" s="16"/>
      <c r="X32" s="20">
        <f>+P32-T32</f>
        <v>-3303034.5999999996</v>
      </c>
      <c r="Y32" s="16"/>
      <c r="Z32" s="22">
        <f>IF(T32=0,0,X32/T32)</f>
        <v>-0.24919608209377825</v>
      </c>
    </row>
    <row r="33" spans="1:26" x14ac:dyDescent="0.25">
      <c r="A33" s="9"/>
      <c r="B33" s="10"/>
      <c r="C33" s="9"/>
      <c r="D33" s="1"/>
      <c r="E33" s="1"/>
      <c r="F33" s="5"/>
      <c r="G33" s="1"/>
      <c r="H33" s="1"/>
      <c r="I33" s="1"/>
      <c r="J33" s="5"/>
      <c r="K33" s="1"/>
      <c r="L33" s="1"/>
      <c r="M33" s="1"/>
      <c r="N33" s="5"/>
      <c r="O33" s="36"/>
      <c r="P33" s="1"/>
      <c r="Q33" s="1"/>
      <c r="R33" s="5"/>
      <c r="S33" s="1"/>
      <c r="T33" s="1"/>
      <c r="U33" s="1"/>
      <c r="V33" s="5"/>
      <c r="W33" s="1"/>
      <c r="X33" s="1"/>
      <c r="Y33" s="1"/>
      <c r="Z33" s="5"/>
    </row>
    <row r="34" spans="1:26" s="23" customFormat="1" x14ac:dyDescent="0.25">
      <c r="A34" s="10"/>
      <c r="B34" s="28" t="s">
        <v>9</v>
      </c>
      <c r="C34" s="10"/>
      <c r="D34" s="21">
        <f>SUM(OSRRefD22x_0)</f>
        <v>312909.76000000007</v>
      </c>
      <c r="E34" s="21"/>
      <c r="F34" s="30">
        <f t="shared" ref="F34:F45" si="15">IF(D$12=0,0,D34/D$12)</f>
        <v>2.5529861500129978</v>
      </c>
      <c r="G34" s="21"/>
      <c r="H34" s="21">
        <f>SUM(OSRRefH22x_0)</f>
        <v>883157.80130193988</v>
      </c>
      <c r="I34" s="21"/>
      <c r="J34" s="30">
        <f t="shared" ref="J34:J45" si="16">IF(H$12=0,0,H34/H$12)</f>
        <v>0.66566505717209978</v>
      </c>
      <c r="K34" s="4"/>
      <c r="L34" s="21">
        <f t="shared" ref="L34:L45" si="17">+D34-H34</f>
        <v>-570248.04130193987</v>
      </c>
      <c r="M34" s="4"/>
      <c r="N34" s="30">
        <f t="shared" ref="N34:N45" si="18">IF(H34=0,0,L34/H34)</f>
        <v>-0.64569212938082809</v>
      </c>
      <c r="O34" s="10"/>
      <c r="P34" s="21">
        <f>SUM(OSRRefP22x_0)</f>
        <v>9508728.860000005</v>
      </c>
      <c r="Q34" s="21"/>
      <c r="R34" s="30">
        <f t="shared" ref="R34:R45" si="19">IF(P$12=0,0,P34/P$12)</f>
        <v>0.68945293620326709</v>
      </c>
      <c r="S34" s="21"/>
      <c r="T34" s="21">
        <f>SUM(OSRRefT22x_0)</f>
        <v>10680985.173404397</v>
      </c>
      <c r="U34" s="21"/>
      <c r="V34" s="30">
        <f t="shared" ref="V34:V45" si="20">IF(T$12=0,0,T34/T$12)</f>
        <v>0.57968429622176754</v>
      </c>
      <c r="W34" s="4"/>
      <c r="X34" s="21">
        <f t="shared" ref="X34:X45" si="21">+P34-T34</f>
        <v>-1172256.3134043925</v>
      </c>
      <c r="Y34" s="4"/>
      <c r="Z34" s="30">
        <f t="shared" ref="Z34:Z45" si="22">IF(T34=0,0,X34/T34)</f>
        <v>-0.10975170308477772</v>
      </c>
    </row>
    <row r="35" spans="1:26" s="27" customFormat="1" outlineLevel="1" collapsed="1" x14ac:dyDescent="0.25">
      <c r="A35" s="25"/>
      <c r="B35" s="12" t="str">
        <f>CONCATENATE("     ","*Benefits                                         ")</f>
        <v xml:space="preserve">     *Benefits                                         </v>
      </c>
      <c r="C35" s="12"/>
      <c r="D35" s="1">
        <f>SUM(OSRRefD22_0x_0)</f>
        <v>97175.2</v>
      </c>
      <c r="E35" s="1"/>
      <c r="F35" s="5">
        <f t="shared" si="15"/>
        <v>0.79283861176060155</v>
      </c>
      <c r="G35" s="1"/>
      <c r="H35" s="1">
        <f>SUM(OSRRefH22_0x_0)</f>
        <v>150842.19335609372</v>
      </c>
      <c r="I35" s="1"/>
      <c r="J35" s="5">
        <f t="shared" si="16"/>
        <v>0.11369471810850265</v>
      </c>
      <c r="K35" s="1"/>
      <c r="L35" s="1">
        <f t="shared" si="17"/>
        <v>-53666.993356093721</v>
      </c>
      <c r="M35" s="1"/>
      <c r="N35" s="5">
        <f t="shared" si="18"/>
        <v>-0.35578237204097035</v>
      </c>
      <c r="O35" s="12"/>
      <c r="P35" s="1">
        <f>SUM(OSRRefP22_0x_0)</f>
        <v>1561576.1499999997</v>
      </c>
      <c r="Q35" s="1"/>
      <c r="R35" s="5">
        <f t="shared" si="19"/>
        <v>0.11322578207603794</v>
      </c>
      <c r="S35" s="1"/>
      <c r="T35" s="1">
        <f>SUM(OSRRefT22_0x_0)</f>
        <v>1693700.2904102437</v>
      </c>
      <c r="U35" s="1"/>
      <c r="V35" s="5">
        <f t="shared" si="20"/>
        <v>9.1921432800203789E-2</v>
      </c>
      <c r="W35" s="1"/>
      <c r="X35" s="1">
        <f t="shared" si="21"/>
        <v>-132124.140410244</v>
      </c>
      <c r="Y35" s="1"/>
      <c r="Z35" s="5">
        <f t="shared" si="22"/>
        <v>-7.8009162044980956E-2</v>
      </c>
    </row>
    <row r="36" spans="1:26" s="24" customFormat="1" hidden="1" outlineLevel="2" x14ac:dyDescent="0.25">
      <c r="A36" s="26"/>
      <c r="B36" s="11" t="str">
        <f>CONCATENATE("          ", "6111", " - ", "F.I.C.A.")</f>
        <v xml:space="preserve">          6111 - F.I.C.A.</v>
      </c>
      <c r="C36" s="11"/>
      <c r="D36" s="7">
        <v>9534.4</v>
      </c>
      <c r="E36" s="2"/>
      <c r="F36" s="6">
        <f t="shared" si="15"/>
        <v>7.7789811186087382E-2</v>
      </c>
      <c r="G36" s="2"/>
      <c r="H36" s="7">
        <v>21490.924577899852</v>
      </c>
      <c r="I36" s="2"/>
      <c r="J36" s="6">
        <f t="shared" si="16"/>
        <v>1.6198416089106188E-2</v>
      </c>
      <c r="K36" s="2"/>
      <c r="L36" s="7">
        <f t="shared" si="17"/>
        <v>-11956.524577899852</v>
      </c>
      <c r="M36" s="2"/>
      <c r="N36" s="6">
        <f t="shared" si="18"/>
        <v>-0.55635226556028772</v>
      </c>
      <c r="O36" s="11"/>
      <c r="P36" s="7">
        <v>277996.88</v>
      </c>
      <c r="Q36" s="2"/>
      <c r="R36" s="6">
        <f t="shared" si="19"/>
        <v>2.0156823061557694E-2</v>
      </c>
      <c r="S36" s="2"/>
      <c r="T36" s="7">
        <v>262826.21252497024</v>
      </c>
      <c r="U36" s="2"/>
      <c r="V36" s="6">
        <f t="shared" si="20"/>
        <v>1.4264248621516332E-2</v>
      </c>
      <c r="W36" s="2"/>
      <c r="X36" s="7">
        <f t="shared" si="21"/>
        <v>15170.667475029768</v>
      </c>
      <c r="Y36" s="2"/>
      <c r="Z36" s="6">
        <f t="shared" si="22"/>
        <v>5.7721287877967854E-2</v>
      </c>
    </row>
    <row r="37" spans="1:26" s="24" customFormat="1" hidden="1" outlineLevel="2" x14ac:dyDescent="0.25">
      <c r="A37" s="26"/>
      <c r="B37" s="11" t="str">
        <f>CONCATENATE("          ", "6112", " - ", "COMPENSATION INSURANCE")</f>
        <v xml:space="preserve">          6112 - COMPENSATION INSURANCE</v>
      </c>
      <c r="C37" s="11"/>
      <c r="D37" s="7">
        <v>6752.68</v>
      </c>
      <c r="E37" s="2"/>
      <c r="F37" s="6">
        <f t="shared" si="15"/>
        <v>5.5094154031723928E-2</v>
      </c>
      <c r="G37" s="2"/>
      <c r="H37" s="7">
        <v>16629.963841095392</v>
      </c>
      <c r="I37" s="2"/>
      <c r="J37" s="6">
        <f t="shared" si="16"/>
        <v>1.253455024088955E-2</v>
      </c>
      <c r="K37" s="2"/>
      <c r="L37" s="7">
        <f t="shared" si="17"/>
        <v>-9877.2838410953918</v>
      </c>
      <c r="M37" s="2"/>
      <c r="N37" s="6">
        <f t="shared" si="18"/>
        <v>-0.59394499804545509</v>
      </c>
      <c r="O37" s="11"/>
      <c r="P37" s="7">
        <v>162665.26</v>
      </c>
      <c r="Q37" s="2"/>
      <c r="R37" s="6">
        <f t="shared" si="19"/>
        <v>1.1794430441385811E-2</v>
      </c>
      <c r="S37" s="2"/>
      <c r="T37" s="7">
        <v>206206.17753802461</v>
      </c>
      <c r="U37" s="2"/>
      <c r="V37" s="6">
        <f t="shared" si="20"/>
        <v>1.119133497164203E-2</v>
      </c>
      <c r="W37" s="2"/>
      <c r="X37" s="7">
        <f t="shared" si="21"/>
        <v>-43540.917538024602</v>
      </c>
      <c r="Y37" s="2"/>
      <c r="Z37" s="6">
        <f t="shared" si="22"/>
        <v>-0.21115234304750941</v>
      </c>
    </row>
    <row r="38" spans="1:26" s="24" customFormat="1" hidden="1" outlineLevel="2" x14ac:dyDescent="0.25">
      <c r="A38" s="26"/>
      <c r="B38" s="11" t="str">
        <f>CONCATENATE("          ", "6113", " - ", "GROUP INSURANCE")</f>
        <v xml:space="preserve">          6113 - GROUP INSURANCE</v>
      </c>
      <c r="C38" s="11"/>
      <c r="D38" s="7">
        <v>55309.57</v>
      </c>
      <c r="E38" s="2"/>
      <c r="F38" s="6">
        <f t="shared" si="15"/>
        <v>0.4512629013974328</v>
      </c>
      <c r="G38" s="2"/>
      <c r="H38" s="7">
        <v>67749.407692307679</v>
      </c>
      <c r="I38" s="2"/>
      <c r="J38" s="6">
        <f t="shared" si="16"/>
        <v>5.106495495866354E-2</v>
      </c>
      <c r="K38" s="2"/>
      <c r="L38" s="7">
        <f t="shared" si="17"/>
        <v>-12439.837692307679</v>
      </c>
      <c r="M38" s="2"/>
      <c r="N38" s="6">
        <f t="shared" si="18"/>
        <v>-0.1836154457438911</v>
      </c>
      <c r="O38" s="11"/>
      <c r="P38" s="7">
        <v>751961.92999999993</v>
      </c>
      <c r="Q38" s="2"/>
      <c r="R38" s="6">
        <f t="shared" si="19"/>
        <v>5.4522783032807533E-2</v>
      </c>
      <c r="S38" s="2"/>
      <c r="T38" s="7">
        <v>757766.87499999988</v>
      </c>
      <c r="U38" s="2"/>
      <c r="V38" s="6">
        <f t="shared" si="20"/>
        <v>4.1125940210862959E-2</v>
      </c>
      <c r="W38" s="2"/>
      <c r="X38" s="7">
        <f t="shared" si="21"/>
        <v>-5804.9449999999488</v>
      </c>
      <c r="Y38" s="2"/>
      <c r="Z38" s="6">
        <f t="shared" si="22"/>
        <v>-7.66059482344085E-3</v>
      </c>
    </row>
    <row r="39" spans="1:26" s="24" customFormat="1" hidden="1" outlineLevel="2" x14ac:dyDescent="0.25">
      <c r="A39" s="26"/>
      <c r="B39" s="11" t="str">
        <f>CONCATENATE("          ", "6114", " - ", "STATE UNEMPLOYMENT INSURANCE")</f>
        <v xml:space="preserve">          6114 - STATE UNEMPLOYMENT INSURANCE</v>
      </c>
      <c r="C39" s="11"/>
      <c r="D39" s="7">
        <v>519.17999999999995</v>
      </c>
      <c r="E39" s="2"/>
      <c r="F39" s="6">
        <f t="shared" si="15"/>
        <v>4.235915649814655E-3</v>
      </c>
      <c r="G39" s="2"/>
      <c r="H39" s="7">
        <v>1165.7998319600001</v>
      </c>
      <c r="I39" s="2"/>
      <c r="J39" s="6">
        <f t="shared" si="16"/>
        <v>8.7870164386122276E-4</v>
      </c>
      <c r="K39" s="2"/>
      <c r="L39" s="7">
        <f t="shared" si="17"/>
        <v>-646.61983196000017</v>
      </c>
      <c r="M39" s="2"/>
      <c r="N39" s="6">
        <f t="shared" si="18"/>
        <v>-0.55465768156174033</v>
      </c>
      <c r="O39" s="11"/>
      <c r="P39" s="7">
        <v>13299.63</v>
      </c>
      <c r="Q39" s="2"/>
      <c r="R39" s="6">
        <f t="shared" si="19"/>
        <v>9.6432121358406805E-4</v>
      </c>
      <c r="S39" s="2"/>
      <c r="T39" s="7">
        <v>14347.231565280001</v>
      </c>
      <c r="U39" s="2"/>
      <c r="V39" s="6">
        <f t="shared" si="20"/>
        <v>7.7866083489742304E-4</v>
      </c>
      <c r="W39" s="2"/>
      <c r="X39" s="7">
        <f t="shared" si="21"/>
        <v>-1047.6015652800015</v>
      </c>
      <c r="Y39" s="2"/>
      <c r="Z39" s="6">
        <f t="shared" si="22"/>
        <v>-7.3017680136645682E-2</v>
      </c>
    </row>
    <row r="40" spans="1:26" s="24" customFormat="1" hidden="1" outlineLevel="2" x14ac:dyDescent="0.25">
      <c r="A40" s="26"/>
      <c r="B40" s="11" t="str">
        <f>CONCATENATE("          ", "6115", " - ", "P.E.R.S.")</f>
        <v xml:space="preserve">          6115 - P.E.R.S.</v>
      </c>
      <c r="C40" s="11"/>
      <c r="D40" s="7">
        <v>6347.38</v>
      </c>
      <c r="E40" s="2"/>
      <c r="F40" s="6">
        <f t="shared" si="15"/>
        <v>5.1787369076853017E-2</v>
      </c>
      <c r="G40" s="2"/>
      <c r="H40" s="7">
        <v>10432.659806830779</v>
      </c>
      <c r="I40" s="2"/>
      <c r="J40" s="6">
        <f t="shared" si="16"/>
        <v>7.863438534465023E-3</v>
      </c>
      <c r="K40" s="2"/>
      <c r="L40" s="7">
        <f t="shared" si="17"/>
        <v>-4085.2798068307793</v>
      </c>
      <c r="M40" s="2"/>
      <c r="N40" s="6">
        <f t="shared" si="18"/>
        <v>-0.39158564378337574</v>
      </c>
      <c r="O40" s="11"/>
      <c r="P40" s="7">
        <v>124338.89000000001</v>
      </c>
      <c r="Q40" s="2"/>
      <c r="R40" s="6">
        <f t="shared" si="19"/>
        <v>9.0154860925075325E-3</v>
      </c>
      <c r="S40" s="2"/>
      <c r="T40" s="7">
        <v>125191.91768196934</v>
      </c>
      <c r="U40" s="2"/>
      <c r="V40" s="6">
        <f t="shared" si="20"/>
        <v>6.7944845457541926E-3</v>
      </c>
      <c r="W40" s="2"/>
      <c r="X40" s="7">
        <f t="shared" si="21"/>
        <v>-853.02768196932448</v>
      </c>
      <c r="Y40" s="2"/>
      <c r="Z40" s="6">
        <f t="shared" si="22"/>
        <v>-6.8137600075454481E-3</v>
      </c>
    </row>
    <row r="41" spans="1:26" s="24" customFormat="1" hidden="1" outlineLevel="2" x14ac:dyDescent="0.25">
      <c r="A41" s="26"/>
      <c r="B41" s="11" t="str">
        <f>CONCATENATE("          ", "6116", " - ", "EDUCATIONAL BENEFITS")</f>
        <v xml:space="preserve">          6116 - EDUCATIONAL BENEFITS</v>
      </c>
      <c r="C41" s="11"/>
      <c r="D41" s="7"/>
      <c r="E41" s="2"/>
      <c r="F41" s="6">
        <f t="shared" si="15"/>
        <v>0</v>
      </c>
      <c r="G41" s="2"/>
      <c r="H41" s="7">
        <v>8000</v>
      </c>
      <c r="I41" s="2"/>
      <c r="J41" s="6">
        <f t="shared" si="16"/>
        <v>6.0298628959924022E-3</v>
      </c>
      <c r="K41" s="2"/>
      <c r="L41" s="7">
        <f t="shared" si="17"/>
        <v>-8000</v>
      </c>
      <c r="M41" s="2"/>
      <c r="N41" s="6">
        <f t="shared" si="18"/>
        <v>-1</v>
      </c>
      <c r="O41" s="11"/>
      <c r="P41" s="7"/>
      <c r="Q41" s="2"/>
      <c r="R41" s="6">
        <f t="shared" si="19"/>
        <v>0</v>
      </c>
      <c r="S41" s="2"/>
      <c r="T41" s="7">
        <v>24000</v>
      </c>
      <c r="U41" s="2"/>
      <c r="V41" s="6">
        <f t="shared" si="20"/>
        <v>1.3025411873021121E-3</v>
      </c>
      <c r="W41" s="2"/>
      <c r="X41" s="7">
        <f t="shared" si="21"/>
        <v>-24000</v>
      </c>
      <c r="Y41" s="2"/>
      <c r="Z41" s="6">
        <f t="shared" si="22"/>
        <v>-1</v>
      </c>
    </row>
    <row r="42" spans="1:26" s="24" customFormat="1" hidden="1" outlineLevel="2" x14ac:dyDescent="0.25">
      <c r="A42" s="26"/>
      <c r="B42" s="11" t="str">
        <f>CONCATENATE("          ", "6117", " - ", "RETIREMENT STAFF HOURLY")</f>
        <v xml:space="preserve">          6117 - RETIREMENT STAFF HOURLY</v>
      </c>
      <c r="C42" s="11"/>
      <c r="D42" s="7">
        <v>1448.63</v>
      </c>
      <c r="E42" s="2"/>
      <c r="F42" s="6">
        <f t="shared" si="15"/>
        <v>1.1819165776399332E-2</v>
      </c>
      <c r="G42" s="2"/>
      <c r="H42" s="7"/>
      <c r="I42" s="2"/>
      <c r="J42" s="6">
        <f t="shared" si="16"/>
        <v>0</v>
      </c>
      <c r="K42" s="2"/>
      <c r="L42" s="7">
        <f t="shared" si="17"/>
        <v>1448.63</v>
      </c>
      <c r="M42" s="2"/>
      <c r="N42" s="6">
        <f t="shared" si="18"/>
        <v>0</v>
      </c>
      <c r="O42" s="11"/>
      <c r="P42" s="7">
        <v>20776.14</v>
      </c>
      <c r="Q42" s="2"/>
      <c r="R42" s="6">
        <f t="shared" si="19"/>
        <v>1.5064233018807667E-3</v>
      </c>
      <c r="S42" s="2"/>
      <c r="T42" s="7"/>
      <c r="U42" s="2"/>
      <c r="V42" s="6">
        <f t="shared" si="20"/>
        <v>0</v>
      </c>
      <c r="W42" s="2"/>
      <c r="X42" s="7">
        <f t="shared" si="21"/>
        <v>20776.14</v>
      </c>
      <c r="Y42" s="2"/>
      <c r="Z42" s="6">
        <f t="shared" si="22"/>
        <v>0</v>
      </c>
    </row>
    <row r="43" spans="1:26" s="24" customFormat="1" hidden="1" outlineLevel="2" x14ac:dyDescent="0.25">
      <c r="A43" s="26"/>
      <c r="B43" s="11" t="str">
        <f>CONCATENATE("          ", "6118", " - ", "VACATION")</f>
        <v xml:space="preserve">          6118 - VACATION</v>
      </c>
      <c r="C43" s="11"/>
      <c r="D43" s="7">
        <v>8467.23</v>
      </c>
      <c r="E43" s="2"/>
      <c r="F43" s="6">
        <f t="shared" si="15"/>
        <v>6.9082923201163646E-2</v>
      </c>
      <c r="G43" s="2"/>
      <c r="H43" s="7">
        <v>8950.9071664615367</v>
      </c>
      <c r="I43" s="2"/>
      <c r="J43" s="6">
        <f t="shared" si="16"/>
        <v>6.7465928760648639E-3</v>
      </c>
      <c r="K43" s="2"/>
      <c r="L43" s="7">
        <f t="shared" si="17"/>
        <v>-483.67716646153713</v>
      </c>
      <c r="M43" s="2"/>
      <c r="N43" s="6">
        <f t="shared" si="18"/>
        <v>-5.4036664381219797E-2</v>
      </c>
      <c r="O43" s="11"/>
      <c r="P43" s="7">
        <v>168189.90999999997</v>
      </c>
      <c r="Q43" s="2"/>
      <c r="R43" s="6">
        <f t="shared" si="19"/>
        <v>1.219500829149346E-2</v>
      </c>
      <c r="S43" s="2"/>
      <c r="T43" s="7">
        <v>105692.82601753842</v>
      </c>
      <c r="U43" s="2"/>
      <c r="V43" s="6">
        <f t="shared" si="20"/>
        <v>5.7362191287583355E-3</v>
      </c>
      <c r="W43" s="2"/>
      <c r="X43" s="7">
        <f t="shared" si="21"/>
        <v>62497.083982461554</v>
      </c>
      <c r="Y43" s="2"/>
      <c r="Z43" s="6">
        <f t="shared" si="22"/>
        <v>0.59130866622954081</v>
      </c>
    </row>
    <row r="44" spans="1:26" s="24" customFormat="1" hidden="1" outlineLevel="2" x14ac:dyDescent="0.25">
      <c r="A44" s="26"/>
      <c r="B44" s="11" t="str">
        <f>CONCATENATE("          ", "6119", " - ", "SICK LEAVE")</f>
        <v xml:space="preserve">          6119 - SICK LEAVE</v>
      </c>
      <c r="C44" s="11"/>
      <c r="D44" s="7">
        <v>6128.13</v>
      </c>
      <c r="E44" s="2"/>
      <c r="F44" s="6">
        <f t="shared" si="15"/>
        <v>4.9998539564503036E-2</v>
      </c>
      <c r="G44" s="2"/>
      <c r="H44" s="7">
        <v>13197.530439538459</v>
      </c>
      <c r="I44" s="2"/>
      <c r="J44" s="6">
        <f t="shared" si="16"/>
        <v>9.9474123895129073E-3</v>
      </c>
      <c r="K44" s="2"/>
      <c r="L44" s="7">
        <f t="shared" si="17"/>
        <v>-7069.4004395384591</v>
      </c>
      <c r="M44" s="2"/>
      <c r="N44" s="6">
        <f t="shared" si="18"/>
        <v>-0.53566085503082106</v>
      </c>
      <c r="O44" s="11"/>
      <c r="P44" s="7">
        <v>-22256.85</v>
      </c>
      <c r="Q44" s="2"/>
      <c r="R44" s="6">
        <f t="shared" si="19"/>
        <v>-1.6137856919747817E-3</v>
      </c>
      <c r="S44" s="2"/>
      <c r="T44" s="7">
        <v>162194.05008246153</v>
      </c>
      <c r="U44" s="2"/>
      <c r="V44" s="6">
        <f t="shared" si="20"/>
        <v>8.8026846069894863E-3</v>
      </c>
      <c r="W44" s="2"/>
      <c r="X44" s="7">
        <f t="shared" si="21"/>
        <v>-184450.90008246154</v>
      </c>
      <c r="Y44" s="2"/>
      <c r="Z44" s="6">
        <f t="shared" si="22"/>
        <v>-1.1372235910545692</v>
      </c>
    </row>
    <row r="45" spans="1:26" s="24" customFormat="1" hidden="1" outlineLevel="2" x14ac:dyDescent="0.25">
      <c r="A45" s="26"/>
      <c r="B45" s="11" t="str">
        <f>CONCATENATE("          ", "6156", " - ", "EMPLOYEE MEALS")</f>
        <v xml:space="preserve">          6156 - EMPLOYEE MEALS</v>
      </c>
      <c r="C45" s="11"/>
      <c r="D45" s="7">
        <v>2668</v>
      </c>
      <c r="E45" s="2"/>
      <c r="F45" s="6">
        <f t="shared" si="15"/>
        <v>2.1767831876623716E-2</v>
      </c>
      <c r="G45" s="2"/>
      <c r="H45" s="7">
        <v>3225</v>
      </c>
      <c r="I45" s="2"/>
      <c r="J45" s="6">
        <f t="shared" si="16"/>
        <v>2.4307884799469374E-3</v>
      </c>
      <c r="K45" s="2"/>
      <c r="L45" s="7">
        <f t="shared" si="17"/>
        <v>-557</v>
      </c>
      <c r="M45" s="2"/>
      <c r="N45" s="6">
        <f t="shared" si="18"/>
        <v>-0.17271317829457364</v>
      </c>
      <c r="O45" s="11"/>
      <c r="P45" s="7">
        <v>64604.359999999993</v>
      </c>
      <c r="Q45" s="2"/>
      <c r="R45" s="6">
        <f t="shared" si="19"/>
        <v>4.6842923327958764E-3</v>
      </c>
      <c r="S45" s="2"/>
      <c r="T45" s="7">
        <v>35475</v>
      </c>
      <c r="U45" s="2"/>
      <c r="V45" s="6">
        <f t="shared" si="20"/>
        <v>1.9253186924809344E-3</v>
      </c>
      <c r="W45" s="2"/>
      <c r="X45" s="7">
        <f t="shared" si="21"/>
        <v>29129.359999999993</v>
      </c>
      <c r="Y45" s="2"/>
      <c r="Z45" s="6">
        <f t="shared" si="22"/>
        <v>0.82112360817477081</v>
      </c>
    </row>
    <row r="46" spans="1:26" s="27" customFormat="1" outlineLevel="1" collapsed="1" x14ac:dyDescent="0.25">
      <c r="A46" s="25"/>
      <c r="B46" s="12" t="str">
        <f>CONCATENATE("     ","*Payroll                                          ")</f>
        <v xml:space="preserve">     *Payroll                                          </v>
      </c>
      <c r="C46" s="12"/>
      <c r="D46" s="1">
        <f>SUM(OSRRefD22_1x_0)</f>
        <v>94591.54</v>
      </c>
      <c r="E46" s="1"/>
      <c r="F46" s="5">
        <f t="shared" ref="F46:F56" si="23">IF(D$12=0,0,D46/D$12)</f>
        <v>0.77175889792763386</v>
      </c>
      <c r="G46" s="1"/>
      <c r="H46" s="1">
        <f>SUM(OSRRefH22_1x_0)</f>
        <v>424962.60794584616</v>
      </c>
      <c r="I46" s="1"/>
      <c r="J46" s="5">
        <f t="shared" ref="J46:J56" si="24">IF(H$12=0,0,H46/H$12)</f>
        <v>0.32030828272960299</v>
      </c>
      <c r="K46" s="1"/>
      <c r="L46" s="1">
        <f t="shared" ref="L46:L56" si="25">+D46-H46</f>
        <v>-330371.06794584618</v>
      </c>
      <c r="M46" s="1"/>
      <c r="N46" s="5">
        <f t="shared" ref="N46:N56" si="26">IF(H46=0,0,L46/H46)</f>
        <v>-0.77741208701342035</v>
      </c>
      <c r="O46" s="12"/>
      <c r="P46" s="1">
        <f>SUM(OSRRefP22_1x_0)</f>
        <v>4667758.17</v>
      </c>
      <c r="Q46" s="1"/>
      <c r="R46" s="5">
        <f t="shared" ref="R46:R56" si="27">IF(P$12=0,0,P46/P$12)</f>
        <v>0.33844687583123356</v>
      </c>
      <c r="S46" s="1"/>
      <c r="T46" s="1">
        <f>SUM(OSRRefT22_1x_0)</f>
        <v>5234911.0229941541</v>
      </c>
      <c r="U46" s="1"/>
      <c r="V46" s="5">
        <f t="shared" ref="V46:V56" si="28">IF(T$12=0,0,T46/T$12)</f>
        <v>0.28411196747132167</v>
      </c>
      <c r="W46" s="1"/>
      <c r="X46" s="1">
        <f t="shared" ref="X46:X56" si="29">+P46-T46</f>
        <v>-567152.85299415421</v>
      </c>
      <c r="Y46" s="1"/>
      <c r="Z46" s="5">
        <f t="shared" ref="Z46:Z56" si="30">IF(T46=0,0,X46/T46)</f>
        <v>-0.1083404952831015</v>
      </c>
    </row>
    <row r="47" spans="1:26" s="24" customFormat="1" hidden="1" outlineLevel="2" x14ac:dyDescent="0.25">
      <c r="A47" s="26"/>
      <c r="B47" s="11" t="str">
        <f>CONCATENATE("          ", "6001", " - ", "ADMINISTRATIVE SALARIES")</f>
        <v xml:space="preserve">          6001 - ADMINISTRATIVE SALARIES</v>
      </c>
      <c r="C47" s="11"/>
      <c r="D47" s="7">
        <v>18921.89</v>
      </c>
      <c r="E47" s="2"/>
      <c r="F47" s="6">
        <f t="shared" si="23"/>
        <v>0.15438100461318122</v>
      </c>
      <c r="G47" s="2"/>
      <c r="H47" s="7">
        <v>20213.021076923069</v>
      </c>
      <c r="I47" s="2"/>
      <c r="J47" s="6">
        <f t="shared" si="24"/>
        <v>1.5235218225956351E-2</v>
      </c>
      <c r="K47" s="2"/>
      <c r="L47" s="7">
        <f t="shared" si="25"/>
        <v>-1291.1310769230695</v>
      </c>
      <c r="M47" s="2"/>
      <c r="N47" s="6">
        <f t="shared" si="26"/>
        <v>-6.3876204947766871E-2</v>
      </c>
      <c r="O47" s="11"/>
      <c r="P47" s="7">
        <v>271069.45</v>
      </c>
      <c r="Q47" s="2"/>
      <c r="R47" s="6">
        <f t="shared" si="27"/>
        <v>1.965453332081914E-2</v>
      </c>
      <c r="S47" s="2"/>
      <c r="T47" s="7">
        <v>242556.25292307691</v>
      </c>
      <c r="U47" s="2"/>
      <c r="V47" s="6">
        <f t="shared" si="28"/>
        <v>1.3164146236248999E-2</v>
      </c>
      <c r="W47" s="2"/>
      <c r="X47" s="7">
        <f t="shared" si="29"/>
        <v>28513.197076923097</v>
      </c>
      <c r="Y47" s="2"/>
      <c r="Z47" s="6">
        <f t="shared" si="30"/>
        <v>0.11755292528354497</v>
      </c>
    </row>
    <row r="48" spans="1:26" s="24" customFormat="1" hidden="1" outlineLevel="2" x14ac:dyDescent="0.25">
      <c r="A48" s="26"/>
      <c r="B48" s="11" t="str">
        <f>CONCATENATE("          ", "6002", " - ", "STAFF SALARIES")</f>
        <v xml:space="preserve">          6002 - STAFF SALARIES</v>
      </c>
      <c r="C48" s="11"/>
      <c r="D48" s="7">
        <v>33289.56</v>
      </c>
      <c r="E48" s="2"/>
      <c r="F48" s="6">
        <f t="shared" si="23"/>
        <v>0.27160477710898717</v>
      </c>
      <c r="G48" s="2"/>
      <c r="H48" s="7">
        <v>91046.740620923098</v>
      </c>
      <c r="I48" s="2"/>
      <c r="J48" s="6">
        <f t="shared" si="24"/>
        <v>6.8624920383893562E-2</v>
      </c>
      <c r="K48" s="2"/>
      <c r="L48" s="7">
        <f t="shared" si="25"/>
        <v>-57757.1806209231</v>
      </c>
      <c r="M48" s="2"/>
      <c r="N48" s="6">
        <f t="shared" si="26"/>
        <v>-0.63436845983754131</v>
      </c>
      <c r="O48" s="11"/>
      <c r="P48" s="7">
        <v>1013772.53</v>
      </c>
      <c r="Q48" s="2"/>
      <c r="R48" s="6">
        <f t="shared" si="27"/>
        <v>7.3505981476762225E-2</v>
      </c>
      <c r="S48" s="2"/>
      <c r="T48" s="7">
        <v>1092560.8874510766</v>
      </c>
      <c r="U48" s="2"/>
      <c r="V48" s="6">
        <f t="shared" si="28"/>
        <v>5.929606481418228E-2</v>
      </c>
      <c r="W48" s="2"/>
      <c r="X48" s="7">
        <f t="shared" si="29"/>
        <v>-78788.357451076619</v>
      </c>
      <c r="Y48" s="2"/>
      <c r="Z48" s="6">
        <f t="shared" si="30"/>
        <v>-7.2113470613878849E-2</v>
      </c>
    </row>
    <row r="49" spans="1:26" s="24" customFormat="1" hidden="1" outlineLevel="2" x14ac:dyDescent="0.25">
      <c r="A49" s="26"/>
      <c r="B49" s="11" t="str">
        <f>CONCATENATE("          ", "6003", " - ", "STAFF HOURLY-9 MONTH")</f>
        <v xml:space="preserve">          6003 - STAFF HOURLY-9 MONTH</v>
      </c>
      <c r="C49" s="11"/>
      <c r="D49" s="7"/>
      <c r="E49" s="2"/>
      <c r="F49" s="6">
        <f t="shared" si="23"/>
        <v>0</v>
      </c>
      <c r="G49" s="2"/>
      <c r="H49" s="7">
        <v>0</v>
      </c>
      <c r="I49" s="2"/>
      <c r="J49" s="6">
        <f t="shared" si="24"/>
        <v>0</v>
      </c>
      <c r="K49" s="2"/>
      <c r="L49" s="7">
        <f t="shared" si="25"/>
        <v>0</v>
      </c>
      <c r="M49" s="2"/>
      <c r="N49" s="6">
        <f t="shared" si="26"/>
        <v>0</v>
      </c>
      <c r="O49" s="11"/>
      <c r="P49" s="7"/>
      <c r="Q49" s="2"/>
      <c r="R49" s="6">
        <f t="shared" si="27"/>
        <v>0</v>
      </c>
      <c r="S49" s="2"/>
      <c r="T49" s="7">
        <v>0</v>
      </c>
      <c r="U49" s="2"/>
      <c r="V49" s="6">
        <f t="shared" si="28"/>
        <v>0</v>
      </c>
      <c r="W49" s="2"/>
      <c r="X49" s="7">
        <f t="shared" si="29"/>
        <v>0</v>
      </c>
      <c r="Y49" s="2"/>
      <c r="Z49" s="6">
        <f t="shared" si="30"/>
        <v>0</v>
      </c>
    </row>
    <row r="50" spans="1:26" s="24" customFormat="1" hidden="1" outlineLevel="2" x14ac:dyDescent="0.25">
      <c r="A50" s="26"/>
      <c r="B50" s="11" t="str">
        <f>CONCATENATE("          ", "6004", " - ", "STAFF HOURLY")</f>
        <v xml:space="preserve">          6004 - STAFF HOURLY</v>
      </c>
      <c r="C50" s="11"/>
      <c r="D50" s="7">
        <v>42380.09</v>
      </c>
      <c r="E50" s="2"/>
      <c r="F50" s="6">
        <f t="shared" si="23"/>
        <v>0.34577311620546547</v>
      </c>
      <c r="G50" s="2"/>
      <c r="H50" s="7">
        <v>134644.20804</v>
      </c>
      <c r="I50" s="2"/>
      <c r="J50" s="6">
        <f t="shared" si="24"/>
        <v>0.10148576427758474</v>
      </c>
      <c r="K50" s="2"/>
      <c r="L50" s="7">
        <f t="shared" si="25"/>
        <v>-92264.118040000001</v>
      </c>
      <c r="M50" s="2"/>
      <c r="N50" s="6">
        <f t="shared" si="26"/>
        <v>-0.68524386888287281</v>
      </c>
      <c r="O50" s="11"/>
      <c r="P50" s="7">
        <v>886316.12</v>
      </c>
      <c r="Q50" s="2"/>
      <c r="R50" s="6">
        <f t="shared" si="27"/>
        <v>6.4264452203371264E-2</v>
      </c>
      <c r="S50" s="2"/>
      <c r="T50" s="7">
        <v>1451893.15429</v>
      </c>
      <c r="U50" s="2"/>
      <c r="V50" s="6">
        <f t="shared" si="28"/>
        <v>7.879794304269605E-2</v>
      </c>
      <c r="W50" s="2"/>
      <c r="X50" s="7">
        <f t="shared" si="29"/>
        <v>-565577.03428999998</v>
      </c>
      <c r="Y50" s="2"/>
      <c r="Z50" s="6">
        <f t="shared" si="30"/>
        <v>-0.38954452854802296</v>
      </c>
    </row>
    <row r="51" spans="1:26" s="24" customFormat="1" hidden="1" outlineLevel="2" x14ac:dyDescent="0.25">
      <c r="A51" s="26"/>
      <c r="B51" s="11" t="str">
        <f>CONCATENATE("          ", "6005", " - ", "TEMPORARY WAGES-HOURLY")</f>
        <v xml:space="preserve">          6005 - TEMPORARY WAGES-HOURLY</v>
      </c>
      <c r="C51" s="11"/>
      <c r="D51" s="7"/>
      <c r="E51" s="2"/>
      <c r="F51" s="6">
        <f t="shared" si="23"/>
        <v>0</v>
      </c>
      <c r="G51" s="2"/>
      <c r="H51" s="7">
        <v>38167.897108000005</v>
      </c>
      <c r="I51" s="2"/>
      <c r="J51" s="6">
        <f t="shared" si="24"/>
        <v>2.8768398323698118E-2</v>
      </c>
      <c r="K51" s="2"/>
      <c r="L51" s="7">
        <f t="shared" si="25"/>
        <v>-38167.897108000005</v>
      </c>
      <c r="M51" s="2"/>
      <c r="N51" s="6">
        <f t="shared" si="26"/>
        <v>-1</v>
      </c>
      <c r="O51" s="11"/>
      <c r="P51" s="7">
        <v>831285.8</v>
      </c>
      <c r="Q51" s="2"/>
      <c r="R51" s="6">
        <f t="shared" si="27"/>
        <v>6.0274348345871497E-2</v>
      </c>
      <c r="S51" s="2"/>
      <c r="T51" s="7">
        <v>577656.82903000002</v>
      </c>
      <c r="U51" s="2"/>
      <c r="V51" s="6">
        <f t="shared" si="28"/>
        <v>3.1350908830746226E-2</v>
      </c>
      <c r="W51" s="2"/>
      <c r="X51" s="7">
        <f t="shared" si="29"/>
        <v>253628.97097000002</v>
      </c>
      <c r="Y51" s="2"/>
      <c r="Z51" s="6">
        <f t="shared" si="30"/>
        <v>0.43906513040950834</v>
      </c>
    </row>
    <row r="52" spans="1:26" s="24" customFormat="1" hidden="1" outlineLevel="2" x14ac:dyDescent="0.25">
      <c r="A52" s="26"/>
      <c r="B52" s="11" t="str">
        <f>CONCATENATE("          ", "6006", " - ", "TEMPORARY PART TIME")</f>
        <v xml:space="preserve">          6006 - TEMPORARY PART TIME</v>
      </c>
      <c r="C52" s="11"/>
      <c r="D52" s="7"/>
      <c r="E52" s="2"/>
      <c r="F52" s="6">
        <f t="shared" si="23"/>
        <v>0</v>
      </c>
      <c r="G52" s="2"/>
      <c r="H52" s="7">
        <v>0</v>
      </c>
      <c r="I52" s="2"/>
      <c r="J52" s="6">
        <f t="shared" si="24"/>
        <v>0</v>
      </c>
      <c r="K52" s="2"/>
      <c r="L52" s="7">
        <f t="shared" si="25"/>
        <v>0</v>
      </c>
      <c r="M52" s="2"/>
      <c r="N52" s="6">
        <f t="shared" si="26"/>
        <v>0</v>
      </c>
      <c r="O52" s="11"/>
      <c r="P52" s="7">
        <v>45957.26</v>
      </c>
      <c r="Q52" s="2"/>
      <c r="R52" s="6">
        <f t="shared" si="27"/>
        <v>3.3322401251913436E-3</v>
      </c>
      <c r="S52" s="2"/>
      <c r="T52" s="7">
        <v>0</v>
      </c>
      <c r="U52" s="2"/>
      <c r="V52" s="6">
        <f t="shared" si="28"/>
        <v>0</v>
      </c>
      <c r="W52" s="2"/>
      <c r="X52" s="7">
        <f t="shared" si="29"/>
        <v>45957.26</v>
      </c>
      <c r="Y52" s="2"/>
      <c r="Z52" s="6">
        <f t="shared" si="30"/>
        <v>0</v>
      </c>
    </row>
    <row r="53" spans="1:26" s="24" customFormat="1" hidden="1" outlineLevel="2" x14ac:dyDescent="0.25">
      <c r="A53" s="26"/>
      <c r="B53" s="11" t="str">
        <f>CONCATENATE("          ", "6007", " - ", "STUDENT HOURLY")</f>
        <v xml:space="preserve">          6007 - STUDENT HOURLY</v>
      </c>
      <c r="C53" s="11"/>
      <c r="D53" s="7"/>
      <c r="E53" s="2"/>
      <c r="F53" s="6">
        <f t="shared" si="23"/>
        <v>0</v>
      </c>
      <c r="G53" s="2"/>
      <c r="H53" s="7">
        <v>19861.3125</v>
      </c>
      <c r="I53" s="2"/>
      <c r="J53" s="6">
        <f t="shared" si="24"/>
        <v>1.4970123913682513E-2</v>
      </c>
      <c r="K53" s="2"/>
      <c r="L53" s="7">
        <f t="shared" si="25"/>
        <v>-19861.3125</v>
      </c>
      <c r="M53" s="2"/>
      <c r="N53" s="6">
        <f t="shared" si="26"/>
        <v>-1</v>
      </c>
      <c r="O53" s="11"/>
      <c r="P53" s="7">
        <v>1410448.02</v>
      </c>
      <c r="Q53" s="2"/>
      <c r="R53" s="6">
        <f t="shared" si="27"/>
        <v>0.10226787860591956</v>
      </c>
      <c r="S53" s="2"/>
      <c r="T53" s="7">
        <v>456504.41749999998</v>
      </c>
      <c r="U53" s="2"/>
      <c r="V53" s="6">
        <f t="shared" si="28"/>
        <v>2.4775658582462879E-2</v>
      </c>
      <c r="W53" s="2"/>
      <c r="X53" s="7">
        <f t="shared" si="29"/>
        <v>953943.60250000004</v>
      </c>
      <c r="Y53" s="2"/>
      <c r="Z53" s="6">
        <f t="shared" si="30"/>
        <v>2.0896700358874405</v>
      </c>
    </row>
    <row r="54" spans="1:26" s="24" customFormat="1" hidden="1" outlineLevel="2" x14ac:dyDescent="0.25">
      <c r="A54" s="26"/>
      <c r="B54" s="11" t="str">
        <f>CONCATENATE("          ", "6008", " - ", "STUDENT HOURLY-FICA EXEMPT")</f>
        <v xml:space="preserve">          6008 - STUDENT HOURLY-FICA EXEMPT</v>
      </c>
      <c r="C54" s="11"/>
      <c r="D54" s="7"/>
      <c r="E54" s="2"/>
      <c r="F54" s="6">
        <f t="shared" si="23"/>
        <v>0</v>
      </c>
      <c r="G54" s="2"/>
      <c r="H54" s="7">
        <v>121029.42860000001</v>
      </c>
      <c r="I54" s="2"/>
      <c r="J54" s="6">
        <f t="shared" si="24"/>
        <v>9.1223857604787725E-2</v>
      </c>
      <c r="K54" s="2"/>
      <c r="L54" s="7">
        <f t="shared" si="25"/>
        <v>-121029.42860000001</v>
      </c>
      <c r="M54" s="2"/>
      <c r="N54" s="6">
        <f t="shared" si="26"/>
        <v>-1</v>
      </c>
      <c r="O54" s="11"/>
      <c r="P54" s="7">
        <v>208908.99000000002</v>
      </c>
      <c r="Q54" s="2"/>
      <c r="R54" s="6">
        <f t="shared" si="27"/>
        <v>1.5147441753298548E-2</v>
      </c>
      <c r="S54" s="2"/>
      <c r="T54" s="7">
        <v>1413739.4818000002</v>
      </c>
      <c r="U54" s="2"/>
      <c r="V54" s="6">
        <f t="shared" si="28"/>
        <v>7.6727245964985202E-2</v>
      </c>
      <c r="W54" s="2"/>
      <c r="X54" s="7">
        <f t="shared" si="29"/>
        <v>-1204830.4918000002</v>
      </c>
      <c r="Y54" s="2"/>
      <c r="Z54" s="6">
        <f t="shared" si="30"/>
        <v>-0.85222950006742892</v>
      </c>
    </row>
    <row r="55" spans="1:26" s="24" customFormat="1" hidden="1" outlineLevel="2" x14ac:dyDescent="0.25">
      <c r="A55" s="26"/>
      <c r="B55" s="11" t="str">
        <f>CONCATENATE("          ", "6009", " - ", "TEMPORARY-SEASONAL")</f>
        <v xml:space="preserve">          6009 - TEMPORARY-SEASONAL</v>
      </c>
      <c r="C55" s="11"/>
      <c r="D55" s="7"/>
      <c r="E55" s="2"/>
      <c r="F55" s="6">
        <f t="shared" si="23"/>
        <v>0</v>
      </c>
      <c r="G55" s="2"/>
      <c r="H55" s="7">
        <v>0</v>
      </c>
      <c r="I55" s="2"/>
      <c r="J55" s="6">
        <f t="shared" si="24"/>
        <v>0</v>
      </c>
      <c r="K55" s="2"/>
      <c r="L55" s="7">
        <f t="shared" si="25"/>
        <v>0</v>
      </c>
      <c r="M55" s="2"/>
      <c r="N55" s="6">
        <f t="shared" si="26"/>
        <v>0</v>
      </c>
      <c r="O55" s="11"/>
      <c r="P55" s="7"/>
      <c r="Q55" s="2"/>
      <c r="R55" s="6">
        <f t="shared" si="27"/>
        <v>0</v>
      </c>
      <c r="S55" s="2"/>
      <c r="T55" s="7">
        <v>0</v>
      </c>
      <c r="U55" s="2"/>
      <c r="V55" s="6">
        <f t="shared" si="28"/>
        <v>0</v>
      </c>
      <c r="W55" s="2"/>
      <c r="X55" s="7">
        <f t="shared" si="29"/>
        <v>0</v>
      </c>
      <c r="Y55" s="2"/>
      <c r="Z55" s="6">
        <f t="shared" si="30"/>
        <v>0</v>
      </c>
    </row>
    <row r="56" spans="1:26" s="24" customFormat="1" hidden="1" outlineLevel="2" x14ac:dyDescent="0.25">
      <c r="A56" s="26"/>
      <c r="B56" s="11" t="str">
        <f>CONCATENATE("          ", "6010", " - ", "GRATUITY")</f>
        <v xml:space="preserve">          6010 - GRATUITY</v>
      </c>
      <c r="C56" s="11"/>
      <c r="D56" s="7"/>
      <c r="E56" s="2"/>
      <c r="F56" s="6">
        <f t="shared" si="23"/>
        <v>0</v>
      </c>
      <c r="G56" s="2"/>
      <c r="H56" s="7">
        <v>0</v>
      </c>
      <c r="I56" s="2"/>
      <c r="J56" s="6">
        <f t="shared" si="24"/>
        <v>0</v>
      </c>
      <c r="K56" s="2"/>
      <c r="L56" s="7">
        <f t="shared" si="25"/>
        <v>0</v>
      </c>
      <c r="M56" s="2"/>
      <c r="N56" s="6">
        <f t="shared" si="26"/>
        <v>0</v>
      </c>
      <c r="O56" s="11"/>
      <c r="P56" s="7"/>
      <c r="Q56" s="2"/>
      <c r="R56" s="6">
        <f t="shared" si="27"/>
        <v>0</v>
      </c>
      <c r="S56" s="2"/>
      <c r="T56" s="7">
        <v>0</v>
      </c>
      <c r="U56" s="2"/>
      <c r="V56" s="6">
        <f t="shared" si="28"/>
        <v>0</v>
      </c>
      <c r="W56" s="2"/>
      <c r="X56" s="7">
        <f t="shared" si="29"/>
        <v>0</v>
      </c>
      <c r="Y56" s="2"/>
      <c r="Z56" s="6">
        <f t="shared" si="30"/>
        <v>0</v>
      </c>
    </row>
    <row r="57" spans="1:26" s="27" customFormat="1" outlineLevel="1" collapsed="1" x14ac:dyDescent="0.25">
      <c r="A57" s="25"/>
      <c r="B57" s="12" t="str">
        <f>CONCATENATE("     ","Advertising/Promo                                 ")</f>
        <v xml:space="preserve">     Advertising/Promo                                 </v>
      </c>
      <c r="C57" s="12"/>
      <c r="D57" s="1">
        <f>SUM(OSRRefD22_2x_0)</f>
        <v>109.76</v>
      </c>
      <c r="E57" s="1"/>
      <c r="F57" s="5">
        <f t="shared" ref="F57:F61" si="31">IF(D$12=0,0,D57/D$12)</f>
        <v>8.9551620194086177E-4</v>
      </c>
      <c r="G57" s="1"/>
      <c r="H57" s="1">
        <f>SUM(OSRRefH22_2x_0)</f>
        <v>3250</v>
      </c>
      <c r="I57" s="1"/>
      <c r="J57" s="5">
        <f t="shared" ref="J57:J61" si="32">IF(H$12=0,0,H57/H$12)</f>
        <v>2.4496318014969134E-3</v>
      </c>
      <c r="K57" s="1"/>
      <c r="L57" s="1">
        <f t="shared" ref="L57:L61" si="33">+D57-H57</f>
        <v>-3140.24</v>
      </c>
      <c r="M57" s="1"/>
      <c r="N57" s="5">
        <f t="shared" ref="N57:N61" si="34">IF(H57=0,0,L57/H57)</f>
        <v>-0.96622769230769223</v>
      </c>
      <c r="O57" s="12"/>
      <c r="P57" s="1">
        <f>SUM(OSRRefP22_2x_0)</f>
        <v>36981.440000000002</v>
      </c>
      <c r="Q57" s="1"/>
      <c r="R57" s="5">
        <f t="shared" ref="R57:R61" si="35">IF(P$12=0,0,P57/P$12)</f>
        <v>2.6814270096902244E-3</v>
      </c>
      <c r="S57" s="1"/>
      <c r="T57" s="1">
        <f>SUM(OSRRefT22_2x_0)</f>
        <v>39385</v>
      </c>
      <c r="U57" s="1"/>
      <c r="V57" s="5">
        <f t="shared" ref="V57:V61" si="36">IF(T$12=0,0,T57/T$12)</f>
        <v>2.1375243609122367E-3</v>
      </c>
      <c r="W57" s="1"/>
      <c r="X57" s="1">
        <f t="shared" ref="X57:X61" si="37">+P57-T57</f>
        <v>-2403.5599999999977</v>
      </c>
      <c r="Y57" s="1"/>
      <c r="Z57" s="5">
        <f t="shared" ref="Z57:Z61" si="38">IF(T57=0,0,X57/T57)</f>
        <v>-6.1027294655325574E-2</v>
      </c>
    </row>
    <row r="58" spans="1:26" s="24" customFormat="1" hidden="1" outlineLevel="2" x14ac:dyDescent="0.25">
      <c r="A58" s="26"/>
      <c r="B58" s="11" t="str">
        <f>CONCATENATE("          ", "6362", " - ", "ADVERTISING EXPENSE")</f>
        <v xml:space="preserve">          6362 - ADVERTISING EXPENSE</v>
      </c>
      <c r="C58" s="11"/>
      <c r="D58" s="7">
        <v>109.76</v>
      </c>
      <c r="E58" s="2"/>
      <c r="F58" s="6">
        <f t="shared" si="31"/>
        <v>8.9551620194086177E-4</v>
      </c>
      <c r="G58" s="2"/>
      <c r="H58" s="7">
        <v>3250</v>
      </c>
      <c r="I58" s="2"/>
      <c r="J58" s="6">
        <f t="shared" si="32"/>
        <v>2.4496318014969134E-3</v>
      </c>
      <c r="K58" s="2"/>
      <c r="L58" s="7">
        <f t="shared" si="33"/>
        <v>-3140.24</v>
      </c>
      <c r="M58" s="2"/>
      <c r="N58" s="6">
        <f t="shared" si="34"/>
        <v>-0.96622769230769223</v>
      </c>
      <c r="O58" s="11"/>
      <c r="P58" s="7">
        <v>36981.440000000002</v>
      </c>
      <c r="Q58" s="2"/>
      <c r="R58" s="6">
        <f t="shared" si="35"/>
        <v>2.6814270096902244E-3</v>
      </c>
      <c r="S58" s="2"/>
      <c r="T58" s="7">
        <v>39385</v>
      </c>
      <c r="U58" s="2"/>
      <c r="V58" s="6">
        <f t="shared" si="36"/>
        <v>2.1375243609122367E-3</v>
      </c>
      <c r="W58" s="2"/>
      <c r="X58" s="7">
        <f t="shared" si="37"/>
        <v>-2403.5599999999977</v>
      </c>
      <c r="Y58" s="2"/>
      <c r="Z58" s="6">
        <f t="shared" si="38"/>
        <v>-6.1027294655325574E-2</v>
      </c>
    </row>
    <row r="59" spans="1:26" s="27" customFormat="1" outlineLevel="1" collapsed="1" x14ac:dyDescent="0.25">
      <c r="A59" s="25"/>
      <c r="B59" s="12" t="str">
        <f>CONCATENATE("     ","Bad Debts/Over/Short                              ")</f>
        <v xml:space="preserve">     Bad Debts/Over/Short                              </v>
      </c>
      <c r="C59" s="12"/>
      <c r="D59" s="1">
        <f>SUM(OSRRefD22_3x_0)</f>
        <v>0</v>
      </c>
      <c r="E59" s="1"/>
      <c r="F59" s="5">
        <f t="shared" si="31"/>
        <v>0</v>
      </c>
      <c r="G59" s="1"/>
      <c r="H59" s="1">
        <f>SUM(OSRRefH22_3x_0)</f>
        <v>282</v>
      </c>
      <c r="I59" s="1"/>
      <c r="J59" s="5">
        <f t="shared" si="32"/>
        <v>2.1255266708373219E-4</v>
      </c>
      <c r="K59" s="1"/>
      <c r="L59" s="1">
        <f t="shared" si="33"/>
        <v>-282</v>
      </c>
      <c r="M59" s="1"/>
      <c r="N59" s="5">
        <f t="shared" si="34"/>
        <v>-1</v>
      </c>
      <c r="O59" s="12"/>
      <c r="P59" s="1">
        <f>SUM(OSRRefP22_3x_0)</f>
        <v>-197.1</v>
      </c>
      <c r="Q59" s="1"/>
      <c r="R59" s="5">
        <f t="shared" si="35"/>
        <v>-1.4291202928007757E-5</v>
      </c>
      <c r="S59" s="1"/>
      <c r="T59" s="1">
        <f>SUM(OSRRefT22_3x_0)</f>
        <v>2839</v>
      </c>
      <c r="U59" s="1"/>
      <c r="V59" s="5">
        <f t="shared" si="36"/>
        <v>1.5407976794794569E-4</v>
      </c>
      <c r="W59" s="1"/>
      <c r="X59" s="1">
        <f t="shared" si="37"/>
        <v>-3036.1</v>
      </c>
      <c r="Y59" s="1"/>
      <c r="Z59" s="5">
        <f t="shared" si="38"/>
        <v>-1.0694258541740049</v>
      </c>
    </row>
    <row r="60" spans="1:26" s="24" customFormat="1" hidden="1" outlineLevel="2" x14ac:dyDescent="0.25">
      <c r="A60" s="26"/>
      <c r="B60" s="11" t="str">
        <f>CONCATENATE("          ", "6272", " - ", "CASH (OVER/SHORT)")</f>
        <v xml:space="preserve">          6272 - CASH (OVER/SHORT)</v>
      </c>
      <c r="C60" s="11"/>
      <c r="D60" s="7"/>
      <c r="E60" s="2"/>
      <c r="F60" s="6">
        <f t="shared" si="31"/>
        <v>0</v>
      </c>
      <c r="G60" s="2"/>
      <c r="H60" s="7">
        <v>232</v>
      </c>
      <c r="I60" s="2"/>
      <c r="J60" s="6">
        <f t="shared" si="32"/>
        <v>1.7486602398377967E-4</v>
      </c>
      <c r="K60" s="2"/>
      <c r="L60" s="7">
        <f t="shared" si="33"/>
        <v>-232</v>
      </c>
      <c r="M60" s="2"/>
      <c r="N60" s="6">
        <f t="shared" si="34"/>
        <v>-1</v>
      </c>
      <c r="O60" s="11"/>
      <c r="P60" s="7">
        <v>-197.1</v>
      </c>
      <c r="Q60" s="2"/>
      <c r="R60" s="6">
        <f t="shared" si="35"/>
        <v>-1.4291202928007757E-5</v>
      </c>
      <c r="S60" s="2"/>
      <c r="T60" s="7">
        <v>2339</v>
      </c>
      <c r="U60" s="2"/>
      <c r="V60" s="6">
        <f t="shared" si="36"/>
        <v>1.2694349321248501E-4</v>
      </c>
      <c r="W60" s="2"/>
      <c r="X60" s="7">
        <f t="shared" si="37"/>
        <v>-2536.1</v>
      </c>
      <c r="Y60" s="2"/>
      <c r="Z60" s="6">
        <f t="shared" si="38"/>
        <v>-1.0842667806755024</v>
      </c>
    </row>
    <row r="61" spans="1:26" s="24" customFormat="1" hidden="1" outlineLevel="2" x14ac:dyDescent="0.25">
      <c r="A61" s="26"/>
      <c r="B61" s="11" t="str">
        <f>CONCATENATE("          ", "6342", " - ", "BAD DEBT")</f>
        <v xml:space="preserve">          6342 - BAD DEBT</v>
      </c>
      <c r="C61" s="11"/>
      <c r="D61" s="7"/>
      <c r="E61" s="2"/>
      <c r="F61" s="6">
        <f t="shared" si="31"/>
        <v>0</v>
      </c>
      <c r="G61" s="2"/>
      <c r="H61" s="7">
        <v>50</v>
      </c>
      <c r="I61" s="2"/>
      <c r="J61" s="6">
        <f t="shared" si="32"/>
        <v>3.7686643099952514E-5</v>
      </c>
      <c r="K61" s="2"/>
      <c r="L61" s="7">
        <f t="shared" si="33"/>
        <v>-50</v>
      </c>
      <c r="M61" s="2"/>
      <c r="N61" s="6">
        <f t="shared" si="34"/>
        <v>-1</v>
      </c>
      <c r="O61" s="11"/>
      <c r="P61" s="7"/>
      <c r="Q61" s="2"/>
      <c r="R61" s="6">
        <f t="shared" si="35"/>
        <v>0</v>
      </c>
      <c r="S61" s="2"/>
      <c r="T61" s="7">
        <v>500</v>
      </c>
      <c r="U61" s="2"/>
      <c r="V61" s="6">
        <f t="shared" si="36"/>
        <v>2.7136274735460668E-5</v>
      </c>
      <c r="W61" s="2"/>
      <c r="X61" s="7">
        <f t="shared" si="37"/>
        <v>-500</v>
      </c>
      <c r="Y61" s="2"/>
      <c r="Z61" s="6">
        <f t="shared" si="38"/>
        <v>-1</v>
      </c>
    </row>
    <row r="62" spans="1:26" s="27" customFormat="1" outlineLevel="1" collapsed="1" x14ac:dyDescent="0.25">
      <c r="A62" s="25"/>
      <c r="B62" s="12" t="str">
        <f>CONCATENATE("     ","Bank/card Fees                                    ")</f>
        <v xml:space="preserve">     Bank/card Fees                                    </v>
      </c>
      <c r="C62" s="12"/>
      <c r="D62" s="1">
        <f>SUM(OSRRefD22_4x_0)</f>
        <v>282</v>
      </c>
      <c r="E62" s="1"/>
      <c r="F62" s="5">
        <f t="shared" ref="F62:F68" si="39">IF(D$12=0,0,D62/D$12)</f>
        <v>2.3007978220419369E-3</v>
      </c>
      <c r="G62" s="1"/>
      <c r="H62" s="1">
        <f>SUM(OSRRefH22_4x_0)</f>
        <v>9776</v>
      </c>
      <c r="I62" s="1"/>
      <c r="J62" s="5">
        <f t="shared" ref="J62:J68" si="40">IF(H$12=0,0,H62/H$12)</f>
        <v>7.3684924589027161E-3</v>
      </c>
      <c r="K62" s="1"/>
      <c r="L62" s="1">
        <f t="shared" ref="L62:L68" si="41">+D62-H62</f>
        <v>-9494</v>
      </c>
      <c r="M62" s="1"/>
      <c r="N62" s="5">
        <f t="shared" ref="N62:N68" si="42">IF(H62=0,0,L62/H62)</f>
        <v>-0.97115384615384615</v>
      </c>
      <c r="O62" s="12"/>
      <c r="P62" s="1">
        <f>SUM(OSRRefP22_4x_0)</f>
        <v>152526.37</v>
      </c>
      <c r="Q62" s="1"/>
      <c r="R62" s="5">
        <f t="shared" ref="R62:R68" si="43">IF(P$12=0,0,P62/P$12)</f>
        <v>1.105928617728257E-2</v>
      </c>
      <c r="S62" s="1"/>
      <c r="T62" s="1">
        <f>SUM(OSRRefT22_4x_0)</f>
        <v>117062</v>
      </c>
      <c r="U62" s="1"/>
      <c r="V62" s="5">
        <f t="shared" ref="V62:V68" si="44">IF(T$12=0,0,T62/T$12)</f>
        <v>6.3532531861649937E-3</v>
      </c>
      <c r="W62" s="1"/>
      <c r="X62" s="1">
        <f t="shared" ref="X62:X68" si="45">+P62-T62</f>
        <v>35464.369999999995</v>
      </c>
      <c r="Y62" s="1"/>
      <c r="Z62" s="5">
        <f t="shared" ref="Z62:Z68" si="46">IF(T62=0,0,X62/T62)</f>
        <v>0.30295373391877806</v>
      </c>
    </row>
    <row r="63" spans="1:26" s="24" customFormat="1" hidden="1" outlineLevel="2" x14ac:dyDescent="0.25">
      <c r="A63" s="26"/>
      <c r="B63" s="11" t="str">
        <f>CONCATENATE("          ", "6381", " - ", "BANK/CREDIT CARD FEES")</f>
        <v xml:space="preserve">          6381 - BANK/CREDIT CARD FEES</v>
      </c>
      <c r="C63" s="11"/>
      <c r="D63" s="7">
        <v>282</v>
      </c>
      <c r="E63" s="2"/>
      <c r="F63" s="6">
        <f t="shared" si="39"/>
        <v>2.3007978220419369E-3</v>
      </c>
      <c r="G63" s="2"/>
      <c r="H63" s="7">
        <v>9776</v>
      </c>
      <c r="I63" s="2"/>
      <c r="J63" s="6">
        <f t="shared" si="40"/>
        <v>7.3684924589027161E-3</v>
      </c>
      <c r="K63" s="2"/>
      <c r="L63" s="7">
        <f t="shared" si="41"/>
        <v>-9494</v>
      </c>
      <c r="M63" s="2"/>
      <c r="N63" s="6">
        <f t="shared" si="42"/>
        <v>-0.97115384615384615</v>
      </c>
      <c r="O63" s="11"/>
      <c r="P63" s="7">
        <v>152526.37</v>
      </c>
      <c r="Q63" s="2"/>
      <c r="R63" s="6">
        <f t="shared" si="43"/>
        <v>1.105928617728257E-2</v>
      </c>
      <c r="S63" s="2"/>
      <c r="T63" s="7">
        <v>117062</v>
      </c>
      <c r="U63" s="2"/>
      <c r="V63" s="6">
        <f t="shared" si="44"/>
        <v>6.3532531861649937E-3</v>
      </c>
      <c r="W63" s="2"/>
      <c r="X63" s="7">
        <f t="shared" si="45"/>
        <v>35464.369999999995</v>
      </c>
      <c r="Y63" s="2"/>
      <c r="Z63" s="6">
        <f t="shared" si="46"/>
        <v>0.30295373391877806</v>
      </c>
    </row>
    <row r="64" spans="1:26" s="27" customFormat="1" outlineLevel="1" collapsed="1" x14ac:dyDescent="0.25">
      <c r="A64" s="25"/>
      <c r="B64" s="12" t="str">
        <f>CONCATENATE("     ","Depreciation                                      ")</f>
        <v xml:space="preserve">     Depreciation                                      </v>
      </c>
      <c r="C64" s="12"/>
      <c r="D64" s="1">
        <f>SUM(OSRRefD22_5x_0)</f>
        <v>37930.21</v>
      </c>
      <c r="E64" s="1"/>
      <c r="F64" s="5">
        <f t="shared" si="39"/>
        <v>0.30946717928224571</v>
      </c>
      <c r="G64" s="1"/>
      <c r="H64" s="1">
        <f>SUM(OSRRefH22_5x_0)</f>
        <v>44988</v>
      </c>
      <c r="I64" s="1"/>
      <c r="J64" s="5">
        <f t="shared" si="40"/>
        <v>3.3908933995613275E-2</v>
      </c>
      <c r="K64" s="1"/>
      <c r="L64" s="1">
        <f t="shared" si="41"/>
        <v>-7057.7900000000009</v>
      </c>
      <c r="M64" s="1"/>
      <c r="N64" s="5">
        <f t="shared" si="42"/>
        <v>-0.15688161287454433</v>
      </c>
      <c r="O64" s="12"/>
      <c r="P64" s="1">
        <f>SUM(OSRRefP22_5x_0)</f>
        <v>440249.36</v>
      </c>
      <c r="Q64" s="1"/>
      <c r="R64" s="5">
        <f t="shared" si="43"/>
        <v>3.1921323910124512E-2</v>
      </c>
      <c r="S64" s="1"/>
      <c r="T64" s="1">
        <f>SUM(OSRRefT22_5x_0)</f>
        <v>476666</v>
      </c>
      <c r="U64" s="1"/>
      <c r="V64" s="5">
        <f t="shared" si="44"/>
        <v>2.5869879066106192E-2</v>
      </c>
      <c r="W64" s="1"/>
      <c r="X64" s="1">
        <f t="shared" si="45"/>
        <v>-36416.640000000014</v>
      </c>
      <c r="Y64" s="1"/>
      <c r="Z64" s="5">
        <f t="shared" si="46"/>
        <v>-7.6398652305807446E-2</v>
      </c>
    </row>
    <row r="65" spans="1:26" s="24" customFormat="1" hidden="1" outlineLevel="2" x14ac:dyDescent="0.25">
      <c r="A65" s="26"/>
      <c r="B65" s="11" t="str">
        <f>CONCATENATE("          ", "6321", " - ", "BUILDING DEPRECIATION")</f>
        <v xml:space="preserve">          6321 - BUILDING DEPRECIATION</v>
      </c>
      <c r="C65" s="11"/>
      <c r="D65" s="7">
        <v>24042.959999999999</v>
      </c>
      <c r="E65" s="2"/>
      <c r="F65" s="6">
        <f t="shared" si="39"/>
        <v>0.19616308511858654</v>
      </c>
      <c r="G65" s="2"/>
      <c r="H65" s="7">
        <v>23037</v>
      </c>
      <c r="I65" s="2"/>
      <c r="J65" s="6">
        <f t="shared" si="40"/>
        <v>1.7363743941872123E-2</v>
      </c>
      <c r="K65" s="2"/>
      <c r="L65" s="7">
        <f t="shared" si="41"/>
        <v>1005.9599999999991</v>
      </c>
      <c r="M65" s="2"/>
      <c r="N65" s="6">
        <f t="shared" si="42"/>
        <v>4.3667144159395717E-2</v>
      </c>
      <c r="O65" s="11"/>
      <c r="P65" s="7">
        <v>264472.56</v>
      </c>
      <c r="Q65" s="2"/>
      <c r="R65" s="6">
        <f t="shared" si="43"/>
        <v>1.9176210166665184E-2</v>
      </c>
      <c r="S65" s="2"/>
      <c r="T65" s="7">
        <v>253653.00000000003</v>
      </c>
      <c r="U65" s="2"/>
      <c r="V65" s="6">
        <f t="shared" si="44"/>
        <v>1.3766394990947612E-2</v>
      </c>
      <c r="W65" s="2"/>
      <c r="X65" s="7">
        <f t="shared" si="45"/>
        <v>10819.559999999969</v>
      </c>
      <c r="Y65" s="2"/>
      <c r="Z65" s="6">
        <f t="shared" si="46"/>
        <v>4.2654965642038405E-2</v>
      </c>
    </row>
    <row r="66" spans="1:26" s="24" customFormat="1" hidden="1" outlineLevel="2" x14ac:dyDescent="0.25">
      <c r="A66" s="26"/>
      <c r="B66" s="11" t="str">
        <f>CONCATENATE("          ", "6322", " - ", "EQUIPMENT DEPRECIATION EXPENSE")</f>
        <v xml:space="preserve">          6322 - EQUIPMENT DEPRECIATION EXPENSE</v>
      </c>
      <c r="C66" s="11"/>
      <c r="D66" s="7">
        <v>13887.25</v>
      </c>
      <c r="E66" s="2"/>
      <c r="F66" s="6">
        <f t="shared" si="39"/>
        <v>0.11330409416365918</v>
      </c>
      <c r="G66" s="2"/>
      <c r="H66" s="7">
        <v>15301</v>
      </c>
      <c r="I66" s="2"/>
      <c r="J66" s="6">
        <f t="shared" si="40"/>
        <v>1.1532866521447468E-2</v>
      </c>
      <c r="K66" s="2"/>
      <c r="L66" s="7">
        <f t="shared" si="41"/>
        <v>-1413.75</v>
      </c>
      <c r="M66" s="2"/>
      <c r="N66" s="6">
        <f t="shared" si="42"/>
        <v>-9.2395921835174172E-2</v>
      </c>
      <c r="O66" s="11"/>
      <c r="P66" s="7">
        <v>171534.32</v>
      </c>
      <c r="Q66" s="2"/>
      <c r="R66" s="6">
        <f t="shared" si="43"/>
        <v>1.2437502669902688E-2</v>
      </c>
      <c r="S66" s="2"/>
      <c r="T66" s="7">
        <v>168311</v>
      </c>
      <c r="U66" s="2"/>
      <c r="V66" s="6">
        <f t="shared" si="44"/>
        <v>9.1346670740002408E-3</v>
      </c>
      <c r="W66" s="2"/>
      <c r="X66" s="7">
        <f t="shared" si="45"/>
        <v>3223.320000000007</v>
      </c>
      <c r="Y66" s="2"/>
      <c r="Z66" s="6">
        <f t="shared" si="46"/>
        <v>1.9150976466184664E-2</v>
      </c>
    </row>
    <row r="67" spans="1:26" s="24" customFormat="1" hidden="1" outlineLevel="2" x14ac:dyDescent="0.25">
      <c r="A67" s="26"/>
      <c r="B67" s="11" t="str">
        <f>CONCATENATE("          ", "6324", " - ", "FURNITURE + FIXT DEPRECIATION")</f>
        <v xml:space="preserve">          6324 - FURNITURE + FIXT DEPRECIATION</v>
      </c>
      <c r="C67" s="11"/>
      <c r="D67" s="7"/>
      <c r="E67" s="2"/>
      <c r="F67" s="6">
        <f t="shared" si="39"/>
        <v>0</v>
      </c>
      <c r="G67" s="2"/>
      <c r="H67" s="7">
        <v>4476</v>
      </c>
      <c r="I67" s="2"/>
      <c r="J67" s="6">
        <f t="shared" si="40"/>
        <v>3.3737082903077492E-3</v>
      </c>
      <c r="K67" s="2"/>
      <c r="L67" s="7">
        <f t="shared" si="41"/>
        <v>-4476</v>
      </c>
      <c r="M67" s="2"/>
      <c r="N67" s="6">
        <f t="shared" si="42"/>
        <v>-1</v>
      </c>
      <c r="O67" s="11"/>
      <c r="P67" s="7"/>
      <c r="Q67" s="2"/>
      <c r="R67" s="6">
        <f t="shared" si="43"/>
        <v>0</v>
      </c>
      <c r="S67" s="2"/>
      <c r="T67" s="7">
        <v>36038</v>
      </c>
      <c r="U67" s="2"/>
      <c r="V67" s="6">
        <f t="shared" si="44"/>
        <v>1.9558741378330633E-3</v>
      </c>
      <c r="W67" s="2"/>
      <c r="X67" s="7">
        <f t="shared" si="45"/>
        <v>-36038</v>
      </c>
      <c r="Y67" s="2"/>
      <c r="Z67" s="6">
        <f t="shared" si="46"/>
        <v>-1</v>
      </c>
    </row>
    <row r="68" spans="1:26" s="24" customFormat="1" hidden="1" outlineLevel="2" x14ac:dyDescent="0.25">
      <c r="A68" s="26"/>
      <c r="B68" s="11" t="str">
        <f>CONCATENATE("          ", "6326", " - ", "VEHICLES DEPRECIATION EXPENSE")</f>
        <v xml:space="preserve">          6326 - VEHICLES DEPRECIATION EXPENSE</v>
      </c>
      <c r="C68" s="11"/>
      <c r="D68" s="7"/>
      <c r="E68" s="2"/>
      <c r="F68" s="6">
        <f t="shared" si="39"/>
        <v>0</v>
      </c>
      <c r="G68" s="2"/>
      <c r="H68" s="7">
        <v>2174</v>
      </c>
      <c r="I68" s="2"/>
      <c r="J68" s="6">
        <f t="shared" si="40"/>
        <v>1.6386152419859354E-3</v>
      </c>
      <c r="K68" s="2"/>
      <c r="L68" s="7">
        <f t="shared" si="41"/>
        <v>-2174</v>
      </c>
      <c r="M68" s="2"/>
      <c r="N68" s="6">
        <f t="shared" si="42"/>
        <v>-1</v>
      </c>
      <c r="O68" s="11"/>
      <c r="P68" s="7">
        <v>4242.4799999999996</v>
      </c>
      <c r="Q68" s="2"/>
      <c r="R68" s="6">
        <f t="shared" si="43"/>
        <v>3.0761107355664304E-4</v>
      </c>
      <c r="S68" s="2"/>
      <c r="T68" s="7">
        <v>18664</v>
      </c>
      <c r="U68" s="2"/>
      <c r="V68" s="6">
        <f t="shared" si="44"/>
        <v>1.0129428633252758E-3</v>
      </c>
      <c r="W68" s="2"/>
      <c r="X68" s="7">
        <f t="shared" si="45"/>
        <v>-14421.52</v>
      </c>
      <c r="Y68" s="2"/>
      <c r="Z68" s="6">
        <f t="shared" si="46"/>
        <v>-0.77269181311615942</v>
      </c>
    </row>
    <row r="69" spans="1:26" s="27" customFormat="1" outlineLevel="1" collapsed="1" x14ac:dyDescent="0.25">
      <c r="A69" s="25"/>
      <c r="B69" s="12" t="str">
        <f>CONCATENATE("     ","Discounts and Markdowns                           ")</f>
        <v xml:space="preserve">     Discounts and Markdowns                           </v>
      </c>
      <c r="C69" s="12"/>
      <c r="D69" s="1">
        <f>SUM(OSRRefD22_6x_0)</f>
        <v>0</v>
      </c>
      <c r="E69" s="1"/>
      <c r="F69" s="5">
        <f t="shared" ref="F69:F73" si="47">IF(D$12=0,0,D69/D$12)</f>
        <v>0</v>
      </c>
      <c r="G69" s="1"/>
      <c r="H69" s="1">
        <f>SUM(OSRRefH22_6x_0)</f>
        <v>0</v>
      </c>
      <c r="I69" s="1"/>
      <c r="J69" s="5">
        <f t="shared" ref="J69:J73" si="48">IF(H$12=0,0,H69/H$12)</f>
        <v>0</v>
      </c>
      <c r="K69" s="1"/>
      <c r="L69" s="1">
        <f t="shared" ref="L69:L73" si="49">+D69-H69</f>
        <v>0</v>
      </c>
      <c r="M69" s="1"/>
      <c r="N69" s="5">
        <f t="shared" ref="N69:N73" si="50">IF(H69=0,0,L69/H69)</f>
        <v>0</v>
      </c>
      <c r="O69" s="12"/>
      <c r="P69" s="1">
        <f>SUM(OSRRefP22_6x_0)</f>
        <v>0.09</v>
      </c>
      <c r="Q69" s="1"/>
      <c r="R69" s="5">
        <f t="shared" ref="R69:R73" si="51">IF(P$12=0,0,P69/P$12)</f>
        <v>6.5256634374464649E-9</v>
      </c>
      <c r="S69" s="1"/>
      <c r="T69" s="1">
        <f>SUM(OSRRefT22_6x_0)</f>
        <v>0</v>
      </c>
      <c r="U69" s="1"/>
      <c r="V69" s="5">
        <f t="shared" ref="V69:V73" si="52">IF(T$12=0,0,T69/T$12)</f>
        <v>0</v>
      </c>
      <c r="W69" s="1"/>
      <c r="X69" s="1">
        <f t="shared" ref="X69:X73" si="53">+P69-T69</f>
        <v>0.09</v>
      </c>
      <c r="Y69" s="1"/>
      <c r="Z69" s="5">
        <f t="shared" ref="Z69:Z73" si="54">IF(T69=0,0,X69/T69)</f>
        <v>0</v>
      </c>
    </row>
    <row r="70" spans="1:26" s="24" customFormat="1" hidden="1" outlineLevel="2" x14ac:dyDescent="0.25">
      <c r="A70" s="26"/>
      <c r="B70" s="11" t="str">
        <f>CONCATENATE("          ", "6382", " - ", "DISCOUNTS/MARK DOWNS")</f>
        <v xml:space="preserve">          6382 - DISCOUNTS/MARK DOWNS</v>
      </c>
      <c r="C70" s="11"/>
      <c r="D70" s="7"/>
      <c r="E70" s="2"/>
      <c r="F70" s="6">
        <f t="shared" si="47"/>
        <v>0</v>
      </c>
      <c r="G70" s="2"/>
      <c r="H70" s="7"/>
      <c r="I70" s="2"/>
      <c r="J70" s="6">
        <f t="shared" si="48"/>
        <v>0</v>
      </c>
      <c r="K70" s="2"/>
      <c r="L70" s="7">
        <f t="shared" si="49"/>
        <v>0</v>
      </c>
      <c r="M70" s="2"/>
      <c r="N70" s="6">
        <f t="shared" si="50"/>
        <v>0</v>
      </c>
      <c r="O70" s="11"/>
      <c r="P70" s="7">
        <v>0.09</v>
      </c>
      <c r="Q70" s="2"/>
      <c r="R70" s="6">
        <f t="shared" si="51"/>
        <v>6.5256634374464649E-9</v>
      </c>
      <c r="S70" s="2"/>
      <c r="T70" s="7"/>
      <c r="U70" s="2"/>
      <c r="V70" s="6">
        <f t="shared" si="52"/>
        <v>0</v>
      </c>
      <c r="W70" s="2"/>
      <c r="X70" s="7">
        <f t="shared" si="53"/>
        <v>0.09</v>
      </c>
      <c r="Y70" s="2"/>
      <c r="Z70" s="6">
        <f t="shared" si="54"/>
        <v>0</v>
      </c>
    </row>
    <row r="71" spans="1:26" s="27" customFormat="1" outlineLevel="1" collapsed="1" x14ac:dyDescent="0.25">
      <c r="A71" s="25"/>
      <c r="B71" s="12" t="str">
        <f>CONCATENATE("     ","Donations                                         ")</f>
        <v xml:space="preserve">     Donations                                         </v>
      </c>
      <c r="C71" s="12"/>
      <c r="D71" s="1">
        <f>SUM(OSRRefD22_7x_0)</f>
        <v>17557.53</v>
      </c>
      <c r="E71" s="1"/>
      <c r="F71" s="5">
        <f t="shared" si="47"/>
        <v>0.14324938576041124</v>
      </c>
      <c r="G71" s="1"/>
      <c r="H71" s="1">
        <f>SUM(OSRRefH22_7x_0)</f>
        <v>10216</v>
      </c>
      <c r="I71" s="1"/>
      <c r="J71" s="5">
        <f t="shared" si="48"/>
        <v>7.7001349181822975E-3</v>
      </c>
      <c r="K71" s="1"/>
      <c r="L71" s="1">
        <f t="shared" si="49"/>
        <v>7341.5299999999988</v>
      </c>
      <c r="M71" s="1"/>
      <c r="N71" s="5">
        <f t="shared" si="50"/>
        <v>0.71863057948316356</v>
      </c>
      <c r="O71" s="12"/>
      <c r="P71" s="1">
        <f>SUM(OSRRefP22_7x_0)</f>
        <v>137938.06</v>
      </c>
      <c r="Q71" s="1"/>
      <c r="R71" s="5">
        <f t="shared" si="51"/>
        <v>1.0001526164158853E-2</v>
      </c>
      <c r="S71" s="1"/>
      <c r="T71" s="1">
        <f>SUM(OSRRefT22_7x_0)</f>
        <v>139408</v>
      </c>
      <c r="U71" s="1"/>
      <c r="V71" s="5">
        <f t="shared" si="52"/>
        <v>7.5660275766422022E-3</v>
      </c>
      <c r="W71" s="1"/>
      <c r="X71" s="1">
        <f t="shared" si="53"/>
        <v>-1469.9400000000023</v>
      </c>
      <c r="Y71" s="1"/>
      <c r="Z71" s="5">
        <f t="shared" si="54"/>
        <v>-1.0544158154481826E-2</v>
      </c>
    </row>
    <row r="72" spans="1:26" s="24" customFormat="1" hidden="1" outlineLevel="2" x14ac:dyDescent="0.25">
      <c r="A72" s="26"/>
      <c r="B72" s="11" t="str">
        <f>CONCATENATE("          ", "6396", " - ", "COUPONS-CHARTROOM")</f>
        <v xml:space="preserve">          6396 - COUPONS-CHARTROOM</v>
      </c>
      <c r="C72" s="11"/>
      <c r="D72" s="7"/>
      <c r="E72" s="2"/>
      <c r="F72" s="6">
        <f t="shared" si="47"/>
        <v>0</v>
      </c>
      <c r="G72" s="2"/>
      <c r="H72" s="7">
        <v>100</v>
      </c>
      <c r="I72" s="2"/>
      <c r="J72" s="6">
        <f t="shared" si="48"/>
        <v>7.5373286199905028E-5</v>
      </c>
      <c r="K72" s="2"/>
      <c r="L72" s="7">
        <f t="shared" si="49"/>
        <v>-100</v>
      </c>
      <c r="M72" s="2"/>
      <c r="N72" s="6">
        <f t="shared" si="50"/>
        <v>-1</v>
      </c>
      <c r="O72" s="11"/>
      <c r="P72" s="7"/>
      <c r="Q72" s="2"/>
      <c r="R72" s="6">
        <f t="shared" si="51"/>
        <v>0</v>
      </c>
      <c r="S72" s="2"/>
      <c r="T72" s="7">
        <v>1100</v>
      </c>
      <c r="U72" s="2"/>
      <c r="V72" s="6">
        <f t="shared" si="52"/>
        <v>5.9699804418013475E-5</v>
      </c>
      <c r="W72" s="2"/>
      <c r="X72" s="7">
        <f t="shared" si="53"/>
        <v>-1100</v>
      </c>
      <c r="Y72" s="2"/>
      <c r="Z72" s="6">
        <f t="shared" si="54"/>
        <v>-1</v>
      </c>
    </row>
    <row r="73" spans="1:26" s="24" customFormat="1" hidden="1" outlineLevel="2" x14ac:dyDescent="0.25">
      <c r="A73" s="26"/>
      <c r="B73" s="11" t="str">
        <f>CONCATENATE("          ", "6399", " - ", "DONATION-ON CAMPUS")</f>
        <v xml:space="preserve">          6399 - DONATION-ON CAMPUS</v>
      </c>
      <c r="C73" s="11"/>
      <c r="D73" s="7">
        <v>17557.53</v>
      </c>
      <c r="E73" s="2"/>
      <c r="F73" s="6">
        <f t="shared" si="47"/>
        <v>0.14324938576041124</v>
      </c>
      <c r="G73" s="2"/>
      <c r="H73" s="7">
        <v>10116</v>
      </c>
      <c r="I73" s="2"/>
      <c r="J73" s="6">
        <f t="shared" si="48"/>
        <v>7.6247616319823925E-3</v>
      </c>
      <c r="K73" s="2"/>
      <c r="L73" s="7">
        <f t="shared" si="49"/>
        <v>7441.5299999999988</v>
      </c>
      <c r="M73" s="2"/>
      <c r="N73" s="6">
        <f t="shared" si="50"/>
        <v>0.73561981020166067</v>
      </c>
      <c r="O73" s="11"/>
      <c r="P73" s="7">
        <v>137938.06</v>
      </c>
      <c r="Q73" s="2"/>
      <c r="R73" s="6">
        <f t="shared" si="51"/>
        <v>1.0001526164158853E-2</v>
      </c>
      <c r="S73" s="2"/>
      <c r="T73" s="7">
        <v>138308</v>
      </c>
      <c r="U73" s="2"/>
      <c r="V73" s="6">
        <f t="shared" si="52"/>
        <v>7.5063277722241884E-3</v>
      </c>
      <c r="W73" s="2"/>
      <c r="X73" s="7">
        <f t="shared" si="53"/>
        <v>-369.94000000000233</v>
      </c>
      <c r="Y73" s="2"/>
      <c r="Z73" s="6">
        <f t="shared" si="54"/>
        <v>-2.6747548948723309E-3</v>
      </c>
    </row>
    <row r="74" spans="1:26" s="27" customFormat="1" outlineLevel="1" collapsed="1" x14ac:dyDescent="0.25">
      <c r="A74" s="25"/>
      <c r="B74" s="12" t="str">
        <f>CONCATENATE("     ","Employees' Appreciation                           ")</f>
        <v xml:space="preserve">     Employees' Appreciation                           </v>
      </c>
      <c r="C74" s="12"/>
      <c r="D74" s="1">
        <f>SUM(OSRRefD22_8x_0)</f>
        <v>0</v>
      </c>
      <c r="E74" s="1"/>
      <c r="F74" s="5">
        <f t="shared" ref="F74:F82" si="55">IF(D$12=0,0,D74/D$12)</f>
        <v>0</v>
      </c>
      <c r="G74" s="1"/>
      <c r="H74" s="1">
        <f>SUM(OSRRefH22_8x_0)</f>
        <v>2115</v>
      </c>
      <c r="I74" s="1"/>
      <c r="J74" s="5">
        <f t="shared" ref="J74:J82" si="56">IF(H$12=0,0,H74/H$12)</f>
        <v>1.5941450031279913E-3</v>
      </c>
      <c r="K74" s="1"/>
      <c r="L74" s="1">
        <f t="shared" ref="L74:L82" si="57">+D74-H74</f>
        <v>-2115</v>
      </c>
      <c r="M74" s="1"/>
      <c r="N74" s="5">
        <f t="shared" ref="N74:N82" si="58">IF(H74=0,0,L74/H74)</f>
        <v>-1</v>
      </c>
      <c r="O74" s="12"/>
      <c r="P74" s="1">
        <f>SUM(OSRRefP22_8x_0)</f>
        <v>3471.24</v>
      </c>
      <c r="Q74" s="1"/>
      <c r="R74" s="5">
        <f t="shared" ref="R74:R82" si="59">IF(P$12=0,0,P74/P$12)</f>
        <v>2.5169048834001849E-4</v>
      </c>
      <c r="S74" s="1"/>
      <c r="T74" s="1">
        <f>SUM(OSRRefT22_8x_0)</f>
        <v>13490</v>
      </c>
      <c r="U74" s="1"/>
      <c r="V74" s="5">
        <f t="shared" ref="V74:V82" si="60">IF(T$12=0,0,T74/T$12)</f>
        <v>7.3213669236272887E-4</v>
      </c>
      <c r="W74" s="1"/>
      <c r="X74" s="1">
        <f t="shared" ref="X74:X82" si="61">+P74-T74</f>
        <v>-10018.76</v>
      </c>
      <c r="Y74" s="1"/>
      <c r="Z74" s="5">
        <f t="shared" ref="Z74:Z82" si="62">IF(T74=0,0,X74/T74)</f>
        <v>-0.74268050407709418</v>
      </c>
    </row>
    <row r="75" spans="1:26" s="24" customFormat="1" hidden="1" outlineLevel="2" x14ac:dyDescent="0.25">
      <c r="A75" s="26"/>
      <c r="B75" s="11" t="str">
        <f>CONCATENATE("          ", "6277", " - ", "EMPLOYEE APPRECIATION")</f>
        <v xml:space="preserve">          6277 - EMPLOYEE APPRECIATION</v>
      </c>
      <c r="C75" s="11"/>
      <c r="D75" s="7"/>
      <c r="E75" s="2"/>
      <c r="F75" s="6">
        <f t="shared" si="55"/>
        <v>0</v>
      </c>
      <c r="G75" s="2"/>
      <c r="H75" s="7">
        <v>2115</v>
      </c>
      <c r="I75" s="2"/>
      <c r="J75" s="6">
        <f t="shared" si="56"/>
        <v>1.5941450031279913E-3</v>
      </c>
      <c r="K75" s="2"/>
      <c r="L75" s="7">
        <f t="shared" si="57"/>
        <v>-2115</v>
      </c>
      <c r="M75" s="2"/>
      <c r="N75" s="6">
        <f t="shared" si="58"/>
        <v>-1</v>
      </c>
      <c r="O75" s="11"/>
      <c r="P75" s="7">
        <v>3471.24</v>
      </c>
      <c r="Q75" s="2"/>
      <c r="R75" s="6">
        <f t="shared" si="59"/>
        <v>2.5169048834001849E-4</v>
      </c>
      <c r="S75" s="2"/>
      <c r="T75" s="7">
        <v>13490</v>
      </c>
      <c r="U75" s="2"/>
      <c r="V75" s="6">
        <f t="shared" si="60"/>
        <v>7.3213669236272887E-4</v>
      </c>
      <c r="W75" s="2"/>
      <c r="X75" s="7">
        <f t="shared" si="61"/>
        <v>-10018.76</v>
      </c>
      <c r="Y75" s="2"/>
      <c r="Z75" s="6">
        <f t="shared" si="62"/>
        <v>-0.74268050407709418</v>
      </c>
    </row>
    <row r="76" spans="1:26" s="27" customFormat="1" outlineLevel="1" collapsed="1" x14ac:dyDescent="0.25">
      <c r="A76" s="25"/>
      <c r="B76" s="12" t="str">
        <f>CONCATENATE("     ","Equipment Rental                                  ")</f>
        <v xml:space="preserve">     Equipment Rental                                  </v>
      </c>
      <c r="C76" s="12"/>
      <c r="D76" s="1">
        <f>SUM(OSRRefD22_9x_0)</f>
        <v>1540.1</v>
      </c>
      <c r="E76" s="1"/>
      <c r="F76" s="5">
        <f t="shared" si="55"/>
        <v>1.2565456474208465E-2</v>
      </c>
      <c r="G76" s="1"/>
      <c r="H76" s="1">
        <f>SUM(OSRRefH22_9x_0)</f>
        <v>2730</v>
      </c>
      <c r="I76" s="1"/>
      <c r="J76" s="5">
        <f t="shared" si="56"/>
        <v>2.0576907132574072E-3</v>
      </c>
      <c r="K76" s="1"/>
      <c r="L76" s="1">
        <f t="shared" si="57"/>
        <v>-1189.9000000000001</v>
      </c>
      <c r="M76" s="1"/>
      <c r="N76" s="5">
        <f t="shared" si="58"/>
        <v>-0.43586080586080589</v>
      </c>
      <c r="O76" s="12"/>
      <c r="P76" s="1">
        <f>SUM(OSRRefP22_9x_0)</f>
        <v>31495.420000000002</v>
      </c>
      <c r="Q76" s="1"/>
      <c r="R76" s="5">
        <f t="shared" si="59"/>
        <v>2.2836501193446686E-3</v>
      </c>
      <c r="S76" s="1"/>
      <c r="T76" s="1">
        <f>SUM(OSRRefT22_9x_0)</f>
        <v>24866</v>
      </c>
      <c r="U76" s="1"/>
      <c r="V76" s="5">
        <f t="shared" si="60"/>
        <v>1.3495412151439299E-3</v>
      </c>
      <c r="W76" s="1"/>
      <c r="X76" s="1">
        <f t="shared" si="61"/>
        <v>6629.4200000000019</v>
      </c>
      <c r="Y76" s="1"/>
      <c r="Z76" s="5">
        <f t="shared" si="62"/>
        <v>0.26660580712619647</v>
      </c>
    </row>
    <row r="77" spans="1:26" s="24" customFormat="1" hidden="1" outlineLevel="2" x14ac:dyDescent="0.25">
      <c r="A77" s="26"/>
      <c r="B77" s="11" t="str">
        <f>CONCATENATE("          ", "6351", " - ", "EQUIPMENT RENTAL")</f>
        <v xml:space="preserve">          6351 - EQUIPMENT RENTAL</v>
      </c>
      <c r="C77" s="11"/>
      <c r="D77" s="7">
        <v>1540.1</v>
      </c>
      <c r="E77" s="2"/>
      <c r="F77" s="6">
        <f t="shared" si="55"/>
        <v>1.2565456474208465E-2</v>
      </c>
      <c r="G77" s="2"/>
      <c r="H77" s="7">
        <v>2730</v>
      </c>
      <c r="I77" s="2"/>
      <c r="J77" s="6">
        <f t="shared" si="56"/>
        <v>2.0576907132574072E-3</v>
      </c>
      <c r="K77" s="2"/>
      <c r="L77" s="7">
        <f t="shared" si="57"/>
        <v>-1189.9000000000001</v>
      </c>
      <c r="M77" s="2"/>
      <c r="N77" s="6">
        <f t="shared" si="58"/>
        <v>-0.43586080586080589</v>
      </c>
      <c r="O77" s="11"/>
      <c r="P77" s="7">
        <v>31495.420000000002</v>
      </c>
      <c r="Q77" s="2"/>
      <c r="R77" s="6">
        <f t="shared" si="59"/>
        <v>2.2836501193446686E-3</v>
      </c>
      <c r="S77" s="2"/>
      <c r="T77" s="7">
        <v>24866</v>
      </c>
      <c r="U77" s="2"/>
      <c r="V77" s="6">
        <f t="shared" si="60"/>
        <v>1.3495412151439299E-3</v>
      </c>
      <c r="W77" s="2"/>
      <c r="X77" s="7">
        <f t="shared" si="61"/>
        <v>6629.4200000000019</v>
      </c>
      <c r="Y77" s="2"/>
      <c r="Z77" s="6">
        <f t="shared" si="62"/>
        <v>0.26660580712619647</v>
      </c>
    </row>
    <row r="78" spans="1:26" s="27" customFormat="1" outlineLevel="1" collapsed="1" x14ac:dyDescent="0.25">
      <c r="A78" s="25"/>
      <c r="B78" s="12" t="str">
        <f>CONCATENATE("     ","Freight out/Postage                               ")</f>
        <v xml:space="preserve">     Freight out/Postage                               </v>
      </c>
      <c r="C78" s="12"/>
      <c r="D78" s="1">
        <f>SUM(OSRRefD22_10x_0)</f>
        <v>0.57999999999999996</v>
      </c>
      <c r="E78" s="1"/>
      <c r="F78" s="5">
        <f t="shared" si="55"/>
        <v>4.7321373644834165E-6</v>
      </c>
      <c r="G78" s="1"/>
      <c r="H78" s="1">
        <f>SUM(OSRRefH22_10x_0)</f>
        <v>1</v>
      </c>
      <c r="I78" s="1"/>
      <c r="J78" s="5">
        <f t="shared" si="56"/>
        <v>7.5373286199905034E-7</v>
      </c>
      <c r="K78" s="1"/>
      <c r="L78" s="1">
        <f t="shared" si="57"/>
        <v>-0.42000000000000004</v>
      </c>
      <c r="M78" s="1"/>
      <c r="N78" s="5">
        <f t="shared" si="58"/>
        <v>-0.42000000000000004</v>
      </c>
      <c r="O78" s="12"/>
      <c r="P78" s="1">
        <f>SUM(OSRRefP22_10x_0)</f>
        <v>0.57999999999999996</v>
      </c>
      <c r="Q78" s="1"/>
      <c r="R78" s="5">
        <f t="shared" si="59"/>
        <v>4.2054275485766102E-8</v>
      </c>
      <c r="S78" s="1"/>
      <c r="T78" s="1">
        <f>SUM(OSRRefT22_10x_0)</f>
        <v>11</v>
      </c>
      <c r="U78" s="1"/>
      <c r="V78" s="5">
        <f t="shared" si="60"/>
        <v>5.9699804418013475E-7</v>
      </c>
      <c r="W78" s="1"/>
      <c r="X78" s="1">
        <f t="shared" si="61"/>
        <v>-10.42</v>
      </c>
      <c r="Y78" s="1"/>
      <c r="Z78" s="5">
        <f t="shared" si="62"/>
        <v>-0.94727272727272727</v>
      </c>
    </row>
    <row r="79" spans="1:26" s="24" customFormat="1" hidden="1" outlineLevel="2" x14ac:dyDescent="0.25">
      <c r="A79" s="26"/>
      <c r="B79" s="11" t="str">
        <f>CONCATENATE("          ", "6307", " - ", "POSTAGE")</f>
        <v xml:space="preserve">          6307 - POSTAGE</v>
      </c>
      <c r="C79" s="11"/>
      <c r="D79" s="7">
        <v>0.57999999999999996</v>
      </c>
      <c r="E79" s="2"/>
      <c r="F79" s="6">
        <f t="shared" si="55"/>
        <v>4.7321373644834165E-6</v>
      </c>
      <c r="G79" s="2"/>
      <c r="H79" s="7">
        <v>1</v>
      </c>
      <c r="I79" s="2"/>
      <c r="J79" s="6">
        <f t="shared" si="56"/>
        <v>7.5373286199905034E-7</v>
      </c>
      <c r="K79" s="2"/>
      <c r="L79" s="7">
        <f t="shared" si="57"/>
        <v>-0.42000000000000004</v>
      </c>
      <c r="M79" s="2"/>
      <c r="N79" s="6">
        <f t="shared" si="58"/>
        <v>-0.42000000000000004</v>
      </c>
      <c r="O79" s="11"/>
      <c r="P79" s="7">
        <v>0.57999999999999996</v>
      </c>
      <c r="Q79" s="2"/>
      <c r="R79" s="6">
        <f t="shared" si="59"/>
        <v>4.2054275485766102E-8</v>
      </c>
      <c r="S79" s="2"/>
      <c r="T79" s="7">
        <v>11</v>
      </c>
      <c r="U79" s="2"/>
      <c r="V79" s="6">
        <f t="shared" si="60"/>
        <v>5.9699804418013475E-7</v>
      </c>
      <c r="W79" s="2"/>
      <c r="X79" s="7">
        <f t="shared" si="61"/>
        <v>-10.42</v>
      </c>
      <c r="Y79" s="2"/>
      <c r="Z79" s="6">
        <f t="shared" si="62"/>
        <v>-0.94727272727272727</v>
      </c>
    </row>
    <row r="80" spans="1:26" s="27" customFormat="1" outlineLevel="1" collapsed="1" x14ac:dyDescent="0.25">
      <c r="A80" s="25"/>
      <c r="B80" s="12" t="str">
        <f>CONCATENATE("     ","General                                           ")</f>
        <v xml:space="preserve">     General                                           </v>
      </c>
      <c r="C80" s="12"/>
      <c r="D80" s="1">
        <f>SUM(OSRRefD22_11x_0)</f>
        <v>-1200</v>
      </c>
      <c r="E80" s="1"/>
      <c r="F80" s="5">
        <f t="shared" si="55"/>
        <v>-9.79062902996569E-3</v>
      </c>
      <c r="G80" s="1"/>
      <c r="H80" s="1">
        <f>SUM(OSRRefH22_11x_0)</f>
        <v>3437</v>
      </c>
      <c r="I80" s="1"/>
      <c r="J80" s="5">
        <f t="shared" si="56"/>
        <v>2.5905798466907357E-3</v>
      </c>
      <c r="K80" s="1"/>
      <c r="L80" s="1">
        <f t="shared" si="57"/>
        <v>-4637</v>
      </c>
      <c r="M80" s="1"/>
      <c r="N80" s="5">
        <f t="shared" si="58"/>
        <v>-1.3491416933372127</v>
      </c>
      <c r="O80" s="12"/>
      <c r="P80" s="1">
        <f>SUM(OSRRefP22_11x_0)</f>
        <v>92601.459999999992</v>
      </c>
      <c r="Q80" s="1"/>
      <c r="R80" s="5">
        <f t="shared" si="59"/>
        <v>6.7142884641795695E-3</v>
      </c>
      <c r="S80" s="1"/>
      <c r="T80" s="1">
        <f>SUM(OSRRefT22_11x_0)</f>
        <v>61186</v>
      </c>
      <c r="U80" s="1"/>
      <c r="V80" s="5">
        <f t="shared" si="60"/>
        <v>3.3207202119277931E-3</v>
      </c>
      <c r="W80" s="1"/>
      <c r="X80" s="1">
        <f t="shared" si="61"/>
        <v>31415.459999999992</v>
      </c>
      <c r="Y80" s="1"/>
      <c r="Z80" s="5">
        <f t="shared" si="62"/>
        <v>0.51344196384793894</v>
      </c>
    </row>
    <row r="81" spans="1:26" s="24" customFormat="1" hidden="1" outlineLevel="2" x14ac:dyDescent="0.25">
      <c r="A81" s="26"/>
      <c r="B81" s="11" t="str">
        <f>CONCATENATE("          ", "6269", " - ", "ENTERTAINMENT")</f>
        <v xml:space="preserve">          6269 - ENTERTAINMENT</v>
      </c>
      <c r="C81" s="11"/>
      <c r="D81" s="7"/>
      <c r="E81" s="2"/>
      <c r="F81" s="6">
        <f t="shared" si="55"/>
        <v>0</v>
      </c>
      <c r="G81" s="2"/>
      <c r="H81" s="7">
        <v>300</v>
      </c>
      <c r="I81" s="2"/>
      <c r="J81" s="6">
        <f t="shared" si="56"/>
        <v>2.2611985859971508E-4</v>
      </c>
      <c r="K81" s="2"/>
      <c r="L81" s="7">
        <f t="shared" si="57"/>
        <v>-300</v>
      </c>
      <c r="M81" s="2"/>
      <c r="N81" s="6">
        <f t="shared" si="58"/>
        <v>-1</v>
      </c>
      <c r="O81" s="11"/>
      <c r="P81" s="7">
        <v>10050</v>
      </c>
      <c r="Q81" s="2"/>
      <c r="R81" s="6">
        <f t="shared" si="59"/>
        <v>7.2869908384818856E-4</v>
      </c>
      <c r="S81" s="2"/>
      <c r="T81" s="7">
        <v>7250</v>
      </c>
      <c r="U81" s="2"/>
      <c r="V81" s="6">
        <f t="shared" si="60"/>
        <v>3.9347598366417969E-4</v>
      </c>
      <c r="W81" s="2"/>
      <c r="X81" s="7">
        <f t="shared" si="61"/>
        <v>2800</v>
      </c>
      <c r="Y81" s="2"/>
      <c r="Z81" s="6">
        <f t="shared" si="62"/>
        <v>0.38620689655172413</v>
      </c>
    </row>
    <row r="82" spans="1:26" s="24" customFormat="1" hidden="1" outlineLevel="2" x14ac:dyDescent="0.25">
      <c r="A82" s="26"/>
      <c r="B82" s="11" t="str">
        <f>CONCATENATE("          ", "6279", " - ", "GENERAL EXPENSE")</f>
        <v xml:space="preserve">          6279 - GENERAL EXPENSE</v>
      </c>
      <c r="C82" s="11"/>
      <c r="D82" s="7">
        <v>-1200</v>
      </c>
      <c r="E82" s="2"/>
      <c r="F82" s="6">
        <f t="shared" si="55"/>
        <v>-9.79062902996569E-3</v>
      </c>
      <c r="G82" s="2"/>
      <c r="H82" s="7">
        <v>3137</v>
      </c>
      <c r="I82" s="2"/>
      <c r="J82" s="6">
        <f t="shared" si="56"/>
        <v>2.3644599880910206E-3</v>
      </c>
      <c r="K82" s="2"/>
      <c r="L82" s="7">
        <f t="shared" si="57"/>
        <v>-4337</v>
      </c>
      <c r="M82" s="2"/>
      <c r="N82" s="6">
        <f t="shared" si="58"/>
        <v>-1.3825310806503028</v>
      </c>
      <c r="O82" s="11"/>
      <c r="P82" s="7">
        <v>82551.459999999992</v>
      </c>
      <c r="Q82" s="2"/>
      <c r="R82" s="6">
        <f t="shared" si="59"/>
        <v>5.9855893803313813E-3</v>
      </c>
      <c r="S82" s="2"/>
      <c r="T82" s="7">
        <v>53936</v>
      </c>
      <c r="U82" s="2"/>
      <c r="V82" s="6">
        <f t="shared" si="60"/>
        <v>2.9272442282636132E-3</v>
      </c>
      <c r="W82" s="2"/>
      <c r="X82" s="7">
        <f t="shared" si="61"/>
        <v>28615.459999999992</v>
      </c>
      <c r="Y82" s="2"/>
      <c r="Z82" s="6">
        <f t="shared" si="62"/>
        <v>0.53054471966775418</v>
      </c>
    </row>
    <row r="83" spans="1:26" s="27" customFormat="1" outlineLevel="1" collapsed="1" x14ac:dyDescent="0.25">
      <c r="A83" s="25"/>
      <c r="B83" s="12" t="str">
        <f>CONCATENATE("     ","Insurance                                         ")</f>
        <v xml:space="preserve">     Insurance                                         </v>
      </c>
      <c r="C83" s="12"/>
      <c r="D83" s="1">
        <f>SUM(OSRRefD22_12x_0)</f>
        <v>4246.03</v>
      </c>
      <c r="E83" s="1"/>
      <c r="F83" s="5">
        <f t="shared" ref="F83:F97" si="63">IF(D$12=0,0,D83/D$12)</f>
        <v>3.4642753816754343E-2</v>
      </c>
      <c r="G83" s="1"/>
      <c r="H83" s="1">
        <f>SUM(OSRRefH22_12x_0)</f>
        <v>4009</v>
      </c>
      <c r="I83" s="1"/>
      <c r="J83" s="5">
        <f t="shared" ref="J83:J97" si="64">IF(H$12=0,0,H83/H$12)</f>
        <v>3.0217150437541924E-3</v>
      </c>
      <c r="K83" s="1"/>
      <c r="L83" s="1">
        <f t="shared" ref="L83:L97" si="65">+D83-H83</f>
        <v>237.02999999999975</v>
      </c>
      <c r="M83" s="1"/>
      <c r="N83" s="5">
        <f t="shared" ref="N83:N97" si="66">IF(H83=0,0,L83/H83)</f>
        <v>5.9124469942629022E-2</v>
      </c>
      <c r="O83" s="12"/>
      <c r="P83" s="1">
        <f>SUM(OSRRefP22_12x_0)</f>
        <v>52467.33</v>
      </c>
      <c r="Q83" s="1"/>
      <c r="R83" s="5">
        <f t="shared" ref="R83:R97" si="67">IF(P$12=0,0,P83/P$12)</f>
        <v>3.8042681893493118E-3</v>
      </c>
      <c r="S83" s="1"/>
      <c r="T83" s="1">
        <f>SUM(OSRRefT22_12x_0)</f>
        <v>44099</v>
      </c>
      <c r="U83" s="1"/>
      <c r="V83" s="5">
        <f t="shared" ref="V83:V97" si="68">IF(T$12=0,0,T83/T$12)</f>
        <v>2.3933651591181602E-3</v>
      </c>
      <c r="W83" s="1"/>
      <c r="X83" s="1">
        <f t="shared" ref="X83:X97" si="69">+P83-T83</f>
        <v>8368.3300000000017</v>
      </c>
      <c r="Y83" s="1"/>
      <c r="Z83" s="5">
        <f t="shared" ref="Z83:Z97" si="70">IF(T83=0,0,X83/T83)</f>
        <v>0.18976235288782062</v>
      </c>
    </row>
    <row r="84" spans="1:26" s="24" customFormat="1" hidden="1" outlineLevel="2" x14ac:dyDescent="0.25">
      <c r="A84" s="26"/>
      <c r="B84" s="11" t="str">
        <f>CONCATENATE("          ", "6314", " - ", "LIABILITY INSURANCE")</f>
        <v xml:space="preserve">          6314 - LIABILITY INSURANCE</v>
      </c>
      <c r="C84" s="11"/>
      <c r="D84" s="7">
        <v>4246.03</v>
      </c>
      <c r="E84" s="2"/>
      <c r="F84" s="6">
        <f t="shared" si="63"/>
        <v>3.4642753816754343E-2</v>
      </c>
      <c r="G84" s="2"/>
      <c r="H84" s="7">
        <v>4009</v>
      </c>
      <c r="I84" s="2"/>
      <c r="J84" s="6">
        <f t="shared" si="64"/>
        <v>3.0217150437541924E-3</v>
      </c>
      <c r="K84" s="2"/>
      <c r="L84" s="7">
        <f t="shared" si="65"/>
        <v>237.02999999999975</v>
      </c>
      <c r="M84" s="2"/>
      <c r="N84" s="6">
        <f t="shared" si="66"/>
        <v>5.9124469942629022E-2</v>
      </c>
      <c r="O84" s="11"/>
      <c r="P84" s="7">
        <v>52467.33</v>
      </c>
      <c r="Q84" s="2"/>
      <c r="R84" s="6">
        <f t="shared" si="67"/>
        <v>3.8042681893493118E-3</v>
      </c>
      <c r="S84" s="2"/>
      <c r="T84" s="7">
        <v>44099</v>
      </c>
      <c r="U84" s="2"/>
      <c r="V84" s="6">
        <f t="shared" si="68"/>
        <v>2.3933651591181602E-3</v>
      </c>
      <c r="W84" s="2"/>
      <c r="X84" s="7">
        <f t="shared" si="69"/>
        <v>8368.3300000000017</v>
      </c>
      <c r="Y84" s="2"/>
      <c r="Z84" s="6">
        <f t="shared" si="70"/>
        <v>0.18976235288782062</v>
      </c>
    </row>
    <row r="85" spans="1:26" s="27" customFormat="1" outlineLevel="1" collapsed="1" x14ac:dyDescent="0.25">
      <c r="A85" s="25"/>
      <c r="B85" s="12" t="str">
        <f>CONCATENATE("     ","Interest                                          ")</f>
        <v xml:space="preserve">     Interest                                          </v>
      </c>
      <c r="C85" s="12"/>
      <c r="D85" s="1">
        <f>SUM(OSRRefD22_13x_0)</f>
        <v>7754</v>
      </c>
      <c r="E85" s="1"/>
      <c r="F85" s="5">
        <f t="shared" si="63"/>
        <v>6.326378124862829E-2</v>
      </c>
      <c r="G85" s="1"/>
      <c r="H85" s="1">
        <f>SUM(OSRRefH22_13x_0)</f>
        <v>7510</v>
      </c>
      <c r="I85" s="1"/>
      <c r="J85" s="5">
        <f t="shared" si="64"/>
        <v>5.6605337936128678E-3</v>
      </c>
      <c r="K85" s="1"/>
      <c r="L85" s="1">
        <f t="shared" si="65"/>
        <v>244</v>
      </c>
      <c r="M85" s="1"/>
      <c r="N85" s="5">
        <f t="shared" si="66"/>
        <v>3.2490013315579228E-2</v>
      </c>
      <c r="O85" s="12"/>
      <c r="P85" s="1">
        <f>SUM(OSRRefP22_13x_0)</f>
        <v>82950.28</v>
      </c>
      <c r="Q85" s="1"/>
      <c r="R85" s="5">
        <f t="shared" si="67"/>
        <v>6.0145067702438524E-3</v>
      </c>
      <c r="S85" s="1"/>
      <c r="T85" s="1">
        <f>SUM(OSRRefT22_13x_0)</f>
        <v>85050</v>
      </c>
      <c r="U85" s="1"/>
      <c r="V85" s="5">
        <f t="shared" si="68"/>
        <v>4.6158803325018595E-3</v>
      </c>
      <c r="W85" s="1"/>
      <c r="X85" s="1">
        <f t="shared" si="69"/>
        <v>-2099.7200000000012</v>
      </c>
      <c r="Y85" s="1"/>
      <c r="Z85" s="5">
        <f t="shared" si="70"/>
        <v>-2.4688065843621414E-2</v>
      </c>
    </row>
    <row r="86" spans="1:26" s="24" customFormat="1" hidden="1" outlineLevel="2" x14ac:dyDescent="0.25">
      <c r="A86" s="26"/>
      <c r="B86" s="11" t="str">
        <f>CONCATENATE("          ", "6401", " - ", "INTEREST EXPENSE")</f>
        <v xml:space="preserve">          6401 - INTEREST EXPENSE</v>
      </c>
      <c r="C86" s="11"/>
      <c r="D86" s="7">
        <v>7754</v>
      </c>
      <c r="E86" s="2"/>
      <c r="F86" s="6">
        <f t="shared" si="63"/>
        <v>6.326378124862829E-2</v>
      </c>
      <c r="G86" s="2"/>
      <c r="H86" s="7">
        <v>7510</v>
      </c>
      <c r="I86" s="2"/>
      <c r="J86" s="6">
        <f t="shared" si="64"/>
        <v>5.6605337936128678E-3</v>
      </c>
      <c r="K86" s="2"/>
      <c r="L86" s="7">
        <f t="shared" si="65"/>
        <v>244</v>
      </c>
      <c r="M86" s="2"/>
      <c r="N86" s="6">
        <f t="shared" si="66"/>
        <v>3.2490013315579228E-2</v>
      </c>
      <c r="O86" s="11"/>
      <c r="P86" s="7">
        <v>82950.28</v>
      </c>
      <c r="Q86" s="2"/>
      <c r="R86" s="6">
        <f t="shared" si="67"/>
        <v>6.0145067702438524E-3</v>
      </c>
      <c r="S86" s="2"/>
      <c r="T86" s="7">
        <v>85050</v>
      </c>
      <c r="U86" s="2"/>
      <c r="V86" s="6">
        <f t="shared" si="68"/>
        <v>4.6158803325018595E-3</v>
      </c>
      <c r="W86" s="2"/>
      <c r="X86" s="7">
        <f t="shared" si="69"/>
        <v>-2099.7200000000012</v>
      </c>
      <c r="Y86" s="2"/>
      <c r="Z86" s="6">
        <f t="shared" si="70"/>
        <v>-2.4688065843621414E-2</v>
      </c>
    </row>
    <row r="87" spans="1:26" s="27" customFormat="1" outlineLevel="1" collapsed="1" x14ac:dyDescent="0.25">
      <c r="A87" s="25"/>
      <c r="B87" s="12" t="str">
        <f>CONCATENATE("     ","Professional Services                             ")</f>
        <v xml:space="preserve">     Professional Services                             </v>
      </c>
      <c r="C87" s="12"/>
      <c r="D87" s="1">
        <f>SUM(OSRRefD22_14x_0)</f>
        <v>0</v>
      </c>
      <c r="E87" s="1"/>
      <c r="F87" s="5">
        <f t="shared" si="63"/>
        <v>0</v>
      </c>
      <c r="G87" s="1"/>
      <c r="H87" s="1">
        <f>SUM(OSRRefH22_14x_0)</f>
        <v>0</v>
      </c>
      <c r="I87" s="1"/>
      <c r="J87" s="5">
        <f t="shared" si="64"/>
        <v>0</v>
      </c>
      <c r="K87" s="1"/>
      <c r="L87" s="1">
        <f t="shared" si="65"/>
        <v>0</v>
      </c>
      <c r="M87" s="1"/>
      <c r="N87" s="5">
        <f t="shared" si="66"/>
        <v>0</v>
      </c>
      <c r="O87" s="12"/>
      <c r="P87" s="1">
        <f>SUM(OSRRefP22_14x_0)</f>
        <v>125</v>
      </c>
      <c r="Q87" s="1"/>
      <c r="R87" s="5">
        <f t="shared" si="67"/>
        <v>9.0634214408978687E-6</v>
      </c>
      <c r="S87" s="1"/>
      <c r="T87" s="1">
        <f>SUM(OSRRefT22_14x_0)</f>
        <v>0</v>
      </c>
      <c r="U87" s="1"/>
      <c r="V87" s="5">
        <f t="shared" si="68"/>
        <v>0</v>
      </c>
      <c r="W87" s="1"/>
      <c r="X87" s="1">
        <f t="shared" si="69"/>
        <v>125</v>
      </c>
      <c r="Y87" s="1"/>
      <c r="Z87" s="5">
        <f t="shared" si="70"/>
        <v>0</v>
      </c>
    </row>
    <row r="88" spans="1:26" s="24" customFormat="1" hidden="1" outlineLevel="2" x14ac:dyDescent="0.25">
      <c r="A88" s="26"/>
      <c r="B88" s="11" t="str">
        <f>CONCATENATE("          ", "6336", " - ", "PROFESSIONAL SERVICES")</f>
        <v xml:space="preserve">          6336 - PROFESSIONAL SERVICES</v>
      </c>
      <c r="C88" s="11"/>
      <c r="D88" s="7"/>
      <c r="E88" s="2"/>
      <c r="F88" s="6">
        <f t="shared" si="63"/>
        <v>0</v>
      </c>
      <c r="G88" s="2"/>
      <c r="H88" s="7"/>
      <c r="I88" s="2"/>
      <c r="J88" s="6">
        <f t="shared" si="64"/>
        <v>0</v>
      </c>
      <c r="K88" s="2"/>
      <c r="L88" s="7">
        <f t="shared" si="65"/>
        <v>0</v>
      </c>
      <c r="M88" s="2"/>
      <c r="N88" s="6">
        <f t="shared" si="66"/>
        <v>0</v>
      </c>
      <c r="O88" s="11"/>
      <c r="P88" s="7">
        <v>125</v>
      </c>
      <c r="Q88" s="2"/>
      <c r="R88" s="6">
        <f t="shared" si="67"/>
        <v>9.0634214408978687E-6</v>
      </c>
      <c r="S88" s="2"/>
      <c r="T88" s="7"/>
      <c r="U88" s="2"/>
      <c r="V88" s="6">
        <f t="shared" si="68"/>
        <v>0</v>
      </c>
      <c r="W88" s="2"/>
      <c r="X88" s="7">
        <f t="shared" si="69"/>
        <v>125</v>
      </c>
      <c r="Y88" s="2"/>
      <c r="Z88" s="6">
        <f t="shared" si="70"/>
        <v>0</v>
      </c>
    </row>
    <row r="89" spans="1:26" s="27" customFormat="1" outlineLevel="1" collapsed="1" x14ac:dyDescent="0.25">
      <c r="A89" s="25"/>
      <c r="B89" s="12" t="str">
        <f>CONCATENATE("     ","R/H Commissions                                   ")</f>
        <v xml:space="preserve">     R/H Commissions                                   </v>
      </c>
      <c r="C89" s="12"/>
      <c r="D89" s="1">
        <f>SUM(OSRRefD22_15x_0)</f>
        <v>8698.56</v>
      </c>
      <c r="E89" s="1"/>
      <c r="F89" s="5">
        <f t="shared" si="63"/>
        <v>7.0970311712415288E-2</v>
      </c>
      <c r="G89" s="1"/>
      <c r="H89" s="1">
        <f>SUM(OSRRefH22_15x_0)</f>
        <v>54076</v>
      </c>
      <c r="I89" s="1"/>
      <c r="J89" s="5">
        <f t="shared" si="64"/>
        <v>4.0758858245460647E-2</v>
      </c>
      <c r="K89" s="1"/>
      <c r="L89" s="1">
        <f t="shared" si="65"/>
        <v>-45377.440000000002</v>
      </c>
      <c r="M89" s="1"/>
      <c r="N89" s="5">
        <f t="shared" si="66"/>
        <v>-0.83914194836896228</v>
      </c>
      <c r="O89" s="12"/>
      <c r="P89" s="1">
        <f>SUM(OSRRefP22_15x_0)</f>
        <v>714561.85000000009</v>
      </c>
      <c r="Q89" s="1"/>
      <c r="R89" s="5">
        <f t="shared" si="67"/>
        <v>5.1811001537101178E-2</v>
      </c>
      <c r="S89" s="1"/>
      <c r="T89" s="1">
        <f>SUM(OSRRefT22_15x_0)</f>
        <v>890097</v>
      </c>
      <c r="U89" s="1"/>
      <c r="V89" s="5">
        <f t="shared" si="68"/>
        <v>4.8307833466418669E-2</v>
      </c>
      <c r="W89" s="1"/>
      <c r="X89" s="1">
        <f t="shared" si="69"/>
        <v>-175535.14999999991</v>
      </c>
      <c r="Y89" s="1"/>
      <c r="Z89" s="5">
        <f t="shared" si="70"/>
        <v>-0.19720901205149541</v>
      </c>
    </row>
    <row r="90" spans="1:26" s="24" customFormat="1" hidden="1" outlineLevel="2" x14ac:dyDescent="0.25">
      <c r="A90" s="26"/>
      <c r="B90" s="11" t="str">
        <f>CONCATENATE("          ", "6387", " - ", "COMMISSION DUE HOUSING")</f>
        <v xml:space="preserve">          6387 - COMMISSION DUE HOUSING</v>
      </c>
      <c r="C90" s="11"/>
      <c r="D90" s="7">
        <v>8698.56</v>
      </c>
      <c r="E90" s="2"/>
      <c r="F90" s="6">
        <f t="shared" si="63"/>
        <v>7.0970311712415288E-2</v>
      </c>
      <c r="G90" s="2"/>
      <c r="H90" s="7">
        <v>54076</v>
      </c>
      <c r="I90" s="2"/>
      <c r="J90" s="6">
        <f t="shared" si="64"/>
        <v>4.0758858245460647E-2</v>
      </c>
      <c r="K90" s="2"/>
      <c r="L90" s="7">
        <f t="shared" si="65"/>
        <v>-45377.440000000002</v>
      </c>
      <c r="M90" s="2"/>
      <c r="N90" s="6">
        <f t="shared" si="66"/>
        <v>-0.83914194836896228</v>
      </c>
      <c r="O90" s="11"/>
      <c r="P90" s="7">
        <v>714561.85000000009</v>
      </c>
      <c r="Q90" s="2"/>
      <c r="R90" s="6">
        <f t="shared" si="67"/>
        <v>5.1811001537101178E-2</v>
      </c>
      <c r="S90" s="2"/>
      <c r="T90" s="7">
        <v>890097</v>
      </c>
      <c r="U90" s="2"/>
      <c r="V90" s="6">
        <f t="shared" si="68"/>
        <v>4.8307833466418669E-2</v>
      </c>
      <c r="W90" s="2"/>
      <c r="X90" s="7">
        <f t="shared" si="69"/>
        <v>-175535.14999999991</v>
      </c>
      <c r="Y90" s="2"/>
      <c r="Z90" s="6">
        <f t="shared" si="70"/>
        <v>-0.19720901205149541</v>
      </c>
    </row>
    <row r="91" spans="1:26" s="27" customFormat="1" outlineLevel="1" collapsed="1" x14ac:dyDescent="0.25">
      <c r="A91" s="25"/>
      <c r="B91" s="12" t="str">
        <f>CONCATENATE("     ","Rent                                              ")</f>
        <v xml:space="preserve">     Rent                                              </v>
      </c>
      <c r="C91" s="12"/>
      <c r="D91" s="1">
        <f>SUM(OSRRefD22_16x_0)</f>
        <v>1850</v>
      </c>
      <c r="E91" s="1"/>
      <c r="F91" s="5">
        <f t="shared" si="63"/>
        <v>1.5093886421197104E-2</v>
      </c>
      <c r="G91" s="1"/>
      <c r="H91" s="1">
        <f>SUM(OSRRefH22_16x_0)</f>
        <v>1850</v>
      </c>
      <c r="I91" s="1"/>
      <c r="J91" s="5">
        <f t="shared" si="64"/>
        <v>1.394405794698243E-3</v>
      </c>
      <c r="K91" s="1"/>
      <c r="L91" s="1">
        <f t="shared" si="65"/>
        <v>0</v>
      </c>
      <c r="M91" s="1"/>
      <c r="N91" s="5">
        <f t="shared" si="66"/>
        <v>0</v>
      </c>
      <c r="O91" s="12"/>
      <c r="P91" s="1">
        <f>SUM(OSRRefP22_16x_0)</f>
        <v>20350</v>
      </c>
      <c r="Q91" s="1"/>
      <c r="R91" s="5">
        <f t="shared" si="67"/>
        <v>1.475525010578173E-3</v>
      </c>
      <c r="S91" s="1"/>
      <c r="T91" s="1">
        <f>SUM(OSRRefT22_16x_0)</f>
        <v>20350</v>
      </c>
      <c r="U91" s="1"/>
      <c r="V91" s="5">
        <f t="shared" si="68"/>
        <v>1.1044463817332492E-3</v>
      </c>
      <c r="W91" s="1"/>
      <c r="X91" s="1">
        <f t="shared" si="69"/>
        <v>0</v>
      </c>
      <c r="Y91" s="1"/>
      <c r="Z91" s="5">
        <f t="shared" si="70"/>
        <v>0</v>
      </c>
    </row>
    <row r="92" spans="1:26" s="24" customFormat="1" hidden="1" outlineLevel="2" x14ac:dyDescent="0.25">
      <c r="A92" s="26"/>
      <c r="B92" s="11" t="str">
        <f>CONCATENATE("          ", "6273", " - ", "RENT")</f>
        <v xml:space="preserve">          6273 - RENT</v>
      </c>
      <c r="C92" s="11"/>
      <c r="D92" s="7">
        <v>1850</v>
      </c>
      <c r="E92" s="2"/>
      <c r="F92" s="6">
        <f t="shared" si="63"/>
        <v>1.5093886421197104E-2</v>
      </c>
      <c r="G92" s="2"/>
      <c r="H92" s="7">
        <v>1850</v>
      </c>
      <c r="I92" s="2"/>
      <c r="J92" s="6">
        <f t="shared" si="64"/>
        <v>1.394405794698243E-3</v>
      </c>
      <c r="K92" s="2"/>
      <c r="L92" s="7">
        <f t="shared" si="65"/>
        <v>0</v>
      </c>
      <c r="M92" s="2"/>
      <c r="N92" s="6">
        <f t="shared" si="66"/>
        <v>0</v>
      </c>
      <c r="O92" s="11"/>
      <c r="P92" s="7">
        <v>20350</v>
      </c>
      <c r="Q92" s="2"/>
      <c r="R92" s="6">
        <f t="shared" si="67"/>
        <v>1.475525010578173E-3</v>
      </c>
      <c r="S92" s="2"/>
      <c r="T92" s="7">
        <v>20350</v>
      </c>
      <c r="U92" s="2"/>
      <c r="V92" s="6">
        <f t="shared" si="68"/>
        <v>1.1044463817332492E-3</v>
      </c>
      <c r="W92" s="2"/>
      <c r="X92" s="7">
        <f t="shared" si="69"/>
        <v>0</v>
      </c>
      <c r="Y92" s="2"/>
      <c r="Z92" s="6">
        <f t="shared" si="70"/>
        <v>0</v>
      </c>
    </row>
    <row r="93" spans="1:26" s="27" customFormat="1" outlineLevel="1" collapsed="1" x14ac:dyDescent="0.25">
      <c r="A93" s="25"/>
      <c r="B93" s="12" t="str">
        <f>CONCATENATE("     ","Repair and Maintenance                            ")</f>
        <v xml:space="preserve">     Repair and Maintenance                            </v>
      </c>
      <c r="C93" s="12"/>
      <c r="D93" s="1">
        <f>SUM(OSRRefD22_17x_0)</f>
        <v>7798.68</v>
      </c>
      <c r="E93" s="1"/>
      <c r="F93" s="5">
        <f t="shared" si="63"/>
        <v>6.3628319002844019E-2</v>
      </c>
      <c r="G93" s="1"/>
      <c r="H93" s="1">
        <f>SUM(OSRRefH22_17x_0)</f>
        <v>20512</v>
      </c>
      <c r="I93" s="1"/>
      <c r="J93" s="5">
        <f t="shared" si="64"/>
        <v>1.5460568465324519E-2</v>
      </c>
      <c r="K93" s="1"/>
      <c r="L93" s="1">
        <f t="shared" si="65"/>
        <v>-12713.32</v>
      </c>
      <c r="M93" s="1"/>
      <c r="N93" s="5">
        <f t="shared" si="66"/>
        <v>-0.61979914196567865</v>
      </c>
      <c r="O93" s="12"/>
      <c r="P93" s="1">
        <f>SUM(OSRRefP22_17x_0)</f>
        <v>291216.81</v>
      </c>
      <c r="Q93" s="1"/>
      <c r="R93" s="5">
        <f t="shared" si="67"/>
        <v>2.1115365437631047E-2</v>
      </c>
      <c r="S93" s="1"/>
      <c r="T93" s="1">
        <f>SUM(OSRRefT22_17x_0)</f>
        <v>280961</v>
      </c>
      <c r="U93" s="1"/>
      <c r="V93" s="5">
        <f t="shared" si="68"/>
        <v>1.5248469771899529E-2</v>
      </c>
      <c r="W93" s="1"/>
      <c r="X93" s="1">
        <f t="shared" si="69"/>
        <v>10255.809999999998</v>
      </c>
      <c r="Y93" s="1"/>
      <c r="Z93" s="5">
        <f t="shared" si="70"/>
        <v>3.6502610682621422E-2</v>
      </c>
    </row>
    <row r="94" spans="1:26" s="24" customFormat="1" hidden="1" outlineLevel="2" x14ac:dyDescent="0.25">
      <c r="A94" s="26"/>
      <c r="B94" s="11" t="str">
        <f>CONCATENATE("          ", "6371", " - ", "COMPUTER SOFTWARE MAINTENANCE")</f>
        <v xml:space="preserve">          6371 - COMPUTER SOFTWARE MAINTENANCE</v>
      </c>
      <c r="C94" s="11"/>
      <c r="D94" s="7"/>
      <c r="E94" s="2"/>
      <c r="F94" s="6">
        <f t="shared" si="63"/>
        <v>0</v>
      </c>
      <c r="G94" s="2"/>
      <c r="H94" s="7">
        <v>1547</v>
      </c>
      <c r="I94" s="2"/>
      <c r="J94" s="6">
        <f t="shared" si="64"/>
        <v>1.1660247375125307E-3</v>
      </c>
      <c r="K94" s="2"/>
      <c r="L94" s="7">
        <f t="shared" si="65"/>
        <v>-1547</v>
      </c>
      <c r="M94" s="2"/>
      <c r="N94" s="6">
        <f t="shared" si="66"/>
        <v>-1</v>
      </c>
      <c r="O94" s="11"/>
      <c r="P94" s="7">
        <v>73995.62</v>
      </c>
      <c r="Q94" s="2"/>
      <c r="R94" s="6">
        <f t="shared" si="67"/>
        <v>5.3652279107242488E-3</v>
      </c>
      <c r="S94" s="2"/>
      <c r="T94" s="7">
        <v>27967</v>
      </c>
      <c r="U94" s="2"/>
      <c r="V94" s="6">
        <f t="shared" si="68"/>
        <v>1.517840391053257E-3</v>
      </c>
      <c r="W94" s="2"/>
      <c r="X94" s="7">
        <f t="shared" si="69"/>
        <v>46028.619999999995</v>
      </c>
      <c r="Y94" s="2"/>
      <c r="Z94" s="6">
        <f t="shared" si="70"/>
        <v>1.6458190009654234</v>
      </c>
    </row>
    <row r="95" spans="1:26" s="24" customFormat="1" hidden="1" outlineLevel="2" x14ac:dyDescent="0.25">
      <c r="A95" s="26"/>
      <c r="B95" s="11" t="str">
        <f>CONCATENATE("          ", "6372", " - ", "COMPUTER HARDWARE MAINTENANCE")</f>
        <v xml:space="preserve">          6372 - COMPUTER HARDWARE MAINTENANCE</v>
      </c>
      <c r="C95" s="11"/>
      <c r="D95" s="7"/>
      <c r="E95" s="2"/>
      <c r="F95" s="6">
        <f t="shared" si="63"/>
        <v>0</v>
      </c>
      <c r="G95" s="2"/>
      <c r="H95" s="7"/>
      <c r="I95" s="2"/>
      <c r="J95" s="6">
        <f t="shared" si="64"/>
        <v>0</v>
      </c>
      <c r="K95" s="2"/>
      <c r="L95" s="7">
        <f t="shared" si="65"/>
        <v>0</v>
      </c>
      <c r="M95" s="2"/>
      <c r="N95" s="6">
        <f t="shared" si="66"/>
        <v>0</v>
      </c>
      <c r="O95" s="11"/>
      <c r="P95" s="7">
        <v>8142.87</v>
      </c>
      <c r="Q95" s="2"/>
      <c r="R95" s="6">
        <f t="shared" si="67"/>
        <v>5.9041810038755222E-4</v>
      </c>
      <c r="S95" s="2"/>
      <c r="T95" s="7">
        <v>410</v>
      </c>
      <c r="U95" s="2"/>
      <c r="V95" s="6">
        <f t="shared" si="68"/>
        <v>2.2251745283077749E-5</v>
      </c>
      <c r="W95" s="2"/>
      <c r="X95" s="7">
        <f t="shared" si="69"/>
        <v>7732.87</v>
      </c>
      <c r="Y95" s="2"/>
      <c r="Z95" s="6">
        <f t="shared" si="70"/>
        <v>18.860658536585365</v>
      </c>
    </row>
    <row r="96" spans="1:26" s="24" customFormat="1" hidden="1" outlineLevel="2" x14ac:dyDescent="0.25">
      <c r="A96" s="26"/>
      <c r="B96" s="11" t="str">
        <f>CONCATENATE("          ", "6373", " - ", "MAINTENANCE CONTRACTS")</f>
        <v xml:space="preserve">          6373 - MAINTENANCE CONTRACTS</v>
      </c>
      <c r="C96" s="11"/>
      <c r="D96" s="7">
        <v>6801.84</v>
      </c>
      <c r="E96" s="2"/>
      <c r="F96" s="6">
        <f t="shared" si="63"/>
        <v>5.5495243467651521E-2</v>
      </c>
      <c r="G96" s="2"/>
      <c r="H96" s="7">
        <v>4055</v>
      </c>
      <c r="I96" s="2"/>
      <c r="J96" s="6">
        <f t="shared" si="64"/>
        <v>3.056386755406149E-3</v>
      </c>
      <c r="K96" s="2"/>
      <c r="L96" s="7">
        <f t="shared" si="65"/>
        <v>2746.84</v>
      </c>
      <c r="M96" s="2"/>
      <c r="N96" s="6">
        <f t="shared" si="66"/>
        <v>0.67739580764488294</v>
      </c>
      <c r="O96" s="11"/>
      <c r="P96" s="7">
        <v>93980.66</v>
      </c>
      <c r="Q96" s="2"/>
      <c r="R96" s="6">
        <f t="shared" si="67"/>
        <v>6.8142906309898617E-3</v>
      </c>
      <c r="S96" s="2"/>
      <c r="T96" s="7">
        <v>32774</v>
      </c>
      <c r="U96" s="2"/>
      <c r="V96" s="6">
        <f t="shared" si="68"/>
        <v>1.778728536359976E-3</v>
      </c>
      <c r="W96" s="2"/>
      <c r="X96" s="7">
        <f t="shared" si="69"/>
        <v>61206.66</v>
      </c>
      <c r="Y96" s="2"/>
      <c r="Z96" s="6">
        <f t="shared" si="70"/>
        <v>1.8675370720693234</v>
      </c>
    </row>
    <row r="97" spans="1:26" s="24" customFormat="1" hidden="1" outlineLevel="2" x14ac:dyDescent="0.25">
      <c r="A97" s="26"/>
      <c r="B97" s="11" t="str">
        <f>CONCATENATE("          ", "6375", " - ", "OUTSIDE REPAIRS &amp; MAINTENANCE")</f>
        <v xml:space="preserve">          6375 - OUTSIDE REPAIRS &amp; MAINTENANCE</v>
      </c>
      <c r="C97" s="11"/>
      <c r="D97" s="7">
        <v>996.84</v>
      </c>
      <c r="E97" s="2"/>
      <c r="F97" s="6">
        <f t="shared" si="63"/>
        <v>8.133075535192498E-3</v>
      </c>
      <c r="G97" s="2"/>
      <c r="H97" s="7">
        <v>14910</v>
      </c>
      <c r="I97" s="2"/>
      <c r="J97" s="6">
        <f t="shared" si="64"/>
        <v>1.1238156972405841E-2</v>
      </c>
      <c r="K97" s="2"/>
      <c r="L97" s="7">
        <f t="shared" si="65"/>
        <v>-13913.16</v>
      </c>
      <c r="M97" s="2"/>
      <c r="N97" s="6">
        <f t="shared" si="66"/>
        <v>-0.93314285714285716</v>
      </c>
      <c r="O97" s="11"/>
      <c r="P97" s="7">
        <v>115097.66</v>
      </c>
      <c r="Q97" s="2"/>
      <c r="R97" s="6">
        <f t="shared" si="67"/>
        <v>8.3454287955293839E-3</v>
      </c>
      <c r="S97" s="2"/>
      <c r="T97" s="7">
        <v>219810</v>
      </c>
      <c r="U97" s="2"/>
      <c r="V97" s="6">
        <f t="shared" si="68"/>
        <v>1.1929649099203219E-2</v>
      </c>
      <c r="W97" s="2"/>
      <c r="X97" s="7">
        <f t="shared" si="69"/>
        <v>-104712.34</v>
      </c>
      <c r="Y97" s="2"/>
      <c r="Z97" s="6">
        <f t="shared" si="70"/>
        <v>-0.47637659797097492</v>
      </c>
    </row>
    <row r="98" spans="1:26" s="27" customFormat="1" outlineLevel="1" collapsed="1" x14ac:dyDescent="0.25">
      <c r="A98" s="25"/>
      <c r="B98" s="12" t="str">
        <f>CONCATENATE("     ","Royalty &amp; Commissions                             ")</f>
        <v xml:space="preserve">     Royalty &amp; Commissions                             </v>
      </c>
      <c r="C98" s="12"/>
      <c r="D98" s="1">
        <f>SUM(OSRRefD22_18x_0)</f>
        <v>0</v>
      </c>
      <c r="E98" s="1"/>
      <c r="F98" s="5">
        <f t="shared" ref="F98:F102" si="71">IF(D$12=0,0,D98/D$12)</f>
        <v>0</v>
      </c>
      <c r="G98" s="1"/>
      <c r="H98" s="1">
        <f>SUM(OSRRefH22_18x_0)</f>
        <v>41240</v>
      </c>
      <c r="I98" s="1"/>
      <c r="J98" s="5">
        <f t="shared" ref="J98:J102" si="72">IF(H$12=0,0,H98/H$12)</f>
        <v>3.1083943228840834E-2</v>
      </c>
      <c r="K98" s="1"/>
      <c r="L98" s="1">
        <f t="shared" ref="L98:L102" si="73">+D98-H98</f>
        <v>-41240</v>
      </c>
      <c r="M98" s="1"/>
      <c r="N98" s="5">
        <f t="shared" ref="N98:N102" si="74">IF(H98=0,0,L98/H98)</f>
        <v>-1</v>
      </c>
      <c r="O98" s="12"/>
      <c r="P98" s="1">
        <f>SUM(OSRRefP22_18x_0)</f>
        <v>233763.46999999997</v>
      </c>
      <c r="Q98" s="1"/>
      <c r="R98" s="5">
        <f t="shared" ref="R98:R102" si="75">IF(P$12=0,0,P98/P$12)</f>
        <v>1.6949574768773481E-2</v>
      </c>
      <c r="S98" s="1"/>
      <c r="T98" s="1">
        <f>SUM(OSRRefT22_18x_0)</f>
        <v>377941</v>
      </c>
      <c r="U98" s="1"/>
      <c r="V98" s="5">
        <f t="shared" ref="V98:V102" si="76">IF(T$12=0,0,T98/T$12)</f>
        <v>2.051182161958948E-2</v>
      </c>
      <c r="W98" s="1"/>
      <c r="X98" s="1">
        <f t="shared" ref="X98:X102" si="77">+P98-T98</f>
        <v>-144177.53000000003</v>
      </c>
      <c r="Y98" s="1"/>
      <c r="Z98" s="5">
        <f t="shared" ref="Z98:Z102" si="78">IF(T98=0,0,X98/T98)</f>
        <v>-0.38148158045832559</v>
      </c>
    </row>
    <row r="99" spans="1:26" s="24" customFormat="1" hidden="1" outlineLevel="2" x14ac:dyDescent="0.25">
      <c r="A99" s="26"/>
      <c r="B99" s="11" t="str">
        <f>CONCATENATE("          ", "6252", " - ", "ROYALTY DUE CSTV")</f>
        <v xml:space="preserve">          6252 - ROYALTY DUE CSTV</v>
      </c>
      <c r="C99" s="11"/>
      <c r="D99" s="7"/>
      <c r="E99" s="2"/>
      <c r="F99" s="6">
        <f t="shared" si="71"/>
        <v>0</v>
      </c>
      <c r="G99" s="2"/>
      <c r="H99" s="7">
        <v>10600</v>
      </c>
      <c r="I99" s="2"/>
      <c r="J99" s="6">
        <f t="shared" si="72"/>
        <v>7.9895683371899329E-3</v>
      </c>
      <c r="K99" s="2"/>
      <c r="L99" s="7">
        <f t="shared" si="73"/>
        <v>-10600</v>
      </c>
      <c r="M99" s="2"/>
      <c r="N99" s="6">
        <f t="shared" si="74"/>
        <v>-1</v>
      </c>
      <c r="O99" s="11"/>
      <c r="P99" s="7"/>
      <c r="Q99" s="2"/>
      <c r="R99" s="6">
        <f t="shared" si="75"/>
        <v>0</v>
      </c>
      <c r="S99" s="2"/>
      <c r="T99" s="7">
        <v>46000</v>
      </c>
      <c r="U99" s="2"/>
      <c r="V99" s="6">
        <f t="shared" si="76"/>
        <v>2.4965372756623814E-3</v>
      </c>
      <c r="W99" s="2"/>
      <c r="X99" s="7">
        <f t="shared" si="77"/>
        <v>-46000</v>
      </c>
      <c r="Y99" s="2"/>
      <c r="Z99" s="6">
        <f t="shared" si="78"/>
        <v>-1</v>
      </c>
    </row>
    <row r="100" spans="1:26" s="24" customFormat="1" hidden="1" outlineLevel="2" x14ac:dyDescent="0.25">
      <c r="A100" s="26"/>
      <c r="B100" s="11" t="str">
        <f>CONCATENATE("          ", "6253", " - ", "ROYALTY DUE ATHLETICS-LRG")</f>
        <v xml:space="preserve">          6253 - ROYALTY DUE ATHLETICS-LRG</v>
      </c>
      <c r="C100" s="11"/>
      <c r="D100" s="7"/>
      <c r="E100" s="2"/>
      <c r="F100" s="6">
        <f t="shared" si="71"/>
        <v>0</v>
      </c>
      <c r="G100" s="2"/>
      <c r="H100" s="7">
        <v>20000</v>
      </c>
      <c r="I100" s="2"/>
      <c r="J100" s="6">
        <f t="shared" si="72"/>
        <v>1.5074657239981006E-2</v>
      </c>
      <c r="K100" s="2"/>
      <c r="L100" s="7">
        <f t="shared" si="73"/>
        <v>-20000</v>
      </c>
      <c r="M100" s="2"/>
      <c r="N100" s="6">
        <f t="shared" si="74"/>
        <v>-1</v>
      </c>
      <c r="O100" s="11"/>
      <c r="P100" s="7"/>
      <c r="Q100" s="2"/>
      <c r="R100" s="6">
        <f t="shared" si="75"/>
        <v>0</v>
      </c>
      <c r="S100" s="2"/>
      <c r="T100" s="7">
        <v>167000</v>
      </c>
      <c r="U100" s="2"/>
      <c r="V100" s="6">
        <f t="shared" si="76"/>
        <v>9.0635157616438637E-3</v>
      </c>
      <c r="W100" s="2"/>
      <c r="X100" s="7">
        <f t="shared" si="77"/>
        <v>-167000</v>
      </c>
      <c r="Y100" s="2"/>
      <c r="Z100" s="6">
        <f t="shared" si="78"/>
        <v>-1</v>
      </c>
    </row>
    <row r="101" spans="1:26" s="24" customFormat="1" hidden="1" outlineLevel="2" x14ac:dyDescent="0.25">
      <c r="A101" s="26"/>
      <c r="B101" s="11" t="str">
        <f>CONCATENATE("          ", "6254", " - ", "ROYALTY &amp; COMMISSIONS")</f>
        <v xml:space="preserve">          6254 - ROYALTY &amp; COMMISSIONS</v>
      </c>
      <c r="C101" s="11"/>
      <c r="D101" s="7"/>
      <c r="E101" s="2"/>
      <c r="F101" s="6">
        <f t="shared" si="71"/>
        <v>0</v>
      </c>
      <c r="G101" s="2"/>
      <c r="H101" s="7"/>
      <c r="I101" s="2"/>
      <c r="J101" s="6">
        <f t="shared" si="72"/>
        <v>0</v>
      </c>
      <c r="K101" s="2"/>
      <c r="L101" s="7">
        <f t="shared" si="73"/>
        <v>0</v>
      </c>
      <c r="M101" s="2"/>
      <c r="N101" s="6">
        <f t="shared" si="74"/>
        <v>0</v>
      </c>
      <c r="O101" s="11"/>
      <c r="P101" s="7">
        <v>129093.51</v>
      </c>
      <c r="Q101" s="2"/>
      <c r="R101" s="6">
        <f t="shared" si="75"/>
        <v>9.360231091318106E-3</v>
      </c>
      <c r="S101" s="2"/>
      <c r="T101" s="7">
        <v>6117</v>
      </c>
      <c r="U101" s="2"/>
      <c r="V101" s="6">
        <f t="shared" si="76"/>
        <v>3.3198518511362584E-4</v>
      </c>
      <c r="W101" s="2"/>
      <c r="X101" s="7">
        <f t="shared" si="77"/>
        <v>122976.51</v>
      </c>
      <c r="Y101" s="2"/>
      <c r="Z101" s="6">
        <f t="shared" si="78"/>
        <v>20.104055909759687</v>
      </c>
    </row>
    <row r="102" spans="1:26" s="24" customFormat="1" hidden="1" outlineLevel="2" x14ac:dyDescent="0.25">
      <c r="A102" s="26"/>
      <c r="B102" s="11" t="str">
        <f>CONCATENATE("          ", "6259", " - ", "ROYALTY &amp; COMMISSIONS")</f>
        <v xml:space="preserve">          6259 - ROYALTY &amp; COMMISSIONS</v>
      </c>
      <c r="C102" s="11"/>
      <c r="D102" s="7"/>
      <c r="E102" s="2"/>
      <c r="F102" s="6">
        <f t="shared" si="71"/>
        <v>0</v>
      </c>
      <c r="G102" s="2"/>
      <c r="H102" s="7">
        <v>10640</v>
      </c>
      <c r="I102" s="2"/>
      <c r="J102" s="6">
        <f t="shared" si="72"/>
        <v>8.019717651669896E-3</v>
      </c>
      <c r="K102" s="2"/>
      <c r="L102" s="7">
        <f t="shared" si="73"/>
        <v>-10640</v>
      </c>
      <c r="M102" s="2"/>
      <c r="N102" s="6">
        <f t="shared" si="74"/>
        <v>-1</v>
      </c>
      <c r="O102" s="11"/>
      <c r="P102" s="7">
        <v>104669.95999999999</v>
      </c>
      <c r="Q102" s="2"/>
      <c r="R102" s="6">
        <f t="shared" si="75"/>
        <v>7.5893436774553775E-3</v>
      </c>
      <c r="S102" s="2"/>
      <c r="T102" s="7">
        <v>158824</v>
      </c>
      <c r="U102" s="2"/>
      <c r="V102" s="6">
        <f t="shared" si="76"/>
        <v>8.6197833971696104E-3</v>
      </c>
      <c r="W102" s="2"/>
      <c r="X102" s="7">
        <f t="shared" si="77"/>
        <v>-54154.040000000008</v>
      </c>
      <c r="Y102" s="2"/>
      <c r="Z102" s="6">
        <f t="shared" si="78"/>
        <v>-0.34096887120334463</v>
      </c>
    </row>
    <row r="103" spans="1:26" s="27" customFormat="1" outlineLevel="1" collapsed="1" x14ac:dyDescent="0.25">
      <c r="A103" s="25"/>
      <c r="B103" s="12" t="str">
        <f>CONCATENATE("     ","Services                                          ")</f>
        <v xml:space="preserve">     Services                                          </v>
      </c>
      <c r="C103" s="12"/>
      <c r="D103" s="1">
        <f>SUM(OSRRefD22_19x_0)</f>
        <v>12298.58</v>
      </c>
      <c r="E103" s="1"/>
      <c r="F103" s="5">
        <f t="shared" ref="F103:F108" si="79">IF(D$12=0,0,D103/D$12)</f>
        <v>0.10034236197946285</v>
      </c>
      <c r="G103" s="1"/>
      <c r="H103" s="1">
        <f>SUM(OSRRefH22_19x_0)</f>
        <v>44865</v>
      </c>
      <c r="I103" s="1"/>
      <c r="J103" s="5">
        <f t="shared" ref="J103:J108" si="80">IF(H$12=0,0,H103/H$12)</f>
        <v>3.3816224853587394E-2</v>
      </c>
      <c r="K103" s="1"/>
      <c r="L103" s="1">
        <f t="shared" ref="L103:L108" si="81">+D103-H103</f>
        <v>-32566.42</v>
      </c>
      <c r="M103" s="1"/>
      <c r="N103" s="5">
        <f t="shared" ref="N103:N108" si="82">IF(H103=0,0,L103/H103)</f>
        <v>-0.72587584977153674</v>
      </c>
      <c r="O103" s="12"/>
      <c r="P103" s="1">
        <f>SUM(OSRRefP22_19x_0)</f>
        <v>400948.42999999993</v>
      </c>
      <c r="Q103" s="1"/>
      <c r="R103" s="5">
        <f t="shared" ref="R103:R108" si="83">IF(P$12=0,0,P103/P$12)</f>
        <v>2.9071716777250699E-2</v>
      </c>
      <c r="S103" s="1"/>
      <c r="T103" s="1">
        <f>SUM(OSRRefT22_19x_0)</f>
        <v>462135</v>
      </c>
      <c r="U103" s="1"/>
      <c r="V103" s="5">
        <f t="shared" ref="V103:V108" si="84">IF(T$12=0,0,T103/T$12)</f>
        <v>2.5081244649744233E-2</v>
      </c>
      <c r="W103" s="1"/>
      <c r="X103" s="1">
        <f t="shared" ref="X103:X108" si="85">+P103-T103</f>
        <v>-61186.570000000065</v>
      </c>
      <c r="Y103" s="1"/>
      <c r="Z103" s="5">
        <f t="shared" ref="Z103:Z108" si="86">IF(T103=0,0,X103/T103)</f>
        <v>-0.13239977495753419</v>
      </c>
    </row>
    <row r="104" spans="1:26" s="24" customFormat="1" hidden="1" outlineLevel="2" x14ac:dyDescent="0.25">
      <c r="A104" s="26"/>
      <c r="B104" s="11" t="str">
        <f>CONCATENATE("          ", "6282", " - ", "JANITORIAL/EXTERMINATOR EXPENS")</f>
        <v xml:space="preserve">          6282 - JANITORIAL/EXTERMINATOR EXPENS</v>
      </c>
      <c r="C104" s="11"/>
      <c r="D104" s="7">
        <v>1436.53</v>
      </c>
      <c r="E104" s="2"/>
      <c r="F104" s="6">
        <f t="shared" si="79"/>
        <v>1.1720443600347177E-2</v>
      </c>
      <c r="G104" s="2"/>
      <c r="H104" s="7">
        <v>2985</v>
      </c>
      <c r="I104" s="2"/>
      <c r="J104" s="6">
        <f t="shared" si="80"/>
        <v>2.2498925930671651E-3</v>
      </c>
      <c r="K104" s="2"/>
      <c r="L104" s="7">
        <f t="shared" si="81"/>
        <v>-1548.47</v>
      </c>
      <c r="M104" s="2"/>
      <c r="N104" s="6">
        <f t="shared" si="82"/>
        <v>-0.51875041876046901</v>
      </c>
      <c r="O104" s="11"/>
      <c r="P104" s="7">
        <v>30976.57</v>
      </c>
      <c r="Q104" s="2"/>
      <c r="R104" s="6">
        <f t="shared" si="83"/>
        <v>2.2460296696277895E-3</v>
      </c>
      <c r="S104" s="2"/>
      <c r="T104" s="7">
        <v>32620</v>
      </c>
      <c r="U104" s="2"/>
      <c r="V104" s="6">
        <f t="shared" si="84"/>
        <v>1.770370563741454E-3</v>
      </c>
      <c r="W104" s="2"/>
      <c r="X104" s="7">
        <f t="shared" si="85"/>
        <v>-1643.4300000000003</v>
      </c>
      <c r="Y104" s="2"/>
      <c r="Z104" s="6">
        <f t="shared" si="86"/>
        <v>-5.0381054567749856E-2</v>
      </c>
    </row>
    <row r="105" spans="1:26" s="24" customFormat="1" hidden="1" outlineLevel="2" x14ac:dyDescent="0.25">
      <c r="A105" s="26"/>
      <c r="B105" s="11" t="str">
        <f>CONCATENATE("          ", "6283", " - ", "PLANT SERVICE")</f>
        <v xml:space="preserve">          6283 - PLANT SERVICE</v>
      </c>
      <c r="C105" s="11"/>
      <c r="D105" s="7"/>
      <c r="E105" s="2"/>
      <c r="F105" s="6">
        <f t="shared" si="79"/>
        <v>0</v>
      </c>
      <c r="G105" s="2"/>
      <c r="H105" s="7">
        <v>185</v>
      </c>
      <c r="I105" s="2"/>
      <c r="J105" s="6">
        <f t="shared" si="80"/>
        <v>1.3944057946982432E-4</v>
      </c>
      <c r="K105" s="2"/>
      <c r="L105" s="7">
        <f t="shared" si="81"/>
        <v>-185</v>
      </c>
      <c r="M105" s="2"/>
      <c r="N105" s="6">
        <f t="shared" si="82"/>
        <v>-1</v>
      </c>
      <c r="O105" s="11"/>
      <c r="P105" s="7">
        <v>1798.02</v>
      </c>
      <c r="Q105" s="2"/>
      <c r="R105" s="6">
        <f t="shared" si="83"/>
        <v>1.3036970415330549E-4</v>
      </c>
      <c r="S105" s="2"/>
      <c r="T105" s="7">
        <v>2000</v>
      </c>
      <c r="U105" s="2"/>
      <c r="V105" s="6">
        <f t="shared" si="84"/>
        <v>1.0854509894184267E-4</v>
      </c>
      <c r="W105" s="2"/>
      <c r="X105" s="7">
        <f t="shared" si="85"/>
        <v>-201.98000000000002</v>
      </c>
      <c r="Y105" s="2"/>
      <c r="Z105" s="6">
        <f t="shared" si="86"/>
        <v>-0.10099000000000001</v>
      </c>
    </row>
    <row r="106" spans="1:26" s="24" customFormat="1" hidden="1" outlineLevel="2" x14ac:dyDescent="0.25">
      <c r="A106" s="26"/>
      <c r="B106" s="11" t="str">
        <f>CONCATENATE("          ", "6284", " - ", "TRASH REMOVAL EXPENSE")</f>
        <v xml:space="preserve">          6284 - TRASH REMOVAL EXPENSE</v>
      </c>
      <c r="C106" s="11"/>
      <c r="D106" s="7">
        <v>5130</v>
      </c>
      <c r="E106" s="2"/>
      <c r="F106" s="6">
        <f t="shared" si="79"/>
        <v>4.1854939103103325E-2</v>
      </c>
      <c r="G106" s="2"/>
      <c r="H106" s="7">
        <v>4065</v>
      </c>
      <c r="I106" s="2"/>
      <c r="J106" s="6">
        <f t="shared" si="80"/>
        <v>3.0639240840261393E-3</v>
      </c>
      <c r="K106" s="2"/>
      <c r="L106" s="7">
        <f t="shared" si="81"/>
        <v>1065</v>
      </c>
      <c r="M106" s="2"/>
      <c r="N106" s="6">
        <f t="shared" si="82"/>
        <v>0.26199261992619927</v>
      </c>
      <c r="O106" s="11"/>
      <c r="P106" s="7">
        <v>48541</v>
      </c>
      <c r="Q106" s="2"/>
      <c r="R106" s="6">
        <f t="shared" si="83"/>
        <v>3.5195803213009871E-3</v>
      </c>
      <c r="S106" s="2"/>
      <c r="T106" s="7">
        <v>44665</v>
      </c>
      <c r="U106" s="2"/>
      <c r="V106" s="6">
        <f t="shared" si="84"/>
        <v>2.4240834221187016E-3</v>
      </c>
      <c r="W106" s="2"/>
      <c r="X106" s="7">
        <f t="shared" si="85"/>
        <v>3876</v>
      </c>
      <c r="Y106" s="2"/>
      <c r="Z106" s="6">
        <f t="shared" si="86"/>
        <v>8.6779357438710403E-2</v>
      </c>
    </row>
    <row r="107" spans="1:26" s="24" customFormat="1" hidden="1" outlineLevel="2" x14ac:dyDescent="0.25">
      <c r="A107" s="26"/>
      <c r="B107" s="11" t="str">
        <f>CONCATENATE("          ", "6285", " - ", "JANITORIAL SERVICES")</f>
        <v xml:space="preserve">          6285 - JANITORIAL SERVICES</v>
      </c>
      <c r="C107" s="11"/>
      <c r="D107" s="7">
        <v>5732.05</v>
      </c>
      <c r="E107" s="2"/>
      <c r="F107" s="6">
        <f t="shared" si="79"/>
        <v>4.6766979276012359E-2</v>
      </c>
      <c r="G107" s="2"/>
      <c r="H107" s="7">
        <v>28389</v>
      </c>
      <c r="I107" s="2"/>
      <c r="J107" s="6">
        <f t="shared" si="80"/>
        <v>2.1397722219291038E-2</v>
      </c>
      <c r="K107" s="2"/>
      <c r="L107" s="7">
        <f t="shared" si="81"/>
        <v>-22656.95</v>
      </c>
      <c r="M107" s="2"/>
      <c r="N107" s="6">
        <f t="shared" si="82"/>
        <v>-0.79808904857515239</v>
      </c>
      <c r="O107" s="11"/>
      <c r="P107" s="7">
        <v>251084.24</v>
      </c>
      <c r="Q107" s="2"/>
      <c r="R107" s="6">
        <f t="shared" si="83"/>
        <v>1.8205458274300368E-2</v>
      </c>
      <c r="S107" s="2"/>
      <c r="T107" s="7">
        <v>284301</v>
      </c>
      <c r="U107" s="2"/>
      <c r="V107" s="6">
        <f t="shared" si="84"/>
        <v>1.5429740087132408E-2</v>
      </c>
      <c r="W107" s="2"/>
      <c r="X107" s="7">
        <f t="shared" si="85"/>
        <v>-33216.760000000009</v>
      </c>
      <c r="Y107" s="2"/>
      <c r="Z107" s="6">
        <f t="shared" si="86"/>
        <v>-0.11683659220333383</v>
      </c>
    </row>
    <row r="108" spans="1:26" s="24" customFormat="1" hidden="1" outlineLevel="2" x14ac:dyDescent="0.25">
      <c r="A108" s="26"/>
      <c r="B108" s="11" t="str">
        <f>CONCATENATE("          ", "6286", " - ", "LAUNDRY EXPENSE")</f>
        <v xml:space="preserve">          6286 - LAUNDRY EXPENSE</v>
      </c>
      <c r="C108" s="11"/>
      <c r="D108" s="7"/>
      <c r="E108" s="2"/>
      <c r="F108" s="6">
        <f t="shared" si="79"/>
        <v>0</v>
      </c>
      <c r="G108" s="2"/>
      <c r="H108" s="7">
        <v>9241</v>
      </c>
      <c r="I108" s="2"/>
      <c r="J108" s="6">
        <f t="shared" si="80"/>
        <v>6.9652453777332242E-3</v>
      </c>
      <c r="K108" s="2"/>
      <c r="L108" s="7">
        <f t="shared" si="81"/>
        <v>-9241</v>
      </c>
      <c r="M108" s="2"/>
      <c r="N108" s="6">
        <f t="shared" si="82"/>
        <v>-1</v>
      </c>
      <c r="O108" s="11"/>
      <c r="P108" s="7">
        <v>68548.600000000006</v>
      </c>
      <c r="Q108" s="2"/>
      <c r="R108" s="6">
        <f t="shared" si="83"/>
        <v>4.970278807868253E-3</v>
      </c>
      <c r="S108" s="2"/>
      <c r="T108" s="7">
        <v>98549</v>
      </c>
      <c r="U108" s="2"/>
      <c r="V108" s="6">
        <f t="shared" si="84"/>
        <v>5.3485054778098272E-3</v>
      </c>
      <c r="W108" s="2"/>
      <c r="X108" s="7">
        <f t="shared" si="85"/>
        <v>-30000.399999999994</v>
      </c>
      <c r="Y108" s="2"/>
      <c r="Z108" s="6">
        <f t="shared" si="86"/>
        <v>-0.30442115089955246</v>
      </c>
    </row>
    <row r="109" spans="1:26" s="27" customFormat="1" outlineLevel="1" collapsed="1" x14ac:dyDescent="0.25">
      <c r="A109" s="25"/>
      <c r="B109" s="12" t="str">
        <f>CONCATENATE("     ","Subscriptions &amp; Dues                              ")</f>
        <v xml:space="preserve">     Subscriptions &amp; Dues                              </v>
      </c>
      <c r="C109" s="12"/>
      <c r="D109" s="1">
        <f>SUM(OSRRefD22_20x_0)</f>
        <v>0</v>
      </c>
      <c r="E109" s="1"/>
      <c r="F109" s="5">
        <f t="shared" ref="F109:F111" si="87">IF(D$12=0,0,D109/D$12)</f>
        <v>0</v>
      </c>
      <c r="G109" s="1"/>
      <c r="H109" s="1">
        <f>SUM(OSRRefH22_20x_0)</f>
        <v>394</v>
      </c>
      <c r="I109" s="1"/>
      <c r="J109" s="5">
        <f t="shared" ref="J109:J111" si="88">IF(H$12=0,0,H109/H$12)</f>
        <v>2.9697074762762579E-4</v>
      </c>
      <c r="K109" s="1"/>
      <c r="L109" s="1">
        <f t="shared" ref="L109:L111" si="89">+D109-H109</f>
        <v>-394</v>
      </c>
      <c r="M109" s="1"/>
      <c r="N109" s="5">
        <f t="shared" ref="N109:N111" si="90">IF(H109=0,0,L109/H109)</f>
        <v>-1</v>
      </c>
      <c r="O109" s="12"/>
      <c r="P109" s="1">
        <f>SUM(OSRRefP22_20x_0)</f>
        <v>7300.55</v>
      </c>
      <c r="Q109" s="1"/>
      <c r="R109" s="5">
        <f t="shared" ref="R109:R111" si="91">IF(P$12=0,0,P109/P$12)</f>
        <v>5.2934369120277551E-4</v>
      </c>
      <c r="S109" s="1"/>
      <c r="T109" s="1">
        <f>SUM(OSRRefT22_20x_0)</f>
        <v>4459</v>
      </c>
      <c r="U109" s="1"/>
      <c r="V109" s="5">
        <f t="shared" ref="V109:V111" si="92">IF(T$12=0,0,T109/T$12)</f>
        <v>2.4200129809083824E-4</v>
      </c>
      <c r="W109" s="1"/>
      <c r="X109" s="1">
        <f t="shared" ref="X109:X111" si="93">+P109-T109</f>
        <v>2841.55</v>
      </c>
      <c r="Y109" s="1"/>
      <c r="Z109" s="5">
        <f t="shared" ref="Z109:Z111" si="94">IF(T109=0,0,X109/T109)</f>
        <v>0.6372617178739628</v>
      </c>
    </row>
    <row r="110" spans="1:26" s="24" customFormat="1" hidden="1" outlineLevel="2" x14ac:dyDescent="0.25">
      <c r="A110" s="26"/>
      <c r="B110" s="11" t="str">
        <f>CONCATENATE("          ", "6258", " - ", "MEMBERSHIP DUES")</f>
        <v xml:space="preserve">          6258 - MEMBERSHIP DUES</v>
      </c>
      <c r="C110" s="11"/>
      <c r="D110" s="7"/>
      <c r="E110" s="2"/>
      <c r="F110" s="6">
        <f t="shared" si="87"/>
        <v>0</v>
      </c>
      <c r="G110" s="2"/>
      <c r="H110" s="7"/>
      <c r="I110" s="2"/>
      <c r="J110" s="6">
        <f t="shared" si="88"/>
        <v>0</v>
      </c>
      <c r="K110" s="2"/>
      <c r="L110" s="7">
        <f t="shared" si="89"/>
        <v>0</v>
      </c>
      <c r="M110" s="2"/>
      <c r="N110" s="6">
        <f t="shared" si="90"/>
        <v>0</v>
      </c>
      <c r="O110" s="11"/>
      <c r="P110" s="7">
        <v>3730</v>
      </c>
      <c r="Q110" s="2"/>
      <c r="R110" s="6">
        <f t="shared" si="91"/>
        <v>2.704524957963924E-4</v>
      </c>
      <c r="S110" s="2"/>
      <c r="T110" s="7">
        <v>300</v>
      </c>
      <c r="U110" s="2"/>
      <c r="V110" s="6">
        <f t="shared" si="92"/>
        <v>1.6281764841276402E-5</v>
      </c>
      <c r="W110" s="2"/>
      <c r="X110" s="7">
        <f t="shared" si="93"/>
        <v>3430</v>
      </c>
      <c r="Y110" s="2"/>
      <c r="Z110" s="6">
        <f t="shared" si="94"/>
        <v>11.433333333333334</v>
      </c>
    </row>
    <row r="111" spans="1:26" s="24" customFormat="1" hidden="1" outlineLevel="2" x14ac:dyDescent="0.25">
      <c r="A111" s="26"/>
      <c r="B111" s="11" t="str">
        <f>CONCATENATE("          ", "6275", " - ", "SUBSCRIPTIONS")</f>
        <v xml:space="preserve">          6275 - SUBSCRIPTIONS</v>
      </c>
      <c r="C111" s="11"/>
      <c r="D111" s="7"/>
      <c r="E111" s="2"/>
      <c r="F111" s="6">
        <f t="shared" si="87"/>
        <v>0</v>
      </c>
      <c r="G111" s="2"/>
      <c r="H111" s="7">
        <v>394</v>
      </c>
      <c r="I111" s="2"/>
      <c r="J111" s="6">
        <f t="shared" si="88"/>
        <v>2.9697074762762579E-4</v>
      </c>
      <c r="K111" s="2"/>
      <c r="L111" s="7">
        <f t="shared" si="89"/>
        <v>-394</v>
      </c>
      <c r="M111" s="2"/>
      <c r="N111" s="6">
        <f t="shared" si="90"/>
        <v>-1</v>
      </c>
      <c r="O111" s="11"/>
      <c r="P111" s="7">
        <v>3570.55</v>
      </c>
      <c r="Q111" s="2"/>
      <c r="R111" s="6">
        <f t="shared" si="91"/>
        <v>2.588911954063831E-4</v>
      </c>
      <c r="S111" s="2"/>
      <c r="T111" s="7">
        <v>4159</v>
      </c>
      <c r="U111" s="2"/>
      <c r="V111" s="6">
        <f t="shared" si="92"/>
        <v>2.2571953324956184E-4</v>
      </c>
      <c r="W111" s="2"/>
      <c r="X111" s="7">
        <f t="shared" si="93"/>
        <v>-588.44999999999982</v>
      </c>
      <c r="Y111" s="2"/>
      <c r="Z111" s="6">
        <f t="shared" si="94"/>
        <v>-0.14148833854291892</v>
      </c>
    </row>
    <row r="112" spans="1:26" s="27" customFormat="1" outlineLevel="1" collapsed="1" x14ac:dyDescent="0.25">
      <c r="A112" s="25"/>
      <c r="B112" s="12" t="str">
        <f>CONCATENATE("     ","Supplies                                          ")</f>
        <v xml:space="preserve">     Supplies                                          </v>
      </c>
      <c r="C112" s="12"/>
      <c r="D112" s="1">
        <f>SUM(OSRRefD22_21x_0)</f>
        <v>4563.84</v>
      </c>
      <c r="E112" s="1"/>
      <c r="F112" s="5">
        <f t="shared" ref="F112:F123" si="95">IF(D$12=0,0,D112/D$12)</f>
        <v>3.723572032676551E-2</v>
      </c>
      <c r="G112" s="1"/>
      <c r="H112" s="1">
        <f>SUM(OSRRefH22_21x_0)</f>
        <v>33159</v>
      </c>
      <c r="I112" s="1"/>
      <c r="J112" s="5">
        <f t="shared" ref="J112:J123" si="96">IF(H$12=0,0,H112/H$12)</f>
        <v>2.499302797102651E-2</v>
      </c>
      <c r="K112" s="1"/>
      <c r="L112" s="1">
        <f t="shared" ref="L112:L123" si="97">+D112-H112</f>
        <v>-28595.16</v>
      </c>
      <c r="M112" s="1"/>
      <c r="N112" s="5">
        <f t="shared" ref="N112:N123" si="98">IF(H112=0,0,L112/H112)</f>
        <v>-0.86236496878675473</v>
      </c>
      <c r="O112" s="12"/>
      <c r="P112" s="1">
        <f>SUM(OSRRefP22_21x_0)</f>
        <v>361379.11000000004</v>
      </c>
      <c r="Q112" s="1"/>
      <c r="R112" s="5">
        <f t="shared" ref="R112:R123" si="99">IF(P$12=0,0,P112/P$12)</f>
        <v>2.6202649390932718E-2</v>
      </c>
      <c r="S112" s="1"/>
      <c r="T112" s="1">
        <f>SUM(OSRRefT22_21x_0)</f>
        <v>424502.86000000004</v>
      </c>
      <c r="U112" s="1"/>
      <c r="V112" s="5">
        <f t="shared" ref="V112:V123" si="100">IF(T$12=0,0,T112/T$12)</f>
        <v>2.3038852469897599E-2</v>
      </c>
      <c r="W112" s="1"/>
      <c r="X112" s="1">
        <f t="shared" ref="X112:X123" si="101">+P112-T112</f>
        <v>-63123.75</v>
      </c>
      <c r="Y112" s="1"/>
      <c r="Z112" s="5">
        <f t="shared" ref="Z112:Z123" si="102">IF(T112=0,0,X112/T112)</f>
        <v>-0.14870041158262159</v>
      </c>
    </row>
    <row r="113" spans="1:26" s="24" customFormat="1" hidden="1" outlineLevel="2" x14ac:dyDescent="0.25">
      <c r="A113" s="26"/>
      <c r="B113" s="11" t="str">
        <f>CONCATENATE("          ", "6234", " - ", "EXPENDABLE SUPPLIES &amp; EQUIPMEN")</f>
        <v xml:space="preserve">          6234 - EXPENDABLE SUPPLIES &amp; EQUIPMEN</v>
      </c>
      <c r="C113" s="11"/>
      <c r="D113" s="7"/>
      <c r="E113" s="2"/>
      <c r="F113" s="6">
        <f t="shared" si="95"/>
        <v>0</v>
      </c>
      <c r="G113" s="2"/>
      <c r="H113" s="7">
        <v>900</v>
      </c>
      <c r="I113" s="2"/>
      <c r="J113" s="6">
        <f t="shared" si="96"/>
        <v>6.7835957579914525E-4</v>
      </c>
      <c r="K113" s="2"/>
      <c r="L113" s="7">
        <f t="shared" si="97"/>
        <v>-900</v>
      </c>
      <c r="M113" s="2"/>
      <c r="N113" s="6">
        <f t="shared" si="98"/>
        <v>-1</v>
      </c>
      <c r="O113" s="11"/>
      <c r="P113" s="7">
        <v>14804.830000000002</v>
      </c>
      <c r="Q113" s="2"/>
      <c r="R113" s="6">
        <f t="shared" si="99"/>
        <v>1.073459309206784E-3</v>
      </c>
      <c r="S113" s="2"/>
      <c r="T113" s="7">
        <v>8550</v>
      </c>
      <c r="U113" s="2"/>
      <c r="V113" s="6">
        <f t="shared" si="100"/>
        <v>4.6403029797637745E-4</v>
      </c>
      <c r="W113" s="2"/>
      <c r="X113" s="7">
        <f t="shared" si="101"/>
        <v>6254.8300000000017</v>
      </c>
      <c r="Y113" s="2"/>
      <c r="Z113" s="6">
        <f t="shared" si="102"/>
        <v>0.73155906432748563</v>
      </c>
    </row>
    <row r="114" spans="1:26" s="24" customFormat="1" hidden="1" outlineLevel="2" x14ac:dyDescent="0.25">
      <c r="A114" s="26"/>
      <c r="B114" s="11" t="str">
        <f>CONCATENATE("          ", "6235", " - ", "COVID-19 EXPENSES")</f>
        <v xml:space="preserve">          6235 - COVID-19 EXPENSES</v>
      </c>
      <c r="C114" s="11"/>
      <c r="D114" s="7">
        <v>1951.11</v>
      </c>
      <c r="E114" s="2"/>
      <c r="F114" s="6">
        <f t="shared" si="95"/>
        <v>1.5918828505546961E-2</v>
      </c>
      <c r="G114" s="2"/>
      <c r="H114" s="7"/>
      <c r="I114" s="2"/>
      <c r="J114" s="6">
        <f t="shared" si="96"/>
        <v>0</v>
      </c>
      <c r="K114" s="2"/>
      <c r="L114" s="7">
        <f t="shared" si="97"/>
        <v>1951.11</v>
      </c>
      <c r="M114" s="2"/>
      <c r="N114" s="6">
        <f t="shared" si="98"/>
        <v>0</v>
      </c>
      <c r="O114" s="11"/>
      <c r="P114" s="7">
        <v>1951.11</v>
      </c>
      <c r="Q114" s="2"/>
      <c r="R114" s="6">
        <f t="shared" si="99"/>
        <v>1.414698576604019E-4</v>
      </c>
      <c r="S114" s="2"/>
      <c r="T114" s="7"/>
      <c r="U114" s="2"/>
      <c r="V114" s="6">
        <f t="shared" si="100"/>
        <v>0</v>
      </c>
      <c r="W114" s="2"/>
      <c r="X114" s="7">
        <f t="shared" si="101"/>
        <v>1951.11</v>
      </c>
      <c r="Y114" s="2"/>
      <c r="Z114" s="6">
        <f t="shared" si="102"/>
        <v>0</v>
      </c>
    </row>
    <row r="115" spans="1:26" s="24" customFormat="1" hidden="1" outlineLevel="2" x14ac:dyDescent="0.25">
      <c r="A115" s="26"/>
      <c r="B115" s="11" t="str">
        <f>CONCATENATE("          ", "6237", " - ", "JANITORIAL SUPPLIES")</f>
        <v xml:space="preserve">          6237 - JANITORIAL SUPPLIES</v>
      </c>
      <c r="C115" s="11"/>
      <c r="D115" s="7">
        <v>1123.01</v>
      </c>
      <c r="E115" s="2"/>
      <c r="F115" s="6">
        <f t="shared" si="95"/>
        <v>9.1624785891181414E-3</v>
      </c>
      <c r="G115" s="2"/>
      <c r="H115" s="7">
        <v>13816</v>
      </c>
      <c r="I115" s="2"/>
      <c r="J115" s="6">
        <f t="shared" si="96"/>
        <v>1.0413573221378879E-2</v>
      </c>
      <c r="K115" s="2"/>
      <c r="L115" s="7">
        <f t="shared" si="97"/>
        <v>-12692.99</v>
      </c>
      <c r="M115" s="2"/>
      <c r="N115" s="6">
        <f t="shared" si="98"/>
        <v>-0.91871670526925298</v>
      </c>
      <c r="O115" s="11"/>
      <c r="P115" s="7">
        <v>122687.93</v>
      </c>
      <c r="Q115" s="2"/>
      <c r="R115" s="6">
        <f t="shared" si="99"/>
        <v>8.895779322411014E-3</v>
      </c>
      <c r="S115" s="2"/>
      <c r="T115" s="7">
        <v>153351</v>
      </c>
      <c r="U115" s="2"/>
      <c r="V115" s="6">
        <f t="shared" si="100"/>
        <v>8.3227497339152575E-3</v>
      </c>
      <c r="W115" s="2"/>
      <c r="X115" s="7">
        <f t="shared" si="101"/>
        <v>-30663.070000000007</v>
      </c>
      <c r="Y115" s="2"/>
      <c r="Z115" s="6">
        <f t="shared" si="102"/>
        <v>-0.19995350535699152</v>
      </c>
    </row>
    <row r="116" spans="1:26" s="24" customFormat="1" hidden="1" outlineLevel="2" x14ac:dyDescent="0.25">
      <c r="A116" s="26"/>
      <c r="B116" s="11" t="str">
        <f>CONCATENATE("          ", "6239", " - ", "KITCHEN SUPPLIES")</f>
        <v xml:space="preserve">          6239 - KITCHEN SUPPLIES</v>
      </c>
      <c r="C116" s="11"/>
      <c r="D116" s="7">
        <v>50</v>
      </c>
      <c r="E116" s="2"/>
      <c r="F116" s="6">
        <f t="shared" si="95"/>
        <v>4.079428762485704E-4</v>
      </c>
      <c r="G116" s="2"/>
      <c r="H116" s="7">
        <v>4250</v>
      </c>
      <c r="I116" s="2"/>
      <c r="J116" s="6">
        <f t="shared" si="96"/>
        <v>3.2033646634959637E-3</v>
      </c>
      <c r="K116" s="2"/>
      <c r="L116" s="7">
        <f t="shared" si="97"/>
        <v>-4200</v>
      </c>
      <c r="M116" s="2"/>
      <c r="N116" s="6">
        <f t="shared" si="98"/>
        <v>-0.9882352941176471</v>
      </c>
      <c r="O116" s="11"/>
      <c r="P116" s="7">
        <v>72374.13</v>
      </c>
      <c r="Q116" s="2"/>
      <c r="R116" s="6">
        <f t="shared" si="99"/>
        <v>5.2476579328666374E-3</v>
      </c>
      <c r="S116" s="2"/>
      <c r="T116" s="7">
        <v>78404.150000000009</v>
      </c>
      <c r="U116" s="2"/>
      <c r="V116" s="6">
        <f t="shared" si="100"/>
        <v>4.2551931096005378E-3</v>
      </c>
      <c r="W116" s="2"/>
      <c r="X116" s="7">
        <f t="shared" si="101"/>
        <v>-6030.0200000000041</v>
      </c>
      <c r="Y116" s="2"/>
      <c r="Z116" s="6">
        <f t="shared" si="102"/>
        <v>-7.6909449308486907E-2</v>
      </c>
    </row>
    <row r="117" spans="1:26" s="24" customFormat="1" hidden="1" outlineLevel="2" x14ac:dyDescent="0.25">
      <c r="A117" s="26"/>
      <c r="B117" s="11" t="str">
        <f>CONCATENATE("          ", "6241", " - ", "OFFICE EXPENSE")</f>
        <v xml:space="preserve">          6241 - OFFICE EXPENSE</v>
      </c>
      <c r="C117" s="11"/>
      <c r="D117" s="7">
        <v>177.61</v>
      </c>
      <c r="E117" s="2"/>
      <c r="F117" s="6">
        <f t="shared" si="95"/>
        <v>1.4490946850101718E-3</v>
      </c>
      <c r="G117" s="2"/>
      <c r="H117" s="7">
        <v>2149</v>
      </c>
      <c r="I117" s="2"/>
      <c r="J117" s="6">
        <f t="shared" si="96"/>
        <v>1.6197719204359591E-3</v>
      </c>
      <c r="K117" s="2"/>
      <c r="L117" s="7">
        <f t="shared" si="97"/>
        <v>-1971.3899999999999</v>
      </c>
      <c r="M117" s="2"/>
      <c r="N117" s="6">
        <f t="shared" si="98"/>
        <v>-0.9173522568636574</v>
      </c>
      <c r="O117" s="11"/>
      <c r="P117" s="7">
        <v>46317.13</v>
      </c>
      <c r="Q117" s="2"/>
      <c r="R117" s="6">
        <f t="shared" si="99"/>
        <v>3.3583333529828307E-3</v>
      </c>
      <c r="S117" s="2"/>
      <c r="T117" s="7">
        <v>25243.82</v>
      </c>
      <c r="U117" s="2"/>
      <c r="V117" s="6">
        <f t="shared" si="100"/>
        <v>1.3700464697850336E-3</v>
      </c>
      <c r="W117" s="2"/>
      <c r="X117" s="7">
        <f t="shared" si="101"/>
        <v>21073.309999999998</v>
      </c>
      <c r="Y117" s="2"/>
      <c r="Z117" s="6">
        <f t="shared" si="102"/>
        <v>0.83479085178075263</v>
      </c>
    </row>
    <row r="118" spans="1:26" s="24" customFormat="1" hidden="1" outlineLevel="2" x14ac:dyDescent="0.25">
      <c r="A118" s="26"/>
      <c r="B118" s="11" t="str">
        <f>CONCATENATE("          ", "6243", " - ", "PAPER SUPPLIES")</f>
        <v xml:space="preserve">          6243 - PAPER SUPPLIES</v>
      </c>
      <c r="C118" s="11"/>
      <c r="D118" s="7">
        <v>1262.1099999999999</v>
      </c>
      <c r="E118" s="2"/>
      <c r="F118" s="6">
        <f t="shared" si="95"/>
        <v>1.0297375670841663E-2</v>
      </c>
      <c r="G118" s="2"/>
      <c r="H118" s="7">
        <v>10609</v>
      </c>
      <c r="I118" s="2"/>
      <c r="J118" s="6">
        <f t="shared" si="96"/>
        <v>7.9963519329479243E-3</v>
      </c>
      <c r="K118" s="2"/>
      <c r="L118" s="7">
        <f t="shared" si="97"/>
        <v>-9346.89</v>
      </c>
      <c r="M118" s="2"/>
      <c r="N118" s="6">
        <f t="shared" si="98"/>
        <v>-0.88103402771231965</v>
      </c>
      <c r="O118" s="11"/>
      <c r="P118" s="7">
        <v>89108.4</v>
      </c>
      <c r="Q118" s="2"/>
      <c r="R118" s="6">
        <f t="shared" si="99"/>
        <v>6.4610158649928279E-3</v>
      </c>
      <c r="S118" s="2"/>
      <c r="T118" s="7">
        <v>116929.52</v>
      </c>
      <c r="U118" s="2"/>
      <c r="V118" s="6">
        <f t="shared" si="100"/>
        <v>6.3460631588110866E-3</v>
      </c>
      <c r="W118" s="2"/>
      <c r="X118" s="7">
        <f t="shared" si="101"/>
        <v>-27821.12000000001</v>
      </c>
      <c r="Y118" s="2"/>
      <c r="Z118" s="6">
        <f t="shared" si="102"/>
        <v>-0.23793067824104647</v>
      </c>
    </row>
    <row r="119" spans="1:26" s="24" customFormat="1" hidden="1" outlineLevel="2" x14ac:dyDescent="0.25">
      <c r="A119" s="26"/>
      <c r="B119" s="11" t="str">
        <f>CONCATENATE("          ", "6244", " - ", "SAFETY SUPPLY EXPENSE")</f>
        <v xml:space="preserve">          6244 - SAFETY SUPPLY EXPENSE</v>
      </c>
      <c r="C119" s="11"/>
      <c r="D119" s="7"/>
      <c r="E119" s="2"/>
      <c r="F119" s="6">
        <f t="shared" si="95"/>
        <v>0</v>
      </c>
      <c r="G119" s="2"/>
      <c r="H119" s="7">
        <v>235</v>
      </c>
      <c r="I119" s="2"/>
      <c r="J119" s="6">
        <f t="shared" si="96"/>
        <v>1.7712722256977683E-4</v>
      </c>
      <c r="K119" s="2"/>
      <c r="L119" s="7">
        <f t="shared" si="97"/>
        <v>-235</v>
      </c>
      <c r="M119" s="2"/>
      <c r="N119" s="6">
        <f t="shared" si="98"/>
        <v>-1</v>
      </c>
      <c r="O119" s="11"/>
      <c r="P119" s="7"/>
      <c r="Q119" s="2"/>
      <c r="R119" s="6">
        <f t="shared" si="99"/>
        <v>0</v>
      </c>
      <c r="S119" s="2"/>
      <c r="T119" s="7">
        <v>2585</v>
      </c>
      <c r="U119" s="2"/>
      <c r="V119" s="6">
        <f t="shared" si="100"/>
        <v>1.4029454038233166E-4</v>
      </c>
      <c r="W119" s="2"/>
      <c r="X119" s="7">
        <f t="shared" si="101"/>
        <v>-2585</v>
      </c>
      <c r="Y119" s="2"/>
      <c r="Z119" s="6">
        <f t="shared" si="102"/>
        <v>-1</v>
      </c>
    </row>
    <row r="120" spans="1:26" s="24" customFormat="1" hidden="1" outlineLevel="2" x14ac:dyDescent="0.25">
      <c r="A120" s="26"/>
      <c r="B120" s="11" t="str">
        <f>CONCATENATE("          ", "6245", " - ", "PRINTING")</f>
        <v xml:space="preserve">          6245 - PRINTING</v>
      </c>
      <c r="C120" s="11"/>
      <c r="D120" s="7"/>
      <c r="E120" s="2"/>
      <c r="F120" s="6">
        <f t="shared" si="95"/>
        <v>0</v>
      </c>
      <c r="G120" s="2"/>
      <c r="H120" s="7">
        <v>210</v>
      </c>
      <c r="I120" s="2"/>
      <c r="J120" s="6">
        <f t="shared" si="96"/>
        <v>1.5828390101980057E-4</v>
      </c>
      <c r="K120" s="2"/>
      <c r="L120" s="7">
        <f t="shared" si="97"/>
        <v>-210</v>
      </c>
      <c r="M120" s="2"/>
      <c r="N120" s="6">
        <f t="shared" si="98"/>
        <v>-1</v>
      </c>
      <c r="O120" s="11"/>
      <c r="P120" s="7">
        <v>1882.72</v>
      </c>
      <c r="Q120" s="2"/>
      <c r="R120" s="6">
        <f t="shared" si="99"/>
        <v>1.3651107852165787E-4</v>
      </c>
      <c r="S120" s="2"/>
      <c r="T120" s="7">
        <v>4436.82</v>
      </c>
      <c r="U120" s="2"/>
      <c r="V120" s="6">
        <f t="shared" si="100"/>
        <v>2.407975329435732E-4</v>
      </c>
      <c r="W120" s="2"/>
      <c r="X120" s="7">
        <f t="shared" si="101"/>
        <v>-2554.0999999999995</v>
      </c>
      <c r="Y120" s="2"/>
      <c r="Z120" s="6">
        <f t="shared" si="102"/>
        <v>-0.57566004480686606</v>
      </c>
    </row>
    <row r="121" spans="1:26" s="24" customFormat="1" hidden="1" outlineLevel="2" x14ac:dyDescent="0.25">
      <c r="A121" s="26"/>
      <c r="B121" s="11" t="str">
        <f>CONCATENATE("          ", "6246", " - ", "REPLACEMENTS")</f>
        <v xml:space="preserve">          6246 - REPLACEMENTS</v>
      </c>
      <c r="C121" s="11"/>
      <c r="D121" s="7"/>
      <c r="E121" s="2"/>
      <c r="F121" s="6">
        <f t="shared" si="95"/>
        <v>0</v>
      </c>
      <c r="G121" s="2"/>
      <c r="H121" s="7"/>
      <c r="I121" s="2"/>
      <c r="J121" s="6">
        <f t="shared" si="96"/>
        <v>0</v>
      </c>
      <c r="K121" s="2"/>
      <c r="L121" s="7">
        <f t="shared" si="97"/>
        <v>0</v>
      </c>
      <c r="M121" s="2"/>
      <c r="N121" s="6">
        <f t="shared" si="98"/>
        <v>0</v>
      </c>
      <c r="O121" s="11"/>
      <c r="P121" s="7">
        <v>25.87</v>
      </c>
      <c r="Q121" s="2"/>
      <c r="R121" s="6">
        <f t="shared" si="99"/>
        <v>1.8757657014082228E-6</v>
      </c>
      <c r="S121" s="2"/>
      <c r="T121" s="7">
        <v>3400</v>
      </c>
      <c r="U121" s="2"/>
      <c r="V121" s="6">
        <f t="shared" si="100"/>
        <v>1.8452666820113254E-4</v>
      </c>
      <c r="W121" s="2"/>
      <c r="X121" s="7">
        <f t="shared" si="101"/>
        <v>-3374.13</v>
      </c>
      <c r="Y121" s="2"/>
      <c r="Z121" s="6">
        <f t="shared" si="102"/>
        <v>-0.99239117647058828</v>
      </c>
    </row>
    <row r="122" spans="1:26" s="24" customFormat="1" hidden="1" outlineLevel="2" x14ac:dyDescent="0.25">
      <c r="A122" s="26"/>
      <c r="B122" s="11" t="str">
        <f>CONCATENATE("          ", "6247", " - ", "STORE SUPPLIES")</f>
        <v xml:space="preserve">          6247 - STORE SUPPLIES</v>
      </c>
      <c r="C122" s="11"/>
      <c r="D122" s="7"/>
      <c r="E122" s="2"/>
      <c r="F122" s="6">
        <f t="shared" si="95"/>
        <v>0</v>
      </c>
      <c r="G122" s="2"/>
      <c r="H122" s="7">
        <v>365</v>
      </c>
      <c r="I122" s="2"/>
      <c r="J122" s="6">
        <f t="shared" si="96"/>
        <v>2.7511249462965336E-4</v>
      </c>
      <c r="K122" s="2"/>
      <c r="L122" s="7">
        <f t="shared" si="97"/>
        <v>-365</v>
      </c>
      <c r="M122" s="2"/>
      <c r="N122" s="6">
        <f t="shared" si="98"/>
        <v>-1</v>
      </c>
      <c r="O122" s="11"/>
      <c r="P122" s="7">
        <v>7629.9</v>
      </c>
      <c r="Q122" s="2"/>
      <c r="R122" s="6">
        <f t="shared" si="99"/>
        <v>5.5322399401525307E-4</v>
      </c>
      <c r="S122" s="2"/>
      <c r="T122" s="7">
        <v>5427.55</v>
      </c>
      <c r="U122" s="2"/>
      <c r="V122" s="6">
        <f t="shared" si="100"/>
        <v>2.9456697588089911E-4</v>
      </c>
      <c r="W122" s="2"/>
      <c r="X122" s="7">
        <f t="shared" si="101"/>
        <v>2202.3499999999995</v>
      </c>
      <c r="Y122" s="2"/>
      <c r="Z122" s="6">
        <f t="shared" si="102"/>
        <v>0.405772401912465</v>
      </c>
    </row>
    <row r="123" spans="1:26" s="24" customFormat="1" hidden="1" outlineLevel="2" x14ac:dyDescent="0.25">
      <c r="A123" s="26"/>
      <c r="B123" s="11" t="str">
        <f>CONCATENATE("          ", "6248", " - ", "UNIFORMS")</f>
        <v xml:space="preserve">          6248 - UNIFORMS</v>
      </c>
      <c r="C123" s="11"/>
      <c r="D123" s="7"/>
      <c r="E123" s="2"/>
      <c r="F123" s="6">
        <f t="shared" si="95"/>
        <v>0</v>
      </c>
      <c r="G123" s="2"/>
      <c r="H123" s="7">
        <v>625</v>
      </c>
      <c r="I123" s="2"/>
      <c r="J123" s="6">
        <f t="shared" si="96"/>
        <v>4.7108303874940642E-4</v>
      </c>
      <c r="K123" s="2"/>
      <c r="L123" s="7">
        <f t="shared" si="97"/>
        <v>-625</v>
      </c>
      <c r="M123" s="2"/>
      <c r="N123" s="6">
        <f t="shared" si="98"/>
        <v>-1</v>
      </c>
      <c r="O123" s="11"/>
      <c r="P123" s="7">
        <v>4597.09</v>
      </c>
      <c r="Q123" s="2"/>
      <c r="R123" s="6">
        <f t="shared" si="99"/>
        <v>3.3332291257389746E-4</v>
      </c>
      <c r="S123" s="2"/>
      <c r="T123" s="7">
        <v>26175</v>
      </c>
      <c r="U123" s="2"/>
      <c r="V123" s="6">
        <f t="shared" si="100"/>
        <v>1.420583982401366E-3</v>
      </c>
      <c r="W123" s="2"/>
      <c r="X123" s="7">
        <f t="shared" si="101"/>
        <v>-21577.91</v>
      </c>
      <c r="Y123" s="2"/>
      <c r="Z123" s="6">
        <f t="shared" si="102"/>
        <v>-0.82437096466093596</v>
      </c>
    </row>
    <row r="124" spans="1:26" s="27" customFormat="1" outlineLevel="1" collapsed="1" x14ac:dyDescent="0.25">
      <c r="A124" s="25"/>
      <c r="B124" s="12" t="str">
        <f>CONCATENATE("     ","Telephone/Data Lines                              ")</f>
        <v xml:space="preserve">     Telephone/Data Lines                              </v>
      </c>
      <c r="C124" s="12"/>
      <c r="D124" s="1">
        <f>SUM(OSRRefD22_22x_0)</f>
        <v>2130.15</v>
      </c>
      <c r="E124" s="1"/>
      <c r="F124" s="5">
        <f t="shared" ref="F124:F126" si="103">IF(D$12=0,0,D124/D$12)</f>
        <v>1.7379590356817846E-2</v>
      </c>
      <c r="G124" s="1"/>
      <c r="H124" s="1">
        <f>SUM(OSRRefH22_22x_0)</f>
        <v>2704</v>
      </c>
      <c r="I124" s="1"/>
      <c r="J124" s="5">
        <f t="shared" ref="J124:J126" si="104">IF(H$12=0,0,H124/H$12)</f>
        <v>2.0380936588454321E-3</v>
      </c>
      <c r="K124" s="1"/>
      <c r="L124" s="1">
        <f t="shared" ref="L124:L126" si="105">+D124-H124</f>
        <v>-573.84999999999991</v>
      </c>
      <c r="M124" s="1"/>
      <c r="N124" s="5">
        <f t="shared" ref="N124:N126" si="106">IF(H124=0,0,L124/H124)</f>
        <v>-0.21222263313609463</v>
      </c>
      <c r="O124" s="12"/>
      <c r="P124" s="1">
        <f>SUM(OSRRefP22_22x_0)</f>
        <v>27705.969999999998</v>
      </c>
      <c r="Q124" s="1"/>
      <c r="R124" s="5">
        <f t="shared" ref="R124:R126" si="107">IF(P$12=0,0,P124/P$12)</f>
        <v>2.0088870603109845E-3</v>
      </c>
      <c r="S124" s="1"/>
      <c r="T124" s="1">
        <f>SUM(OSRRefT22_22x_0)</f>
        <v>30030</v>
      </c>
      <c r="U124" s="1"/>
      <c r="V124" s="5">
        <f t="shared" ref="V124:V126" si="108">IF(T$12=0,0,T124/T$12)</f>
        <v>1.6298046606117679E-3</v>
      </c>
      <c r="W124" s="1"/>
      <c r="X124" s="1">
        <f t="shared" ref="X124:X126" si="109">+P124-T124</f>
        <v>-2324.0300000000025</v>
      </c>
      <c r="Y124" s="1"/>
      <c r="Z124" s="5">
        <f t="shared" ref="Z124:Z126" si="110">IF(T124=0,0,X124/T124)</f>
        <v>-7.7390276390276472E-2</v>
      </c>
    </row>
    <row r="125" spans="1:26" s="24" customFormat="1" hidden="1" outlineLevel="2" x14ac:dyDescent="0.25">
      <c r="A125" s="26"/>
      <c r="B125" s="11" t="str">
        <f>CONCATENATE("          ", "6303", " - ", "DATA PHONE LINES")</f>
        <v xml:space="preserve">          6303 - DATA PHONE LINES</v>
      </c>
      <c r="C125" s="11"/>
      <c r="D125" s="7"/>
      <c r="E125" s="2"/>
      <c r="F125" s="6">
        <f t="shared" si="103"/>
        <v>0</v>
      </c>
      <c r="G125" s="2"/>
      <c r="H125" s="7">
        <v>696</v>
      </c>
      <c r="I125" s="2"/>
      <c r="J125" s="6">
        <f t="shared" si="104"/>
        <v>5.2459807195133902E-4</v>
      </c>
      <c r="K125" s="2"/>
      <c r="L125" s="7">
        <f t="shared" si="105"/>
        <v>-696</v>
      </c>
      <c r="M125" s="2"/>
      <c r="N125" s="6">
        <f t="shared" si="106"/>
        <v>-1</v>
      </c>
      <c r="O125" s="11"/>
      <c r="P125" s="7"/>
      <c r="Q125" s="2"/>
      <c r="R125" s="6">
        <f t="shared" si="107"/>
        <v>0</v>
      </c>
      <c r="S125" s="2"/>
      <c r="T125" s="7">
        <v>6862</v>
      </c>
      <c r="U125" s="2"/>
      <c r="V125" s="6">
        <f t="shared" si="108"/>
        <v>3.7241823446946219E-4</v>
      </c>
      <c r="W125" s="2"/>
      <c r="X125" s="7">
        <f t="shared" si="109"/>
        <v>-6862</v>
      </c>
      <c r="Y125" s="2"/>
      <c r="Z125" s="6">
        <f t="shared" si="110"/>
        <v>-1</v>
      </c>
    </row>
    <row r="126" spans="1:26" s="24" customFormat="1" hidden="1" outlineLevel="2" x14ac:dyDescent="0.25">
      <c r="A126" s="26"/>
      <c r="B126" s="11" t="str">
        <f>CONCATENATE("          ", "6309", " - ", "TELEPHONE")</f>
        <v xml:space="preserve">          6309 - TELEPHONE</v>
      </c>
      <c r="C126" s="11"/>
      <c r="D126" s="7">
        <v>2130.15</v>
      </c>
      <c r="E126" s="2"/>
      <c r="F126" s="6">
        <f t="shared" si="103"/>
        <v>1.7379590356817846E-2</v>
      </c>
      <c r="G126" s="2"/>
      <c r="H126" s="7">
        <v>2008</v>
      </c>
      <c r="I126" s="2"/>
      <c r="J126" s="6">
        <f t="shared" si="104"/>
        <v>1.5134955868940929E-3</v>
      </c>
      <c r="K126" s="2"/>
      <c r="L126" s="7">
        <f t="shared" si="105"/>
        <v>122.15000000000009</v>
      </c>
      <c r="M126" s="2"/>
      <c r="N126" s="6">
        <f t="shared" si="106"/>
        <v>6.0831673306772957E-2</v>
      </c>
      <c r="O126" s="11"/>
      <c r="P126" s="7">
        <v>27705.969999999998</v>
      </c>
      <c r="Q126" s="2"/>
      <c r="R126" s="6">
        <f t="shared" si="107"/>
        <v>2.0088870603109845E-3</v>
      </c>
      <c r="S126" s="2"/>
      <c r="T126" s="7">
        <v>23168</v>
      </c>
      <c r="U126" s="2"/>
      <c r="V126" s="6">
        <f t="shared" si="108"/>
        <v>1.2573864261423056E-3</v>
      </c>
      <c r="W126" s="2"/>
      <c r="X126" s="7">
        <f t="shared" si="109"/>
        <v>4537.9699999999975</v>
      </c>
      <c r="Y126" s="2"/>
      <c r="Z126" s="6">
        <f t="shared" si="110"/>
        <v>0.19587232389502751</v>
      </c>
    </row>
    <row r="127" spans="1:26" s="27" customFormat="1" outlineLevel="1" collapsed="1" x14ac:dyDescent="0.25">
      <c r="A127" s="25"/>
      <c r="B127" s="12" t="str">
        <f>CONCATENATE("     ","Training                                          ")</f>
        <v xml:space="preserve">     Training                                          </v>
      </c>
      <c r="C127" s="12"/>
      <c r="D127" s="1">
        <f>SUM(OSRRefD22_23x_0)</f>
        <v>0</v>
      </c>
      <c r="E127" s="1"/>
      <c r="F127" s="5">
        <f t="shared" ref="F127:F132" si="111">IF(D$12=0,0,D127/D$12)</f>
        <v>0</v>
      </c>
      <c r="G127" s="1"/>
      <c r="H127" s="1">
        <f>SUM(OSRRefH22_23x_0)</f>
        <v>2379</v>
      </c>
      <c r="I127" s="1"/>
      <c r="J127" s="5">
        <f t="shared" ref="J127:J132" si="112">IF(H$12=0,0,H127/H$12)</f>
        <v>1.7931304786957406E-3</v>
      </c>
      <c r="K127" s="1"/>
      <c r="L127" s="1">
        <f t="shared" ref="L127:L132" si="113">+D127-H127</f>
        <v>-2379</v>
      </c>
      <c r="M127" s="1"/>
      <c r="N127" s="5">
        <f t="shared" ref="N127:N132" si="114">IF(H127=0,0,L127/H127)</f>
        <v>-1</v>
      </c>
      <c r="O127" s="12"/>
      <c r="P127" s="1">
        <f>SUM(OSRRefP22_23x_0)</f>
        <v>8521.24</v>
      </c>
      <c r="Q127" s="1"/>
      <c r="R127" s="5">
        <f t="shared" ref="R127:R132" si="115">IF(P$12=0,0,P127/P$12)</f>
        <v>6.1785271455229234E-4</v>
      </c>
      <c r="S127" s="1"/>
      <c r="T127" s="1">
        <f>SUM(OSRRefT22_23x_0)</f>
        <v>26856</v>
      </c>
      <c r="U127" s="1"/>
      <c r="V127" s="5">
        <f t="shared" ref="V127:V132" si="116">IF(T$12=0,0,T127/T$12)</f>
        <v>1.4575435885910634E-3</v>
      </c>
      <c r="W127" s="1"/>
      <c r="X127" s="1">
        <f t="shared" ref="X127:X132" si="117">+P127-T127</f>
        <v>-18334.760000000002</v>
      </c>
      <c r="Y127" s="1"/>
      <c r="Z127" s="5">
        <f t="shared" ref="Z127:Z132" si="118">IF(T127=0,0,X127/T127)</f>
        <v>-0.68270628537384581</v>
      </c>
    </row>
    <row r="128" spans="1:26" s="24" customFormat="1" hidden="1" outlineLevel="2" x14ac:dyDescent="0.25">
      <c r="A128" s="26"/>
      <c r="B128" s="11" t="str">
        <f>CONCATENATE("          ", "6376", " - ", "TRAINING")</f>
        <v xml:space="preserve">          6376 - TRAINING</v>
      </c>
      <c r="C128" s="11"/>
      <c r="D128" s="7"/>
      <c r="E128" s="2"/>
      <c r="F128" s="6">
        <f t="shared" si="111"/>
        <v>0</v>
      </c>
      <c r="G128" s="2"/>
      <c r="H128" s="7">
        <v>2379</v>
      </c>
      <c r="I128" s="2"/>
      <c r="J128" s="6">
        <f t="shared" si="112"/>
        <v>1.7931304786957406E-3</v>
      </c>
      <c r="K128" s="2"/>
      <c r="L128" s="7">
        <f t="shared" si="113"/>
        <v>-2379</v>
      </c>
      <c r="M128" s="2"/>
      <c r="N128" s="6">
        <f t="shared" si="114"/>
        <v>-1</v>
      </c>
      <c r="O128" s="11"/>
      <c r="P128" s="7">
        <v>8521.24</v>
      </c>
      <c r="Q128" s="2"/>
      <c r="R128" s="6">
        <f t="shared" si="115"/>
        <v>6.1785271455229234E-4</v>
      </c>
      <c r="S128" s="2"/>
      <c r="T128" s="7">
        <v>26856</v>
      </c>
      <c r="U128" s="2"/>
      <c r="V128" s="6">
        <f t="shared" si="116"/>
        <v>1.4575435885910634E-3</v>
      </c>
      <c r="W128" s="2"/>
      <c r="X128" s="7">
        <f t="shared" si="117"/>
        <v>-18334.760000000002</v>
      </c>
      <c r="Y128" s="2"/>
      <c r="Z128" s="6">
        <f t="shared" si="118"/>
        <v>-0.68270628537384581</v>
      </c>
    </row>
    <row r="129" spans="1:26" s="27" customFormat="1" outlineLevel="1" collapsed="1" x14ac:dyDescent="0.25">
      <c r="A129" s="25"/>
      <c r="B129" s="12" t="str">
        <f>CONCATENATE("     ","Travel                                            ")</f>
        <v xml:space="preserve">     Travel                                            </v>
      </c>
      <c r="C129" s="12"/>
      <c r="D129" s="1">
        <f>SUM(OSRRefD22_24x_0)</f>
        <v>0</v>
      </c>
      <c r="E129" s="1"/>
      <c r="F129" s="5">
        <f t="shared" si="111"/>
        <v>0</v>
      </c>
      <c r="G129" s="1"/>
      <c r="H129" s="1">
        <f>SUM(OSRRefH22_24x_0)</f>
        <v>410</v>
      </c>
      <c r="I129" s="1"/>
      <c r="J129" s="5">
        <f t="shared" si="112"/>
        <v>3.090304734196106E-4</v>
      </c>
      <c r="K129" s="1"/>
      <c r="L129" s="1">
        <f t="shared" si="113"/>
        <v>-410</v>
      </c>
      <c r="M129" s="1"/>
      <c r="N129" s="5">
        <f t="shared" si="114"/>
        <v>-1</v>
      </c>
      <c r="O129" s="12"/>
      <c r="P129" s="1">
        <f>SUM(OSRRefP22_24x_0)</f>
        <v>8235.58</v>
      </c>
      <c r="Q129" s="1"/>
      <c r="R129" s="5">
        <f t="shared" si="115"/>
        <v>5.9714025880183729E-4</v>
      </c>
      <c r="S129" s="1"/>
      <c r="T129" s="1">
        <f>SUM(OSRRefT22_24x_0)</f>
        <v>19030</v>
      </c>
      <c r="U129" s="1"/>
      <c r="V129" s="5">
        <f t="shared" si="116"/>
        <v>1.032806616431633E-3</v>
      </c>
      <c r="W129" s="1"/>
      <c r="X129" s="1">
        <f t="shared" si="117"/>
        <v>-10794.42</v>
      </c>
      <c r="Y129" s="1"/>
      <c r="Z129" s="5">
        <f t="shared" si="118"/>
        <v>-0.56723173935890703</v>
      </c>
    </row>
    <row r="130" spans="1:26" s="24" customFormat="1" hidden="1" outlineLevel="2" x14ac:dyDescent="0.25">
      <c r="A130" s="26"/>
      <c r="B130" s="11" t="str">
        <f>CONCATENATE("          ", "6292", " - ", "TRAVEL/CONFERENCE")</f>
        <v xml:space="preserve">          6292 - TRAVEL/CONFERENCE</v>
      </c>
      <c r="C130" s="11"/>
      <c r="D130" s="7"/>
      <c r="E130" s="2"/>
      <c r="F130" s="6">
        <f t="shared" si="111"/>
        <v>0</v>
      </c>
      <c r="G130" s="2"/>
      <c r="H130" s="7">
        <v>300</v>
      </c>
      <c r="I130" s="2"/>
      <c r="J130" s="6">
        <f t="shared" si="112"/>
        <v>2.2611985859971508E-4</v>
      </c>
      <c r="K130" s="2"/>
      <c r="L130" s="7">
        <f t="shared" si="113"/>
        <v>-300</v>
      </c>
      <c r="M130" s="2"/>
      <c r="N130" s="6">
        <f t="shared" si="114"/>
        <v>-1</v>
      </c>
      <c r="O130" s="11"/>
      <c r="P130" s="7">
        <v>6889.94</v>
      </c>
      <c r="Q130" s="2"/>
      <c r="R130" s="6">
        <f t="shared" si="115"/>
        <v>4.9957143937999883E-4</v>
      </c>
      <c r="S130" s="2"/>
      <c r="T130" s="7">
        <v>17700</v>
      </c>
      <c r="U130" s="2"/>
      <c r="V130" s="6">
        <f t="shared" si="116"/>
        <v>9.606241256353077E-4</v>
      </c>
      <c r="W130" s="2"/>
      <c r="X130" s="7">
        <f t="shared" si="117"/>
        <v>-10810.060000000001</v>
      </c>
      <c r="Y130" s="2"/>
      <c r="Z130" s="6">
        <f t="shared" si="118"/>
        <v>-0.61073785310734474</v>
      </c>
    </row>
    <row r="131" spans="1:26" s="24" customFormat="1" hidden="1" outlineLevel="2" x14ac:dyDescent="0.25">
      <c r="A131" s="26"/>
      <c r="B131" s="11" t="str">
        <f>CONCATENATE("          ", "6294", " - ", "TRAVEL OPERATIONAL")</f>
        <v xml:space="preserve">          6294 - TRAVEL OPERATIONAL</v>
      </c>
      <c r="C131" s="11"/>
      <c r="D131" s="7"/>
      <c r="E131" s="2"/>
      <c r="F131" s="6">
        <f t="shared" si="111"/>
        <v>0</v>
      </c>
      <c r="G131" s="2"/>
      <c r="H131" s="7"/>
      <c r="I131" s="2"/>
      <c r="J131" s="6">
        <f t="shared" si="112"/>
        <v>0</v>
      </c>
      <c r="K131" s="2"/>
      <c r="L131" s="7">
        <f t="shared" si="113"/>
        <v>0</v>
      </c>
      <c r="M131" s="2"/>
      <c r="N131" s="6">
        <f t="shared" si="114"/>
        <v>0</v>
      </c>
      <c r="O131" s="11"/>
      <c r="P131" s="7">
        <v>56.99</v>
      </c>
      <c r="Q131" s="2"/>
      <c r="R131" s="6">
        <f t="shared" si="115"/>
        <v>4.1321951033341559E-6</v>
      </c>
      <c r="S131" s="2"/>
      <c r="T131" s="7">
        <v>120</v>
      </c>
      <c r="U131" s="2"/>
      <c r="V131" s="6">
        <f t="shared" si="116"/>
        <v>6.5127059365105608E-6</v>
      </c>
      <c r="W131" s="2"/>
      <c r="X131" s="7">
        <f t="shared" si="117"/>
        <v>-63.01</v>
      </c>
      <c r="Y131" s="2"/>
      <c r="Z131" s="6">
        <f t="shared" si="118"/>
        <v>-0.52508333333333335</v>
      </c>
    </row>
    <row r="132" spans="1:26" s="24" customFormat="1" hidden="1" outlineLevel="2" x14ac:dyDescent="0.25">
      <c r="A132" s="26"/>
      <c r="B132" s="11" t="str">
        <f>CONCATENATE("          ", "6298", " - ", "VEHICLE MILEAGE")</f>
        <v xml:space="preserve">          6298 - VEHICLE MILEAGE</v>
      </c>
      <c r="C132" s="11"/>
      <c r="D132" s="7"/>
      <c r="E132" s="2"/>
      <c r="F132" s="6">
        <f t="shared" si="111"/>
        <v>0</v>
      </c>
      <c r="G132" s="2"/>
      <c r="H132" s="7">
        <v>110</v>
      </c>
      <c r="I132" s="2"/>
      <c r="J132" s="6">
        <f t="shared" si="112"/>
        <v>8.2910614819895533E-5</v>
      </c>
      <c r="K132" s="2"/>
      <c r="L132" s="7">
        <f t="shared" si="113"/>
        <v>-110</v>
      </c>
      <c r="M132" s="2"/>
      <c r="N132" s="6">
        <f t="shared" si="114"/>
        <v>-1</v>
      </c>
      <c r="O132" s="11"/>
      <c r="P132" s="7">
        <v>1288.6500000000001</v>
      </c>
      <c r="Q132" s="2"/>
      <c r="R132" s="6">
        <f t="shared" si="115"/>
        <v>9.3436624318504302E-5</v>
      </c>
      <c r="S132" s="2"/>
      <c r="T132" s="7">
        <v>1210</v>
      </c>
      <c r="U132" s="2"/>
      <c r="V132" s="6">
        <f t="shared" si="116"/>
        <v>6.5669784859814819E-5</v>
      </c>
      <c r="W132" s="2"/>
      <c r="X132" s="7">
        <f t="shared" si="117"/>
        <v>78.650000000000091</v>
      </c>
      <c r="Y132" s="2"/>
      <c r="Z132" s="6">
        <f t="shared" si="118"/>
        <v>6.5000000000000072E-2</v>
      </c>
    </row>
    <row r="133" spans="1:26" s="27" customFormat="1" outlineLevel="1" collapsed="1" x14ac:dyDescent="0.25">
      <c r="A133" s="25"/>
      <c r="B133" s="12" t="str">
        <f>CONCATENATE("     ","Utilities                                         ")</f>
        <v xml:space="preserve">     Utilities                                         </v>
      </c>
      <c r="C133" s="12"/>
      <c r="D133" s="1">
        <f>SUM(OSRRefD22_25x_0)</f>
        <v>15583</v>
      </c>
      <c r="E133" s="1"/>
      <c r="F133" s="5">
        <f t="shared" ref="F133:F134" si="119">IF(D$12=0,0,D133/D$12)</f>
        <v>0.12713947681162946</v>
      </c>
      <c r="G133" s="1"/>
      <c r="H133" s="1">
        <f>SUM(OSRRefH22_25x_0)</f>
        <v>17450</v>
      </c>
      <c r="I133" s="1"/>
      <c r="J133" s="5">
        <f t="shared" ref="J133:J134" si="120">IF(H$12=0,0,H133/H$12)</f>
        <v>1.3152638441883427E-2</v>
      </c>
      <c r="K133" s="1"/>
      <c r="L133" s="1">
        <f t="shared" ref="L133:L134" si="121">+D133-H133</f>
        <v>-1867</v>
      </c>
      <c r="M133" s="1"/>
      <c r="N133" s="5">
        <f t="shared" ref="N133:N134" si="122">IF(H133=0,0,L133/H133)</f>
        <v>-0.10699140401146132</v>
      </c>
      <c r="O133" s="12"/>
      <c r="P133" s="1">
        <f>SUM(OSRRefP22_25x_0)</f>
        <v>174802</v>
      </c>
      <c r="Q133" s="1"/>
      <c r="R133" s="5">
        <f t="shared" ref="R133:R134" si="123">IF(P$12=0,0,P133/P$12)</f>
        <v>1.2674433557694632E-2</v>
      </c>
      <c r="S133" s="1"/>
      <c r="T133" s="1">
        <f>SUM(OSRRefT22_25x_0)</f>
        <v>211950</v>
      </c>
      <c r="U133" s="1"/>
      <c r="V133" s="5">
        <f t="shared" ref="V133:V134" si="124">IF(T$12=0,0,T133/T$12)</f>
        <v>1.1503066860361778E-2</v>
      </c>
      <c r="W133" s="1"/>
      <c r="X133" s="1">
        <f t="shared" ref="X133:X134" si="125">+P133-T133</f>
        <v>-37148</v>
      </c>
      <c r="Y133" s="1"/>
      <c r="Z133" s="5">
        <f t="shared" ref="Z133:Z134" si="126">IF(T133=0,0,X133/T133)</f>
        <v>-0.17526775182826138</v>
      </c>
    </row>
    <row r="134" spans="1:26" s="24" customFormat="1" hidden="1" outlineLevel="2" x14ac:dyDescent="0.25">
      <c r="A134" s="26"/>
      <c r="B134" s="11" t="str">
        <f>CONCATENATE("          ", "6274", " - ", "UTILITIES")</f>
        <v xml:space="preserve">          6274 - UTILITIES</v>
      </c>
      <c r="C134" s="11"/>
      <c r="D134" s="7">
        <v>15583</v>
      </c>
      <c r="E134" s="2"/>
      <c r="F134" s="6">
        <f t="shared" si="119"/>
        <v>0.12713947681162946</v>
      </c>
      <c r="G134" s="2"/>
      <c r="H134" s="7">
        <v>17450</v>
      </c>
      <c r="I134" s="2"/>
      <c r="J134" s="6">
        <f t="shared" si="120"/>
        <v>1.3152638441883427E-2</v>
      </c>
      <c r="K134" s="2"/>
      <c r="L134" s="7">
        <f t="shared" si="121"/>
        <v>-1867</v>
      </c>
      <c r="M134" s="2"/>
      <c r="N134" s="6">
        <f t="shared" si="122"/>
        <v>-0.10699140401146132</v>
      </c>
      <c r="O134" s="11"/>
      <c r="P134" s="7">
        <v>174802</v>
      </c>
      <c r="Q134" s="2"/>
      <c r="R134" s="6">
        <f t="shared" si="123"/>
        <v>1.2674433557694632E-2</v>
      </c>
      <c r="S134" s="2"/>
      <c r="T134" s="7">
        <v>211950</v>
      </c>
      <c r="U134" s="2"/>
      <c r="V134" s="6">
        <f t="shared" si="124"/>
        <v>1.1503066860361778E-2</v>
      </c>
      <c r="W134" s="2"/>
      <c r="X134" s="7">
        <f t="shared" si="125"/>
        <v>-37148</v>
      </c>
      <c r="Y134" s="2"/>
      <c r="Z134" s="6">
        <f t="shared" si="126"/>
        <v>-0.17526775182826138</v>
      </c>
    </row>
    <row r="135" spans="1:26" s="62" customFormat="1" x14ac:dyDescent="0.25">
      <c r="A135" s="36"/>
      <c r="B135" s="36"/>
      <c r="C135" s="36"/>
      <c r="D135" s="1"/>
      <c r="E135" s="1"/>
      <c r="F135" s="5"/>
      <c r="G135" s="1"/>
      <c r="H135" s="1"/>
      <c r="I135" s="1"/>
      <c r="J135" s="5"/>
      <c r="K135" s="1"/>
      <c r="L135" s="1"/>
      <c r="M135" s="1"/>
      <c r="N135" s="5"/>
      <c r="O135" s="36"/>
      <c r="P135" s="1"/>
      <c r="Q135" s="1"/>
      <c r="R135" s="5"/>
      <c r="S135" s="1"/>
      <c r="T135" s="1"/>
      <c r="U135" s="1"/>
      <c r="V135" s="5"/>
      <c r="W135" s="1"/>
      <c r="X135" s="1"/>
      <c r="Y135" s="1"/>
      <c r="Z135" s="5"/>
    </row>
    <row r="136" spans="1:26" s="23" customFormat="1" collapsed="1" x14ac:dyDescent="0.25">
      <c r="A136" s="10"/>
      <c r="B136" s="28" t="s">
        <v>0</v>
      </c>
      <c r="C136" s="10"/>
      <c r="D136" s="4">
        <f>SUM(OSRRefD25x_0)</f>
        <v>6624.89</v>
      </c>
      <c r="E136" s="4"/>
      <c r="F136" s="13">
        <f t="shared" ref="F136:F140" si="127">IF(D$12=0,0,D136/D$12)</f>
        <v>5.4051533628607831E-2</v>
      </c>
      <c r="G136" s="4"/>
      <c r="H136" s="4">
        <f>SUM(OSRRefH25x_0)</f>
        <v>63178</v>
      </c>
      <c r="I136" s="4"/>
      <c r="J136" s="13">
        <f t="shared" ref="J136:J140" si="128">IF(H$12=0,0,H136/H$12)</f>
        <v>4.7619334755375997E-2</v>
      </c>
      <c r="K136" s="4"/>
      <c r="L136" s="4">
        <f t="shared" ref="L136:L140" si="129">+D136-H136</f>
        <v>-56553.11</v>
      </c>
      <c r="M136" s="4"/>
      <c r="N136" s="13">
        <f t="shared" ref="N136:N140" si="130">IF(H136=0,0,L136/H136)</f>
        <v>-0.89513928899300388</v>
      </c>
      <c r="O136" s="10"/>
      <c r="P136" s="4">
        <f>SUM(OSRRefP25x_0)</f>
        <v>687198.88</v>
      </c>
      <c r="Q136" s="4"/>
      <c r="R136" s="13">
        <f t="shared" ref="R136:R140" si="131">IF(P$12=0,0,P136/P$12)</f>
        <v>4.9826984505224006E-2</v>
      </c>
      <c r="S136" s="4"/>
      <c r="T136" s="4">
        <f>SUM(OSRRefT25x_0)</f>
        <v>707351</v>
      </c>
      <c r="U136" s="4"/>
      <c r="V136" s="13">
        <f t="shared" ref="V136:V140" si="132">IF(T$12=0,0,T136/T$12)</f>
        <v>3.8389742140805677E-2</v>
      </c>
      <c r="W136" s="4"/>
      <c r="X136" s="4">
        <f t="shared" ref="X136:X140" si="133">+P136-T136</f>
        <v>-20152.119999999995</v>
      </c>
      <c r="Y136" s="4"/>
      <c r="Z136" s="13">
        <f t="shared" ref="Z136:Z140" si="134">IF(T136=0,0,X136/T136)</f>
        <v>-2.8489561759296296E-2</v>
      </c>
    </row>
    <row r="137" spans="1:26" s="24" customFormat="1" hidden="1" outlineLevel="1" x14ac:dyDescent="0.25">
      <c r="A137" s="44"/>
      <c r="B137" s="11" t="str">
        <f>CONCATENATE("          ", "9150", " - ", "MISC. INCOME")</f>
        <v xml:space="preserve">          9150 - MISC. INCOME</v>
      </c>
      <c r="C137" s="11"/>
      <c r="D137" s="2">
        <f t="shared" ref="D137:D139" si="135">0</f>
        <v>0</v>
      </c>
      <c r="E137" s="2"/>
      <c r="F137" s="19">
        <f t="shared" si="127"/>
        <v>0</v>
      </c>
      <c r="G137" s="2"/>
      <c r="H137" s="2">
        <v>54779</v>
      </c>
      <c r="I137" s="2"/>
      <c r="J137" s="19">
        <f t="shared" si="128"/>
        <v>4.1288732447445978E-2</v>
      </c>
      <c r="K137" s="2"/>
      <c r="L137" s="2">
        <f t="shared" si="129"/>
        <v>-54779</v>
      </c>
      <c r="M137" s="2"/>
      <c r="N137" s="19">
        <f t="shared" si="130"/>
        <v>-1</v>
      </c>
      <c r="O137" s="11"/>
      <c r="P137" s="2">
        <f>--313984.54</f>
        <v>313984.53999999998</v>
      </c>
      <c r="Q137" s="2"/>
      <c r="R137" s="19">
        <f t="shared" si="131"/>
        <v>2.2766193695571632E-2</v>
      </c>
      <c r="S137" s="2"/>
      <c r="T137" s="2">
        <v>383455</v>
      </c>
      <c r="U137" s="2"/>
      <c r="V137" s="19">
        <f t="shared" si="132"/>
        <v>2.0811080457372143E-2</v>
      </c>
      <c r="W137" s="2"/>
      <c r="X137" s="2">
        <f t="shared" si="133"/>
        <v>-69470.460000000021</v>
      </c>
      <c r="Y137" s="2"/>
      <c r="Z137" s="19">
        <f t="shared" si="134"/>
        <v>-0.18116978524207539</v>
      </c>
    </row>
    <row r="138" spans="1:26" s="24" customFormat="1" hidden="1" outlineLevel="1" x14ac:dyDescent="0.25">
      <c r="A138" s="44"/>
      <c r="B138" s="11" t="str">
        <f>CONCATENATE("          ", "9151", " - ", "MISC. INCOME")</f>
        <v xml:space="preserve">          9151 - MISC. INCOME</v>
      </c>
      <c r="C138" s="11"/>
      <c r="D138" s="2">
        <f t="shared" si="135"/>
        <v>0</v>
      </c>
      <c r="E138" s="2"/>
      <c r="F138" s="19">
        <f t="shared" si="127"/>
        <v>0</v>
      </c>
      <c r="G138" s="2"/>
      <c r="H138" s="2">
        <v>8399</v>
      </c>
      <c r="I138" s="2"/>
      <c r="J138" s="19">
        <f t="shared" si="128"/>
        <v>6.3306023079300238E-3</v>
      </c>
      <c r="K138" s="2"/>
      <c r="L138" s="2">
        <f t="shared" si="129"/>
        <v>-8399</v>
      </c>
      <c r="M138" s="2"/>
      <c r="N138" s="19">
        <f t="shared" si="130"/>
        <v>-1</v>
      </c>
      <c r="O138" s="11"/>
      <c r="P138" s="2">
        <f>0</f>
        <v>0</v>
      </c>
      <c r="Q138" s="2"/>
      <c r="R138" s="19">
        <f t="shared" si="131"/>
        <v>0</v>
      </c>
      <c r="S138" s="2"/>
      <c r="T138" s="2">
        <v>323896</v>
      </c>
      <c r="U138" s="2"/>
      <c r="V138" s="19">
        <f t="shared" si="132"/>
        <v>1.7578661683433538E-2</v>
      </c>
      <c r="W138" s="2"/>
      <c r="X138" s="2">
        <f t="shared" si="133"/>
        <v>-323896</v>
      </c>
      <c r="Y138" s="2"/>
      <c r="Z138" s="19">
        <f t="shared" si="134"/>
        <v>-1</v>
      </c>
    </row>
    <row r="139" spans="1:26" s="24" customFormat="1" hidden="1" outlineLevel="1" x14ac:dyDescent="0.25">
      <c r="A139" s="44"/>
      <c r="B139" s="11" t="str">
        <f>CONCATENATE("          ", "9160", " - ", "MISC. INCOME")</f>
        <v xml:space="preserve">          9160 - MISC. INCOME</v>
      </c>
      <c r="C139" s="11"/>
      <c r="D139" s="2">
        <f t="shared" si="135"/>
        <v>0</v>
      </c>
      <c r="E139" s="2"/>
      <c r="F139" s="19">
        <f t="shared" si="127"/>
        <v>0</v>
      </c>
      <c r="G139" s="2"/>
      <c r="H139" s="2"/>
      <c r="I139" s="2"/>
      <c r="J139" s="19">
        <f t="shared" si="128"/>
        <v>0</v>
      </c>
      <c r="K139" s="2"/>
      <c r="L139" s="2">
        <f t="shared" si="129"/>
        <v>0</v>
      </c>
      <c r="M139" s="2"/>
      <c r="N139" s="19">
        <f t="shared" si="130"/>
        <v>0</v>
      </c>
      <c r="O139" s="11"/>
      <c r="P139" s="2">
        <f>--130089.32</f>
        <v>130089.32</v>
      </c>
      <c r="Q139" s="2"/>
      <c r="R139" s="19">
        <f t="shared" si="131"/>
        <v>9.4324346569585917E-3</v>
      </c>
      <c r="S139" s="2"/>
      <c r="T139" s="2"/>
      <c r="U139" s="2"/>
      <c r="V139" s="19">
        <f t="shared" si="132"/>
        <v>0</v>
      </c>
      <c r="W139" s="2"/>
      <c r="X139" s="2">
        <f t="shared" si="133"/>
        <v>130089.32</v>
      </c>
      <c r="Y139" s="2"/>
      <c r="Z139" s="19">
        <f t="shared" si="134"/>
        <v>0</v>
      </c>
    </row>
    <row r="140" spans="1:26" s="24" customFormat="1" hidden="1" outlineLevel="1" x14ac:dyDescent="0.25">
      <c r="A140" s="44"/>
      <c r="B140" s="11" t="str">
        <f>CONCATENATE("          ", "9165", " - ", "OTHER INCOME")</f>
        <v xml:space="preserve">          9165 - OTHER INCOME</v>
      </c>
      <c r="C140" s="11"/>
      <c r="D140" s="2">
        <f>--6624.89</f>
        <v>6624.89</v>
      </c>
      <c r="E140" s="2"/>
      <c r="F140" s="19">
        <f t="shared" si="127"/>
        <v>5.4051533628607831E-2</v>
      </c>
      <c r="G140" s="2"/>
      <c r="H140" s="2"/>
      <c r="I140" s="2"/>
      <c r="J140" s="19">
        <f t="shared" si="128"/>
        <v>0</v>
      </c>
      <c r="K140" s="2"/>
      <c r="L140" s="2">
        <f t="shared" si="129"/>
        <v>6624.89</v>
      </c>
      <c r="M140" s="2"/>
      <c r="N140" s="19">
        <f t="shared" si="130"/>
        <v>0</v>
      </c>
      <c r="O140" s="11"/>
      <c r="P140" s="2">
        <f>--243125.02</f>
        <v>243125.02</v>
      </c>
      <c r="Q140" s="2"/>
      <c r="R140" s="19">
        <f t="shared" si="131"/>
        <v>1.7628356152693783E-2</v>
      </c>
      <c r="S140" s="2"/>
      <c r="T140" s="2"/>
      <c r="U140" s="2"/>
      <c r="V140" s="19">
        <f t="shared" si="132"/>
        <v>0</v>
      </c>
      <c r="W140" s="2"/>
      <c r="X140" s="2">
        <f t="shared" si="133"/>
        <v>243125.02</v>
      </c>
      <c r="Y140" s="2"/>
      <c r="Z140" s="19">
        <f t="shared" si="134"/>
        <v>0</v>
      </c>
    </row>
    <row r="141" spans="1:26" x14ac:dyDescent="0.25">
      <c r="A141" s="9"/>
      <c r="B141" s="10"/>
      <c r="C141" s="10"/>
      <c r="D141" s="3"/>
      <c r="E141" s="3"/>
      <c r="F141" s="8"/>
      <c r="G141" s="3"/>
      <c r="H141" s="3"/>
      <c r="I141" s="3"/>
      <c r="J141" s="8"/>
      <c r="K141" s="3"/>
      <c r="L141" s="3"/>
      <c r="M141" s="3"/>
      <c r="N141" s="8"/>
      <c r="O141" s="10"/>
      <c r="P141" s="3"/>
      <c r="Q141" s="3"/>
      <c r="R141" s="8"/>
      <c r="S141" s="3"/>
      <c r="T141" s="3"/>
      <c r="U141" s="3"/>
      <c r="V141" s="8"/>
      <c r="W141" s="3"/>
      <c r="X141" s="3"/>
      <c r="Y141" s="3"/>
      <c r="Z141" s="8"/>
    </row>
    <row r="142" spans="1:26" s="23" customFormat="1" x14ac:dyDescent="0.25">
      <c r="A142" s="10"/>
      <c r="B142" s="29" t="s">
        <v>3</v>
      </c>
      <c r="C142" s="29"/>
      <c r="D142" s="20">
        <f>+D32-D34+D136</f>
        <v>-227513.84000000005</v>
      </c>
      <c r="E142" s="14"/>
      <c r="F142" s="22">
        <f>IF(D$12=0,0,D142/D$12)</f>
        <v>-1.8562530055191413</v>
      </c>
      <c r="G142" s="14"/>
      <c r="H142" s="20">
        <f>+H32-H34+H136</f>
        <v>127164.11869806016</v>
      </c>
      <c r="I142" s="14"/>
      <c r="J142" s="22">
        <f>IF(H$12=0,0,H142/H$12)</f>
        <v>9.5847775129875828E-2</v>
      </c>
      <c r="K142" s="16"/>
      <c r="L142" s="20">
        <f>+D142-H142</f>
        <v>-354677.95869806025</v>
      </c>
      <c r="M142" s="16"/>
      <c r="N142" s="22">
        <f>IF(H142=0,0,L142/H142)</f>
        <v>-2.7891355071646537</v>
      </c>
      <c r="O142" s="28"/>
      <c r="P142" s="20">
        <f>+P32-P34+P136</f>
        <v>1130196.7799999947</v>
      </c>
      <c r="Q142" s="14"/>
      <c r="R142" s="22">
        <f>IF(P$12=0,0,P142/P$12)</f>
        <v>8.1947597826285454E-2</v>
      </c>
      <c r="S142" s="14"/>
      <c r="T142" s="20">
        <f>+T32-T34+T136</f>
        <v>3281127.186595602</v>
      </c>
      <c r="U142" s="14"/>
      <c r="V142" s="22">
        <f>IF(T$12=0,0,T142/T$12)</f>
        <v>0.17807513755489476</v>
      </c>
      <c r="W142" s="16"/>
      <c r="X142" s="20">
        <f>+P142-T142</f>
        <v>-2150930.4065956073</v>
      </c>
      <c r="Y142" s="16"/>
      <c r="Z142" s="22">
        <f>IF(T142=0,0,X142/T142)</f>
        <v>-0.65554618406223608</v>
      </c>
    </row>
    <row r="143" spans="1:26" x14ac:dyDescent="0.25">
      <c r="A143" s="9"/>
      <c r="B143" s="10"/>
      <c r="C143" s="9"/>
      <c r="D143" s="3"/>
      <c r="E143" s="3"/>
      <c r="F143" s="8"/>
      <c r="G143" s="3"/>
      <c r="H143" s="3"/>
      <c r="I143" s="3"/>
      <c r="J143" s="8"/>
      <c r="K143" s="3"/>
      <c r="L143" s="3"/>
      <c r="M143" s="3"/>
      <c r="N143" s="8"/>
      <c r="P143" s="3"/>
      <c r="Q143" s="3"/>
      <c r="R143" s="8"/>
      <c r="S143" s="3"/>
      <c r="T143" s="3"/>
      <c r="U143" s="3"/>
      <c r="V143" s="8"/>
      <c r="W143" s="3"/>
      <c r="X143" s="3"/>
      <c r="Y143" s="3"/>
      <c r="Z143" s="8"/>
    </row>
    <row r="144" spans="1:26" s="23" customFormat="1" x14ac:dyDescent="0.25">
      <c r="A144" s="52"/>
      <c r="B144" s="10" t="s">
        <v>14</v>
      </c>
      <c r="C144" s="10"/>
      <c r="D144" s="4">
        <v>81120.37000000001</v>
      </c>
      <c r="E144" s="4"/>
      <c r="F144" s="13">
        <f>IF(D$12=0,0,D144/D$12)</f>
        <v>0.66184954120296491</v>
      </c>
      <c r="G144" s="4"/>
      <c r="H144" s="4">
        <v>136294</v>
      </c>
      <c r="I144" s="4"/>
      <c r="J144" s="13">
        <f>IF(H$12=0,0,H144/H$12)</f>
        <v>0.10272926669329856</v>
      </c>
      <c r="K144" s="4"/>
      <c r="L144" s="4">
        <f>+D144-H144</f>
        <v>-55173.62999999999</v>
      </c>
      <c r="M144" s="4"/>
      <c r="N144" s="13">
        <f>IF(H144=0,0,L144/H144)</f>
        <v>-0.40481334468135055</v>
      </c>
      <c r="O144" s="10"/>
      <c r="P144" s="4">
        <v>1633152.8099999998</v>
      </c>
      <c r="Q144" s="4"/>
      <c r="R144" s="13">
        <f>IF(P$12=0,0,P144/P$12)</f>
        <v>0.11841561755533281</v>
      </c>
      <c r="S144" s="4"/>
      <c r="T144" s="4">
        <v>2134150</v>
      </c>
      <c r="U144" s="4"/>
      <c r="V144" s="13">
        <f>IF(T$12=0,0,T144/T$12)</f>
        <v>0.11582576145336677</v>
      </c>
      <c r="W144" s="4"/>
      <c r="X144" s="4">
        <f>+P144-T144</f>
        <v>-500997.19000000018</v>
      </c>
      <c r="Y144" s="4"/>
      <c r="Z144" s="13">
        <f>IF(T144=0,0,X144/T144)</f>
        <v>-0.2347525665956002</v>
      </c>
    </row>
    <row r="145" spans="1:26" x14ac:dyDescent="0.25">
      <c r="A145" s="9"/>
      <c r="B145" s="10"/>
      <c r="C145" s="10"/>
      <c r="D145" s="3"/>
      <c r="E145" s="3"/>
      <c r="F145" s="8"/>
      <c r="G145" s="3"/>
      <c r="H145" s="3"/>
      <c r="I145" s="3"/>
      <c r="J145" s="8"/>
      <c r="K145" s="3"/>
      <c r="L145" s="3"/>
      <c r="M145" s="3"/>
      <c r="N145" s="8"/>
      <c r="O145" s="10"/>
      <c r="P145" s="3"/>
      <c r="Q145" s="3"/>
      <c r="R145" s="8"/>
      <c r="S145" s="3"/>
      <c r="T145" s="3"/>
      <c r="U145" s="3"/>
      <c r="V145" s="8"/>
      <c r="W145" s="3"/>
      <c r="X145" s="3"/>
      <c r="Y145" s="3"/>
      <c r="Z145" s="8"/>
    </row>
    <row r="146" spans="1:26" s="23" customFormat="1" ht="15.75" thickBot="1" x14ac:dyDescent="0.3">
      <c r="A146" s="10"/>
      <c r="B146" s="29" t="s">
        <v>4</v>
      </c>
      <c r="C146" s="29"/>
      <c r="D146" s="35">
        <f>+D142-D144</f>
        <v>-308634.21000000008</v>
      </c>
      <c r="E146" s="14"/>
      <c r="F146" s="32">
        <f>IF(D$12=0,0,D146/D$12)</f>
        <v>-2.5181025467221065</v>
      </c>
      <c r="G146" s="14"/>
      <c r="H146" s="35">
        <f>+H142-H144</f>
        <v>-9129.8813019398367</v>
      </c>
      <c r="I146" s="14"/>
      <c r="J146" s="32">
        <f>IF(H$12=0,0,H146/H$12)</f>
        <v>-6.8814915634227286E-3</v>
      </c>
      <c r="K146" s="16"/>
      <c r="L146" s="35">
        <f>D146-H146</f>
        <v>-299504.32869806024</v>
      </c>
      <c r="M146" s="16"/>
      <c r="N146" s="32">
        <f>IF(H146=0,0,L146/H146)</f>
        <v>32.804843654914137</v>
      </c>
      <c r="O146" s="28"/>
      <c r="P146" s="35">
        <f>+P142-P144</f>
        <v>-502956.03000000515</v>
      </c>
      <c r="Q146" s="14"/>
      <c r="R146" s="32">
        <f>IF(P$12=0,0,P146/P$12)</f>
        <v>-3.6468019729047348E-2</v>
      </c>
      <c r="S146" s="14"/>
      <c r="T146" s="35">
        <f>+T142-T144</f>
        <v>1146977.186595602</v>
      </c>
      <c r="U146" s="14"/>
      <c r="V146" s="32">
        <f>IF(T$12=0,0,T146/T$12)</f>
        <v>6.2249376101527983E-2</v>
      </c>
      <c r="W146" s="16"/>
      <c r="X146" s="35">
        <f>P146-T146</f>
        <v>-1649933.2165956071</v>
      </c>
      <c r="Y146" s="16"/>
      <c r="Z146" s="32">
        <f>IF(T146=0,0,X146/T146)</f>
        <v>-1.4385056964322482</v>
      </c>
    </row>
    <row r="147" spans="1:26" ht="15.75" thickTop="1" x14ac:dyDescent="0.25">
      <c r="A147" s="9"/>
      <c r="B147" s="9"/>
      <c r="C147" s="9"/>
      <c r="D147" s="3"/>
      <c r="E147" s="3"/>
      <c r="F147" s="8"/>
      <c r="G147" s="3"/>
      <c r="H147" s="3"/>
      <c r="I147" s="3"/>
      <c r="J147" s="8"/>
      <c r="K147" s="3"/>
      <c r="L147" s="3"/>
      <c r="M147" s="3"/>
      <c r="N147" s="8"/>
      <c r="P147" s="3"/>
      <c r="Q147" s="3"/>
      <c r="R147" s="8"/>
      <c r="S147" s="3"/>
      <c r="T147" s="3"/>
      <c r="U147" s="3"/>
      <c r="V147" s="8"/>
      <c r="W147" s="3"/>
      <c r="X147" s="3"/>
      <c r="Y147" s="3"/>
      <c r="Z147" s="8"/>
    </row>
    <row r="148" spans="1:26" x14ac:dyDescent="0.25">
      <c r="A148" s="9"/>
      <c r="B148" s="9"/>
      <c r="C148" s="9"/>
      <c r="D148" s="3"/>
      <c r="E148" s="3"/>
      <c r="F148" s="8"/>
      <c r="G148" s="3"/>
      <c r="H148" s="3"/>
      <c r="I148" s="3"/>
      <c r="J148" s="8"/>
      <c r="K148" s="3"/>
      <c r="L148" s="3"/>
      <c r="M148" s="3"/>
      <c r="N148" s="8"/>
      <c r="P148" s="3"/>
      <c r="Q148" s="3"/>
      <c r="R148" s="8"/>
      <c r="S148" s="3"/>
      <c r="T148" s="3"/>
      <c r="U148" s="3"/>
      <c r="V148" s="8"/>
      <c r="W148" s="3"/>
      <c r="X148" s="3"/>
      <c r="Y148" s="3"/>
      <c r="Z148" s="8"/>
    </row>
    <row r="149" spans="1:26" s="23" customFormat="1" ht="15.75" thickBot="1" x14ac:dyDescent="0.3">
      <c r="A149" s="10"/>
      <c r="B149" s="29" t="s">
        <v>5</v>
      </c>
      <c r="C149" s="29"/>
      <c r="D149" s="34">
        <f>SUM(D146:D148)</f>
        <v>-308634.21000000008</v>
      </c>
      <c r="E149" s="14"/>
      <c r="F149" s="31">
        <f>IF(D$12=0,0,D149/D$12)</f>
        <v>-2.5181025467221065</v>
      </c>
      <c r="G149" s="14"/>
      <c r="H149" s="34">
        <f>SUM(H146:H148)</f>
        <v>-9129.8813019398367</v>
      </c>
      <c r="I149" s="14"/>
      <c r="J149" s="31">
        <f>IF(H$12=0,0,H149/H$12)</f>
        <v>-6.8814915634227286E-3</v>
      </c>
      <c r="K149" s="16"/>
      <c r="L149" s="34">
        <f>+D149-H149</f>
        <v>-299504.32869806024</v>
      </c>
      <c r="M149" s="16"/>
      <c r="N149" s="31">
        <f>IF(H149=0,0,L149/H149)</f>
        <v>32.804843654914137</v>
      </c>
      <c r="O149" s="28"/>
      <c r="P149" s="34">
        <f>SUM(P146:P148)</f>
        <v>-502956.03000000515</v>
      </c>
      <c r="Q149" s="14"/>
      <c r="R149" s="31">
        <f>IF(P$12=0,0,P149/P$12)</f>
        <v>-3.6468019729047348E-2</v>
      </c>
      <c r="S149" s="14"/>
      <c r="T149" s="34">
        <f>SUM(T146:T148)</f>
        <v>1146977.186595602</v>
      </c>
      <c r="U149" s="14"/>
      <c r="V149" s="31">
        <f>IF(T$12=0,0,T149/T$12)</f>
        <v>6.2249376101527983E-2</v>
      </c>
      <c r="W149" s="16"/>
      <c r="X149" s="34">
        <f>+P149-T149</f>
        <v>-1649933.2165956071</v>
      </c>
      <c r="Y149" s="16"/>
      <c r="Z149" s="31">
        <f>IF(T149=0,0,X149/T149)</f>
        <v>-1.4385056964322482</v>
      </c>
    </row>
    <row r="150" spans="1:26" ht="15.75" thickTop="1" x14ac:dyDescent="0.25">
      <c r="A150" s="9"/>
      <c r="C150" s="9"/>
      <c r="D150" s="18"/>
      <c r="E150" s="18"/>
      <c r="G150" s="18"/>
      <c r="H150" s="18"/>
      <c r="I150" s="18"/>
      <c r="J150" s="42"/>
      <c r="K150" s="18"/>
      <c r="L150" s="18"/>
      <c r="M150" s="18"/>
      <c r="P150" s="18"/>
      <c r="Q150" s="18"/>
      <c r="R150" s="42"/>
      <c r="S150" s="18"/>
      <c r="T150" s="18"/>
      <c r="U150" s="18"/>
      <c r="V150" s="42"/>
      <c r="W150" s="18"/>
      <c r="X150" s="18"/>
    </row>
    <row r="151" spans="1:26" x14ac:dyDescent="0.25">
      <c r="A151" s="9"/>
      <c r="B151" s="59">
        <v>43992.371160150462</v>
      </c>
      <c r="D151" s="18"/>
      <c r="E151" s="18"/>
      <c r="G151" s="18"/>
      <c r="H151" s="18"/>
      <c r="I151" s="18"/>
      <c r="J151" s="42"/>
      <c r="K151" s="18"/>
      <c r="L151" s="18"/>
      <c r="M151" s="18"/>
      <c r="P151" s="18"/>
      <c r="Q151" s="18"/>
      <c r="R151" s="42"/>
      <c r="S151" s="18"/>
      <c r="T151" s="18"/>
      <c r="U151" s="18"/>
      <c r="V151" s="42"/>
      <c r="W151" s="18"/>
      <c r="X151" s="18"/>
    </row>
    <row r="152" spans="1:26" x14ac:dyDescent="0.25">
      <c r="A152" s="9"/>
      <c r="B152" s="56" t="s">
        <v>314</v>
      </c>
      <c r="D152" s="18"/>
      <c r="E152" s="18"/>
      <c r="G152" s="18"/>
      <c r="H152" s="18"/>
      <c r="I152" s="18"/>
      <c r="J152" s="42"/>
      <c r="K152" s="18"/>
      <c r="L152" s="18"/>
      <c r="M152" s="18"/>
      <c r="P152" s="18"/>
      <c r="Q152" s="18"/>
      <c r="R152" s="42"/>
      <c r="S152" s="18"/>
      <c r="T152" s="18"/>
      <c r="U152" s="18"/>
      <c r="V152" s="42"/>
      <c r="W152" s="18"/>
      <c r="X152" s="18"/>
    </row>
    <row r="153" spans="1:26" x14ac:dyDescent="0.25">
      <c r="A153" s="9"/>
      <c r="B153" s="54"/>
      <c r="D153" s="18"/>
      <c r="E153" s="18"/>
      <c r="G153" s="18"/>
      <c r="H153" s="18"/>
      <c r="I153" s="18"/>
      <c r="J153" s="42"/>
      <c r="K153" s="18"/>
      <c r="L153" s="18"/>
      <c r="M153" s="18"/>
      <c r="P153" s="18"/>
      <c r="Q153" s="18"/>
      <c r="R153" s="42"/>
      <c r="S153" s="18"/>
      <c r="T153" s="18"/>
      <c r="U153" s="18"/>
      <c r="V153" s="42"/>
      <c r="W153" s="18"/>
      <c r="X153" s="18"/>
    </row>
    <row r="154" spans="1:26" x14ac:dyDescent="0.25">
      <c r="D154" s="18"/>
      <c r="E154" s="18"/>
      <c r="G154" s="18"/>
      <c r="H154" s="18"/>
      <c r="I154" s="18"/>
      <c r="J154" s="42"/>
      <c r="K154" s="18"/>
      <c r="L154" s="18"/>
      <c r="M154" s="18"/>
      <c r="P154" s="18"/>
      <c r="Q154" s="18"/>
      <c r="R154" s="42"/>
      <c r="S154" s="18"/>
      <c r="T154" s="18"/>
      <c r="U154" s="18"/>
      <c r="V154" s="42"/>
      <c r="W154" s="18"/>
      <c r="X154" s="18"/>
    </row>
  </sheetData>
  <pageMargins left="0.25" right="0.25" top="0.75" bottom="0.75" header="0.3" footer="0.3"/>
  <pageSetup scale="55" fitToWidth="2" orientation="landscape"/>
  <drawing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outlinePr summaryBelow="0" summaryRight="0"/>
  </sheetPr>
  <dimension ref="A2:Z160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63" t="s">
        <v>13</v>
      </c>
    </row>
    <row r="3" spans="1:26" x14ac:dyDescent="0.25">
      <c r="D3" s="63" t="s">
        <v>296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61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63" t="str">
        <f>CONCATENATE("Period ",RIGHT(202011,2),", ",2020)</f>
        <v>Period 11, 2020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61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4">
        <v>43981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61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51"/>
      <c r="C6" s="51"/>
      <c r="D6" s="23" t="s">
        <v>313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57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5" t="s">
        <v>294</v>
      </c>
      <c r="E9" s="15"/>
      <c r="F9" s="38"/>
      <c r="G9" s="15"/>
      <c r="H9" s="15"/>
      <c r="I9" s="15"/>
      <c r="J9" s="46"/>
      <c r="K9" s="15"/>
      <c r="L9" s="15"/>
      <c r="M9" s="15"/>
      <c r="N9" s="38"/>
      <c r="P9" s="15" t="s">
        <v>295</v>
      </c>
      <c r="Q9" s="15"/>
      <c r="R9" s="38"/>
      <c r="S9" s="15"/>
      <c r="T9" s="15"/>
      <c r="U9" s="15"/>
      <c r="V9" s="46"/>
      <c r="W9" s="15"/>
      <c r="X9" s="15"/>
      <c r="Y9" s="15"/>
      <c r="Z9" s="38"/>
    </row>
    <row r="10" spans="1:26" x14ac:dyDescent="0.25">
      <c r="A10" s="10"/>
      <c r="B10" s="55"/>
      <c r="C10" s="10"/>
      <c r="D10" s="43" t="s">
        <v>10</v>
      </c>
      <c r="E10" s="33"/>
      <c r="F10" s="40" t="s">
        <v>15</v>
      </c>
      <c r="G10" s="33"/>
      <c r="H10" s="47" t="s">
        <v>11</v>
      </c>
      <c r="I10" s="33"/>
      <c r="J10" s="45" t="s">
        <v>16</v>
      </c>
      <c r="K10" s="10"/>
      <c r="L10" s="43" t="s">
        <v>12</v>
      </c>
      <c r="M10" s="10"/>
      <c r="N10" s="40" t="s">
        <v>17</v>
      </c>
      <c r="O10" s="10"/>
      <c r="P10" s="53" t="s">
        <v>10</v>
      </c>
      <c r="Q10" s="33"/>
      <c r="R10" s="40" t="s">
        <v>15</v>
      </c>
      <c r="S10" s="33"/>
      <c r="T10" s="47" t="s">
        <v>11</v>
      </c>
      <c r="U10" s="33"/>
      <c r="V10" s="45" t="s">
        <v>16</v>
      </c>
      <c r="W10" s="10"/>
      <c r="X10" s="43" t="s">
        <v>12</v>
      </c>
      <c r="Y10" s="10"/>
      <c r="Z10" s="40" t="s">
        <v>17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28.36</v>
      </c>
      <c r="E12" s="4"/>
      <c r="F12" s="13"/>
      <c r="G12" s="4"/>
      <c r="H12" s="4">
        <f>SUM(OSRRefH13x_0)</f>
        <v>916594</v>
      </c>
      <c r="I12" s="4"/>
      <c r="J12" s="13"/>
      <c r="K12" s="4"/>
      <c r="L12" s="4">
        <f t="shared" ref="L12:L31" si="0">+D12-H12</f>
        <v>-916565.64</v>
      </c>
      <c r="M12" s="4"/>
      <c r="N12" s="13">
        <f t="shared" ref="N12:N31" si="1">IF(H12=0,0,L12/H12)</f>
        <v>-0.99996905936543334</v>
      </c>
      <c r="O12" s="10"/>
      <c r="P12" s="4">
        <f>SUM(OSRRefP13x_0)</f>
        <v>6984151.5999999996</v>
      </c>
      <c r="Q12" s="4"/>
      <c r="R12" s="13"/>
      <c r="S12" s="4"/>
      <c r="T12" s="4">
        <f>SUM(OSRRefT13x_0)</f>
        <v>10476744.199999999</v>
      </c>
      <c r="U12" s="4"/>
      <c r="V12" s="13"/>
      <c r="W12" s="4"/>
      <c r="X12" s="4">
        <f t="shared" ref="X12:X31" si="2">+P12-T12</f>
        <v>-3492592.5999999996</v>
      </c>
      <c r="Y12" s="4"/>
      <c r="Z12" s="13">
        <f t="shared" ref="Z12:Z31" si="3">IF(T12=0,0,X12/T12)</f>
        <v>-0.3333662188678807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 t="shared" ref="D13:D21" si="4">0</f>
        <v>0</v>
      </c>
      <c r="E13" s="2"/>
      <c r="F13" s="19"/>
      <c r="G13" s="2"/>
      <c r="H13" s="2">
        <v>397014</v>
      </c>
      <c r="I13" s="2"/>
      <c r="J13" s="19"/>
      <c r="K13" s="2"/>
      <c r="L13" s="2">
        <f t="shared" si="0"/>
        <v>-397014</v>
      </c>
      <c r="M13" s="2"/>
      <c r="N13" s="19">
        <f t="shared" si="1"/>
        <v>-1</v>
      </c>
      <c r="O13" s="11"/>
      <c r="P13" s="2">
        <f>0</f>
        <v>0</v>
      </c>
      <c r="Q13" s="2"/>
      <c r="R13" s="19"/>
      <c r="S13" s="2"/>
      <c r="T13" s="2">
        <v>4307067.2</v>
      </c>
      <c r="U13" s="2"/>
      <c r="V13" s="19"/>
      <c r="W13" s="2"/>
      <c r="X13" s="2">
        <f t="shared" si="2"/>
        <v>-4307067.2</v>
      </c>
      <c r="Y13" s="2"/>
      <c r="Z13" s="19">
        <f t="shared" si="3"/>
        <v>-1</v>
      </c>
    </row>
    <row r="14" spans="1:26" s="24" customFormat="1" hidden="1" outlineLevel="1" x14ac:dyDescent="0.25">
      <c r="A14" s="44"/>
      <c r="B14" s="11" t="str">
        <f>CONCATENATE("          ", "4032", " - ", "TAXABLE SALES-JUICE")</f>
        <v xml:space="preserve">          4032 - TAXABLE SALES-JUICE</v>
      </c>
      <c r="C14" s="11"/>
      <c r="D14" s="2">
        <f t="shared" si="4"/>
        <v>0</v>
      </c>
      <c r="E14" s="2"/>
      <c r="F14" s="19"/>
      <c r="G14" s="2"/>
      <c r="H14" s="2"/>
      <c r="I14" s="2"/>
      <c r="J14" s="19"/>
      <c r="K14" s="2"/>
      <c r="L14" s="2">
        <f t="shared" si="0"/>
        <v>0</v>
      </c>
      <c r="M14" s="2"/>
      <c r="N14" s="19">
        <f t="shared" si="1"/>
        <v>0</v>
      </c>
      <c r="O14" s="11"/>
      <c r="P14" s="2">
        <f>--275749.46</f>
        <v>275749.46000000002</v>
      </c>
      <c r="Q14" s="2"/>
      <c r="R14" s="19"/>
      <c r="S14" s="2"/>
      <c r="T14" s="2"/>
      <c r="U14" s="2"/>
      <c r="V14" s="19"/>
      <c r="W14" s="2"/>
      <c r="X14" s="2">
        <f t="shared" si="2"/>
        <v>275749.46000000002</v>
      </c>
      <c r="Y14" s="2"/>
      <c r="Z14" s="19">
        <f t="shared" si="3"/>
        <v>0</v>
      </c>
    </row>
    <row r="15" spans="1:26" s="24" customFormat="1" hidden="1" outlineLevel="1" x14ac:dyDescent="0.25">
      <c r="A15" s="44"/>
      <c r="B15" s="11" t="str">
        <f>CONCATENATE("          ", "4034", " - ", "TAXABLE SALES-SODA")</f>
        <v xml:space="preserve">          4034 - TAXABLE SALES-SODA</v>
      </c>
      <c r="C15" s="11"/>
      <c r="D15" s="2">
        <f t="shared" si="4"/>
        <v>0</v>
      </c>
      <c r="E15" s="2"/>
      <c r="F15" s="19"/>
      <c r="G15" s="2"/>
      <c r="H15" s="2"/>
      <c r="I15" s="2"/>
      <c r="J15" s="19"/>
      <c r="K15" s="2"/>
      <c r="L15" s="2">
        <f t="shared" si="0"/>
        <v>0</v>
      </c>
      <c r="M15" s="2"/>
      <c r="N15" s="19">
        <f t="shared" si="1"/>
        <v>0</v>
      </c>
      <c r="O15" s="11"/>
      <c r="P15" s="2">
        <f>--3121.95</f>
        <v>3121.95</v>
      </c>
      <c r="Q15" s="2"/>
      <c r="R15" s="19"/>
      <c r="S15" s="2"/>
      <c r="T15" s="2"/>
      <c r="U15" s="2"/>
      <c r="V15" s="19"/>
      <c r="W15" s="2"/>
      <c r="X15" s="2">
        <f t="shared" si="2"/>
        <v>3121.95</v>
      </c>
      <c r="Y15" s="2"/>
      <c r="Z15" s="19">
        <f t="shared" si="3"/>
        <v>0</v>
      </c>
    </row>
    <row r="16" spans="1:26" s="24" customFormat="1" hidden="1" outlineLevel="1" x14ac:dyDescent="0.25">
      <c r="A16" s="44"/>
      <c r="B16" s="11" t="str">
        <f>CONCATENATE("          ", "4051", " - ", "TAXABLE SALES-FOOD")</f>
        <v xml:space="preserve">          4051 - TAXABLE SALES-FOOD</v>
      </c>
      <c r="C16" s="11"/>
      <c r="D16" s="2">
        <f t="shared" si="4"/>
        <v>0</v>
      </c>
      <c r="E16" s="2"/>
      <c r="F16" s="19"/>
      <c r="G16" s="2"/>
      <c r="H16" s="2"/>
      <c r="I16" s="2"/>
      <c r="J16" s="19"/>
      <c r="K16" s="2"/>
      <c r="L16" s="2">
        <f t="shared" si="0"/>
        <v>0</v>
      </c>
      <c r="M16" s="2"/>
      <c r="N16" s="19">
        <f t="shared" si="1"/>
        <v>0</v>
      </c>
      <c r="O16" s="11"/>
      <c r="P16" s="2">
        <f>--604143.21</f>
        <v>604143.21</v>
      </c>
      <c r="Q16" s="2"/>
      <c r="R16" s="19"/>
      <c r="S16" s="2"/>
      <c r="T16" s="2"/>
      <c r="U16" s="2"/>
      <c r="V16" s="19"/>
      <c r="W16" s="2"/>
      <c r="X16" s="2">
        <f t="shared" si="2"/>
        <v>604143.21</v>
      </c>
      <c r="Y16" s="2"/>
      <c r="Z16" s="19">
        <f t="shared" si="3"/>
        <v>0</v>
      </c>
    </row>
    <row r="17" spans="1:26" s="24" customFormat="1" hidden="1" outlineLevel="1" x14ac:dyDescent="0.25">
      <c r="A17" s="44"/>
      <c r="B17" s="11" t="str">
        <f>CONCATENATE("          ", "4052", " - ", "TAXABLE SALES-FOOD")</f>
        <v xml:space="preserve">          4052 - TAXABLE SALES-FOOD</v>
      </c>
      <c r="C17" s="11"/>
      <c r="D17" s="2">
        <f t="shared" si="4"/>
        <v>0</v>
      </c>
      <c r="E17" s="2"/>
      <c r="F17" s="19"/>
      <c r="G17" s="2"/>
      <c r="H17" s="2"/>
      <c r="I17" s="2"/>
      <c r="J17" s="19"/>
      <c r="K17" s="2"/>
      <c r="L17" s="2">
        <f t="shared" si="0"/>
        <v>0</v>
      </c>
      <c r="M17" s="2"/>
      <c r="N17" s="19">
        <f t="shared" si="1"/>
        <v>0</v>
      </c>
      <c r="O17" s="11"/>
      <c r="P17" s="2">
        <f>--836487.29</f>
        <v>836487.29</v>
      </c>
      <c r="Q17" s="2"/>
      <c r="R17" s="19"/>
      <c r="S17" s="2"/>
      <c r="T17" s="2"/>
      <c r="U17" s="2"/>
      <c r="V17" s="19"/>
      <c r="W17" s="2"/>
      <c r="X17" s="2">
        <f t="shared" si="2"/>
        <v>836487.29</v>
      </c>
      <c r="Y17" s="2"/>
      <c r="Z17" s="19">
        <f t="shared" si="3"/>
        <v>0</v>
      </c>
    </row>
    <row r="18" spans="1:26" s="24" customFormat="1" hidden="1" outlineLevel="1" x14ac:dyDescent="0.25">
      <c r="A18" s="44"/>
      <c r="B18" s="11" t="str">
        <f>CONCATENATE("          ", "4053", " - ", "TAXABLE SALES-FOOD")</f>
        <v xml:space="preserve">          4053 - TAXABLE SALES-FOOD</v>
      </c>
      <c r="C18" s="11"/>
      <c r="D18" s="2">
        <f t="shared" si="4"/>
        <v>0</v>
      </c>
      <c r="E18" s="2"/>
      <c r="F18" s="19"/>
      <c r="G18" s="2"/>
      <c r="H18" s="2"/>
      <c r="I18" s="2"/>
      <c r="J18" s="19"/>
      <c r="K18" s="2"/>
      <c r="L18" s="2">
        <f t="shared" si="0"/>
        <v>0</v>
      </c>
      <c r="M18" s="2"/>
      <c r="N18" s="19">
        <f t="shared" si="1"/>
        <v>0</v>
      </c>
      <c r="O18" s="11"/>
      <c r="P18" s="2">
        <f>--253270.4</f>
        <v>253270.39999999999</v>
      </c>
      <c r="Q18" s="2"/>
      <c r="R18" s="19"/>
      <c r="S18" s="2"/>
      <c r="T18" s="2"/>
      <c r="U18" s="2"/>
      <c r="V18" s="19"/>
      <c r="W18" s="2"/>
      <c r="X18" s="2">
        <f t="shared" si="2"/>
        <v>253270.39999999999</v>
      </c>
      <c r="Y18" s="2"/>
      <c r="Z18" s="19">
        <f t="shared" si="3"/>
        <v>0</v>
      </c>
    </row>
    <row r="19" spans="1:26" s="24" customFormat="1" hidden="1" outlineLevel="1" x14ac:dyDescent="0.25">
      <c r="A19" s="44"/>
      <c r="B19" s="11" t="str">
        <f>CONCATENATE("          ", "4055", " - ", "TAXABLE SALES-FOOD")</f>
        <v xml:space="preserve">          4055 - TAXABLE SALES-FOOD</v>
      </c>
      <c r="C19" s="11"/>
      <c r="D19" s="2">
        <f t="shared" si="4"/>
        <v>0</v>
      </c>
      <c r="E19" s="2"/>
      <c r="F19" s="19"/>
      <c r="G19" s="2"/>
      <c r="H19" s="2"/>
      <c r="I19" s="2"/>
      <c r="J19" s="19"/>
      <c r="K19" s="2"/>
      <c r="L19" s="2">
        <f t="shared" si="0"/>
        <v>0</v>
      </c>
      <c r="M19" s="2"/>
      <c r="N19" s="19">
        <f t="shared" si="1"/>
        <v>0</v>
      </c>
      <c r="O19" s="11"/>
      <c r="P19" s="2">
        <f>--381406.04</f>
        <v>381406.04</v>
      </c>
      <c r="Q19" s="2"/>
      <c r="R19" s="19"/>
      <c r="S19" s="2"/>
      <c r="T19" s="2"/>
      <c r="U19" s="2"/>
      <c r="V19" s="19"/>
      <c r="W19" s="2"/>
      <c r="X19" s="2">
        <f t="shared" si="2"/>
        <v>381406.04</v>
      </c>
      <c r="Y19" s="2"/>
      <c r="Z19" s="19">
        <f t="shared" si="3"/>
        <v>0</v>
      </c>
    </row>
    <row r="20" spans="1:26" s="24" customFormat="1" hidden="1" outlineLevel="1" x14ac:dyDescent="0.25">
      <c r="A20" s="44"/>
      <c r="B20" s="11" t="str">
        <f>CONCATENATE("          ", "4058", " - ", "TAXABLE SALES-FOOD")</f>
        <v xml:space="preserve">          4058 - TAXABLE SALES-FOOD</v>
      </c>
      <c r="C20" s="11"/>
      <c r="D20" s="2">
        <f t="shared" si="4"/>
        <v>0</v>
      </c>
      <c r="E20" s="2"/>
      <c r="F20" s="19"/>
      <c r="G20" s="2"/>
      <c r="H20" s="2"/>
      <c r="I20" s="2"/>
      <c r="J20" s="19"/>
      <c r="K20" s="2"/>
      <c r="L20" s="2">
        <f t="shared" si="0"/>
        <v>0</v>
      </c>
      <c r="M20" s="2"/>
      <c r="N20" s="19">
        <f t="shared" si="1"/>
        <v>0</v>
      </c>
      <c r="O20" s="11"/>
      <c r="P20" s="2">
        <f>--117077.57</f>
        <v>117077.57</v>
      </c>
      <c r="Q20" s="2"/>
      <c r="R20" s="19"/>
      <c r="S20" s="2"/>
      <c r="T20" s="2"/>
      <c r="U20" s="2"/>
      <c r="V20" s="19"/>
      <c r="W20" s="2"/>
      <c r="X20" s="2">
        <f t="shared" si="2"/>
        <v>117077.57</v>
      </c>
      <c r="Y20" s="2"/>
      <c r="Z20" s="19">
        <f t="shared" si="3"/>
        <v>0</v>
      </c>
    </row>
    <row r="21" spans="1:26" s="24" customFormat="1" hidden="1" outlineLevel="1" x14ac:dyDescent="0.25">
      <c r="A21" s="44"/>
      <c r="B21" s="11" t="str">
        <f>CONCATENATE("          ", "4100", " - ", "NON-TAXABLE SALES")</f>
        <v xml:space="preserve">          4100 - NON-TAXABLE SALES</v>
      </c>
      <c r="C21" s="11"/>
      <c r="D21" s="2">
        <f t="shared" si="4"/>
        <v>0</v>
      </c>
      <c r="E21" s="2"/>
      <c r="F21" s="19"/>
      <c r="G21" s="2"/>
      <c r="H21" s="2">
        <v>519580</v>
      </c>
      <c r="I21" s="2"/>
      <c r="J21" s="19"/>
      <c r="K21" s="2"/>
      <c r="L21" s="2">
        <f t="shared" si="0"/>
        <v>-519580</v>
      </c>
      <c r="M21" s="2"/>
      <c r="N21" s="19">
        <f t="shared" si="1"/>
        <v>-1</v>
      </c>
      <c r="O21" s="11"/>
      <c r="P21" s="2">
        <f>0</f>
        <v>0</v>
      </c>
      <c r="Q21" s="2"/>
      <c r="R21" s="19"/>
      <c r="S21" s="2"/>
      <c r="T21" s="2">
        <v>6169677</v>
      </c>
      <c r="U21" s="2"/>
      <c r="V21" s="19"/>
      <c r="W21" s="2"/>
      <c r="X21" s="2">
        <f t="shared" si="2"/>
        <v>-6169677</v>
      </c>
      <c r="Y21" s="2"/>
      <c r="Z21" s="19">
        <f t="shared" si="3"/>
        <v>-1</v>
      </c>
    </row>
    <row r="22" spans="1:26" s="24" customFormat="1" hidden="1" outlineLevel="1" x14ac:dyDescent="0.25">
      <c r="A22" s="44"/>
      <c r="B22" s="11" t="str">
        <f>CONCATENATE("          ", "4131", " - ", "NON-TAXABLE SALES-FOOD")</f>
        <v xml:space="preserve">          4131 - NON-TAXABLE SALES-FOOD</v>
      </c>
      <c r="C22" s="11"/>
      <c r="D22" s="2">
        <f>--2.48</f>
        <v>2.48</v>
      </c>
      <c r="E22" s="2"/>
      <c r="F22" s="19"/>
      <c r="G22" s="2"/>
      <c r="H22" s="2"/>
      <c r="I22" s="2"/>
      <c r="J22" s="19"/>
      <c r="K22" s="2"/>
      <c r="L22" s="2">
        <f t="shared" si="0"/>
        <v>2.48</v>
      </c>
      <c r="M22" s="2"/>
      <c r="N22" s="19">
        <f t="shared" si="1"/>
        <v>0</v>
      </c>
      <c r="O22" s="11"/>
      <c r="P22" s="2">
        <f>--2.48</f>
        <v>2.48</v>
      </c>
      <c r="Q22" s="2"/>
      <c r="R22" s="19"/>
      <c r="S22" s="2"/>
      <c r="T22" s="2"/>
      <c r="U22" s="2"/>
      <c r="V22" s="19"/>
      <c r="W22" s="2"/>
      <c r="X22" s="2">
        <f t="shared" si="2"/>
        <v>2.48</v>
      </c>
      <c r="Y22" s="2"/>
      <c r="Z22" s="19">
        <f t="shared" si="3"/>
        <v>0</v>
      </c>
    </row>
    <row r="23" spans="1:26" s="24" customFormat="1" hidden="1" outlineLevel="1" x14ac:dyDescent="0.25">
      <c r="A23" s="44"/>
      <c r="B23" s="11" t="str">
        <f>CONCATENATE("          ", "4132", " - ", "NON-TAXABLE SALES-JUICE")</f>
        <v xml:space="preserve">          4132 - NON-TAXABLE SALES-JUICE</v>
      </c>
      <c r="C23" s="11"/>
      <c r="D23" s="2">
        <f t="shared" ref="D23:D24" si="5">0</f>
        <v>0</v>
      </c>
      <c r="E23" s="2"/>
      <c r="F23" s="19"/>
      <c r="G23" s="2"/>
      <c r="H23" s="2"/>
      <c r="I23" s="2"/>
      <c r="J23" s="19"/>
      <c r="K23" s="2"/>
      <c r="L23" s="2">
        <f t="shared" si="0"/>
        <v>0</v>
      </c>
      <c r="M23" s="2"/>
      <c r="N23" s="19">
        <f t="shared" si="1"/>
        <v>0</v>
      </c>
      <c r="O23" s="11"/>
      <c r="P23" s="2">
        <f>--1093778.15</f>
        <v>1093778.1499999999</v>
      </c>
      <c r="Q23" s="2"/>
      <c r="R23" s="19"/>
      <c r="S23" s="2"/>
      <c r="T23" s="2"/>
      <c r="U23" s="2"/>
      <c r="V23" s="19"/>
      <c r="W23" s="2"/>
      <c r="X23" s="2">
        <f t="shared" si="2"/>
        <v>1093778.1499999999</v>
      </c>
      <c r="Y23" s="2"/>
      <c r="Z23" s="19">
        <f t="shared" si="3"/>
        <v>0</v>
      </c>
    </row>
    <row r="24" spans="1:26" s="24" customFormat="1" hidden="1" outlineLevel="1" x14ac:dyDescent="0.25">
      <c r="A24" s="44"/>
      <c r="B24" s="11" t="str">
        <f>CONCATENATE("          ", "4133", " - ", "NON-TAXABLE SALES-CANDY")</f>
        <v xml:space="preserve">          4133 - NON-TAXABLE SALES-CANDY</v>
      </c>
      <c r="C24" s="11"/>
      <c r="D24" s="2">
        <f t="shared" si="5"/>
        <v>0</v>
      </c>
      <c r="E24" s="2"/>
      <c r="F24" s="19"/>
      <c r="G24" s="2"/>
      <c r="H24" s="2"/>
      <c r="I24" s="2"/>
      <c r="J24" s="19"/>
      <c r="K24" s="2"/>
      <c r="L24" s="2">
        <f t="shared" si="0"/>
        <v>0</v>
      </c>
      <c r="M24" s="2"/>
      <c r="N24" s="19">
        <f t="shared" si="1"/>
        <v>0</v>
      </c>
      <c r="O24" s="11"/>
      <c r="P24" s="2">
        <f>--1.59</f>
        <v>1.59</v>
      </c>
      <c r="Q24" s="2"/>
      <c r="R24" s="19"/>
      <c r="S24" s="2"/>
      <c r="T24" s="2"/>
      <c r="U24" s="2"/>
      <c r="V24" s="19"/>
      <c r="W24" s="2"/>
      <c r="X24" s="2">
        <f t="shared" si="2"/>
        <v>1.59</v>
      </c>
      <c r="Y24" s="2"/>
      <c r="Z24" s="19">
        <f t="shared" si="3"/>
        <v>0</v>
      </c>
    </row>
    <row r="25" spans="1:26" s="24" customFormat="1" hidden="1" outlineLevel="1" x14ac:dyDescent="0.25">
      <c r="A25" s="44"/>
      <c r="B25" s="11" t="str">
        <f>CONCATENATE("          ", "4134", " - ", "NON-TAXABLE SALES-SODA")</f>
        <v xml:space="preserve">          4134 - NON-TAXABLE SALES-SODA</v>
      </c>
      <c r="C25" s="11"/>
      <c r="D25" s="2">
        <f>--23.64</f>
        <v>23.64</v>
      </c>
      <c r="E25" s="2"/>
      <c r="F25" s="19"/>
      <c r="G25" s="2"/>
      <c r="H25" s="2"/>
      <c r="I25" s="2"/>
      <c r="J25" s="19"/>
      <c r="K25" s="2"/>
      <c r="L25" s="2">
        <f t="shared" si="0"/>
        <v>23.64</v>
      </c>
      <c r="M25" s="2"/>
      <c r="N25" s="19">
        <f t="shared" si="1"/>
        <v>0</v>
      </c>
      <c r="O25" s="11"/>
      <c r="P25" s="2">
        <f>--94.84</f>
        <v>94.84</v>
      </c>
      <c r="Q25" s="2"/>
      <c r="R25" s="19"/>
      <c r="S25" s="2"/>
      <c r="T25" s="2"/>
      <c r="U25" s="2"/>
      <c r="V25" s="19"/>
      <c r="W25" s="2"/>
      <c r="X25" s="2">
        <f t="shared" si="2"/>
        <v>94.84</v>
      </c>
      <c r="Y25" s="2"/>
      <c r="Z25" s="19">
        <f t="shared" si="3"/>
        <v>0</v>
      </c>
    </row>
    <row r="26" spans="1:26" s="24" customFormat="1" hidden="1" outlineLevel="1" x14ac:dyDescent="0.25">
      <c r="A26" s="44"/>
      <c r="B26" s="11" t="str">
        <f>CONCATENATE("          ", "4137", " - ", "NON-TAXABLE SALES-WATER")</f>
        <v xml:space="preserve">          4137 - NON-TAXABLE SALES-WATER</v>
      </c>
      <c r="C26" s="11"/>
      <c r="D26" s="2">
        <f>--2.24</f>
        <v>2.2400000000000002</v>
      </c>
      <c r="E26" s="2"/>
      <c r="F26" s="19"/>
      <c r="G26" s="2"/>
      <c r="H26" s="2"/>
      <c r="I26" s="2"/>
      <c r="J26" s="19"/>
      <c r="K26" s="2"/>
      <c r="L26" s="2">
        <f t="shared" si="0"/>
        <v>2.2400000000000002</v>
      </c>
      <c r="M26" s="2"/>
      <c r="N26" s="19">
        <f t="shared" si="1"/>
        <v>0</v>
      </c>
      <c r="O26" s="11"/>
      <c r="P26" s="2">
        <f>--1575.68</f>
        <v>1575.68</v>
      </c>
      <c r="Q26" s="2"/>
      <c r="R26" s="19"/>
      <c r="S26" s="2"/>
      <c r="T26" s="2"/>
      <c r="U26" s="2"/>
      <c r="V26" s="19"/>
      <c r="W26" s="2"/>
      <c r="X26" s="2">
        <f t="shared" si="2"/>
        <v>1575.68</v>
      </c>
      <c r="Y26" s="2"/>
      <c r="Z26" s="19">
        <f t="shared" si="3"/>
        <v>0</v>
      </c>
    </row>
    <row r="27" spans="1:26" s="24" customFormat="1" hidden="1" outlineLevel="1" x14ac:dyDescent="0.25">
      <c r="A27" s="44"/>
      <c r="B27" s="11" t="str">
        <f>CONCATENATE("          ", "4151", " - ", "NON-TAXABLE SALES-FOOD")</f>
        <v xml:space="preserve">          4151 - NON-TAXABLE SALES-FOOD</v>
      </c>
      <c r="C27" s="11"/>
      <c r="D27" s="2">
        <f t="shared" ref="D27:D31" si="6">0</f>
        <v>0</v>
      </c>
      <c r="E27" s="2"/>
      <c r="F27" s="19"/>
      <c r="G27" s="2"/>
      <c r="H27" s="2"/>
      <c r="I27" s="2"/>
      <c r="J27" s="19"/>
      <c r="K27" s="2"/>
      <c r="L27" s="2">
        <f t="shared" si="0"/>
        <v>0</v>
      </c>
      <c r="M27" s="2"/>
      <c r="N27" s="19">
        <f t="shared" si="1"/>
        <v>0</v>
      </c>
      <c r="O27" s="11"/>
      <c r="P27" s="2">
        <f>--2191470.18</f>
        <v>2191470.1800000002</v>
      </c>
      <c r="Q27" s="2"/>
      <c r="R27" s="19"/>
      <c r="S27" s="2"/>
      <c r="T27" s="2"/>
      <c r="U27" s="2"/>
      <c r="V27" s="19"/>
      <c r="W27" s="2"/>
      <c r="X27" s="2">
        <f t="shared" si="2"/>
        <v>2191470.1800000002</v>
      </c>
      <c r="Y27" s="2"/>
      <c r="Z27" s="19">
        <f t="shared" si="3"/>
        <v>0</v>
      </c>
    </row>
    <row r="28" spans="1:26" s="24" customFormat="1" hidden="1" outlineLevel="1" x14ac:dyDescent="0.25">
      <c r="A28" s="44"/>
      <c r="B28" s="11" t="str">
        <f>CONCATENATE("          ", "4152", " - ", "NON-TAXABLE SALES-FOOD")</f>
        <v xml:space="preserve">          4152 - NON-TAXABLE SALES-FOOD</v>
      </c>
      <c r="C28" s="11"/>
      <c r="D28" s="2">
        <f t="shared" si="6"/>
        <v>0</v>
      </c>
      <c r="E28" s="2"/>
      <c r="F28" s="19"/>
      <c r="G28" s="2"/>
      <c r="H28" s="2"/>
      <c r="I28" s="2"/>
      <c r="J28" s="19"/>
      <c r="K28" s="2"/>
      <c r="L28" s="2">
        <f t="shared" si="0"/>
        <v>0</v>
      </c>
      <c r="M28" s="2"/>
      <c r="N28" s="19">
        <f t="shared" si="1"/>
        <v>0</v>
      </c>
      <c r="O28" s="11"/>
      <c r="P28" s="2">
        <f>--51415.27</f>
        <v>51415.27</v>
      </c>
      <c r="Q28" s="2"/>
      <c r="R28" s="19"/>
      <c r="S28" s="2"/>
      <c r="T28" s="2"/>
      <c r="U28" s="2"/>
      <c r="V28" s="19"/>
      <c r="W28" s="2"/>
      <c r="X28" s="2">
        <f t="shared" si="2"/>
        <v>51415.27</v>
      </c>
      <c r="Y28" s="2"/>
      <c r="Z28" s="19">
        <f t="shared" si="3"/>
        <v>0</v>
      </c>
    </row>
    <row r="29" spans="1:26" s="24" customFormat="1" hidden="1" outlineLevel="1" x14ac:dyDescent="0.25">
      <c r="A29" s="44"/>
      <c r="B29" s="11" t="str">
        <f>CONCATENATE("          ", "4153", " - ", "NON-TAXABLE SALES-FOOD")</f>
        <v xml:space="preserve">          4153 - NON-TAXABLE SALES-FOOD</v>
      </c>
      <c r="C29" s="11"/>
      <c r="D29" s="2">
        <f t="shared" si="6"/>
        <v>0</v>
      </c>
      <c r="E29" s="2"/>
      <c r="F29" s="19"/>
      <c r="G29" s="2"/>
      <c r="H29" s="2"/>
      <c r="I29" s="2"/>
      <c r="J29" s="19"/>
      <c r="K29" s="2"/>
      <c r="L29" s="2">
        <f t="shared" si="0"/>
        <v>0</v>
      </c>
      <c r="M29" s="2"/>
      <c r="N29" s="19">
        <f t="shared" si="1"/>
        <v>0</v>
      </c>
      <c r="O29" s="11"/>
      <c r="P29" s="2">
        <f>--12314.09</f>
        <v>12314.09</v>
      </c>
      <c r="Q29" s="2"/>
      <c r="R29" s="19"/>
      <c r="S29" s="2"/>
      <c r="T29" s="2"/>
      <c r="U29" s="2"/>
      <c r="V29" s="19"/>
      <c r="W29" s="2"/>
      <c r="X29" s="2">
        <f t="shared" si="2"/>
        <v>12314.09</v>
      </c>
      <c r="Y29" s="2"/>
      <c r="Z29" s="19">
        <f t="shared" si="3"/>
        <v>0</v>
      </c>
    </row>
    <row r="30" spans="1:26" s="24" customFormat="1" hidden="1" outlineLevel="1" x14ac:dyDescent="0.25">
      <c r="A30" s="44"/>
      <c r="B30" s="11" t="str">
        <f>CONCATENATE("          ", "4155", " - ", "NON-TAXABLE SALES-FOOD")</f>
        <v xml:space="preserve">          4155 - NON-TAXABLE SALES-FOOD</v>
      </c>
      <c r="C30" s="11"/>
      <c r="D30" s="2">
        <f t="shared" si="6"/>
        <v>0</v>
      </c>
      <c r="E30" s="2"/>
      <c r="F30" s="19"/>
      <c r="G30" s="2"/>
      <c r="H30" s="2"/>
      <c r="I30" s="2"/>
      <c r="J30" s="19"/>
      <c r="K30" s="2"/>
      <c r="L30" s="2">
        <f t="shared" si="0"/>
        <v>0</v>
      </c>
      <c r="M30" s="2"/>
      <c r="N30" s="19">
        <f t="shared" si="1"/>
        <v>0</v>
      </c>
      <c r="O30" s="11"/>
      <c r="P30" s="2">
        <f>--687389.73</f>
        <v>687389.73</v>
      </c>
      <c r="Q30" s="2"/>
      <c r="R30" s="19"/>
      <c r="S30" s="2"/>
      <c r="T30" s="2"/>
      <c r="U30" s="2"/>
      <c r="V30" s="19"/>
      <c r="W30" s="2"/>
      <c r="X30" s="2">
        <f t="shared" si="2"/>
        <v>687389.73</v>
      </c>
      <c r="Y30" s="2"/>
      <c r="Z30" s="19">
        <f t="shared" si="3"/>
        <v>0</v>
      </c>
    </row>
    <row r="31" spans="1:26" s="24" customFormat="1" hidden="1" outlineLevel="1" x14ac:dyDescent="0.25">
      <c r="A31" s="44"/>
      <c r="B31" s="11" t="str">
        <f>CONCATENATE("          ", "4158", " - ", "NON-TAXABLE SALES-FOOD")</f>
        <v xml:space="preserve">          4158 - NON-TAXABLE SALES-FOOD</v>
      </c>
      <c r="C31" s="11"/>
      <c r="D31" s="2">
        <f t="shared" si="6"/>
        <v>0</v>
      </c>
      <c r="E31" s="2"/>
      <c r="F31" s="19"/>
      <c r="G31" s="2"/>
      <c r="H31" s="2"/>
      <c r="I31" s="2"/>
      <c r="J31" s="19"/>
      <c r="K31" s="2"/>
      <c r="L31" s="2">
        <f t="shared" si="0"/>
        <v>0</v>
      </c>
      <c r="M31" s="2"/>
      <c r="N31" s="19">
        <f t="shared" si="1"/>
        <v>0</v>
      </c>
      <c r="O31" s="11"/>
      <c r="P31" s="2">
        <f>--474853.67</f>
        <v>474853.67</v>
      </c>
      <c r="Q31" s="2"/>
      <c r="R31" s="19"/>
      <c r="S31" s="2"/>
      <c r="T31" s="2"/>
      <c r="U31" s="2"/>
      <c r="V31" s="19"/>
      <c r="W31" s="2"/>
      <c r="X31" s="2">
        <f t="shared" si="2"/>
        <v>474853.67</v>
      </c>
      <c r="Y31" s="2"/>
      <c r="Z31" s="19">
        <f t="shared" si="3"/>
        <v>0</v>
      </c>
    </row>
    <row r="32" spans="1:26" x14ac:dyDescent="0.25">
      <c r="A32" s="9"/>
      <c r="B32" s="10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collapsed="1" x14ac:dyDescent="0.25">
      <c r="A33" s="10"/>
      <c r="B33" s="28" t="s">
        <v>8</v>
      </c>
      <c r="C33" s="10"/>
      <c r="D33" s="4">
        <f>SUM(OSRRefD16x_0)</f>
        <v>15630.21</v>
      </c>
      <c r="E33" s="4"/>
      <c r="F33" s="13">
        <f t="shared" ref="F33:F36" si="7">IF(D$12=0,0,D33/D$12)</f>
        <v>551.13575458392097</v>
      </c>
      <c r="G33" s="4"/>
      <c r="H33" s="4">
        <f>SUM(OSRRefH16x_0)</f>
        <v>327556</v>
      </c>
      <c r="I33" s="4"/>
      <c r="J33" s="13">
        <f t="shared" ref="J33:J36" si="8">IF(H$12=0,0,H33/H$12)</f>
        <v>0.35736214725385501</v>
      </c>
      <c r="K33" s="4"/>
      <c r="L33" s="4">
        <f t="shared" ref="L33:L36" si="9">+D33-H33</f>
        <v>-311925.78999999998</v>
      </c>
      <c r="M33" s="4"/>
      <c r="N33" s="13">
        <f t="shared" ref="N33:N36" si="10">IF(H33=0,0,L33/H33)</f>
        <v>-0.95228232729670648</v>
      </c>
      <c r="O33" s="10"/>
      <c r="P33" s="4">
        <f>SUM(OSRRefP16x_0)</f>
        <v>2877163.1</v>
      </c>
      <c r="Q33" s="4"/>
      <c r="R33" s="13">
        <f t="shared" ref="R33:R36" si="11">IF(P$12=0,0,P33/P$12)</f>
        <v>0.41195599190601767</v>
      </c>
      <c r="S33" s="4"/>
      <c r="T33" s="4">
        <f>SUM(OSRRefT16x_0)</f>
        <v>3772040</v>
      </c>
      <c r="U33" s="4"/>
      <c r="V33" s="13">
        <f t="shared" ref="V33:V36" si="12">IF(T$12=0,0,T33/T$12)</f>
        <v>0.3600393335937323</v>
      </c>
      <c r="W33" s="4"/>
      <c r="X33" s="4">
        <f t="shared" ref="X33:X36" si="13">+P33-T33</f>
        <v>-894876.89999999991</v>
      </c>
      <c r="Y33" s="4"/>
      <c r="Z33" s="13">
        <f t="shared" ref="Z33:Z36" si="14">IF(T33=0,0,X33/T33)</f>
        <v>-0.23723950435308214</v>
      </c>
    </row>
    <row r="34" spans="1:26" s="24" customFormat="1" hidden="1" outlineLevel="1" x14ac:dyDescent="0.25">
      <c r="A34" s="44"/>
      <c r="B34" s="11" t="str">
        <f>CONCATENATE("          ", "5000", " - ", "PURCHASES @ COST")</f>
        <v xml:space="preserve">          5000 - PURCHASES @ COST</v>
      </c>
      <c r="C34" s="11"/>
      <c r="D34" s="2"/>
      <c r="E34" s="2"/>
      <c r="F34" s="19">
        <f t="shared" si="7"/>
        <v>0</v>
      </c>
      <c r="G34" s="2"/>
      <c r="H34" s="2">
        <v>327556</v>
      </c>
      <c r="I34" s="2"/>
      <c r="J34" s="19">
        <f t="shared" si="8"/>
        <v>0.35736214725385501</v>
      </c>
      <c r="K34" s="2"/>
      <c r="L34" s="2">
        <f t="shared" si="9"/>
        <v>-327556</v>
      </c>
      <c r="M34" s="2"/>
      <c r="N34" s="19">
        <f t="shared" si="10"/>
        <v>-1</v>
      </c>
      <c r="O34" s="11"/>
      <c r="P34" s="2"/>
      <c r="Q34" s="2"/>
      <c r="R34" s="19">
        <f t="shared" si="11"/>
        <v>0</v>
      </c>
      <c r="S34" s="2"/>
      <c r="T34" s="2">
        <v>3772040</v>
      </c>
      <c r="U34" s="2"/>
      <c r="V34" s="19">
        <f t="shared" si="12"/>
        <v>0.3600393335937323</v>
      </c>
      <c r="W34" s="2"/>
      <c r="X34" s="2">
        <f t="shared" si="13"/>
        <v>-3772040</v>
      </c>
      <c r="Y34" s="2"/>
      <c r="Z34" s="19">
        <f t="shared" si="14"/>
        <v>-1</v>
      </c>
    </row>
    <row r="35" spans="1:26" s="24" customFormat="1" hidden="1" outlineLevel="1" x14ac:dyDescent="0.25">
      <c r="A35" s="44"/>
      <c r="B35" s="11" t="str">
        <f>CONCATENATE("          ", "5053", " - ", "PURCHASES @ COST-FOOD")</f>
        <v xml:space="preserve">          5053 - PURCHASES @ COST-FOOD</v>
      </c>
      <c r="C35" s="11"/>
      <c r="D35" s="2">
        <v>2957.21</v>
      </c>
      <c r="E35" s="2"/>
      <c r="F35" s="19">
        <f t="shared" si="7"/>
        <v>104.27397743300423</v>
      </c>
      <c r="G35" s="2"/>
      <c r="H35" s="2"/>
      <c r="I35" s="2"/>
      <c r="J35" s="19">
        <f t="shared" si="8"/>
        <v>0</v>
      </c>
      <c r="K35" s="2"/>
      <c r="L35" s="2">
        <f t="shared" si="9"/>
        <v>2957.21</v>
      </c>
      <c r="M35" s="2"/>
      <c r="N35" s="19">
        <f t="shared" si="10"/>
        <v>0</v>
      </c>
      <c r="O35" s="11"/>
      <c r="P35" s="2">
        <v>2759963.31</v>
      </c>
      <c r="Q35" s="2"/>
      <c r="R35" s="19">
        <f t="shared" si="11"/>
        <v>0.3951751720280528</v>
      </c>
      <c r="S35" s="2"/>
      <c r="T35" s="2"/>
      <c r="U35" s="2"/>
      <c r="V35" s="19">
        <f t="shared" si="12"/>
        <v>0</v>
      </c>
      <c r="W35" s="2"/>
      <c r="X35" s="2">
        <f t="shared" si="13"/>
        <v>2759963.31</v>
      </c>
      <c r="Y35" s="2"/>
      <c r="Z35" s="19">
        <f t="shared" si="14"/>
        <v>0</v>
      </c>
    </row>
    <row r="36" spans="1:26" s="24" customFormat="1" hidden="1" outlineLevel="1" x14ac:dyDescent="0.25">
      <c r="A36" s="44"/>
      <c r="B36" s="11" t="str">
        <f>CONCATENATE("          ", "5059", " - ", "PURCHASES @ COST-FOOD")</f>
        <v xml:space="preserve">          5059 - PURCHASES @ COST-FOOD</v>
      </c>
      <c r="C36" s="11"/>
      <c r="D36" s="2">
        <v>12673</v>
      </c>
      <c r="E36" s="2"/>
      <c r="F36" s="19">
        <f t="shared" si="7"/>
        <v>446.86177715091679</v>
      </c>
      <c r="G36" s="2"/>
      <c r="H36" s="2"/>
      <c r="I36" s="2"/>
      <c r="J36" s="19">
        <f t="shared" si="8"/>
        <v>0</v>
      </c>
      <c r="K36" s="2"/>
      <c r="L36" s="2">
        <f t="shared" si="9"/>
        <v>12673</v>
      </c>
      <c r="M36" s="2"/>
      <c r="N36" s="19">
        <f t="shared" si="10"/>
        <v>0</v>
      </c>
      <c r="O36" s="11"/>
      <c r="P36" s="2">
        <v>117199.79</v>
      </c>
      <c r="Q36" s="2"/>
      <c r="R36" s="19">
        <f t="shared" si="11"/>
        <v>1.6780819877964849E-2</v>
      </c>
      <c r="S36" s="2"/>
      <c r="T36" s="2"/>
      <c r="U36" s="2"/>
      <c r="V36" s="19">
        <f t="shared" si="12"/>
        <v>0</v>
      </c>
      <c r="W36" s="2"/>
      <c r="X36" s="2">
        <f t="shared" si="13"/>
        <v>117199.79</v>
      </c>
      <c r="Y36" s="2"/>
      <c r="Z36" s="19">
        <f t="shared" si="14"/>
        <v>0</v>
      </c>
    </row>
    <row r="37" spans="1:26" x14ac:dyDescent="0.25">
      <c r="A37" s="9"/>
      <c r="B37" s="10"/>
      <c r="C37" s="10"/>
      <c r="D37" s="3"/>
      <c r="E37" s="3"/>
      <c r="F37" s="8"/>
      <c r="G37" s="3"/>
      <c r="H37" s="3"/>
      <c r="I37" s="3"/>
      <c r="J37" s="8"/>
      <c r="K37" s="3"/>
      <c r="L37" s="3"/>
      <c r="M37" s="3"/>
      <c r="N37" s="8"/>
      <c r="O37" s="10"/>
      <c r="P37" s="3"/>
      <c r="Q37" s="3"/>
      <c r="R37" s="8"/>
      <c r="S37" s="3"/>
      <c r="T37" s="3"/>
      <c r="U37" s="3"/>
      <c r="V37" s="8"/>
      <c r="W37" s="3"/>
      <c r="X37" s="3"/>
      <c r="Y37" s="3"/>
      <c r="Z37" s="8"/>
    </row>
    <row r="38" spans="1:26" s="23" customFormat="1" x14ac:dyDescent="0.25">
      <c r="A38" s="10"/>
      <c r="B38" s="29" t="s">
        <v>6</v>
      </c>
      <c r="C38" s="29"/>
      <c r="D38" s="20">
        <f>D12-D33</f>
        <v>-15601.849999999999</v>
      </c>
      <c r="E38" s="14"/>
      <c r="F38" s="22">
        <f>IF(D$12=0,0,D38/D$12)</f>
        <v>-550.13575458392097</v>
      </c>
      <c r="G38" s="14"/>
      <c r="H38" s="20">
        <f>H12-H33</f>
        <v>589038</v>
      </c>
      <c r="I38" s="14"/>
      <c r="J38" s="22">
        <f>IF(H$12=0,0,H38/H$12)</f>
        <v>0.64263785274614493</v>
      </c>
      <c r="K38" s="16"/>
      <c r="L38" s="20">
        <f>+D38-H38</f>
        <v>-604639.85</v>
      </c>
      <c r="M38" s="16"/>
      <c r="N38" s="22">
        <f>IF(H38=0,0,L38/H38)</f>
        <v>-1.0264870008386555</v>
      </c>
      <c r="O38" s="28"/>
      <c r="P38" s="20">
        <f>P12-P33</f>
        <v>4106988.4999999995</v>
      </c>
      <c r="Q38" s="14"/>
      <c r="R38" s="22">
        <f>IF(P$12=0,0,P38/P$12)</f>
        <v>0.58804400809398238</v>
      </c>
      <c r="S38" s="14"/>
      <c r="T38" s="20">
        <f>T12-T33</f>
        <v>6704704.1999999993</v>
      </c>
      <c r="U38" s="14"/>
      <c r="V38" s="22">
        <f>IF(T$12=0,0,T38/T$12)</f>
        <v>0.6399606664062677</v>
      </c>
      <c r="W38" s="16"/>
      <c r="X38" s="20">
        <f>+P38-T38</f>
        <v>-2597715.6999999997</v>
      </c>
      <c r="Y38" s="16"/>
      <c r="Z38" s="22">
        <f>IF(T38=0,0,X38/T38)</f>
        <v>-0.38744672732914898</v>
      </c>
    </row>
    <row r="39" spans="1:26" x14ac:dyDescent="0.25">
      <c r="A39" s="9"/>
      <c r="B39" s="10"/>
      <c r="C39" s="9"/>
      <c r="D39" s="1"/>
      <c r="E39" s="1"/>
      <c r="F39" s="5"/>
      <c r="G39" s="1"/>
      <c r="H39" s="1"/>
      <c r="I39" s="1"/>
      <c r="J39" s="5"/>
      <c r="K39" s="1"/>
      <c r="L39" s="1"/>
      <c r="M39" s="1"/>
      <c r="N39" s="5"/>
      <c r="O39" s="36"/>
      <c r="P39" s="1"/>
      <c r="Q39" s="1"/>
      <c r="R39" s="5"/>
      <c r="S39" s="1"/>
      <c r="T39" s="1"/>
      <c r="U39" s="1"/>
      <c r="V39" s="5"/>
      <c r="W39" s="1"/>
      <c r="X39" s="1"/>
      <c r="Y39" s="1"/>
      <c r="Z39" s="5"/>
    </row>
    <row r="40" spans="1:26" s="23" customFormat="1" x14ac:dyDescent="0.25">
      <c r="A40" s="10"/>
      <c r="B40" s="28" t="s">
        <v>9</v>
      </c>
      <c r="C40" s="10"/>
      <c r="D40" s="21">
        <f>SUM(OSRRefD22x_0)</f>
        <v>173662.77999999997</v>
      </c>
      <c r="E40" s="21"/>
      <c r="F40" s="30">
        <f t="shared" ref="F40:F51" si="15">IF(D$12=0,0,D40/D$12)</f>
        <v>6123.5112834978836</v>
      </c>
      <c r="G40" s="21"/>
      <c r="H40" s="21">
        <f>SUM(OSRRefH22x_0)</f>
        <v>579446.29251322732</v>
      </c>
      <c r="I40" s="21"/>
      <c r="J40" s="30">
        <f t="shared" ref="J40:J51" si="16">IF(H$12=0,0,H40/H$12)</f>
        <v>0.63217334230120137</v>
      </c>
      <c r="K40" s="4"/>
      <c r="L40" s="21">
        <f t="shared" ref="L40:L51" si="17">+D40-H40</f>
        <v>-405783.51251322735</v>
      </c>
      <c r="M40" s="4"/>
      <c r="N40" s="30">
        <f t="shared" ref="N40:N51" si="18">IF(H40=0,0,L40/H40)</f>
        <v>-0.70029529527788692</v>
      </c>
      <c r="O40" s="10"/>
      <c r="P40" s="21">
        <f>SUM(OSRRefP22x_0)</f>
        <v>5726740.7200000007</v>
      </c>
      <c r="Q40" s="21"/>
      <c r="R40" s="30">
        <f t="shared" ref="R40:R51" si="19">IF(P$12=0,0,P40/P$12)</f>
        <v>0.81996225855120342</v>
      </c>
      <c r="S40" s="21"/>
      <c r="T40" s="21">
        <f>SUM(OSRRefT22x_0)</f>
        <v>6520908.8400656255</v>
      </c>
      <c r="U40" s="21"/>
      <c r="V40" s="30">
        <f t="shared" ref="V40:V51" si="20">IF(T$12=0,0,T40/T$12)</f>
        <v>0.62241749111958145</v>
      </c>
      <c r="W40" s="4"/>
      <c r="X40" s="21">
        <f t="shared" ref="X40:X51" si="21">+P40-T40</f>
        <v>-794168.12006562483</v>
      </c>
      <c r="Y40" s="4"/>
      <c r="Z40" s="30">
        <f t="shared" ref="Z40:Z51" si="22">IF(T40=0,0,X40/T40)</f>
        <v>-0.12178795004556948</v>
      </c>
    </row>
    <row r="41" spans="1:26" s="27" customFormat="1" outlineLevel="1" collapsed="1" x14ac:dyDescent="0.25">
      <c r="A41" s="25"/>
      <c r="B41" s="12" t="str">
        <f>CONCATENATE("     ","*Benefits                                         ")</f>
        <v xml:space="preserve">     *Benefits                                         </v>
      </c>
      <c r="C41" s="12"/>
      <c r="D41" s="1">
        <f>SUM(OSRRefD22_0x_0)</f>
        <v>34494.14</v>
      </c>
      <c r="E41" s="1"/>
      <c r="F41" s="5">
        <f t="shared" si="15"/>
        <v>1216.2954866008463</v>
      </c>
      <c r="G41" s="1"/>
      <c r="H41" s="1">
        <f>SUM(OSRRefH22_0x_0)</f>
        <v>84694.787297842602</v>
      </c>
      <c r="I41" s="1"/>
      <c r="J41" s="5">
        <f t="shared" si="16"/>
        <v>9.2401638345704432E-2</v>
      </c>
      <c r="K41" s="1"/>
      <c r="L41" s="1">
        <f t="shared" si="17"/>
        <v>-50200.647297842603</v>
      </c>
      <c r="M41" s="1"/>
      <c r="N41" s="5">
        <f t="shared" si="18"/>
        <v>-0.59272416756067992</v>
      </c>
      <c r="O41" s="12"/>
      <c r="P41" s="1">
        <f>SUM(OSRRefP22_0x_0)</f>
        <v>755427.72999999986</v>
      </c>
      <c r="Q41" s="1"/>
      <c r="R41" s="5">
        <f t="shared" si="19"/>
        <v>0.108163134660479</v>
      </c>
      <c r="S41" s="1"/>
      <c r="T41" s="1">
        <f>SUM(OSRRefT22_0x_0)</f>
        <v>884115.57785100967</v>
      </c>
      <c r="U41" s="1"/>
      <c r="V41" s="5">
        <f t="shared" si="20"/>
        <v>8.4388390226327159E-2</v>
      </c>
      <c r="W41" s="1"/>
      <c r="X41" s="1">
        <f t="shared" si="21"/>
        <v>-128687.84785100981</v>
      </c>
      <c r="Y41" s="1"/>
      <c r="Z41" s="5">
        <f t="shared" si="22"/>
        <v>-0.1455554579909191</v>
      </c>
    </row>
    <row r="42" spans="1:26" s="24" customFormat="1" hidden="1" outlineLevel="2" x14ac:dyDescent="0.25">
      <c r="A42" s="26"/>
      <c r="B42" s="11" t="str">
        <f>CONCATENATE("          ", "6111", " - ", "F.I.C.A.")</f>
        <v xml:space="preserve">          6111 - F.I.C.A.</v>
      </c>
      <c r="C42" s="11"/>
      <c r="D42" s="7">
        <v>3759.38</v>
      </c>
      <c r="E42" s="2"/>
      <c r="F42" s="6">
        <f t="shared" si="15"/>
        <v>132.5592383638928</v>
      </c>
      <c r="G42" s="2"/>
      <c r="H42" s="7">
        <v>12355.355342787234</v>
      </c>
      <c r="I42" s="2"/>
      <c r="J42" s="6">
        <f t="shared" si="16"/>
        <v>1.3479638032528288E-2</v>
      </c>
      <c r="K42" s="2"/>
      <c r="L42" s="7">
        <f t="shared" si="17"/>
        <v>-8595.9753427872347</v>
      </c>
      <c r="M42" s="2"/>
      <c r="N42" s="6">
        <f t="shared" si="18"/>
        <v>-0.6957287025990202</v>
      </c>
      <c r="O42" s="11"/>
      <c r="P42" s="7">
        <v>157370.4</v>
      </c>
      <c r="Q42" s="2"/>
      <c r="R42" s="6">
        <f t="shared" si="19"/>
        <v>2.2532500583177489E-2</v>
      </c>
      <c r="S42" s="2"/>
      <c r="T42" s="7">
        <v>141404.66412333882</v>
      </c>
      <c r="U42" s="2"/>
      <c r="V42" s="6">
        <f t="shared" si="20"/>
        <v>1.3497004548735553E-2</v>
      </c>
      <c r="W42" s="2"/>
      <c r="X42" s="7">
        <f t="shared" si="21"/>
        <v>15965.735876661172</v>
      </c>
      <c r="Y42" s="2"/>
      <c r="Z42" s="6">
        <f t="shared" si="22"/>
        <v>0.11290812771730936</v>
      </c>
    </row>
    <row r="43" spans="1:26" s="24" customFormat="1" hidden="1" outlineLevel="2" x14ac:dyDescent="0.25">
      <c r="A43" s="26"/>
      <c r="B43" s="11" t="str">
        <f>CONCATENATE("          ", "6112", " - ", "COMPENSATION INSURANCE")</f>
        <v xml:space="preserve">          6112 - COMPENSATION INSURANCE</v>
      </c>
      <c r="C43" s="11"/>
      <c r="D43" s="7">
        <v>1545.38</v>
      </c>
      <c r="E43" s="2"/>
      <c r="F43" s="6">
        <f t="shared" si="15"/>
        <v>54.491537376586749</v>
      </c>
      <c r="G43" s="2"/>
      <c r="H43" s="7">
        <v>9212.590832879996</v>
      </c>
      <c r="I43" s="2"/>
      <c r="J43" s="6">
        <f t="shared" si="16"/>
        <v>1.0050895852340291E-2</v>
      </c>
      <c r="K43" s="2"/>
      <c r="L43" s="7">
        <f t="shared" si="17"/>
        <v>-7667.2108328799959</v>
      </c>
      <c r="M43" s="2"/>
      <c r="N43" s="6">
        <f t="shared" si="18"/>
        <v>-0.83225348568781587</v>
      </c>
      <c r="O43" s="11"/>
      <c r="P43" s="7">
        <v>80380.88</v>
      </c>
      <c r="Q43" s="2"/>
      <c r="R43" s="6">
        <f t="shared" si="19"/>
        <v>1.1509039981319994E-2</v>
      </c>
      <c r="S43" s="2"/>
      <c r="T43" s="7">
        <v>107648.83634787997</v>
      </c>
      <c r="U43" s="2"/>
      <c r="V43" s="6">
        <f t="shared" si="20"/>
        <v>1.0275027651040672E-2</v>
      </c>
      <c r="W43" s="2"/>
      <c r="X43" s="7">
        <f t="shared" si="21"/>
        <v>-27267.956347879968</v>
      </c>
      <c r="Y43" s="2"/>
      <c r="Z43" s="6">
        <f t="shared" si="22"/>
        <v>-0.25330470140671413</v>
      </c>
    </row>
    <row r="44" spans="1:26" s="24" customFormat="1" hidden="1" outlineLevel="2" x14ac:dyDescent="0.25">
      <c r="A44" s="26"/>
      <c r="B44" s="11" t="str">
        <f>CONCATENATE("          ", "6113", " - ", "GROUP INSURANCE")</f>
        <v xml:space="preserve">          6113 - GROUP INSURANCE</v>
      </c>
      <c r="C44" s="11"/>
      <c r="D44" s="7">
        <v>18239.05</v>
      </c>
      <c r="E44" s="2"/>
      <c r="F44" s="6">
        <f t="shared" si="15"/>
        <v>643.12588152327226</v>
      </c>
      <c r="G44" s="2"/>
      <c r="H44" s="7">
        <v>29345.715384615381</v>
      </c>
      <c r="I44" s="2"/>
      <c r="J44" s="6">
        <f t="shared" si="16"/>
        <v>3.2016045691566145E-2</v>
      </c>
      <c r="K44" s="2"/>
      <c r="L44" s="7">
        <f t="shared" si="17"/>
        <v>-11106.665384615382</v>
      </c>
      <c r="M44" s="2"/>
      <c r="N44" s="6">
        <f t="shared" si="18"/>
        <v>-0.37847655915173567</v>
      </c>
      <c r="O44" s="11"/>
      <c r="P44" s="7">
        <v>295651.58</v>
      </c>
      <c r="Q44" s="2"/>
      <c r="R44" s="6">
        <f t="shared" si="19"/>
        <v>4.2331781572438956E-2</v>
      </c>
      <c r="S44" s="2"/>
      <c r="T44" s="7">
        <v>310767.10576923081</v>
      </c>
      <c r="U44" s="2"/>
      <c r="V44" s="6">
        <f t="shared" si="20"/>
        <v>2.9662564995070782E-2</v>
      </c>
      <c r="W44" s="2"/>
      <c r="X44" s="7">
        <f t="shared" si="21"/>
        <v>-15115.525769230793</v>
      </c>
      <c r="Y44" s="2"/>
      <c r="Z44" s="6">
        <f t="shared" si="22"/>
        <v>-4.8639400659268195E-2</v>
      </c>
    </row>
    <row r="45" spans="1:26" s="24" customFormat="1" hidden="1" outlineLevel="2" x14ac:dyDescent="0.25">
      <c r="A45" s="26"/>
      <c r="B45" s="11" t="str">
        <f>CONCATENATE("          ", "6114", " - ", "STATE UNEMPLOYMENT INSURANCE")</f>
        <v xml:space="preserve">          6114 - STATE UNEMPLOYMENT INSURANCE</v>
      </c>
      <c r="C45" s="11"/>
      <c r="D45" s="7">
        <v>190.67</v>
      </c>
      <c r="E45" s="2"/>
      <c r="F45" s="6">
        <f t="shared" si="15"/>
        <v>6.7232016925246825</v>
      </c>
      <c r="G45" s="2"/>
      <c r="H45" s="7">
        <v>754.26931156000001</v>
      </c>
      <c r="I45" s="2"/>
      <c r="J45" s="6">
        <f t="shared" si="16"/>
        <v>8.2290448285718648E-4</v>
      </c>
      <c r="K45" s="2"/>
      <c r="L45" s="7">
        <f t="shared" si="17"/>
        <v>-563.59931156000005</v>
      </c>
      <c r="M45" s="2"/>
      <c r="N45" s="6">
        <f t="shared" si="18"/>
        <v>-0.74721230589953191</v>
      </c>
      <c r="O45" s="11"/>
      <c r="P45" s="7">
        <v>7547.47</v>
      </c>
      <c r="Q45" s="2"/>
      <c r="R45" s="6">
        <f t="shared" si="19"/>
        <v>1.0806566684491788E-3</v>
      </c>
      <c r="S45" s="2"/>
      <c r="T45" s="7">
        <v>8612.5719285599989</v>
      </c>
      <c r="U45" s="2"/>
      <c r="V45" s="6">
        <f t="shared" si="20"/>
        <v>8.2206568797966832E-4</v>
      </c>
      <c r="W45" s="2"/>
      <c r="X45" s="7">
        <f t="shared" si="21"/>
        <v>-1065.1019285599987</v>
      </c>
      <c r="Y45" s="2"/>
      <c r="Z45" s="6">
        <f t="shared" si="22"/>
        <v>-0.12366827672324371</v>
      </c>
    </row>
    <row r="46" spans="1:26" s="24" customFormat="1" hidden="1" outlineLevel="2" x14ac:dyDescent="0.25">
      <c r="A46" s="26"/>
      <c r="B46" s="11" t="str">
        <f>CONCATENATE("          ", "6115", " - ", "P.E.R.S.")</f>
        <v xml:space="preserve">          6115 - P.E.R.S.</v>
      </c>
      <c r="C46" s="11"/>
      <c r="D46" s="7">
        <v>4349.3900000000003</v>
      </c>
      <c r="E46" s="2"/>
      <c r="F46" s="6">
        <f t="shared" si="15"/>
        <v>153.36354019746122</v>
      </c>
      <c r="G46" s="2"/>
      <c r="H46" s="7">
        <v>8324.6003741538516</v>
      </c>
      <c r="I46" s="2"/>
      <c r="J46" s="6">
        <f t="shared" si="16"/>
        <v>9.0821021893595765E-3</v>
      </c>
      <c r="K46" s="2"/>
      <c r="L46" s="7">
        <f t="shared" si="17"/>
        <v>-3975.2103741538513</v>
      </c>
      <c r="M46" s="2"/>
      <c r="N46" s="6">
        <f t="shared" si="18"/>
        <v>-0.47752567036083204</v>
      </c>
      <c r="O46" s="11"/>
      <c r="P46" s="7">
        <v>92623.39</v>
      </c>
      <c r="Q46" s="2"/>
      <c r="R46" s="6">
        <f t="shared" si="19"/>
        <v>1.326193864405807E-2</v>
      </c>
      <c r="S46" s="2"/>
      <c r="T46" s="7">
        <v>99667.474167846201</v>
      </c>
      <c r="U46" s="2"/>
      <c r="V46" s="6">
        <f t="shared" si="20"/>
        <v>9.5132106182229982E-3</v>
      </c>
      <c r="W46" s="2"/>
      <c r="X46" s="7">
        <f t="shared" si="21"/>
        <v>-7044.084167846202</v>
      </c>
      <c r="Y46" s="2"/>
      <c r="Z46" s="6">
        <f t="shared" si="22"/>
        <v>-7.0675857160617195E-2</v>
      </c>
    </row>
    <row r="47" spans="1:26" s="24" customFormat="1" hidden="1" outlineLevel="2" x14ac:dyDescent="0.25">
      <c r="A47" s="26"/>
      <c r="B47" s="11" t="str">
        <f>CONCATENATE("          ", "6116", " - ", "EDUCATIONAL BENEFITS")</f>
        <v xml:space="preserve">          6116 - EDUCATIONAL BENEFITS</v>
      </c>
      <c r="C47" s="11"/>
      <c r="D47" s="7"/>
      <c r="E47" s="2"/>
      <c r="F47" s="6">
        <f t="shared" si="15"/>
        <v>0</v>
      </c>
      <c r="G47" s="2"/>
      <c r="H47" s="7">
        <v>8000</v>
      </c>
      <c r="I47" s="2"/>
      <c r="J47" s="6">
        <f t="shared" si="16"/>
        <v>8.7279646168314431E-3</v>
      </c>
      <c r="K47" s="2"/>
      <c r="L47" s="7">
        <f t="shared" si="17"/>
        <v>-8000</v>
      </c>
      <c r="M47" s="2"/>
      <c r="N47" s="6">
        <f t="shared" si="18"/>
        <v>-1</v>
      </c>
      <c r="O47" s="11"/>
      <c r="P47" s="7"/>
      <c r="Q47" s="2"/>
      <c r="R47" s="6">
        <f t="shared" si="19"/>
        <v>0</v>
      </c>
      <c r="S47" s="2"/>
      <c r="T47" s="7">
        <v>24000</v>
      </c>
      <c r="U47" s="2"/>
      <c r="V47" s="6">
        <f t="shared" si="20"/>
        <v>2.2907880102675409E-3</v>
      </c>
      <c r="W47" s="2"/>
      <c r="X47" s="7">
        <f t="shared" si="21"/>
        <v>-24000</v>
      </c>
      <c r="Y47" s="2"/>
      <c r="Z47" s="6">
        <f t="shared" si="22"/>
        <v>-1</v>
      </c>
    </row>
    <row r="48" spans="1:26" s="24" customFormat="1" hidden="1" outlineLevel="2" x14ac:dyDescent="0.25">
      <c r="A48" s="26"/>
      <c r="B48" s="11" t="str">
        <f>CONCATENATE("          ", "6117", " - ", "RETIREMENT STAFF HOURLY")</f>
        <v xml:space="preserve">          6117 - RETIREMENT STAFF HOURLY</v>
      </c>
      <c r="C48" s="11"/>
      <c r="D48" s="7"/>
      <c r="E48" s="2"/>
      <c r="F48" s="6">
        <f t="shared" si="15"/>
        <v>0</v>
      </c>
      <c r="G48" s="2"/>
      <c r="H48" s="7"/>
      <c r="I48" s="2"/>
      <c r="J48" s="6">
        <f t="shared" si="16"/>
        <v>0</v>
      </c>
      <c r="K48" s="2"/>
      <c r="L48" s="7">
        <f t="shared" si="17"/>
        <v>0</v>
      </c>
      <c r="M48" s="2"/>
      <c r="N48" s="6">
        <f t="shared" si="18"/>
        <v>0</v>
      </c>
      <c r="O48" s="11"/>
      <c r="P48" s="7">
        <v>1352.45</v>
      </c>
      <c r="Q48" s="2"/>
      <c r="R48" s="6">
        <f t="shared" si="19"/>
        <v>1.9364556748739534E-4</v>
      </c>
      <c r="S48" s="2"/>
      <c r="T48" s="7"/>
      <c r="U48" s="2"/>
      <c r="V48" s="6">
        <f t="shared" si="20"/>
        <v>0</v>
      </c>
      <c r="W48" s="2"/>
      <c r="X48" s="7">
        <f t="shared" si="21"/>
        <v>1352.45</v>
      </c>
      <c r="Y48" s="2"/>
      <c r="Z48" s="6">
        <f t="shared" si="22"/>
        <v>0</v>
      </c>
    </row>
    <row r="49" spans="1:26" s="24" customFormat="1" hidden="1" outlineLevel="2" x14ac:dyDescent="0.25">
      <c r="A49" s="26"/>
      <c r="B49" s="11" t="str">
        <f>CONCATENATE("          ", "6118", " - ", "VACATION")</f>
        <v xml:space="preserve">          6118 - VACATION</v>
      </c>
      <c r="C49" s="11"/>
      <c r="D49" s="7">
        <v>3509.82</v>
      </c>
      <c r="E49" s="2"/>
      <c r="F49" s="6">
        <f t="shared" si="15"/>
        <v>123.75952045133992</v>
      </c>
      <c r="G49" s="2"/>
      <c r="H49" s="7">
        <v>5986.5185553846122</v>
      </c>
      <c r="I49" s="2"/>
      <c r="J49" s="6">
        <f t="shared" si="16"/>
        <v>6.531265266175223E-3</v>
      </c>
      <c r="K49" s="2"/>
      <c r="L49" s="7">
        <f t="shared" si="17"/>
        <v>-2476.6985553846121</v>
      </c>
      <c r="M49" s="2"/>
      <c r="N49" s="6">
        <f t="shared" si="18"/>
        <v>-0.41371266663108058</v>
      </c>
      <c r="O49" s="11"/>
      <c r="P49" s="7">
        <v>88475.93</v>
      </c>
      <c r="Q49" s="2"/>
      <c r="R49" s="6">
        <f t="shared" si="19"/>
        <v>1.2668099873433446E-2</v>
      </c>
      <c r="S49" s="2"/>
      <c r="T49" s="7">
        <v>70279.646904615351</v>
      </c>
      <c r="U49" s="2"/>
      <c r="V49" s="6">
        <f t="shared" si="20"/>
        <v>6.7081571872887151E-3</v>
      </c>
      <c r="W49" s="2"/>
      <c r="X49" s="7">
        <f t="shared" si="21"/>
        <v>18196.283095384642</v>
      </c>
      <c r="Y49" s="2"/>
      <c r="Z49" s="6">
        <f t="shared" si="22"/>
        <v>0.25891255714589639</v>
      </c>
    </row>
    <row r="50" spans="1:26" s="24" customFormat="1" hidden="1" outlineLevel="2" x14ac:dyDescent="0.25">
      <c r="A50" s="26"/>
      <c r="B50" s="11" t="str">
        <f>CONCATENATE("          ", "6119", " - ", "SICK LEAVE")</f>
        <v xml:space="preserve">          6119 - SICK LEAVE</v>
      </c>
      <c r="C50" s="11"/>
      <c r="D50" s="7">
        <v>2296.34</v>
      </c>
      <c r="E50" s="2"/>
      <c r="F50" s="6">
        <f t="shared" si="15"/>
        <v>80.97108603667138</v>
      </c>
      <c r="G50" s="2"/>
      <c r="H50" s="7">
        <v>8990.7374964615356</v>
      </c>
      <c r="I50" s="2"/>
      <c r="J50" s="6">
        <f t="shared" si="16"/>
        <v>9.8088548435419989E-3</v>
      </c>
      <c r="K50" s="2"/>
      <c r="L50" s="7">
        <f t="shared" si="17"/>
        <v>-6694.3974964615354</v>
      </c>
      <c r="M50" s="2"/>
      <c r="N50" s="6">
        <f t="shared" si="18"/>
        <v>-0.74458824975106153</v>
      </c>
      <c r="O50" s="11"/>
      <c r="P50" s="7">
        <v>931.77</v>
      </c>
      <c r="Q50" s="2"/>
      <c r="R50" s="6">
        <f t="shared" si="19"/>
        <v>1.3341205251042948E-4</v>
      </c>
      <c r="S50" s="2"/>
      <c r="T50" s="7">
        <v>102635.27860953844</v>
      </c>
      <c r="U50" s="2"/>
      <c r="V50" s="6">
        <f t="shared" si="20"/>
        <v>9.79648606954997E-3</v>
      </c>
      <c r="W50" s="2"/>
      <c r="X50" s="7">
        <f t="shared" si="21"/>
        <v>-101703.50860953843</v>
      </c>
      <c r="Y50" s="2"/>
      <c r="Z50" s="6">
        <f t="shared" si="22"/>
        <v>-0.99092154264475873</v>
      </c>
    </row>
    <row r="51" spans="1:26" s="24" customFormat="1" hidden="1" outlineLevel="2" x14ac:dyDescent="0.25">
      <c r="A51" s="26"/>
      <c r="B51" s="11" t="str">
        <f>CONCATENATE("          ", "6156", " - ", "EMPLOYEE MEALS")</f>
        <v xml:space="preserve">          6156 - EMPLOYEE MEALS</v>
      </c>
      <c r="C51" s="11"/>
      <c r="D51" s="7">
        <v>604.11</v>
      </c>
      <c r="E51" s="2"/>
      <c r="F51" s="6">
        <f t="shared" si="15"/>
        <v>21.301480959097322</v>
      </c>
      <c r="G51" s="2"/>
      <c r="H51" s="7">
        <v>1725</v>
      </c>
      <c r="I51" s="2"/>
      <c r="J51" s="6">
        <f t="shared" si="16"/>
        <v>1.88196737050428E-3</v>
      </c>
      <c r="K51" s="2"/>
      <c r="L51" s="7">
        <f t="shared" si="17"/>
        <v>-1120.8899999999999</v>
      </c>
      <c r="M51" s="2"/>
      <c r="N51" s="6">
        <f t="shared" si="18"/>
        <v>-0.64979130434782606</v>
      </c>
      <c r="O51" s="11"/>
      <c r="P51" s="7">
        <v>31093.859999999997</v>
      </c>
      <c r="Q51" s="2"/>
      <c r="R51" s="6">
        <f t="shared" si="19"/>
        <v>4.4520597176040677E-3</v>
      </c>
      <c r="S51" s="2"/>
      <c r="T51" s="7">
        <v>19100</v>
      </c>
      <c r="U51" s="2"/>
      <c r="V51" s="6">
        <f t="shared" si="20"/>
        <v>1.8230854581712515E-3</v>
      </c>
      <c r="W51" s="2"/>
      <c r="X51" s="7">
        <f t="shared" si="21"/>
        <v>11993.859999999997</v>
      </c>
      <c r="Y51" s="2"/>
      <c r="Z51" s="6">
        <f t="shared" si="22"/>
        <v>0.62795078534031401</v>
      </c>
    </row>
    <row r="52" spans="1:26" s="27" customFormat="1" outlineLevel="1" collapsed="1" x14ac:dyDescent="0.25">
      <c r="A52" s="25"/>
      <c r="B52" s="12" t="str">
        <f>CONCATENATE("     ","*Payroll                                          ")</f>
        <v xml:space="preserve">     *Payroll                                          </v>
      </c>
      <c r="C52" s="12"/>
      <c r="D52" s="1">
        <f>SUM(OSRRefD22_1x_0)</f>
        <v>38021.420000000006</v>
      </c>
      <c r="E52" s="1"/>
      <c r="F52" s="5">
        <f t="shared" ref="F52:F62" si="23">IF(D$12=0,0,D52/D$12)</f>
        <v>1340.6706629055009</v>
      </c>
      <c r="G52" s="1"/>
      <c r="H52" s="1">
        <f>SUM(OSRRefH22_1x_0)</f>
        <v>273260.50521538465</v>
      </c>
      <c r="I52" s="1"/>
      <c r="J52" s="5">
        <f t="shared" ref="J52:J62" si="24">IF(H$12=0,0,H52/H$12)</f>
        <v>0.29812600258717015</v>
      </c>
      <c r="K52" s="1"/>
      <c r="L52" s="1">
        <f t="shared" ref="L52:L62" si="25">+D52-H52</f>
        <v>-235239.08521538464</v>
      </c>
      <c r="M52" s="1"/>
      <c r="N52" s="5">
        <f t="shared" ref="N52:N62" si="26">IF(H52=0,0,L52/H52)</f>
        <v>-0.86086017088334288</v>
      </c>
      <c r="O52" s="12"/>
      <c r="P52" s="1">
        <f>SUM(OSRRefP22_1x_0)</f>
        <v>2641555.41</v>
      </c>
      <c r="Q52" s="1"/>
      <c r="R52" s="5">
        <f t="shared" ref="R52:R62" si="27">IF(P$12=0,0,P52/P$12)</f>
        <v>0.3782213733733959</v>
      </c>
      <c r="S52" s="1"/>
      <c r="T52" s="1">
        <f>SUM(OSRRefT22_1x_0)</f>
        <v>3116268.4022146156</v>
      </c>
      <c r="U52" s="1"/>
      <c r="V52" s="5">
        <f t="shared" ref="V52:V62" si="28">IF(T$12=0,0,T52/T$12)</f>
        <v>0.29744626219036785</v>
      </c>
      <c r="W52" s="1"/>
      <c r="X52" s="1">
        <f t="shared" ref="X52:X62" si="29">+P52-T52</f>
        <v>-474712.99221461546</v>
      </c>
      <c r="Y52" s="1"/>
      <c r="Z52" s="5">
        <f t="shared" ref="Z52:Z62" si="30">IF(T52=0,0,X52/T52)</f>
        <v>-0.15233379508557565</v>
      </c>
    </row>
    <row r="53" spans="1:26" s="24" customFormat="1" hidden="1" outlineLevel="2" x14ac:dyDescent="0.25">
      <c r="A53" s="26"/>
      <c r="B53" s="11" t="str">
        <f>CONCATENATE("          ", "6001", " - ", "ADMINISTRATIVE SALARIES")</f>
        <v xml:space="preserve">          6001 - ADMINISTRATIVE SALARIES</v>
      </c>
      <c r="C53" s="11"/>
      <c r="D53" s="7">
        <v>9962.35</v>
      </c>
      <c r="E53" s="2"/>
      <c r="F53" s="6">
        <f t="shared" si="23"/>
        <v>351.28173483779972</v>
      </c>
      <c r="G53" s="2"/>
      <c r="H53" s="7">
        <v>33402.792869230769</v>
      </c>
      <c r="I53" s="2"/>
      <c r="J53" s="6">
        <f t="shared" si="24"/>
        <v>3.6442299283249477E-2</v>
      </c>
      <c r="K53" s="2"/>
      <c r="L53" s="7">
        <f t="shared" si="25"/>
        <v>-23440.44286923077</v>
      </c>
      <c r="M53" s="2"/>
      <c r="N53" s="6">
        <f t="shared" si="26"/>
        <v>-0.70175098714045281</v>
      </c>
      <c r="O53" s="11"/>
      <c r="P53" s="7">
        <v>179437.74</v>
      </c>
      <c r="Q53" s="2"/>
      <c r="R53" s="6">
        <f t="shared" si="27"/>
        <v>2.5692131310551737E-2</v>
      </c>
      <c r="S53" s="2"/>
      <c r="T53" s="7">
        <v>398317.88878076925</v>
      </c>
      <c r="U53" s="2"/>
      <c r="V53" s="6">
        <f t="shared" si="28"/>
        <v>3.8019243495586087E-2</v>
      </c>
      <c r="W53" s="2"/>
      <c r="X53" s="7">
        <f t="shared" si="29"/>
        <v>-218880.14878076926</v>
      </c>
      <c r="Y53" s="2"/>
      <c r="Z53" s="6">
        <f t="shared" si="30"/>
        <v>-0.5495112194201226</v>
      </c>
    </row>
    <row r="54" spans="1:26" s="24" customFormat="1" hidden="1" outlineLevel="2" x14ac:dyDescent="0.25">
      <c r="A54" s="26"/>
      <c r="B54" s="11" t="str">
        <f>CONCATENATE("          ", "6002", " - ", "STAFF SALARIES")</f>
        <v xml:space="preserve">          6002 - STAFF SALARIES</v>
      </c>
      <c r="C54" s="11"/>
      <c r="D54" s="7">
        <v>27809.070000000003</v>
      </c>
      <c r="E54" s="2"/>
      <c r="F54" s="6">
        <f t="shared" si="23"/>
        <v>980.57369534555721</v>
      </c>
      <c r="G54" s="2"/>
      <c r="H54" s="7">
        <v>54927.481646153872</v>
      </c>
      <c r="I54" s="2"/>
      <c r="J54" s="6">
        <f t="shared" si="24"/>
        <v>5.9925639537411188E-2</v>
      </c>
      <c r="K54" s="2"/>
      <c r="L54" s="7">
        <f t="shared" si="25"/>
        <v>-27118.411646153869</v>
      </c>
      <c r="M54" s="2"/>
      <c r="N54" s="6">
        <f t="shared" si="26"/>
        <v>-0.4937129981828095</v>
      </c>
      <c r="O54" s="11"/>
      <c r="P54" s="7">
        <v>765113.28</v>
      </c>
      <c r="Q54" s="2"/>
      <c r="R54" s="6">
        <f t="shared" si="27"/>
        <v>0.10954992443176635</v>
      </c>
      <c r="S54" s="2"/>
      <c r="T54" s="7">
        <v>659129.77975384635</v>
      </c>
      <c r="U54" s="2"/>
      <c r="V54" s="6">
        <f t="shared" si="28"/>
        <v>6.2913608194599846E-2</v>
      </c>
      <c r="W54" s="2"/>
      <c r="X54" s="7">
        <f t="shared" si="29"/>
        <v>105983.50024615368</v>
      </c>
      <c r="Y54" s="2"/>
      <c r="Z54" s="6">
        <f t="shared" si="30"/>
        <v>0.16079306913690575</v>
      </c>
    </row>
    <row r="55" spans="1:26" s="24" customFormat="1" hidden="1" outlineLevel="2" x14ac:dyDescent="0.25">
      <c r="A55" s="26"/>
      <c r="B55" s="11" t="str">
        <f>CONCATENATE("          ", "6003", " - ", "STAFF HOURLY-9 MONTH")</f>
        <v xml:space="preserve">          6003 - STAFF HOURLY-9 MONTH</v>
      </c>
      <c r="C55" s="11"/>
      <c r="D55" s="7"/>
      <c r="E55" s="2"/>
      <c r="F55" s="6">
        <f t="shared" si="23"/>
        <v>0</v>
      </c>
      <c r="G55" s="2"/>
      <c r="H55" s="7">
        <v>0</v>
      </c>
      <c r="I55" s="2"/>
      <c r="J55" s="6">
        <f t="shared" si="24"/>
        <v>0</v>
      </c>
      <c r="K55" s="2"/>
      <c r="L55" s="7">
        <f t="shared" si="25"/>
        <v>0</v>
      </c>
      <c r="M55" s="2"/>
      <c r="N55" s="6">
        <f t="shared" si="26"/>
        <v>0</v>
      </c>
      <c r="O55" s="11"/>
      <c r="P55" s="7"/>
      <c r="Q55" s="2"/>
      <c r="R55" s="6">
        <f t="shared" si="27"/>
        <v>0</v>
      </c>
      <c r="S55" s="2"/>
      <c r="T55" s="7">
        <v>0</v>
      </c>
      <c r="U55" s="2"/>
      <c r="V55" s="6">
        <f t="shared" si="28"/>
        <v>0</v>
      </c>
      <c r="W55" s="2"/>
      <c r="X55" s="7">
        <f t="shared" si="29"/>
        <v>0</v>
      </c>
      <c r="Y55" s="2"/>
      <c r="Z55" s="6">
        <f t="shared" si="30"/>
        <v>0</v>
      </c>
    </row>
    <row r="56" spans="1:26" s="24" customFormat="1" hidden="1" outlineLevel="2" x14ac:dyDescent="0.25">
      <c r="A56" s="26"/>
      <c r="B56" s="11" t="str">
        <f>CONCATENATE("          ", "6004", " - ", "STAFF HOURLY")</f>
        <v xml:space="preserve">          6004 - STAFF HOURLY</v>
      </c>
      <c r="C56" s="11"/>
      <c r="D56" s="7">
        <v>250</v>
      </c>
      <c r="E56" s="2"/>
      <c r="F56" s="6">
        <f t="shared" si="23"/>
        <v>8.8152327221438647</v>
      </c>
      <c r="G56" s="2"/>
      <c r="H56" s="7">
        <v>63243.404999999999</v>
      </c>
      <c r="I56" s="2"/>
      <c r="J56" s="6">
        <f t="shared" si="24"/>
        <v>6.8998275135992604E-2</v>
      </c>
      <c r="K56" s="2"/>
      <c r="L56" s="7">
        <f t="shared" si="25"/>
        <v>-62993.404999999999</v>
      </c>
      <c r="M56" s="2"/>
      <c r="N56" s="6">
        <f t="shared" si="26"/>
        <v>-0.99604701865751855</v>
      </c>
      <c r="O56" s="11"/>
      <c r="P56" s="7">
        <v>217791.13</v>
      </c>
      <c r="Q56" s="2"/>
      <c r="R56" s="6">
        <f t="shared" si="27"/>
        <v>3.118362006918636E-2</v>
      </c>
      <c r="S56" s="2"/>
      <c r="T56" s="7">
        <v>599014.66524999996</v>
      </c>
      <c r="U56" s="2"/>
      <c r="V56" s="6">
        <f t="shared" si="28"/>
        <v>5.7175650547046861E-2</v>
      </c>
      <c r="W56" s="2"/>
      <c r="X56" s="7">
        <f t="shared" si="29"/>
        <v>-381223.53524999996</v>
      </c>
      <c r="Y56" s="2"/>
      <c r="Z56" s="6">
        <f t="shared" si="30"/>
        <v>-0.63641769954145544</v>
      </c>
    </row>
    <row r="57" spans="1:26" s="24" customFormat="1" hidden="1" outlineLevel="2" x14ac:dyDescent="0.25">
      <c r="A57" s="26"/>
      <c r="B57" s="11" t="str">
        <f>CONCATENATE("          ", "6005", " - ", "TEMPORARY WAGES-HOURLY")</f>
        <v xml:space="preserve">          6005 - TEMPORARY WAGES-HOURLY</v>
      </c>
      <c r="C57" s="11"/>
      <c r="D57" s="7"/>
      <c r="E57" s="2"/>
      <c r="F57" s="6">
        <f t="shared" si="23"/>
        <v>0</v>
      </c>
      <c r="G57" s="2"/>
      <c r="H57" s="7">
        <v>24609.997199999998</v>
      </c>
      <c r="I57" s="2"/>
      <c r="J57" s="6">
        <f t="shared" si="24"/>
        <v>2.6849398097740111E-2</v>
      </c>
      <c r="K57" s="2"/>
      <c r="L57" s="7">
        <f t="shared" si="25"/>
        <v>-24609.997199999998</v>
      </c>
      <c r="M57" s="2"/>
      <c r="N57" s="6">
        <f t="shared" si="26"/>
        <v>-1</v>
      </c>
      <c r="O57" s="11"/>
      <c r="P57" s="7">
        <v>505027.62</v>
      </c>
      <c r="Q57" s="2"/>
      <c r="R57" s="6">
        <f t="shared" si="27"/>
        <v>7.2310518001928822E-2</v>
      </c>
      <c r="S57" s="2"/>
      <c r="T57" s="7">
        <v>333981.55860000005</v>
      </c>
      <c r="U57" s="2"/>
      <c r="V57" s="6">
        <f t="shared" si="28"/>
        <v>3.1878372920472763E-2</v>
      </c>
      <c r="W57" s="2"/>
      <c r="X57" s="7">
        <f t="shared" si="29"/>
        <v>171046.06139999995</v>
      </c>
      <c r="Y57" s="2"/>
      <c r="Z57" s="6">
        <f t="shared" si="30"/>
        <v>0.51214223359217514</v>
      </c>
    </row>
    <row r="58" spans="1:26" s="24" customFormat="1" hidden="1" outlineLevel="2" x14ac:dyDescent="0.25">
      <c r="A58" s="26"/>
      <c r="B58" s="11" t="str">
        <f>CONCATENATE("          ", "6006", " - ", "TEMPORARY PART TIME")</f>
        <v xml:space="preserve">          6006 - TEMPORARY PART TIME</v>
      </c>
      <c r="C58" s="11"/>
      <c r="D58" s="7"/>
      <c r="E58" s="2"/>
      <c r="F58" s="6">
        <f t="shared" si="23"/>
        <v>0</v>
      </c>
      <c r="G58" s="2"/>
      <c r="H58" s="7">
        <v>0</v>
      </c>
      <c r="I58" s="2"/>
      <c r="J58" s="6">
        <f t="shared" si="24"/>
        <v>0</v>
      </c>
      <c r="K58" s="2"/>
      <c r="L58" s="7">
        <f t="shared" si="25"/>
        <v>0</v>
      </c>
      <c r="M58" s="2"/>
      <c r="N58" s="6">
        <f t="shared" si="26"/>
        <v>0</v>
      </c>
      <c r="O58" s="11"/>
      <c r="P58" s="7">
        <v>33612.15</v>
      </c>
      <c r="Q58" s="2"/>
      <c r="R58" s="6">
        <f t="shared" si="27"/>
        <v>4.8126317876605092E-3</v>
      </c>
      <c r="S58" s="2"/>
      <c r="T58" s="7">
        <v>0</v>
      </c>
      <c r="U58" s="2"/>
      <c r="V58" s="6">
        <f t="shared" si="28"/>
        <v>0</v>
      </c>
      <c r="W58" s="2"/>
      <c r="X58" s="7">
        <f t="shared" si="29"/>
        <v>33612.15</v>
      </c>
      <c r="Y58" s="2"/>
      <c r="Z58" s="6">
        <f t="shared" si="30"/>
        <v>0</v>
      </c>
    </row>
    <row r="59" spans="1:26" s="24" customFormat="1" hidden="1" outlineLevel="2" x14ac:dyDescent="0.25">
      <c r="A59" s="26"/>
      <c r="B59" s="11" t="str">
        <f>CONCATENATE("          ", "6007", " - ", "STUDENT HOURLY")</f>
        <v xml:space="preserve">          6007 - STUDENT HOURLY</v>
      </c>
      <c r="C59" s="11"/>
      <c r="D59" s="7"/>
      <c r="E59" s="2"/>
      <c r="F59" s="6">
        <f t="shared" si="23"/>
        <v>0</v>
      </c>
      <c r="G59" s="2"/>
      <c r="H59" s="7">
        <v>382.5</v>
      </c>
      <c r="I59" s="2"/>
      <c r="J59" s="6">
        <f t="shared" si="24"/>
        <v>4.1730580824225337E-4</v>
      </c>
      <c r="K59" s="2"/>
      <c r="L59" s="7">
        <f t="shared" si="25"/>
        <v>-382.5</v>
      </c>
      <c r="M59" s="2"/>
      <c r="N59" s="6">
        <f t="shared" si="26"/>
        <v>-1</v>
      </c>
      <c r="O59" s="11"/>
      <c r="P59" s="7">
        <v>893279.31</v>
      </c>
      <c r="Q59" s="2"/>
      <c r="R59" s="6">
        <f t="shared" si="27"/>
        <v>0.12790090495744683</v>
      </c>
      <c r="S59" s="2"/>
      <c r="T59" s="7">
        <v>70305.443750000006</v>
      </c>
      <c r="U59" s="2"/>
      <c r="V59" s="6">
        <f t="shared" si="28"/>
        <v>6.7106194832932935E-3</v>
      </c>
      <c r="W59" s="2"/>
      <c r="X59" s="7">
        <f t="shared" si="29"/>
        <v>822973.86625000008</v>
      </c>
      <c r="Y59" s="2"/>
      <c r="Z59" s="6">
        <f t="shared" si="30"/>
        <v>11.7056919401067</v>
      </c>
    </row>
    <row r="60" spans="1:26" s="24" customFormat="1" hidden="1" outlineLevel="2" x14ac:dyDescent="0.25">
      <c r="A60" s="26"/>
      <c r="B60" s="11" t="str">
        <f>CONCATENATE("          ", "6008", " - ", "STUDENT HOURLY-FICA EXEMPT")</f>
        <v xml:space="preserve">          6008 - STUDENT HOURLY-FICA EXEMPT</v>
      </c>
      <c r="C60" s="11"/>
      <c r="D60" s="7"/>
      <c r="E60" s="2"/>
      <c r="F60" s="6">
        <f t="shared" si="23"/>
        <v>0</v>
      </c>
      <c r="G60" s="2"/>
      <c r="H60" s="7">
        <v>96694.328500000003</v>
      </c>
      <c r="I60" s="2"/>
      <c r="J60" s="6">
        <f t="shared" si="24"/>
        <v>0.10549308472453453</v>
      </c>
      <c r="K60" s="2"/>
      <c r="L60" s="7">
        <f t="shared" si="25"/>
        <v>-96694.328500000003</v>
      </c>
      <c r="M60" s="2"/>
      <c r="N60" s="6">
        <f t="shared" si="26"/>
        <v>-1</v>
      </c>
      <c r="O60" s="11"/>
      <c r="P60" s="7">
        <v>47294.18</v>
      </c>
      <c r="Q60" s="2"/>
      <c r="R60" s="6">
        <f t="shared" si="27"/>
        <v>6.7716428148552792E-3</v>
      </c>
      <c r="S60" s="2"/>
      <c r="T60" s="7">
        <v>1055519.06608</v>
      </c>
      <c r="U60" s="2"/>
      <c r="V60" s="6">
        <f t="shared" si="28"/>
        <v>0.10074876754936903</v>
      </c>
      <c r="W60" s="2"/>
      <c r="X60" s="7">
        <f t="shared" si="29"/>
        <v>-1008224.88608</v>
      </c>
      <c r="Y60" s="2"/>
      <c r="Z60" s="6">
        <f t="shared" si="30"/>
        <v>-0.95519343845143245</v>
      </c>
    </row>
    <row r="61" spans="1:26" s="24" customFormat="1" hidden="1" outlineLevel="2" x14ac:dyDescent="0.25">
      <c r="A61" s="26"/>
      <c r="B61" s="11" t="str">
        <f>CONCATENATE("          ", "6009", " - ", "TEMPORARY-SEASONAL")</f>
        <v xml:space="preserve">          6009 - TEMPORARY-SEASONAL</v>
      </c>
      <c r="C61" s="11"/>
      <c r="D61" s="7"/>
      <c r="E61" s="2"/>
      <c r="F61" s="6">
        <f t="shared" si="23"/>
        <v>0</v>
      </c>
      <c r="G61" s="2"/>
      <c r="H61" s="7">
        <v>0</v>
      </c>
      <c r="I61" s="2"/>
      <c r="J61" s="6">
        <f t="shared" si="24"/>
        <v>0</v>
      </c>
      <c r="K61" s="2"/>
      <c r="L61" s="7">
        <f t="shared" si="25"/>
        <v>0</v>
      </c>
      <c r="M61" s="2"/>
      <c r="N61" s="6">
        <f t="shared" si="26"/>
        <v>0</v>
      </c>
      <c r="O61" s="11"/>
      <c r="P61" s="7"/>
      <c r="Q61" s="2"/>
      <c r="R61" s="6">
        <f t="shared" si="27"/>
        <v>0</v>
      </c>
      <c r="S61" s="2"/>
      <c r="T61" s="7">
        <v>0</v>
      </c>
      <c r="U61" s="2"/>
      <c r="V61" s="6">
        <f t="shared" si="28"/>
        <v>0</v>
      </c>
      <c r="W61" s="2"/>
      <c r="X61" s="7">
        <f t="shared" si="29"/>
        <v>0</v>
      </c>
      <c r="Y61" s="2"/>
      <c r="Z61" s="6">
        <f t="shared" si="30"/>
        <v>0</v>
      </c>
    </row>
    <row r="62" spans="1:26" s="24" customFormat="1" hidden="1" outlineLevel="2" x14ac:dyDescent="0.25">
      <c r="A62" s="26"/>
      <c r="B62" s="11" t="str">
        <f>CONCATENATE("          ", "6010", " - ", "GRATUITY")</f>
        <v xml:space="preserve">          6010 - GRATUITY</v>
      </c>
      <c r="C62" s="11"/>
      <c r="D62" s="7"/>
      <c r="E62" s="2"/>
      <c r="F62" s="6">
        <f t="shared" si="23"/>
        <v>0</v>
      </c>
      <c r="G62" s="2"/>
      <c r="H62" s="7">
        <v>0</v>
      </c>
      <c r="I62" s="2"/>
      <c r="J62" s="6">
        <f t="shared" si="24"/>
        <v>0</v>
      </c>
      <c r="K62" s="2"/>
      <c r="L62" s="7">
        <f t="shared" si="25"/>
        <v>0</v>
      </c>
      <c r="M62" s="2"/>
      <c r="N62" s="6">
        <f t="shared" si="26"/>
        <v>0</v>
      </c>
      <c r="O62" s="11"/>
      <c r="P62" s="7"/>
      <c r="Q62" s="2"/>
      <c r="R62" s="6">
        <f t="shared" si="27"/>
        <v>0</v>
      </c>
      <c r="S62" s="2"/>
      <c r="T62" s="7">
        <v>0</v>
      </c>
      <c r="U62" s="2"/>
      <c r="V62" s="6">
        <f t="shared" si="28"/>
        <v>0</v>
      </c>
      <c r="W62" s="2"/>
      <c r="X62" s="7">
        <f t="shared" si="29"/>
        <v>0</v>
      </c>
      <c r="Y62" s="2"/>
      <c r="Z62" s="6">
        <f t="shared" si="30"/>
        <v>0</v>
      </c>
    </row>
    <row r="63" spans="1:26" s="27" customFormat="1" outlineLevel="1" collapsed="1" x14ac:dyDescent="0.25">
      <c r="A63" s="25"/>
      <c r="B63" s="12" t="str">
        <f>CONCATENATE("     ","Advertising/Promo                                 ")</f>
        <v xml:space="preserve">     Advertising/Promo                                 </v>
      </c>
      <c r="C63" s="12"/>
      <c r="D63" s="1">
        <f>SUM(OSRRefD22_2x_0)</f>
        <v>109.76</v>
      </c>
      <c r="E63" s="1"/>
      <c r="F63" s="5">
        <f t="shared" ref="F63:F73" si="31">IF(D$12=0,0,D63/D$12)</f>
        <v>3.8702397743300425</v>
      </c>
      <c r="G63" s="1"/>
      <c r="H63" s="1">
        <f>SUM(OSRRefH22_2x_0)</f>
        <v>2475</v>
      </c>
      <c r="I63" s="1"/>
      <c r="J63" s="5">
        <f t="shared" ref="J63:J73" si="32">IF(H$12=0,0,H63/H$12)</f>
        <v>2.7002140533322278E-3</v>
      </c>
      <c r="K63" s="1"/>
      <c r="L63" s="1">
        <f t="shared" ref="L63:L73" si="33">+D63-H63</f>
        <v>-2365.2399999999998</v>
      </c>
      <c r="M63" s="1"/>
      <c r="N63" s="5">
        <f t="shared" ref="N63:N73" si="34">IF(H63=0,0,L63/H63)</f>
        <v>-0.9556525252525252</v>
      </c>
      <c r="O63" s="12"/>
      <c r="P63" s="1">
        <f>SUM(OSRRefP22_2x_0)</f>
        <v>32110.92</v>
      </c>
      <c r="Q63" s="1"/>
      <c r="R63" s="5">
        <f t="shared" ref="R63:R73" si="35">IF(P$12=0,0,P63/P$12)</f>
        <v>4.5976837043457076E-3</v>
      </c>
      <c r="S63" s="1"/>
      <c r="T63" s="1">
        <f>SUM(OSRRefT22_2x_0)</f>
        <v>25535</v>
      </c>
      <c r="U63" s="1"/>
      <c r="V63" s="5">
        <f t="shared" ref="V63:V73" si="36">IF(T$12=0,0,T63/T$12)</f>
        <v>2.4373029934242358E-3</v>
      </c>
      <c r="W63" s="1"/>
      <c r="X63" s="1">
        <f t="shared" ref="X63:X73" si="37">+P63-T63</f>
        <v>6575.9199999999983</v>
      </c>
      <c r="Y63" s="1"/>
      <c r="Z63" s="5">
        <f t="shared" ref="Z63:Z73" si="38">IF(T63=0,0,X63/T63)</f>
        <v>0.25752574897199915</v>
      </c>
    </row>
    <row r="64" spans="1:26" s="24" customFormat="1" hidden="1" outlineLevel="2" x14ac:dyDescent="0.25">
      <c r="A64" s="26"/>
      <c r="B64" s="11" t="str">
        <f>CONCATENATE("          ", "6362", " - ", "ADVERTISING EXPENSE")</f>
        <v xml:space="preserve">          6362 - ADVERTISING EXPENSE</v>
      </c>
      <c r="C64" s="11"/>
      <c r="D64" s="7">
        <v>109.76</v>
      </c>
      <c r="E64" s="2"/>
      <c r="F64" s="6">
        <f t="shared" si="31"/>
        <v>3.8702397743300425</v>
      </c>
      <c r="G64" s="2"/>
      <c r="H64" s="7">
        <v>2475</v>
      </c>
      <c r="I64" s="2"/>
      <c r="J64" s="6">
        <f t="shared" si="32"/>
        <v>2.7002140533322278E-3</v>
      </c>
      <c r="K64" s="2"/>
      <c r="L64" s="7">
        <f t="shared" si="33"/>
        <v>-2365.2399999999998</v>
      </c>
      <c r="M64" s="2"/>
      <c r="N64" s="6">
        <f t="shared" si="34"/>
        <v>-0.9556525252525252</v>
      </c>
      <c r="O64" s="11"/>
      <c r="P64" s="7">
        <v>32110.92</v>
      </c>
      <c r="Q64" s="2"/>
      <c r="R64" s="6">
        <f t="shared" si="35"/>
        <v>4.5976837043457076E-3</v>
      </c>
      <c r="S64" s="2"/>
      <c r="T64" s="7">
        <v>25535</v>
      </c>
      <c r="U64" s="2"/>
      <c r="V64" s="6">
        <f t="shared" si="36"/>
        <v>2.4373029934242358E-3</v>
      </c>
      <c r="W64" s="2"/>
      <c r="X64" s="7">
        <f t="shared" si="37"/>
        <v>6575.9199999999983</v>
      </c>
      <c r="Y64" s="2"/>
      <c r="Z64" s="6">
        <f t="shared" si="38"/>
        <v>0.25752574897199915</v>
      </c>
    </row>
    <row r="65" spans="1:26" s="27" customFormat="1" outlineLevel="1" collapsed="1" x14ac:dyDescent="0.25">
      <c r="A65" s="25"/>
      <c r="B65" s="12" t="str">
        <f>CONCATENATE("     ","Bad Debts/Over/Short                              ")</f>
        <v xml:space="preserve">     Bad Debts/Over/Short                              </v>
      </c>
      <c r="C65" s="12"/>
      <c r="D65" s="1">
        <f>SUM(OSRRefD22_3x_0)</f>
        <v>0</v>
      </c>
      <c r="E65" s="1"/>
      <c r="F65" s="5">
        <f t="shared" si="31"/>
        <v>0</v>
      </c>
      <c r="G65" s="1"/>
      <c r="H65" s="1">
        <f>SUM(OSRRefH22_3x_0)</f>
        <v>179</v>
      </c>
      <c r="I65" s="1"/>
      <c r="J65" s="5">
        <f t="shared" si="32"/>
        <v>1.9528820830160354E-4</v>
      </c>
      <c r="K65" s="1"/>
      <c r="L65" s="1">
        <f t="shared" si="33"/>
        <v>-179</v>
      </c>
      <c r="M65" s="1"/>
      <c r="N65" s="5">
        <f t="shared" si="34"/>
        <v>-1</v>
      </c>
      <c r="O65" s="12"/>
      <c r="P65" s="1">
        <f>SUM(OSRRefP22_3x_0)</f>
        <v>-689.57</v>
      </c>
      <c r="Q65" s="1"/>
      <c r="R65" s="5">
        <f t="shared" si="35"/>
        <v>-9.8733538372792492E-5</v>
      </c>
      <c r="S65" s="1"/>
      <c r="T65" s="1">
        <f>SUM(OSRRefT22_3x_0)</f>
        <v>1774</v>
      </c>
      <c r="U65" s="1"/>
      <c r="V65" s="5">
        <f t="shared" si="36"/>
        <v>1.693274137589424E-4</v>
      </c>
      <c r="W65" s="1"/>
      <c r="X65" s="1">
        <f t="shared" si="37"/>
        <v>-2463.5700000000002</v>
      </c>
      <c r="Y65" s="1"/>
      <c r="Z65" s="5">
        <f t="shared" si="38"/>
        <v>-1.3887091319052989</v>
      </c>
    </row>
    <row r="66" spans="1:26" s="24" customFormat="1" hidden="1" outlineLevel="2" x14ac:dyDescent="0.25">
      <c r="A66" s="26"/>
      <c r="B66" s="11" t="str">
        <f>CONCATENATE("          ", "6272", " - ", "CASH (OVER/SHORT)")</f>
        <v xml:space="preserve">          6272 - CASH (OVER/SHORT)</v>
      </c>
      <c r="C66" s="11"/>
      <c r="D66" s="7"/>
      <c r="E66" s="2"/>
      <c r="F66" s="6">
        <f t="shared" si="31"/>
        <v>0</v>
      </c>
      <c r="G66" s="2"/>
      <c r="H66" s="7">
        <v>179</v>
      </c>
      <c r="I66" s="2"/>
      <c r="J66" s="6">
        <f t="shared" si="32"/>
        <v>1.9528820830160354E-4</v>
      </c>
      <c r="K66" s="2"/>
      <c r="L66" s="7">
        <f t="shared" si="33"/>
        <v>-179</v>
      </c>
      <c r="M66" s="2"/>
      <c r="N66" s="6">
        <f t="shared" si="34"/>
        <v>-1</v>
      </c>
      <c r="O66" s="11"/>
      <c r="P66" s="7">
        <v>-689.57</v>
      </c>
      <c r="Q66" s="2"/>
      <c r="R66" s="6">
        <f t="shared" si="35"/>
        <v>-9.8733538372792492E-5</v>
      </c>
      <c r="S66" s="2"/>
      <c r="T66" s="7">
        <v>1774</v>
      </c>
      <c r="U66" s="2"/>
      <c r="V66" s="6">
        <f t="shared" si="36"/>
        <v>1.693274137589424E-4</v>
      </c>
      <c r="W66" s="2"/>
      <c r="X66" s="7">
        <f t="shared" si="37"/>
        <v>-2463.5700000000002</v>
      </c>
      <c r="Y66" s="2"/>
      <c r="Z66" s="6">
        <f t="shared" si="38"/>
        <v>-1.3887091319052989</v>
      </c>
    </row>
    <row r="67" spans="1:26" s="27" customFormat="1" outlineLevel="1" collapsed="1" x14ac:dyDescent="0.25">
      <c r="A67" s="25"/>
      <c r="B67" s="12" t="str">
        <f>CONCATENATE("     ","Bank/card Fees                                    ")</f>
        <v xml:space="preserve">     Bank/card Fees                                    </v>
      </c>
      <c r="C67" s="12"/>
      <c r="D67" s="1">
        <f>SUM(OSRRefD22_4x_0)</f>
        <v>312.5</v>
      </c>
      <c r="E67" s="1"/>
      <c r="F67" s="5">
        <f t="shared" si="31"/>
        <v>11.019040902679832</v>
      </c>
      <c r="G67" s="1"/>
      <c r="H67" s="1">
        <f>SUM(OSRRefH22_4x_0)</f>
        <v>18401</v>
      </c>
      <c r="I67" s="1"/>
      <c r="J67" s="5">
        <f t="shared" si="32"/>
        <v>2.0075409614289424E-2</v>
      </c>
      <c r="K67" s="1"/>
      <c r="L67" s="1">
        <f t="shared" si="33"/>
        <v>-18088.5</v>
      </c>
      <c r="M67" s="1"/>
      <c r="N67" s="5">
        <f t="shared" si="34"/>
        <v>-0.98301722732460195</v>
      </c>
      <c r="O67" s="12"/>
      <c r="P67" s="1">
        <f>SUM(OSRRefP22_4x_0)</f>
        <v>238565.16</v>
      </c>
      <c r="Q67" s="1"/>
      <c r="R67" s="5">
        <f t="shared" si="35"/>
        <v>3.4158072971955535E-2</v>
      </c>
      <c r="S67" s="1"/>
      <c r="T67" s="1">
        <f>SUM(OSRRefT22_4x_0)</f>
        <v>215641</v>
      </c>
      <c r="U67" s="1"/>
      <c r="V67" s="5">
        <f t="shared" si="36"/>
        <v>2.0582825721754284E-2</v>
      </c>
      <c r="W67" s="1"/>
      <c r="X67" s="1">
        <f t="shared" si="37"/>
        <v>22924.160000000003</v>
      </c>
      <c r="Y67" s="1"/>
      <c r="Z67" s="5">
        <f t="shared" si="38"/>
        <v>0.10630705663579748</v>
      </c>
    </row>
    <row r="68" spans="1:26" s="24" customFormat="1" hidden="1" outlineLevel="2" x14ac:dyDescent="0.25">
      <c r="A68" s="26"/>
      <c r="B68" s="11" t="str">
        <f>CONCATENATE("          ", "6381", " - ", "BANK/CREDIT CARD FEES")</f>
        <v xml:space="preserve">          6381 - BANK/CREDIT CARD FEES</v>
      </c>
      <c r="C68" s="11"/>
      <c r="D68" s="7">
        <v>312.5</v>
      </c>
      <c r="E68" s="2"/>
      <c r="F68" s="6">
        <f t="shared" si="31"/>
        <v>11.019040902679832</v>
      </c>
      <c r="G68" s="2"/>
      <c r="H68" s="7">
        <v>18401</v>
      </c>
      <c r="I68" s="2"/>
      <c r="J68" s="6">
        <f t="shared" si="32"/>
        <v>2.0075409614289424E-2</v>
      </c>
      <c r="K68" s="2"/>
      <c r="L68" s="7">
        <f t="shared" si="33"/>
        <v>-18088.5</v>
      </c>
      <c r="M68" s="2"/>
      <c r="N68" s="6">
        <f t="shared" si="34"/>
        <v>-0.98301722732460195</v>
      </c>
      <c r="O68" s="11"/>
      <c r="P68" s="7">
        <v>238565.16</v>
      </c>
      <c r="Q68" s="2"/>
      <c r="R68" s="6">
        <f t="shared" si="35"/>
        <v>3.4158072971955535E-2</v>
      </c>
      <c r="S68" s="2"/>
      <c r="T68" s="7">
        <v>215641</v>
      </c>
      <c r="U68" s="2"/>
      <c r="V68" s="6">
        <f t="shared" si="36"/>
        <v>2.0582825721754284E-2</v>
      </c>
      <c r="W68" s="2"/>
      <c r="X68" s="7">
        <f t="shared" si="37"/>
        <v>22924.160000000003</v>
      </c>
      <c r="Y68" s="2"/>
      <c r="Z68" s="6">
        <f t="shared" si="38"/>
        <v>0.10630705663579748</v>
      </c>
    </row>
    <row r="69" spans="1:26" s="27" customFormat="1" outlineLevel="1" collapsed="1" x14ac:dyDescent="0.25">
      <c r="A69" s="25"/>
      <c r="B69" s="12" t="str">
        <f>CONCATENATE("     ","Depreciation                                      ")</f>
        <v xml:space="preserve">     Depreciation                                      </v>
      </c>
      <c r="C69" s="12"/>
      <c r="D69" s="1">
        <f>SUM(OSRRefD22_5x_0)</f>
        <v>46707.92</v>
      </c>
      <c r="E69" s="1"/>
      <c r="F69" s="5">
        <f t="shared" si="31"/>
        <v>1646.9647390691114</v>
      </c>
      <c r="G69" s="1"/>
      <c r="H69" s="1">
        <f>SUM(OSRRefH22_5x_0)</f>
        <v>54222</v>
      </c>
      <c r="I69" s="1"/>
      <c r="J69" s="5">
        <f t="shared" si="32"/>
        <v>5.9155962181729319E-2</v>
      </c>
      <c r="K69" s="1"/>
      <c r="L69" s="1">
        <f t="shared" si="33"/>
        <v>-7514.0800000000017</v>
      </c>
      <c r="M69" s="1"/>
      <c r="N69" s="5">
        <f t="shared" si="34"/>
        <v>-0.13857991221275501</v>
      </c>
      <c r="O69" s="12"/>
      <c r="P69" s="1">
        <f>SUM(OSRRefP22_5x_0)</f>
        <v>534329.26</v>
      </c>
      <c r="Q69" s="1"/>
      <c r="R69" s="5">
        <f t="shared" si="35"/>
        <v>7.6505965305793192E-2</v>
      </c>
      <c r="S69" s="1"/>
      <c r="T69" s="1">
        <f>SUM(OSRRefT22_5x_0)</f>
        <v>575486</v>
      </c>
      <c r="U69" s="1"/>
      <c r="V69" s="5">
        <f t="shared" si="36"/>
        <v>5.492985120320109E-2</v>
      </c>
      <c r="W69" s="1"/>
      <c r="X69" s="1">
        <f t="shared" si="37"/>
        <v>-41156.739999999991</v>
      </c>
      <c r="Y69" s="1"/>
      <c r="Z69" s="5">
        <f t="shared" si="38"/>
        <v>-7.1516492147506619E-2</v>
      </c>
    </row>
    <row r="70" spans="1:26" s="24" customFormat="1" hidden="1" outlineLevel="2" x14ac:dyDescent="0.25">
      <c r="A70" s="26"/>
      <c r="B70" s="11" t="str">
        <f>CONCATENATE("          ", "6321", " - ", "BUILDING DEPRECIATION")</f>
        <v xml:space="preserve">          6321 - BUILDING DEPRECIATION</v>
      </c>
      <c r="C70" s="11"/>
      <c r="D70" s="7">
        <v>29123.47</v>
      </c>
      <c r="E70" s="2"/>
      <c r="F70" s="6">
        <f t="shared" si="31"/>
        <v>1026.9206629055009</v>
      </c>
      <c r="G70" s="2"/>
      <c r="H70" s="7">
        <v>28118</v>
      </c>
      <c r="I70" s="2"/>
      <c r="J70" s="6">
        <f t="shared" si="32"/>
        <v>3.0676613637008316E-2</v>
      </c>
      <c r="K70" s="2"/>
      <c r="L70" s="7">
        <f t="shared" si="33"/>
        <v>1005.4700000000012</v>
      </c>
      <c r="M70" s="2"/>
      <c r="N70" s="6">
        <f t="shared" si="34"/>
        <v>3.5758944448396085E-2</v>
      </c>
      <c r="O70" s="11"/>
      <c r="P70" s="7">
        <v>320358.17000000004</v>
      </c>
      <c r="Q70" s="2"/>
      <c r="R70" s="6">
        <f t="shared" si="35"/>
        <v>4.5869303581554569E-2</v>
      </c>
      <c r="S70" s="2"/>
      <c r="T70" s="7">
        <v>309544</v>
      </c>
      <c r="U70" s="2"/>
      <c r="V70" s="6">
        <f t="shared" si="36"/>
        <v>2.9545820160427321E-2</v>
      </c>
      <c r="W70" s="2"/>
      <c r="X70" s="7">
        <f t="shared" si="37"/>
        <v>10814.170000000042</v>
      </c>
      <c r="Y70" s="2"/>
      <c r="Z70" s="6">
        <f t="shared" si="38"/>
        <v>3.4935808802625937E-2</v>
      </c>
    </row>
    <row r="71" spans="1:26" s="24" customFormat="1" hidden="1" outlineLevel="2" x14ac:dyDescent="0.25">
      <c r="A71" s="26"/>
      <c r="B71" s="11" t="str">
        <f>CONCATENATE("          ", "6322", " - ", "EQUIPMENT DEPRECIATION EXPENSE")</f>
        <v xml:space="preserve">          6322 - EQUIPMENT DEPRECIATION EXPENSE</v>
      </c>
      <c r="C71" s="11"/>
      <c r="D71" s="7">
        <v>17584.449999999997</v>
      </c>
      <c r="E71" s="2"/>
      <c r="F71" s="6">
        <f t="shared" si="31"/>
        <v>620.04407616361061</v>
      </c>
      <c r="G71" s="2"/>
      <c r="H71" s="7">
        <v>18476</v>
      </c>
      <c r="I71" s="2"/>
      <c r="J71" s="6">
        <f t="shared" si="32"/>
        <v>2.0157234282572219E-2</v>
      </c>
      <c r="K71" s="2"/>
      <c r="L71" s="7">
        <f t="shared" si="33"/>
        <v>-891.55000000000291</v>
      </c>
      <c r="M71" s="2"/>
      <c r="N71" s="6">
        <f t="shared" si="34"/>
        <v>-4.8254492314353914E-2</v>
      </c>
      <c r="O71" s="11"/>
      <c r="P71" s="7">
        <v>209728.61</v>
      </c>
      <c r="Q71" s="2"/>
      <c r="R71" s="6">
        <f t="shared" si="35"/>
        <v>3.0029217865202122E-2</v>
      </c>
      <c r="S71" s="2"/>
      <c r="T71" s="7">
        <v>203236</v>
      </c>
      <c r="U71" s="2"/>
      <c r="V71" s="6">
        <f t="shared" si="36"/>
        <v>1.9398774668947249E-2</v>
      </c>
      <c r="W71" s="2"/>
      <c r="X71" s="7">
        <f t="shared" si="37"/>
        <v>6492.609999999986</v>
      </c>
      <c r="Y71" s="2"/>
      <c r="Z71" s="6">
        <f t="shared" si="38"/>
        <v>3.1946161113188543E-2</v>
      </c>
    </row>
    <row r="72" spans="1:26" s="24" customFormat="1" hidden="1" outlineLevel="2" x14ac:dyDescent="0.25">
      <c r="A72" s="26"/>
      <c r="B72" s="11" t="str">
        <f>CONCATENATE("          ", "6324", " - ", "FURNITURE + FIXT DEPRECIATION")</f>
        <v xml:space="preserve">          6324 - FURNITURE + FIXT DEPRECIATION</v>
      </c>
      <c r="C72" s="11"/>
      <c r="D72" s="7"/>
      <c r="E72" s="2"/>
      <c r="F72" s="6">
        <f t="shared" si="31"/>
        <v>0</v>
      </c>
      <c r="G72" s="2"/>
      <c r="H72" s="7">
        <v>5454</v>
      </c>
      <c r="I72" s="2"/>
      <c r="J72" s="6">
        <f t="shared" si="32"/>
        <v>5.9502898775248367E-3</v>
      </c>
      <c r="K72" s="2"/>
      <c r="L72" s="7">
        <f t="shared" si="33"/>
        <v>-5454</v>
      </c>
      <c r="M72" s="2"/>
      <c r="N72" s="6">
        <f t="shared" si="34"/>
        <v>-1</v>
      </c>
      <c r="O72" s="11"/>
      <c r="P72" s="7"/>
      <c r="Q72" s="2"/>
      <c r="R72" s="6">
        <f t="shared" si="35"/>
        <v>0</v>
      </c>
      <c r="S72" s="2"/>
      <c r="T72" s="7">
        <v>44042</v>
      </c>
      <c r="U72" s="2"/>
      <c r="V72" s="6">
        <f t="shared" si="36"/>
        <v>4.2037868978417933E-3</v>
      </c>
      <c r="W72" s="2"/>
      <c r="X72" s="7">
        <f t="shared" si="37"/>
        <v>-44042</v>
      </c>
      <c r="Y72" s="2"/>
      <c r="Z72" s="6">
        <f t="shared" si="38"/>
        <v>-1</v>
      </c>
    </row>
    <row r="73" spans="1:26" s="24" customFormat="1" hidden="1" outlineLevel="2" x14ac:dyDescent="0.25">
      <c r="A73" s="26"/>
      <c r="B73" s="11" t="str">
        <f>CONCATENATE("          ", "6326", " - ", "VEHICLES DEPRECIATION EXPENSE")</f>
        <v xml:space="preserve">          6326 - VEHICLES DEPRECIATION EXPENSE</v>
      </c>
      <c r="C73" s="11"/>
      <c r="D73" s="7"/>
      <c r="E73" s="2"/>
      <c r="F73" s="6">
        <f t="shared" si="31"/>
        <v>0</v>
      </c>
      <c r="G73" s="2"/>
      <c r="H73" s="7">
        <v>2174</v>
      </c>
      <c r="I73" s="2"/>
      <c r="J73" s="6">
        <f t="shared" si="32"/>
        <v>2.3718243846239449E-3</v>
      </c>
      <c r="K73" s="2"/>
      <c r="L73" s="7">
        <f t="shared" si="33"/>
        <v>-2174</v>
      </c>
      <c r="M73" s="2"/>
      <c r="N73" s="6">
        <f t="shared" si="34"/>
        <v>-1</v>
      </c>
      <c r="O73" s="11"/>
      <c r="P73" s="7">
        <v>4242.4799999999996</v>
      </c>
      <c r="Q73" s="2"/>
      <c r="R73" s="6">
        <f t="shared" si="35"/>
        <v>6.0744385903650766E-4</v>
      </c>
      <c r="S73" s="2"/>
      <c r="T73" s="7">
        <v>18664</v>
      </c>
      <c r="U73" s="2"/>
      <c r="V73" s="6">
        <f t="shared" si="36"/>
        <v>1.7814694759847244E-3</v>
      </c>
      <c r="W73" s="2"/>
      <c r="X73" s="7">
        <f t="shared" si="37"/>
        <v>-14421.52</v>
      </c>
      <c r="Y73" s="2"/>
      <c r="Z73" s="6">
        <f t="shared" si="38"/>
        <v>-0.77269181311615942</v>
      </c>
    </row>
    <row r="74" spans="1:26" s="27" customFormat="1" outlineLevel="1" collapsed="1" x14ac:dyDescent="0.25">
      <c r="A74" s="25"/>
      <c r="B74" s="12" t="str">
        <f>CONCATENATE("     ","Discounts and Markdowns                           ")</f>
        <v xml:space="preserve">     Discounts and Markdowns                           </v>
      </c>
      <c r="C74" s="12"/>
      <c r="D74" s="1">
        <f>SUM(OSRRefD22_6x_0)</f>
        <v>0</v>
      </c>
      <c r="E74" s="1"/>
      <c r="F74" s="5">
        <f t="shared" ref="F74:F84" si="39">IF(D$12=0,0,D74/D$12)</f>
        <v>0</v>
      </c>
      <c r="G74" s="1"/>
      <c r="H74" s="1">
        <f>SUM(OSRRefH22_6x_0)</f>
        <v>0</v>
      </c>
      <c r="I74" s="1"/>
      <c r="J74" s="5">
        <f t="shared" ref="J74:J84" si="40">IF(H$12=0,0,H74/H$12)</f>
        <v>0</v>
      </c>
      <c r="K74" s="1"/>
      <c r="L74" s="1">
        <f t="shared" ref="L74:L84" si="41">+D74-H74</f>
        <v>0</v>
      </c>
      <c r="M74" s="1"/>
      <c r="N74" s="5">
        <f t="shared" ref="N74:N84" si="42">IF(H74=0,0,L74/H74)</f>
        <v>0</v>
      </c>
      <c r="O74" s="12"/>
      <c r="P74" s="1">
        <f>SUM(OSRRefP22_6x_0)</f>
        <v>125.96</v>
      </c>
      <c r="Q74" s="1"/>
      <c r="R74" s="5">
        <f t="shared" ref="R74:R84" si="43">IF(P$12=0,0,P74/P$12)</f>
        <v>1.8035118252587758E-5</v>
      </c>
      <c r="S74" s="1"/>
      <c r="T74" s="1">
        <f>SUM(OSRRefT22_6x_0)</f>
        <v>0</v>
      </c>
      <c r="U74" s="1"/>
      <c r="V74" s="5">
        <f t="shared" ref="V74:V84" si="44">IF(T$12=0,0,T74/T$12)</f>
        <v>0</v>
      </c>
      <c r="W74" s="1"/>
      <c r="X74" s="1">
        <f t="shared" ref="X74:X84" si="45">+P74-T74</f>
        <v>125.96</v>
      </c>
      <c r="Y74" s="1"/>
      <c r="Z74" s="5">
        <f t="shared" ref="Z74:Z84" si="46">IF(T74=0,0,X74/T74)</f>
        <v>0</v>
      </c>
    </row>
    <row r="75" spans="1:26" s="24" customFormat="1" hidden="1" outlineLevel="2" x14ac:dyDescent="0.25">
      <c r="A75" s="26"/>
      <c r="B75" s="11" t="str">
        <f>CONCATENATE("          ", "6382", " - ", "DISCOUNTS/MARK DOWNS")</f>
        <v xml:space="preserve">          6382 - DISCOUNTS/MARK DOWNS</v>
      </c>
      <c r="C75" s="11"/>
      <c r="D75" s="7"/>
      <c r="E75" s="2"/>
      <c r="F75" s="6">
        <f t="shared" si="39"/>
        <v>0</v>
      </c>
      <c r="G75" s="2"/>
      <c r="H75" s="7"/>
      <c r="I75" s="2"/>
      <c r="J75" s="6">
        <f t="shared" si="40"/>
        <v>0</v>
      </c>
      <c r="K75" s="2"/>
      <c r="L75" s="7">
        <f t="shared" si="41"/>
        <v>0</v>
      </c>
      <c r="M75" s="2"/>
      <c r="N75" s="6">
        <f t="shared" si="42"/>
        <v>0</v>
      </c>
      <c r="O75" s="11"/>
      <c r="P75" s="7">
        <v>125.96</v>
      </c>
      <c r="Q75" s="2"/>
      <c r="R75" s="6">
        <f t="shared" si="43"/>
        <v>1.8035118252587758E-5</v>
      </c>
      <c r="S75" s="2"/>
      <c r="T75" s="7"/>
      <c r="U75" s="2"/>
      <c r="V75" s="6">
        <f t="shared" si="44"/>
        <v>0</v>
      </c>
      <c r="W75" s="2"/>
      <c r="X75" s="7">
        <f t="shared" si="45"/>
        <v>125.96</v>
      </c>
      <c r="Y75" s="2"/>
      <c r="Z75" s="6">
        <f t="shared" si="46"/>
        <v>0</v>
      </c>
    </row>
    <row r="76" spans="1:26" s="27" customFormat="1" outlineLevel="1" collapsed="1" x14ac:dyDescent="0.25">
      <c r="A76" s="25"/>
      <c r="B76" s="12" t="str">
        <f>CONCATENATE("     ","Donations                                         ")</f>
        <v xml:space="preserve">     Donations                                         </v>
      </c>
      <c r="C76" s="12"/>
      <c r="D76" s="1">
        <f>SUM(OSRRefD22_7x_0)</f>
        <v>0</v>
      </c>
      <c r="E76" s="1"/>
      <c r="F76" s="5">
        <f t="shared" si="39"/>
        <v>0</v>
      </c>
      <c r="G76" s="1"/>
      <c r="H76" s="1">
        <f>SUM(OSRRefH22_7x_0)</f>
        <v>500</v>
      </c>
      <c r="I76" s="1"/>
      <c r="J76" s="5">
        <f t="shared" si="40"/>
        <v>5.4549778855196519E-4</v>
      </c>
      <c r="K76" s="1"/>
      <c r="L76" s="1">
        <f t="shared" si="41"/>
        <v>-500</v>
      </c>
      <c r="M76" s="1"/>
      <c r="N76" s="5">
        <f t="shared" si="42"/>
        <v>-1</v>
      </c>
      <c r="O76" s="12"/>
      <c r="P76" s="1">
        <f>SUM(OSRRefP22_7x_0)</f>
        <v>236.68</v>
      </c>
      <c r="Q76" s="1"/>
      <c r="R76" s="5">
        <f t="shared" si="43"/>
        <v>3.3888153286936101E-5</v>
      </c>
      <c r="S76" s="1"/>
      <c r="T76" s="1">
        <f>SUM(OSRRefT22_7x_0)</f>
        <v>4700</v>
      </c>
      <c r="U76" s="1"/>
      <c r="V76" s="5">
        <f t="shared" si="44"/>
        <v>4.486126520107268E-4</v>
      </c>
      <c r="W76" s="1"/>
      <c r="X76" s="1">
        <f t="shared" si="45"/>
        <v>-4463.32</v>
      </c>
      <c r="Y76" s="1"/>
      <c r="Z76" s="5">
        <f t="shared" si="46"/>
        <v>-0.94964255319148927</v>
      </c>
    </row>
    <row r="77" spans="1:26" s="24" customFormat="1" hidden="1" outlineLevel="2" x14ac:dyDescent="0.25">
      <c r="A77" s="26"/>
      <c r="B77" s="11" t="str">
        <f>CONCATENATE("          ", "6399", " - ", "DONATION-ON CAMPUS")</f>
        <v xml:space="preserve">          6399 - DONATION-ON CAMPUS</v>
      </c>
      <c r="C77" s="11"/>
      <c r="D77" s="7"/>
      <c r="E77" s="2"/>
      <c r="F77" s="6">
        <f t="shared" si="39"/>
        <v>0</v>
      </c>
      <c r="G77" s="2"/>
      <c r="H77" s="7">
        <v>500</v>
      </c>
      <c r="I77" s="2"/>
      <c r="J77" s="6">
        <f t="shared" si="40"/>
        <v>5.4549778855196519E-4</v>
      </c>
      <c r="K77" s="2"/>
      <c r="L77" s="7">
        <f t="shared" si="41"/>
        <v>-500</v>
      </c>
      <c r="M77" s="2"/>
      <c r="N77" s="6">
        <f t="shared" si="42"/>
        <v>-1</v>
      </c>
      <c r="O77" s="11"/>
      <c r="P77" s="7">
        <v>236.68</v>
      </c>
      <c r="Q77" s="2"/>
      <c r="R77" s="6">
        <f t="shared" si="43"/>
        <v>3.3888153286936101E-5</v>
      </c>
      <c r="S77" s="2"/>
      <c r="T77" s="7">
        <v>4700</v>
      </c>
      <c r="U77" s="2"/>
      <c r="V77" s="6">
        <f t="shared" si="44"/>
        <v>4.486126520107268E-4</v>
      </c>
      <c r="W77" s="2"/>
      <c r="X77" s="7">
        <f t="shared" si="45"/>
        <v>-4463.32</v>
      </c>
      <c r="Y77" s="2"/>
      <c r="Z77" s="6">
        <f t="shared" si="46"/>
        <v>-0.94964255319148927</v>
      </c>
    </row>
    <row r="78" spans="1:26" s="27" customFormat="1" outlineLevel="1" collapsed="1" x14ac:dyDescent="0.25">
      <c r="A78" s="25"/>
      <c r="B78" s="12" t="str">
        <f>CONCATENATE("     ","Employees' Appreciation                           ")</f>
        <v xml:space="preserve">     Employees' Appreciation                           </v>
      </c>
      <c r="C78" s="12"/>
      <c r="D78" s="1">
        <f>SUM(OSRRefD22_8x_0)</f>
        <v>0</v>
      </c>
      <c r="E78" s="1"/>
      <c r="F78" s="5">
        <f t="shared" si="39"/>
        <v>0</v>
      </c>
      <c r="G78" s="1"/>
      <c r="H78" s="1">
        <f>SUM(OSRRefH22_8x_0)</f>
        <v>1535</v>
      </c>
      <c r="I78" s="1"/>
      <c r="J78" s="5">
        <f t="shared" si="40"/>
        <v>1.6746782108545332E-3</v>
      </c>
      <c r="K78" s="1"/>
      <c r="L78" s="1">
        <f t="shared" si="41"/>
        <v>-1535</v>
      </c>
      <c r="M78" s="1"/>
      <c r="N78" s="5">
        <f t="shared" si="42"/>
        <v>-1</v>
      </c>
      <c r="O78" s="12"/>
      <c r="P78" s="1">
        <f>SUM(OSRRefP22_8x_0)</f>
        <v>1836.65</v>
      </c>
      <c r="Q78" s="1"/>
      <c r="R78" s="5">
        <f t="shared" si="43"/>
        <v>2.6297395949996278E-4</v>
      </c>
      <c r="S78" s="1"/>
      <c r="T78" s="1">
        <f>SUM(OSRRefT22_8x_0)</f>
        <v>6300</v>
      </c>
      <c r="U78" s="1"/>
      <c r="V78" s="5">
        <f t="shared" si="44"/>
        <v>6.0133185269522951E-4</v>
      </c>
      <c r="W78" s="1"/>
      <c r="X78" s="1">
        <f t="shared" si="45"/>
        <v>-4463.3500000000004</v>
      </c>
      <c r="Y78" s="1"/>
      <c r="Z78" s="5">
        <f t="shared" si="46"/>
        <v>-0.70846825396825408</v>
      </c>
    </row>
    <row r="79" spans="1:26" s="24" customFormat="1" hidden="1" outlineLevel="2" x14ac:dyDescent="0.25">
      <c r="A79" s="26"/>
      <c r="B79" s="11" t="str">
        <f>CONCATENATE("          ", "6277", " - ", "EMPLOYEE APPRECIATION")</f>
        <v xml:space="preserve">          6277 - EMPLOYEE APPRECIATION</v>
      </c>
      <c r="C79" s="11"/>
      <c r="D79" s="7"/>
      <c r="E79" s="2"/>
      <c r="F79" s="6">
        <f t="shared" si="39"/>
        <v>0</v>
      </c>
      <c r="G79" s="2"/>
      <c r="H79" s="7">
        <v>1535</v>
      </c>
      <c r="I79" s="2"/>
      <c r="J79" s="6">
        <f t="shared" si="40"/>
        <v>1.6746782108545332E-3</v>
      </c>
      <c r="K79" s="2"/>
      <c r="L79" s="7">
        <f t="shared" si="41"/>
        <v>-1535</v>
      </c>
      <c r="M79" s="2"/>
      <c r="N79" s="6">
        <f t="shared" si="42"/>
        <v>-1</v>
      </c>
      <c r="O79" s="11"/>
      <c r="P79" s="7">
        <v>1836.65</v>
      </c>
      <c r="Q79" s="2"/>
      <c r="R79" s="6">
        <f t="shared" si="43"/>
        <v>2.6297395949996278E-4</v>
      </c>
      <c r="S79" s="2"/>
      <c r="T79" s="7">
        <v>6300</v>
      </c>
      <c r="U79" s="2"/>
      <c r="V79" s="6">
        <f t="shared" si="44"/>
        <v>6.0133185269522951E-4</v>
      </c>
      <c r="W79" s="2"/>
      <c r="X79" s="7">
        <f t="shared" si="45"/>
        <v>-4463.3500000000004</v>
      </c>
      <c r="Y79" s="2"/>
      <c r="Z79" s="6">
        <f t="shared" si="46"/>
        <v>-0.70846825396825408</v>
      </c>
    </row>
    <row r="80" spans="1:26" s="27" customFormat="1" outlineLevel="1" collapsed="1" x14ac:dyDescent="0.25">
      <c r="A80" s="25"/>
      <c r="B80" s="12" t="str">
        <f>CONCATENATE("     ","Equipment Rental                                  ")</f>
        <v xml:space="preserve">     Equipment Rental                                  </v>
      </c>
      <c r="C80" s="12"/>
      <c r="D80" s="1">
        <f>SUM(OSRRefD22_9x_0)</f>
        <v>1485.11</v>
      </c>
      <c r="E80" s="1"/>
      <c r="F80" s="5">
        <f t="shared" si="39"/>
        <v>52.366361071932296</v>
      </c>
      <c r="G80" s="1"/>
      <c r="H80" s="1">
        <f>SUM(OSRRefH22_9x_0)</f>
        <v>2140</v>
      </c>
      <c r="I80" s="1"/>
      <c r="J80" s="5">
        <f t="shared" si="40"/>
        <v>2.334730535002411E-3</v>
      </c>
      <c r="K80" s="1"/>
      <c r="L80" s="1">
        <f t="shared" si="41"/>
        <v>-654.8900000000001</v>
      </c>
      <c r="M80" s="1"/>
      <c r="N80" s="5">
        <f t="shared" si="42"/>
        <v>-0.30602336448598133</v>
      </c>
      <c r="O80" s="12"/>
      <c r="P80" s="1">
        <f>SUM(OSRRefP22_9x_0)</f>
        <v>27530.68</v>
      </c>
      <c r="Q80" s="1"/>
      <c r="R80" s="5">
        <f t="shared" si="43"/>
        <v>3.9418789248503719E-3</v>
      </c>
      <c r="S80" s="1"/>
      <c r="T80" s="1">
        <f>SUM(OSRRefT22_9x_0)</f>
        <v>18176</v>
      </c>
      <c r="U80" s="1"/>
      <c r="V80" s="5">
        <f t="shared" si="44"/>
        <v>1.7348901197759511E-3</v>
      </c>
      <c r="W80" s="1"/>
      <c r="X80" s="1">
        <f t="shared" si="45"/>
        <v>9354.68</v>
      </c>
      <c r="Y80" s="1"/>
      <c r="Z80" s="5">
        <f t="shared" si="46"/>
        <v>0.51467209507042255</v>
      </c>
    </row>
    <row r="81" spans="1:26" s="24" customFormat="1" hidden="1" outlineLevel="2" x14ac:dyDescent="0.25">
      <c r="A81" s="26"/>
      <c r="B81" s="11" t="str">
        <f>CONCATENATE("          ", "6351", " - ", "EQUIPMENT RENTAL")</f>
        <v xml:space="preserve">          6351 - EQUIPMENT RENTAL</v>
      </c>
      <c r="C81" s="11"/>
      <c r="D81" s="7">
        <v>1485.11</v>
      </c>
      <c r="E81" s="2"/>
      <c r="F81" s="6">
        <f t="shared" si="39"/>
        <v>52.366361071932296</v>
      </c>
      <c r="G81" s="2"/>
      <c r="H81" s="7">
        <v>2140</v>
      </c>
      <c r="I81" s="2"/>
      <c r="J81" s="6">
        <f t="shared" si="40"/>
        <v>2.334730535002411E-3</v>
      </c>
      <c r="K81" s="2"/>
      <c r="L81" s="7">
        <f t="shared" si="41"/>
        <v>-654.8900000000001</v>
      </c>
      <c r="M81" s="2"/>
      <c r="N81" s="6">
        <f t="shared" si="42"/>
        <v>-0.30602336448598133</v>
      </c>
      <c r="O81" s="11"/>
      <c r="P81" s="7">
        <v>27530.68</v>
      </c>
      <c r="Q81" s="2"/>
      <c r="R81" s="6">
        <f t="shared" si="43"/>
        <v>3.9418789248503719E-3</v>
      </c>
      <c r="S81" s="2"/>
      <c r="T81" s="7">
        <v>18176</v>
      </c>
      <c r="U81" s="2"/>
      <c r="V81" s="6">
        <f t="shared" si="44"/>
        <v>1.7348901197759511E-3</v>
      </c>
      <c r="W81" s="2"/>
      <c r="X81" s="7">
        <f t="shared" si="45"/>
        <v>9354.68</v>
      </c>
      <c r="Y81" s="2"/>
      <c r="Z81" s="6">
        <f t="shared" si="46"/>
        <v>0.51467209507042255</v>
      </c>
    </row>
    <row r="82" spans="1:26" s="27" customFormat="1" outlineLevel="1" collapsed="1" x14ac:dyDescent="0.25">
      <c r="A82" s="25"/>
      <c r="B82" s="12" t="str">
        <f>CONCATENATE("     ","Freight out/Postage                               ")</f>
        <v xml:space="preserve">     Freight out/Postage                               </v>
      </c>
      <c r="C82" s="12"/>
      <c r="D82" s="1">
        <f>SUM(OSRRefD22_10x_0)</f>
        <v>0.57999999999999996</v>
      </c>
      <c r="E82" s="1"/>
      <c r="F82" s="5">
        <f t="shared" si="39"/>
        <v>2.0451339915373765E-2</v>
      </c>
      <c r="G82" s="1"/>
      <c r="H82" s="1">
        <f>SUM(OSRRefH22_10x_0)</f>
        <v>0</v>
      </c>
      <c r="I82" s="1"/>
      <c r="J82" s="5">
        <f t="shared" si="40"/>
        <v>0</v>
      </c>
      <c r="K82" s="1"/>
      <c r="L82" s="1">
        <f t="shared" si="41"/>
        <v>0.57999999999999996</v>
      </c>
      <c r="M82" s="1"/>
      <c r="N82" s="5">
        <f t="shared" si="42"/>
        <v>0</v>
      </c>
      <c r="O82" s="12"/>
      <c r="P82" s="1">
        <f>SUM(OSRRefP22_10x_0)</f>
        <v>331.76</v>
      </c>
      <c r="Q82" s="1"/>
      <c r="R82" s="5">
        <f t="shared" si="43"/>
        <v>4.750183257763191E-5</v>
      </c>
      <c r="S82" s="1"/>
      <c r="T82" s="1">
        <f>SUM(OSRRefT22_10x_0)</f>
        <v>0</v>
      </c>
      <c r="U82" s="1"/>
      <c r="V82" s="5">
        <f t="shared" si="44"/>
        <v>0</v>
      </c>
      <c r="W82" s="1"/>
      <c r="X82" s="1">
        <f t="shared" si="45"/>
        <v>331.76</v>
      </c>
      <c r="Y82" s="1"/>
      <c r="Z82" s="5">
        <f t="shared" si="46"/>
        <v>0</v>
      </c>
    </row>
    <row r="83" spans="1:26" s="24" customFormat="1" hidden="1" outlineLevel="2" x14ac:dyDescent="0.25">
      <c r="A83" s="26"/>
      <c r="B83" s="11" t="str">
        <f>CONCATENATE("          ", "6305", " - ", "FREIGHT OUT")</f>
        <v xml:space="preserve">          6305 - FREIGHT OUT</v>
      </c>
      <c r="C83" s="11"/>
      <c r="D83" s="7"/>
      <c r="E83" s="2"/>
      <c r="F83" s="6">
        <f t="shared" si="39"/>
        <v>0</v>
      </c>
      <c r="G83" s="2"/>
      <c r="H83" s="7"/>
      <c r="I83" s="2"/>
      <c r="J83" s="6">
        <f t="shared" si="40"/>
        <v>0</v>
      </c>
      <c r="K83" s="2"/>
      <c r="L83" s="7">
        <f t="shared" si="41"/>
        <v>0</v>
      </c>
      <c r="M83" s="2"/>
      <c r="N83" s="6">
        <f t="shared" si="42"/>
        <v>0</v>
      </c>
      <c r="O83" s="11"/>
      <c r="P83" s="7">
        <v>331.18</v>
      </c>
      <c r="Q83" s="2"/>
      <c r="R83" s="6">
        <f t="shared" si="43"/>
        <v>4.7418787415782905E-5</v>
      </c>
      <c r="S83" s="2"/>
      <c r="T83" s="7"/>
      <c r="U83" s="2"/>
      <c r="V83" s="6">
        <f t="shared" si="44"/>
        <v>0</v>
      </c>
      <c r="W83" s="2"/>
      <c r="X83" s="7">
        <f t="shared" si="45"/>
        <v>331.18</v>
      </c>
      <c r="Y83" s="2"/>
      <c r="Z83" s="6">
        <f t="shared" si="46"/>
        <v>0</v>
      </c>
    </row>
    <row r="84" spans="1:26" s="24" customFormat="1" hidden="1" outlineLevel="2" x14ac:dyDescent="0.25">
      <c r="A84" s="26"/>
      <c r="B84" s="11" t="str">
        <f>CONCATENATE("          ", "6307", " - ", "POSTAGE")</f>
        <v xml:space="preserve">          6307 - POSTAGE</v>
      </c>
      <c r="C84" s="11"/>
      <c r="D84" s="7">
        <v>0.57999999999999996</v>
      </c>
      <c r="E84" s="2"/>
      <c r="F84" s="6">
        <f t="shared" si="39"/>
        <v>2.0451339915373765E-2</v>
      </c>
      <c r="G84" s="2"/>
      <c r="H84" s="7"/>
      <c r="I84" s="2"/>
      <c r="J84" s="6">
        <f t="shared" si="40"/>
        <v>0</v>
      </c>
      <c r="K84" s="2"/>
      <c r="L84" s="7">
        <f t="shared" si="41"/>
        <v>0.57999999999999996</v>
      </c>
      <c r="M84" s="2"/>
      <c r="N84" s="6">
        <f t="shared" si="42"/>
        <v>0</v>
      </c>
      <c r="O84" s="11"/>
      <c r="P84" s="7">
        <v>0.57999999999999996</v>
      </c>
      <c r="Q84" s="2"/>
      <c r="R84" s="6">
        <f t="shared" si="43"/>
        <v>8.3045161849006827E-8</v>
      </c>
      <c r="S84" s="2"/>
      <c r="T84" s="7"/>
      <c r="U84" s="2"/>
      <c r="V84" s="6">
        <f t="shared" si="44"/>
        <v>0</v>
      </c>
      <c r="W84" s="2"/>
      <c r="X84" s="7">
        <f t="shared" si="45"/>
        <v>0.57999999999999996</v>
      </c>
      <c r="Y84" s="2"/>
      <c r="Z84" s="6">
        <f t="shared" si="46"/>
        <v>0</v>
      </c>
    </row>
    <row r="85" spans="1:26" s="27" customFormat="1" outlineLevel="1" collapsed="1" x14ac:dyDescent="0.25">
      <c r="A85" s="25"/>
      <c r="B85" s="12" t="str">
        <f>CONCATENATE("     ","General                                           ")</f>
        <v xml:space="preserve">     General                                           </v>
      </c>
      <c r="C85" s="12"/>
      <c r="D85" s="1">
        <f>SUM(OSRRefD22_11x_0)</f>
        <v>-1200</v>
      </c>
      <c r="E85" s="1"/>
      <c r="F85" s="5">
        <f t="shared" ref="F85:F87" si="47">IF(D$12=0,0,D85/D$12)</f>
        <v>-42.313117066290552</v>
      </c>
      <c r="G85" s="1"/>
      <c r="H85" s="1">
        <f>SUM(OSRRefH22_11x_0)</f>
        <v>3269</v>
      </c>
      <c r="I85" s="1"/>
      <c r="J85" s="5">
        <f t="shared" ref="J85:J87" si="48">IF(H$12=0,0,H85/H$12)</f>
        <v>3.5664645415527485E-3</v>
      </c>
      <c r="K85" s="1"/>
      <c r="L85" s="1">
        <f t="shared" ref="L85:L87" si="49">+D85-H85</f>
        <v>-4469</v>
      </c>
      <c r="M85" s="1"/>
      <c r="N85" s="5">
        <f t="shared" ref="N85:N87" si="50">IF(H85=0,0,L85/H85)</f>
        <v>-1.3670847353930866</v>
      </c>
      <c r="O85" s="12"/>
      <c r="P85" s="1">
        <f>SUM(OSRRefP22_11x_0)</f>
        <v>94368.49</v>
      </c>
      <c r="Q85" s="1"/>
      <c r="R85" s="5">
        <f t="shared" ref="R85:R87" si="51">IF(P$12=0,0,P85/P$12)</f>
        <v>1.3511804354304109E-2</v>
      </c>
      <c r="S85" s="1"/>
      <c r="T85" s="1">
        <f>SUM(OSRRefT22_11x_0)</f>
        <v>58731</v>
      </c>
      <c r="U85" s="1"/>
      <c r="V85" s="5">
        <f t="shared" ref="V85:V87" si="52">IF(T$12=0,0,T85/T$12)</f>
        <v>5.6058446096259569E-3</v>
      </c>
      <c r="W85" s="1"/>
      <c r="X85" s="1">
        <f t="shared" ref="X85:X87" si="53">+P85-T85</f>
        <v>35637.490000000005</v>
      </c>
      <c r="Y85" s="1"/>
      <c r="Z85" s="5">
        <f t="shared" ref="Z85:Z87" si="54">IF(T85=0,0,X85/T85)</f>
        <v>0.6067918135226712</v>
      </c>
    </row>
    <row r="86" spans="1:26" s="24" customFormat="1" hidden="1" outlineLevel="2" x14ac:dyDescent="0.25">
      <c r="A86" s="26"/>
      <c r="B86" s="11" t="str">
        <f>CONCATENATE("          ", "6269", " - ", "ENTERTAINMENT")</f>
        <v xml:space="preserve">          6269 - ENTERTAINMENT</v>
      </c>
      <c r="C86" s="11"/>
      <c r="D86" s="7"/>
      <c r="E86" s="2"/>
      <c r="F86" s="6">
        <f t="shared" si="47"/>
        <v>0</v>
      </c>
      <c r="G86" s="2"/>
      <c r="H86" s="7">
        <v>300</v>
      </c>
      <c r="I86" s="2"/>
      <c r="J86" s="6">
        <f t="shared" si="48"/>
        <v>3.2729867313117912E-4</v>
      </c>
      <c r="K86" s="2"/>
      <c r="L86" s="7">
        <f t="shared" si="49"/>
        <v>-300</v>
      </c>
      <c r="M86" s="2"/>
      <c r="N86" s="6">
        <f t="shared" si="50"/>
        <v>-1</v>
      </c>
      <c r="O86" s="11"/>
      <c r="P86" s="7">
        <v>10050</v>
      </c>
      <c r="Q86" s="2"/>
      <c r="R86" s="6">
        <f t="shared" si="51"/>
        <v>1.4389722010043425E-3</v>
      </c>
      <c r="S86" s="2"/>
      <c r="T86" s="7">
        <v>7250</v>
      </c>
      <c r="U86" s="2"/>
      <c r="V86" s="6">
        <f t="shared" si="52"/>
        <v>6.9200887810165305E-4</v>
      </c>
      <c r="W86" s="2"/>
      <c r="X86" s="7">
        <f t="shared" si="53"/>
        <v>2800</v>
      </c>
      <c r="Y86" s="2"/>
      <c r="Z86" s="6">
        <f t="shared" si="54"/>
        <v>0.38620689655172413</v>
      </c>
    </row>
    <row r="87" spans="1:26" s="24" customFormat="1" hidden="1" outlineLevel="2" x14ac:dyDescent="0.25">
      <c r="A87" s="26"/>
      <c r="B87" s="11" t="str">
        <f>CONCATENATE("          ", "6279", " - ", "GENERAL EXPENSE")</f>
        <v xml:space="preserve">          6279 - GENERAL EXPENSE</v>
      </c>
      <c r="C87" s="11"/>
      <c r="D87" s="7">
        <v>-1200</v>
      </c>
      <c r="E87" s="2"/>
      <c r="F87" s="6">
        <f t="shared" si="47"/>
        <v>-42.313117066290552</v>
      </c>
      <c r="G87" s="2"/>
      <c r="H87" s="7">
        <v>2969</v>
      </c>
      <c r="I87" s="2"/>
      <c r="J87" s="6">
        <f t="shared" si="48"/>
        <v>3.2391658684215695E-3</v>
      </c>
      <c r="K87" s="2"/>
      <c r="L87" s="7">
        <f t="shared" si="49"/>
        <v>-4169</v>
      </c>
      <c r="M87" s="2"/>
      <c r="N87" s="6">
        <f t="shared" si="50"/>
        <v>-1.4041764904008083</v>
      </c>
      <c r="O87" s="11"/>
      <c r="P87" s="7">
        <v>84318.49</v>
      </c>
      <c r="Q87" s="2"/>
      <c r="R87" s="6">
        <f t="shared" si="51"/>
        <v>1.2072832153299767E-2</v>
      </c>
      <c r="S87" s="2"/>
      <c r="T87" s="7">
        <v>51481</v>
      </c>
      <c r="U87" s="2"/>
      <c r="V87" s="6">
        <f t="shared" si="52"/>
        <v>4.9138357315243039E-3</v>
      </c>
      <c r="W87" s="2"/>
      <c r="X87" s="7">
        <f t="shared" si="53"/>
        <v>32837.490000000005</v>
      </c>
      <c r="Y87" s="2"/>
      <c r="Z87" s="6">
        <f t="shared" si="54"/>
        <v>0.63785649074415818</v>
      </c>
    </row>
    <row r="88" spans="1:26" s="27" customFormat="1" outlineLevel="1" collapsed="1" x14ac:dyDescent="0.25">
      <c r="A88" s="25"/>
      <c r="B88" s="12" t="str">
        <f>CONCATENATE("     ","Insurance                                         ")</f>
        <v xml:space="preserve">     Insurance                                         </v>
      </c>
      <c r="C88" s="12"/>
      <c r="D88" s="1">
        <f>SUM(OSRRefD22_12x_0)</f>
        <v>4483.67</v>
      </c>
      <c r="E88" s="1"/>
      <c r="F88" s="5">
        <f t="shared" ref="F88:F102" si="55">IF(D$12=0,0,D88/D$12)</f>
        <v>158.09837799717914</v>
      </c>
      <c r="G88" s="1"/>
      <c r="H88" s="1">
        <f>SUM(OSRRefH22_12x_0)</f>
        <v>4234</v>
      </c>
      <c r="I88" s="1"/>
      <c r="J88" s="5">
        <f t="shared" ref="J88:J102" si="56">IF(H$12=0,0,H88/H$12)</f>
        <v>4.6192752734580417E-3</v>
      </c>
      <c r="K88" s="1"/>
      <c r="L88" s="1">
        <f t="shared" ref="L88:L102" si="57">+D88-H88</f>
        <v>249.67000000000007</v>
      </c>
      <c r="M88" s="1"/>
      <c r="N88" s="5">
        <f t="shared" ref="N88:N102" si="58">IF(H88=0,0,L88/H88)</f>
        <v>5.8967879074161567E-2</v>
      </c>
      <c r="O88" s="12"/>
      <c r="P88" s="1">
        <f>SUM(OSRRefP22_12x_0)</f>
        <v>55081.369999999995</v>
      </c>
      <c r="Q88" s="1"/>
      <c r="R88" s="5">
        <f t="shared" ref="R88:R102" si="59">IF(P$12=0,0,P88/P$12)</f>
        <v>7.8866229077845327E-3</v>
      </c>
      <c r="S88" s="1"/>
      <c r="T88" s="1">
        <f>SUM(OSRRefT22_12x_0)</f>
        <v>46574</v>
      </c>
      <c r="U88" s="1"/>
      <c r="V88" s="5">
        <f t="shared" ref="V88:V102" si="60">IF(T$12=0,0,T88/T$12)</f>
        <v>4.4454650329250195E-3</v>
      </c>
      <c r="W88" s="1"/>
      <c r="X88" s="1">
        <f t="shared" ref="X88:X102" si="61">+P88-T88</f>
        <v>8507.3699999999953</v>
      </c>
      <c r="Y88" s="1"/>
      <c r="Z88" s="5">
        <f t="shared" ref="Z88:Z102" si="62">IF(T88=0,0,X88/T88)</f>
        <v>0.18266350324215216</v>
      </c>
    </row>
    <row r="89" spans="1:26" s="24" customFormat="1" hidden="1" outlineLevel="2" x14ac:dyDescent="0.25">
      <c r="A89" s="26"/>
      <c r="B89" s="11" t="str">
        <f>CONCATENATE("          ", "6314", " - ", "LIABILITY INSURANCE")</f>
        <v xml:space="preserve">          6314 - LIABILITY INSURANCE</v>
      </c>
      <c r="C89" s="11"/>
      <c r="D89" s="7">
        <v>4483.67</v>
      </c>
      <c r="E89" s="2"/>
      <c r="F89" s="6">
        <f t="shared" si="55"/>
        <v>158.09837799717914</v>
      </c>
      <c r="G89" s="2"/>
      <c r="H89" s="7">
        <v>4234</v>
      </c>
      <c r="I89" s="2"/>
      <c r="J89" s="6">
        <f t="shared" si="56"/>
        <v>4.6192752734580417E-3</v>
      </c>
      <c r="K89" s="2"/>
      <c r="L89" s="7">
        <f t="shared" si="57"/>
        <v>249.67000000000007</v>
      </c>
      <c r="M89" s="2"/>
      <c r="N89" s="6">
        <f t="shared" si="58"/>
        <v>5.8967879074161567E-2</v>
      </c>
      <c r="O89" s="11"/>
      <c r="P89" s="7">
        <v>55081.369999999995</v>
      </c>
      <c r="Q89" s="2"/>
      <c r="R89" s="6">
        <f t="shared" si="59"/>
        <v>7.8866229077845327E-3</v>
      </c>
      <c r="S89" s="2"/>
      <c r="T89" s="7">
        <v>46574</v>
      </c>
      <c r="U89" s="2"/>
      <c r="V89" s="6">
        <f t="shared" si="60"/>
        <v>4.4454650329250195E-3</v>
      </c>
      <c r="W89" s="2"/>
      <c r="X89" s="7">
        <f t="shared" si="61"/>
        <v>8507.3699999999953</v>
      </c>
      <c r="Y89" s="2"/>
      <c r="Z89" s="6">
        <f t="shared" si="62"/>
        <v>0.18266350324215216</v>
      </c>
    </row>
    <row r="90" spans="1:26" s="27" customFormat="1" outlineLevel="1" collapsed="1" x14ac:dyDescent="0.25">
      <c r="A90" s="25"/>
      <c r="B90" s="12" t="str">
        <f>CONCATENATE("     ","Interest                                          ")</f>
        <v xml:space="preserve">     Interest                                          </v>
      </c>
      <c r="C90" s="12"/>
      <c r="D90" s="1">
        <f>SUM(OSRRefD22_13x_0)</f>
        <v>11929</v>
      </c>
      <c r="E90" s="1"/>
      <c r="F90" s="5">
        <f t="shared" si="55"/>
        <v>420.62764456981665</v>
      </c>
      <c r="G90" s="1"/>
      <c r="H90" s="1">
        <f>SUM(OSRRefH22_13x_0)</f>
        <v>11554</v>
      </c>
      <c r="I90" s="1"/>
      <c r="J90" s="5">
        <f t="shared" si="56"/>
        <v>1.2605362897858812E-2</v>
      </c>
      <c r="K90" s="1"/>
      <c r="L90" s="1">
        <f t="shared" si="57"/>
        <v>375</v>
      </c>
      <c r="M90" s="1"/>
      <c r="N90" s="5">
        <f t="shared" si="58"/>
        <v>3.2456292193179852E-2</v>
      </c>
      <c r="O90" s="12"/>
      <c r="P90" s="1">
        <f>SUM(OSRRefP22_13x_0)</f>
        <v>127619.05000000002</v>
      </c>
      <c r="Q90" s="1"/>
      <c r="R90" s="5">
        <f t="shared" si="59"/>
        <v>1.8272663210804306E-2</v>
      </c>
      <c r="S90" s="1"/>
      <c r="T90" s="1">
        <f>SUM(OSRRefT22_13x_0)</f>
        <v>130846.00000000001</v>
      </c>
      <c r="U90" s="1"/>
      <c r="V90" s="5">
        <f t="shared" si="60"/>
        <v>1.2489185332977781E-2</v>
      </c>
      <c r="W90" s="1"/>
      <c r="X90" s="1">
        <f t="shared" si="61"/>
        <v>-3226.9499999999971</v>
      </c>
      <c r="Y90" s="1"/>
      <c r="Z90" s="5">
        <f t="shared" si="62"/>
        <v>-2.4662198309463007E-2</v>
      </c>
    </row>
    <row r="91" spans="1:26" s="24" customFormat="1" hidden="1" outlineLevel="2" x14ac:dyDescent="0.25">
      <c r="A91" s="26"/>
      <c r="B91" s="11" t="str">
        <f>CONCATENATE("          ", "6401", " - ", "INTEREST EXPENSE")</f>
        <v xml:space="preserve">          6401 - INTEREST EXPENSE</v>
      </c>
      <c r="C91" s="11"/>
      <c r="D91" s="7">
        <v>11929</v>
      </c>
      <c r="E91" s="2"/>
      <c r="F91" s="6">
        <f t="shared" si="55"/>
        <v>420.62764456981665</v>
      </c>
      <c r="G91" s="2"/>
      <c r="H91" s="7">
        <v>11554</v>
      </c>
      <c r="I91" s="2"/>
      <c r="J91" s="6">
        <f t="shared" si="56"/>
        <v>1.2605362897858812E-2</v>
      </c>
      <c r="K91" s="2"/>
      <c r="L91" s="7">
        <f t="shared" si="57"/>
        <v>375</v>
      </c>
      <c r="M91" s="2"/>
      <c r="N91" s="6">
        <f t="shared" si="58"/>
        <v>3.2456292193179852E-2</v>
      </c>
      <c r="O91" s="11"/>
      <c r="P91" s="7">
        <v>127619.05000000002</v>
      </c>
      <c r="Q91" s="2"/>
      <c r="R91" s="6">
        <f t="shared" si="59"/>
        <v>1.8272663210804306E-2</v>
      </c>
      <c r="S91" s="2"/>
      <c r="T91" s="7">
        <v>130846.00000000001</v>
      </c>
      <c r="U91" s="2"/>
      <c r="V91" s="6">
        <f t="shared" si="60"/>
        <v>1.2489185332977781E-2</v>
      </c>
      <c r="W91" s="2"/>
      <c r="X91" s="7">
        <f t="shared" si="61"/>
        <v>-3226.9499999999971</v>
      </c>
      <c r="Y91" s="2"/>
      <c r="Z91" s="6">
        <f t="shared" si="62"/>
        <v>-2.4662198309463007E-2</v>
      </c>
    </row>
    <row r="92" spans="1:26" s="27" customFormat="1" outlineLevel="1" collapsed="1" x14ac:dyDescent="0.25">
      <c r="A92" s="25"/>
      <c r="B92" s="12" t="str">
        <f>CONCATENATE("     ","Professional Services                             ")</f>
        <v xml:space="preserve">     Professional Services                             </v>
      </c>
      <c r="C92" s="12"/>
      <c r="D92" s="1">
        <f>SUM(OSRRefD22_14x_0)</f>
        <v>0</v>
      </c>
      <c r="E92" s="1"/>
      <c r="F92" s="5">
        <f t="shared" si="55"/>
        <v>0</v>
      </c>
      <c r="G92" s="1"/>
      <c r="H92" s="1">
        <f>SUM(OSRRefH22_14x_0)</f>
        <v>0</v>
      </c>
      <c r="I92" s="1"/>
      <c r="J92" s="5">
        <f t="shared" si="56"/>
        <v>0</v>
      </c>
      <c r="K92" s="1"/>
      <c r="L92" s="1">
        <f t="shared" si="57"/>
        <v>0</v>
      </c>
      <c r="M92" s="1"/>
      <c r="N92" s="5">
        <f t="shared" si="58"/>
        <v>0</v>
      </c>
      <c r="O92" s="12"/>
      <c r="P92" s="1">
        <f>SUM(OSRRefP22_14x_0)</f>
        <v>125</v>
      </c>
      <c r="Q92" s="1"/>
      <c r="R92" s="5">
        <f t="shared" si="59"/>
        <v>1.7897664191596299E-5</v>
      </c>
      <c r="S92" s="1"/>
      <c r="T92" s="1">
        <f>SUM(OSRRefT22_14x_0)</f>
        <v>0</v>
      </c>
      <c r="U92" s="1"/>
      <c r="V92" s="5">
        <f t="shared" si="60"/>
        <v>0</v>
      </c>
      <c r="W92" s="1"/>
      <c r="X92" s="1">
        <f t="shared" si="61"/>
        <v>125</v>
      </c>
      <c r="Y92" s="1"/>
      <c r="Z92" s="5">
        <f t="shared" si="62"/>
        <v>0</v>
      </c>
    </row>
    <row r="93" spans="1:26" s="24" customFormat="1" hidden="1" outlineLevel="2" x14ac:dyDescent="0.25">
      <c r="A93" s="26"/>
      <c r="B93" s="11" t="str">
        <f>CONCATENATE("          ", "6336", " - ", "PROFESSIONAL SERVICES")</f>
        <v xml:space="preserve">          6336 - PROFESSIONAL SERVICES</v>
      </c>
      <c r="C93" s="11"/>
      <c r="D93" s="7"/>
      <c r="E93" s="2"/>
      <c r="F93" s="6">
        <f t="shared" si="55"/>
        <v>0</v>
      </c>
      <c r="G93" s="2"/>
      <c r="H93" s="7"/>
      <c r="I93" s="2"/>
      <c r="J93" s="6">
        <f t="shared" si="56"/>
        <v>0</v>
      </c>
      <c r="K93" s="2"/>
      <c r="L93" s="7">
        <f t="shared" si="57"/>
        <v>0</v>
      </c>
      <c r="M93" s="2"/>
      <c r="N93" s="6">
        <f t="shared" si="58"/>
        <v>0</v>
      </c>
      <c r="O93" s="11"/>
      <c r="P93" s="7">
        <v>125</v>
      </c>
      <c r="Q93" s="2"/>
      <c r="R93" s="6">
        <f t="shared" si="59"/>
        <v>1.7897664191596299E-5</v>
      </c>
      <c r="S93" s="2"/>
      <c r="T93" s="7"/>
      <c r="U93" s="2"/>
      <c r="V93" s="6">
        <f t="shared" si="60"/>
        <v>0</v>
      </c>
      <c r="W93" s="2"/>
      <c r="X93" s="7">
        <f t="shared" si="61"/>
        <v>125</v>
      </c>
      <c r="Y93" s="2"/>
      <c r="Z93" s="6">
        <f t="shared" si="62"/>
        <v>0</v>
      </c>
    </row>
    <row r="94" spans="1:26" s="27" customFormat="1" outlineLevel="1" collapsed="1" x14ac:dyDescent="0.25">
      <c r="A94" s="25"/>
      <c r="B94" s="12" t="str">
        <f>CONCATENATE("     ","R/H Commissions                                   ")</f>
        <v xml:space="preserve">     R/H Commissions                                   </v>
      </c>
      <c r="C94" s="12"/>
      <c r="D94" s="1">
        <f>SUM(OSRRefD22_15x_0)</f>
        <v>0</v>
      </c>
      <c r="E94" s="1"/>
      <c r="F94" s="5">
        <f t="shared" si="55"/>
        <v>0</v>
      </c>
      <c r="G94" s="1"/>
      <c r="H94" s="1">
        <f>SUM(OSRRefH22_15x_0)</f>
        <v>0</v>
      </c>
      <c r="I94" s="1"/>
      <c r="J94" s="5">
        <f t="shared" si="56"/>
        <v>0</v>
      </c>
      <c r="K94" s="1"/>
      <c r="L94" s="1">
        <f t="shared" si="57"/>
        <v>0</v>
      </c>
      <c r="M94" s="1"/>
      <c r="N94" s="5">
        <f t="shared" si="58"/>
        <v>0</v>
      </c>
      <c r="O94" s="12"/>
      <c r="P94" s="1">
        <f>SUM(OSRRefP22_15x_0)</f>
        <v>0</v>
      </c>
      <c r="Q94" s="1"/>
      <c r="R94" s="5">
        <f t="shared" si="59"/>
        <v>0</v>
      </c>
      <c r="S94" s="1"/>
      <c r="T94" s="1">
        <f>SUM(OSRRefT22_15x_0)</f>
        <v>0</v>
      </c>
      <c r="U94" s="1"/>
      <c r="V94" s="5">
        <f t="shared" si="60"/>
        <v>0</v>
      </c>
      <c r="W94" s="1"/>
      <c r="X94" s="1">
        <f t="shared" si="61"/>
        <v>0</v>
      </c>
      <c r="Y94" s="1"/>
      <c r="Z94" s="5">
        <f t="shared" si="62"/>
        <v>0</v>
      </c>
    </row>
    <row r="95" spans="1:26" s="24" customFormat="1" hidden="1" outlineLevel="2" x14ac:dyDescent="0.25">
      <c r="A95" s="26"/>
      <c r="B95" s="11" t="str">
        <f>CONCATENATE("          ", "6387", " - ", "COMMISSION DUE HOUSING")</f>
        <v xml:space="preserve">          6387 - COMMISSION DUE HOUSING</v>
      </c>
      <c r="C95" s="11"/>
      <c r="D95" s="7"/>
      <c r="E95" s="2"/>
      <c r="F95" s="6">
        <f t="shared" si="55"/>
        <v>0</v>
      </c>
      <c r="G95" s="2"/>
      <c r="H95" s="7"/>
      <c r="I95" s="2"/>
      <c r="J95" s="6">
        <f t="shared" si="56"/>
        <v>0</v>
      </c>
      <c r="K95" s="2"/>
      <c r="L95" s="7">
        <f t="shared" si="57"/>
        <v>0</v>
      </c>
      <c r="M95" s="2"/>
      <c r="N95" s="6">
        <f t="shared" si="58"/>
        <v>0</v>
      </c>
      <c r="O95" s="11"/>
      <c r="P95" s="7"/>
      <c r="Q95" s="2"/>
      <c r="R95" s="6">
        <f t="shared" si="59"/>
        <v>0</v>
      </c>
      <c r="S95" s="2"/>
      <c r="T95" s="7">
        <v>0</v>
      </c>
      <c r="U95" s="2"/>
      <c r="V95" s="6">
        <f t="shared" si="60"/>
        <v>0</v>
      </c>
      <c r="W95" s="2"/>
      <c r="X95" s="7">
        <f t="shared" si="61"/>
        <v>0</v>
      </c>
      <c r="Y95" s="2"/>
      <c r="Z95" s="6">
        <f t="shared" si="62"/>
        <v>0</v>
      </c>
    </row>
    <row r="96" spans="1:26" s="27" customFormat="1" outlineLevel="1" collapsed="1" x14ac:dyDescent="0.25">
      <c r="A96" s="25"/>
      <c r="B96" s="12" t="str">
        <f>CONCATENATE("     ","Rent                                              ")</f>
        <v xml:space="preserve">     Rent                                              </v>
      </c>
      <c r="C96" s="12"/>
      <c r="D96" s="1">
        <f>SUM(OSRRefD22_16x_0)</f>
        <v>3000</v>
      </c>
      <c r="E96" s="1"/>
      <c r="F96" s="5">
        <f t="shared" si="55"/>
        <v>105.78279266572638</v>
      </c>
      <c r="G96" s="1"/>
      <c r="H96" s="1">
        <f>SUM(OSRRefH22_16x_0)</f>
        <v>3000</v>
      </c>
      <c r="I96" s="1"/>
      <c r="J96" s="5">
        <f t="shared" si="56"/>
        <v>3.2729867313117914E-3</v>
      </c>
      <c r="K96" s="1"/>
      <c r="L96" s="1">
        <f t="shared" si="57"/>
        <v>0</v>
      </c>
      <c r="M96" s="1"/>
      <c r="N96" s="5">
        <f t="shared" si="58"/>
        <v>0</v>
      </c>
      <c r="O96" s="12"/>
      <c r="P96" s="1">
        <f>SUM(OSRRefP22_16x_0)</f>
        <v>33000</v>
      </c>
      <c r="Q96" s="1"/>
      <c r="R96" s="5">
        <f t="shared" si="59"/>
        <v>4.7249833465814236E-3</v>
      </c>
      <c r="S96" s="1"/>
      <c r="T96" s="1">
        <f>SUM(OSRRefT22_16x_0)</f>
        <v>33000</v>
      </c>
      <c r="U96" s="1"/>
      <c r="V96" s="5">
        <f t="shared" si="60"/>
        <v>3.1498335141178688E-3</v>
      </c>
      <c r="W96" s="1"/>
      <c r="X96" s="1">
        <f t="shared" si="61"/>
        <v>0</v>
      </c>
      <c r="Y96" s="1"/>
      <c r="Z96" s="5">
        <f t="shared" si="62"/>
        <v>0</v>
      </c>
    </row>
    <row r="97" spans="1:26" s="24" customFormat="1" hidden="1" outlineLevel="2" x14ac:dyDescent="0.25">
      <c r="A97" s="26"/>
      <c r="B97" s="11" t="str">
        <f>CONCATENATE("          ", "6273", " - ", "RENT")</f>
        <v xml:space="preserve">          6273 - RENT</v>
      </c>
      <c r="C97" s="11"/>
      <c r="D97" s="7">
        <v>3000</v>
      </c>
      <c r="E97" s="2"/>
      <c r="F97" s="6">
        <f t="shared" si="55"/>
        <v>105.78279266572638</v>
      </c>
      <c r="G97" s="2"/>
      <c r="H97" s="7">
        <v>3000</v>
      </c>
      <c r="I97" s="2"/>
      <c r="J97" s="6">
        <f t="shared" si="56"/>
        <v>3.2729867313117914E-3</v>
      </c>
      <c r="K97" s="2"/>
      <c r="L97" s="7">
        <f t="shared" si="57"/>
        <v>0</v>
      </c>
      <c r="M97" s="2"/>
      <c r="N97" s="6">
        <f t="shared" si="58"/>
        <v>0</v>
      </c>
      <c r="O97" s="11"/>
      <c r="P97" s="7">
        <v>33000</v>
      </c>
      <c r="Q97" s="2"/>
      <c r="R97" s="6">
        <f t="shared" si="59"/>
        <v>4.7249833465814236E-3</v>
      </c>
      <c r="S97" s="2"/>
      <c r="T97" s="7">
        <v>33000</v>
      </c>
      <c r="U97" s="2"/>
      <c r="V97" s="6">
        <f t="shared" si="60"/>
        <v>3.1498335141178688E-3</v>
      </c>
      <c r="W97" s="2"/>
      <c r="X97" s="7">
        <f t="shared" si="61"/>
        <v>0</v>
      </c>
      <c r="Y97" s="2"/>
      <c r="Z97" s="6">
        <f t="shared" si="62"/>
        <v>0</v>
      </c>
    </row>
    <row r="98" spans="1:26" s="27" customFormat="1" outlineLevel="1" collapsed="1" x14ac:dyDescent="0.25">
      <c r="A98" s="25"/>
      <c r="B98" s="12" t="str">
        <f>CONCATENATE("     ","Repair and Maintenance                            ")</f>
        <v xml:space="preserve">     Repair and Maintenance                            </v>
      </c>
      <c r="C98" s="12"/>
      <c r="D98" s="1">
        <f>SUM(OSRRefD22_17x_0)</f>
        <v>7900.66</v>
      </c>
      <c r="E98" s="1"/>
      <c r="F98" s="5">
        <f t="shared" si="55"/>
        <v>278.5846262341326</v>
      </c>
      <c r="G98" s="1"/>
      <c r="H98" s="1">
        <f>SUM(OSRRefH22_17x_0)</f>
        <v>17866</v>
      </c>
      <c r="I98" s="1"/>
      <c r="J98" s="5">
        <f t="shared" si="56"/>
        <v>1.9491726980538821E-2</v>
      </c>
      <c r="K98" s="1"/>
      <c r="L98" s="1">
        <f t="shared" si="57"/>
        <v>-9965.34</v>
      </c>
      <c r="M98" s="1"/>
      <c r="N98" s="5">
        <f t="shared" si="58"/>
        <v>-0.55778237993955004</v>
      </c>
      <c r="O98" s="12"/>
      <c r="P98" s="1">
        <f>SUM(OSRRefP22_17x_0)</f>
        <v>243986.68</v>
      </c>
      <c r="Q98" s="1"/>
      <c r="R98" s="5">
        <f t="shared" si="59"/>
        <v>3.4934333326899721E-2</v>
      </c>
      <c r="S98" s="1"/>
      <c r="T98" s="1">
        <f>SUM(OSRRefT22_17x_0)</f>
        <v>257141</v>
      </c>
      <c r="U98" s="1"/>
      <c r="V98" s="5">
        <f t="shared" si="60"/>
        <v>2.4543979989508573E-2</v>
      </c>
      <c r="W98" s="1"/>
      <c r="X98" s="1">
        <f t="shared" si="61"/>
        <v>-13154.320000000007</v>
      </c>
      <c r="Y98" s="1"/>
      <c r="Z98" s="5">
        <f t="shared" si="62"/>
        <v>-5.1156058349310328E-2</v>
      </c>
    </row>
    <row r="99" spans="1:26" s="24" customFormat="1" hidden="1" outlineLevel="2" x14ac:dyDescent="0.25">
      <c r="A99" s="26"/>
      <c r="B99" s="11" t="str">
        <f>CONCATENATE("          ", "6371", " - ", "COMPUTER SOFTWARE MAINTENANCE")</f>
        <v xml:space="preserve">          6371 - COMPUTER SOFTWARE MAINTENANCE</v>
      </c>
      <c r="C99" s="11"/>
      <c r="D99" s="7"/>
      <c r="E99" s="2"/>
      <c r="F99" s="6">
        <f t="shared" si="55"/>
        <v>0</v>
      </c>
      <c r="G99" s="2"/>
      <c r="H99" s="7">
        <v>50</v>
      </c>
      <c r="I99" s="2"/>
      <c r="J99" s="6">
        <f t="shared" si="56"/>
        <v>5.4549778855196519E-5</v>
      </c>
      <c r="K99" s="2"/>
      <c r="L99" s="7">
        <f t="shared" si="57"/>
        <v>-50</v>
      </c>
      <c r="M99" s="2"/>
      <c r="N99" s="6">
        <f t="shared" si="58"/>
        <v>-1</v>
      </c>
      <c r="O99" s="11"/>
      <c r="P99" s="7">
        <v>12244.62</v>
      </c>
      <c r="Q99" s="2"/>
      <c r="R99" s="6">
        <f t="shared" si="59"/>
        <v>1.7532007753096313E-3</v>
      </c>
      <c r="S99" s="2"/>
      <c r="T99" s="7">
        <v>2500</v>
      </c>
      <c r="U99" s="2"/>
      <c r="V99" s="6">
        <f t="shared" si="60"/>
        <v>2.3862375106953554E-4</v>
      </c>
      <c r="W99" s="2"/>
      <c r="X99" s="7">
        <f t="shared" si="61"/>
        <v>9744.6200000000008</v>
      </c>
      <c r="Y99" s="2"/>
      <c r="Z99" s="6">
        <f t="shared" si="62"/>
        <v>3.8978480000000002</v>
      </c>
    </row>
    <row r="100" spans="1:26" s="24" customFormat="1" hidden="1" outlineLevel="2" x14ac:dyDescent="0.25">
      <c r="A100" s="26"/>
      <c r="B100" s="11" t="str">
        <f>CONCATENATE("          ", "6372", " - ", "COMPUTER HARDWARE MAINTENANCE")</f>
        <v xml:space="preserve">          6372 - COMPUTER HARDWARE MAINTENANCE</v>
      </c>
      <c r="C100" s="11"/>
      <c r="D100" s="7"/>
      <c r="E100" s="2"/>
      <c r="F100" s="6">
        <f t="shared" si="55"/>
        <v>0</v>
      </c>
      <c r="G100" s="2"/>
      <c r="H100" s="7"/>
      <c r="I100" s="2"/>
      <c r="J100" s="6">
        <f t="shared" si="56"/>
        <v>0</v>
      </c>
      <c r="K100" s="2"/>
      <c r="L100" s="7">
        <f t="shared" si="57"/>
        <v>0</v>
      </c>
      <c r="M100" s="2"/>
      <c r="N100" s="6">
        <f t="shared" si="58"/>
        <v>0</v>
      </c>
      <c r="O100" s="11"/>
      <c r="P100" s="7">
        <v>8142.87</v>
      </c>
      <c r="Q100" s="2"/>
      <c r="R100" s="6">
        <f t="shared" si="59"/>
        <v>1.16590682252659E-3</v>
      </c>
      <c r="S100" s="2"/>
      <c r="T100" s="7">
        <v>200</v>
      </c>
      <c r="U100" s="2"/>
      <c r="V100" s="6">
        <f t="shared" si="60"/>
        <v>1.9089900085562842E-5</v>
      </c>
      <c r="W100" s="2"/>
      <c r="X100" s="7">
        <f t="shared" si="61"/>
        <v>7942.87</v>
      </c>
      <c r="Y100" s="2"/>
      <c r="Z100" s="6">
        <f t="shared" si="62"/>
        <v>39.714349999999996</v>
      </c>
    </row>
    <row r="101" spans="1:26" s="24" customFormat="1" hidden="1" outlineLevel="2" x14ac:dyDescent="0.25">
      <c r="A101" s="26"/>
      <c r="B101" s="11" t="str">
        <f>CONCATENATE("          ", "6373", " - ", "MAINTENANCE CONTRACTS")</f>
        <v xml:space="preserve">          6373 - MAINTENANCE CONTRACTS</v>
      </c>
      <c r="C101" s="11"/>
      <c r="D101" s="7">
        <v>6801.32</v>
      </c>
      <c r="E101" s="2"/>
      <c r="F101" s="6">
        <f t="shared" si="55"/>
        <v>239.82087447108603</v>
      </c>
      <c r="G101" s="2"/>
      <c r="H101" s="7">
        <v>2325</v>
      </c>
      <c r="I101" s="2"/>
      <c r="J101" s="6">
        <f t="shared" si="56"/>
        <v>2.5365647167666381E-3</v>
      </c>
      <c r="K101" s="2"/>
      <c r="L101" s="7">
        <f t="shared" si="57"/>
        <v>4476.32</v>
      </c>
      <c r="M101" s="2"/>
      <c r="N101" s="6">
        <f t="shared" si="58"/>
        <v>1.9252989247311827</v>
      </c>
      <c r="O101" s="11"/>
      <c r="P101" s="7">
        <v>94141.31</v>
      </c>
      <c r="Q101" s="2"/>
      <c r="R101" s="6">
        <f t="shared" si="59"/>
        <v>1.3479276423495733E-2</v>
      </c>
      <c r="S101" s="2"/>
      <c r="T101" s="7">
        <v>25444</v>
      </c>
      <c r="U101" s="2"/>
      <c r="V101" s="6">
        <f t="shared" si="60"/>
        <v>2.428617088885305E-3</v>
      </c>
      <c r="W101" s="2"/>
      <c r="X101" s="7">
        <f t="shared" si="61"/>
        <v>68697.31</v>
      </c>
      <c r="Y101" s="2"/>
      <c r="Z101" s="6">
        <f t="shared" si="62"/>
        <v>2.6999414400251531</v>
      </c>
    </row>
    <row r="102" spans="1:26" s="24" customFormat="1" hidden="1" outlineLevel="2" x14ac:dyDescent="0.25">
      <c r="A102" s="26"/>
      <c r="B102" s="11" t="str">
        <f>CONCATENATE("          ", "6375", " - ", "OUTSIDE REPAIRS &amp; MAINTENANCE")</f>
        <v xml:space="preserve">          6375 - OUTSIDE REPAIRS &amp; MAINTENANCE</v>
      </c>
      <c r="C102" s="11"/>
      <c r="D102" s="7">
        <v>1099.3399999999999</v>
      </c>
      <c r="E102" s="2"/>
      <c r="F102" s="6">
        <f t="shared" si="55"/>
        <v>38.763751763046542</v>
      </c>
      <c r="G102" s="2"/>
      <c r="H102" s="7">
        <v>15491</v>
      </c>
      <c r="I102" s="2"/>
      <c r="J102" s="6">
        <f t="shared" si="56"/>
        <v>1.6900612484916987E-2</v>
      </c>
      <c r="K102" s="2"/>
      <c r="L102" s="7">
        <f t="shared" si="57"/>
        <v>-14391.66</v>
      </c>
      <c r="M102" s="2"/>
      <c r="N102" s="6">
        <f t="shared" si="58"/>
        <v>-0.92903363243173454</v>
      </c>
      <c r="O102" s="11"/>
      <c r="P102" s="7">
        <v>129457.88</v>
      </c>
      <c r="Q102" s="2"/>
      <c r="R102" s="6">
        <f t="shared" si="59"/>
        <v>1.8535949305567768E-2</v>
      </c>
      <c r="S102" s="2"/>
      <c r="T102" s="7">
        <v>228997</v>
      </c>
      <c r="U102" s="2"/>
      <c r="V102" s="6">
        <f t="shared" si="60"/>
        <v>2.1857649249468172E-2</v>
      </c>
      <c r="W102" s="2"/>
      <c r="X102" s="7">
        <f t="shared" si="61"/>
        <v>-99539.12</v>
      </c>
      <c r="Y102" s="2"/>
      <c r="Z102" s="6">
        <f t="shared" si="62"/>
        <v>-0.43467434071188704</v>
      </c>
    </row>
    <row r="103" spans="1:26" s="27" customFormat="1" outlineLevel="1" collapsed="1" x14ac:dyDescent="0.25">
      <c r="A103" s="25"/>
      <c r="B103" s="12" t="str">
        <f>CONCATENATE("     ","Royalty &amp; Commissions                             ")</f>
        <v xml:space="preserve">     Royalty &amp; Commissions                             </v>
      </c>
      <c r="C103" s="12"/>
      <c r="D103" s="1">
        <f>SUM(OSRRefD22_18x_0)</f>
        <v>0</v>
      </c>
      <c r="E103" s="1"/>
      <c r="F103" s="5">
        <f t="shared" ref="F103:F107" si="63">IF(D$12=0,0,D103/D$12)</f>
        <v>0</v>
      </c>
      <c r="G103" s="1"/>
      <c r="H103" s="1">
        <f>SUM(OSRRefH22_18x_0)</f>
        <v>43292</v>
      </c>
      <c r="I103" s="1"/>
      <c r="J103" s="5">
        <f t="shared" ref="J103:J107" si="64">IF(H$12=0,0,H103/H$12)</f>
        <v>4.7231380523983353E-2</v>
      </c>
      <c r="K103" s="1"/>
      <c r="L103" s="1">
        <f t="shared" ref="L103:L107" si="65">+D103-H103</f>
        <v>-43292</v>
      </c>
      <c r="M103" s="1"/>
      <c r="N103" s="5">
        <f t="shared" ref="N103:N107" si="66">IF(H103=0,0,L103/H103)</f>
        <v>-1</v>
      </c>
      <c r="O103" s="12"/>
      <c r="P103" s="1">
        <f>SUM(OSRRefP22_18x_0)</f>
        <v>258319.61</v>
      </c>
      <c r="Q103" s="1"/>
      <c r="R103" s="5">
        <f t="shared" ref="R103:R107" si="67">IF(P$12=0,0,P103/P$12)</f>
        <v>3.6986541071072972E-2</v>
      </c>
      <c r="S103" s="1"/>
      <c r="T103" s="1">
        <f>SUM(OSRRefT22_18x_0)</f>
        <v>406777</v>
      </c>
      <c r="U103" s="1"/>
      <c r="V103" s="5">
        <f t="shared" ref="V103:V107" si="68">IF(T$12=0,0,T103/T$12)</f>
        <v>3.8826661435524983E-2</v>
      </c>
      <c r="W103" s="1"/>
      <c r="X103" s="1">
        <f t="shared" ref="X103:X107" si="69">+P103-T103</f>
        <v>-148457.39000000001</v>
      </c>
      <c r="Y103" s="1"/>
      <c r="Z103" s="5">
        <f t="shared" ref="Z103:Z107" si="70">IF(T103=0,0,X103/T103)</f>
        <v>-0.36496013786423526</v>
      </c>
    </row>
    <row r="104" spans="1:26" s="24" customFormat="1" hidden="1" outlineLevel="2" x14ac:dyDescent="0.25">
      <c r="A104" s="26"/>
      <c r="B104" s="11" t="str">
        <f>CONCATENATE("          ", "6252", " - ", "ROYALTY DUE CSTV")</f>
        <v xml:space="preserve">          6252 - ROYALTY DUE CSTV</v>
      </c>
      <c r="C104" s="11"/>
      <c r="D104" s="7"/>
      <c r="E104" s="2"/>
      <c r="F104" s="6">
        <f t="shared" si="63"/>
        <v>0</v>
      </c>
      <c r="G104" s="2"/>
      <c r="H104" s="7">
        <v>10600</v>
      </c>
      <c r="I104" s="2"/>
      <c r="J104" s="6">
        <f t="shared" si="64"/>
        <v>1.1564553117301663E-2</v>
      </c>
      <c r="K104" s="2"/>
      <c r="L104" s="7">
        <f t="shared" si="65"/>
        <v>-10600</v>
      </c>
      <c r="M104" s="2"/>
      <c r="N104" s="6">
        <f t="shared" si="66"/>
        <v>-1</v>
      </c>
      <c r="O104" s="11"/>
      <c r="P104" s="7"/>
      <c r="Q104" s="2"/>
      <c r="R104" s="6">
        <f t="shared" si="67"/>
        <v>0</v>
      </c>
      <c r="S104" s="2"/>
      <c r="T104" s="7">
        <v>46000</v>
      </c>
      <c r="U104" s="2"/>
      <c r="V104" s="6">
        <f t="shared" si="68"/>
        <v>4.3906770196794542E-3</v>
      </c>
      <c r="W104" s="2"/>
      <c r="X104" s="7">
        <f t="shared" si="69"/>
        <v>-46000</v>
      </c>
      <c r="Y104" s="2"/>
      <c r="Z104" s="6">
        <f t="shared" si="70"/>
        <v>-1</v>
      </c>
    </row>
    <row r="105" spans="1:26" s="24" customFormat="1" hidden="1" outlineLevel="2" x14ac:dyDescent="0.25">
      <c r="A105" s="26"/>
      <c r="B105" s="11" t="str">
        <f>CONCATENATE("          ", "6253", " - ", "ROYALTY DUE ATHLETICS-LRG")</f>
        <v xml:space="preserve">          6253 - ROYALTY DUE ATHLETICS-LRG</v>
      </c>
      <c r="C105" s="11"/>
      <c r="D105" s="7"/>
      <c r="E105" s="2"/>
      <c r="F105" s="6">
        <f t="shared" si="63"/>
        <v>0</v>
      </c>
      <c r="G105" s="2"/>
      <c r="H105" s="7">
        <v>20000</v>
      </c>
      <c r="I105" s="2"/>
      <c r="J105" s="6">
        <f t="shared" si="64"/>
        <v>2.1819911542078609E-2</v>
      </c>
      <c r="K105" s="2"/>
      <c r="L105" s="7">
        <f t="shared" si="65"/>
        <v>-20000</v>
      </c>
      <c r="M105" s="2"/>
      <c r="N105" s="6">
        <f t="shared" si="66"/>
        <v>-1</v>
      </c>
      <c r="O105" s="11"/>
      <c r="P105" s="7"/>
      <c r="Q105" s="2"/>
      <c r="R105" s="6">
        <f t="shared" si="67"/>
        <v>0</v>
      </c>
      <c r="S105" s="2"/>
      <c r="T105" s="7">
        <v>167000</v>
      </c>
      <c r="U105" s="2"/>
      <c r="V105" s="6">
        <f t="shared" si="68"/>
        <v>1.5940066571444974E-2</v>
      </c>
      <c r="W105" s="2"/>
      <c r="X105" s="7">
        <f t="shared" si="69"/>
        <v>-167000</v>
      </c>
      <c r="Y105" s="2"/>
      <c r="Z105" s="6">
        <f t="shared" si="70"/>
        <v>-1</v>
      </c>
    </row>
    <row r="106" spans="1:26" s="24" customFormat="1" hidden="1" outlineLevel="2" x14ac:dyDescent="0.25">
      <c r="A106" s="26"/>
      <c r="B106" s="11" t="str">
        <f>CONCATENATE("          ", "6254", " - ", "ROYALTY &amp; COMMISSIONS")</f>
        <v xml:space="preserve">          6254 - ROYALTY &amp; COMMISSIONS</v>
      </c>
      <c r="C106" s="11"/>
      <c r="D106" s="7"/>
      <c r="E106" s="2"/>
      <c r="F106" s="6">
        <f t="shared" si="63"/>
        <v>0</v>
      </c>
      <c r="G106" s="2"/>
      <c r="H106" s="7"/>
      <c r="I106" s="2"/>
      <c r="J106" s="6">
        <f t="shared" si="64"/>
        <v>0</v>
      </c>
      <c r="K106" s="2"/>
      <c r="L106" s="7">
        <f t="shared" si="65"/>
        <v>0</v>
      </c>
      <c r="M106" s="2"/>
      <c r="N106" s="6">
        <f t="shared" si="66"/>
        <v>0</v>
      </c>
      <c r="O106" s="11"/>
      <c r="P106" s="7">
        <v>153649.65</v>
      </c>
      <c r="Q106" s="2"/>
      <c r="R106" s="6">
        <f t="shared" si="67"/>
        <v>2.1999758710850435E-2</v>
      </c>
      <c r="S106" s="2"/>
      <c r="T106" s="7">
        <v>6117</v>
      </c>
      <c r="U106" s="2"/>
      <c r="V106" s="6">
        <f t="shared" si="68"/>
        <v>5.8386459411693958E-4</v>
      </c>
      <c r="W106" s="2"/>
      <c r="X106" s="7">
        <f t="shared" si="69"/>
        <v>147532.65</v>
      </c>
      <c r="Y106" s="2"/>
      <c r="Z106" s="6">
        <f t="shared" si="70"/>
        <v>24.118464933791074</v>
      </c>
    </row>
    <row r="107" spans="1:26" s="24" customFormat="1" hidden="1" outlineLevel="2" x14ac:dyDescent="0.25">
      <c r="A107" s="26"/>
      <c r="B107" s="11" t="str">
        <f>CONCATENATE("          ", "6259", " - ", "ROYALTY &amp; COMMISSIONS")</f>
        <v xml:space="preserve">          6259 - ROYALTY &amp; COMMISSIONS</v>
      </c>
      <c r="C107" s="11"/>
      <c r="D107" s="7"/>
      <c r="E107" s="2"/>
      <c r="F107" s="6">
        <f t="shared" si="63"/>
        <v>0</v>
      </c>
      <c r="G107" s="2"/>
      <c r="H107" s="7">
        <v>12692</v>
      </c>
      <c r="I107" s="2"/>
      <c r="J107" s="6">
        <f t="shared" si="64"/>
        <v>1.3846915864603085E-2</v>
      </c>
      <c r="K107" s="2"/>
      <c r="L107" s="7">
        <f t="shared" si="65"/>
        <v>-12692</v>
      </c>
      <c r="M107" s="2"/>
      <c r="N107" s="6">
        <f t="shared" si="66"/>
        <v>-1</v>
      </c>
      <c r="O107" s="11"/>
      <c r="P107" s="7">
        <v>104669.95999999999</v>
      </c>
      <c r="Q107" s="2"/>
      <c r="R107" s="6">
        <f t="shared" si="67"/>
        <v>1.4986782360222535E-2</v>
      </c>
      <c r="S107" s="2"/>
      <c r="T107" s="7">
        <v>187660</v>
      </c>
      <c r="U107" s="2"/>
      <c r="V107" s="6">
        <f t="shared" si="68"/>
        <v>1.7912053250283614E-2</v>
      </c>
      <c r="W107" s="2"/>
      <c r="X107" s="7">
        <f t="shared" si="69"/>
        <v>-82990.040000000008</v>
      </c>
      <c r="Y107" s="2"/>
      <c r="Z107" s="6">
        <f t="shared" si="70"/>
        <v>-0.44223617180006397</v>
      </c>
    </row>
    <row r="108" spans="1:26" s="27" customFormat="1" outlineLevel="1" collapsed="1" x14ac:dyDescent="0.25">
      <c r="A108" s="25"/>
      <c r="B108" s="12" t="str">
        <f>CONCATENATE("     ","Services                                          ")</f>
        <v xml:space="preserve">     Services                                          </v>
      </c>
      <c r="C108" s="12"/>
      <c r="D108" s="1">
        <f>SUM(OSRRefD22_19x_0)</f>
        <v>6054.63</v>
      </c>
      <c r="E108" s="1"/>
      <c r="F108" s="5">
        <f t="shared" ref="F108:F114" si="71">IF(D$12=0,0,D108/D$12)</f>
        <v>213.49188998589563</v>
      </c>
      <c r="G108" s="1"/>
      <c r="H108" s="1">
        <f>SUM(OSRRefH22_19x_0)</f>
        <v>23490</v>
      </c>
      <c r="I108" s="1"/>
      <c r="J108" s="5">
        <f t="shared" ref="J108:J114" si="72">IF(H$12=0,0,H108/H$12)</f>
        <v>2.5627486106171327E-2</v>
      </c>
      <c r="K108" s="1"/>
      <c r="L108" s="1">
        <f t="shared" ref="L108:L114" si="73">+D108-H108</f>
        <v>-17435.37</v>
      </c>
      <c r="M108" s="1"/>
      <c r="N108" s="5">
        <f t="shared" ref="N108:N114" si="74">IF(H108=0,0,L108/H108)</f>
        <v>-0.74224648786717751</v>
      </c>
      <c r="O108" s="12"/>
      <c r="P108" s="1">
        <f>SUM(OSRRefP22_19x_0)</f>
        <v>235021.18</v>
      </c>
      <c r="Q108" s="1"/>
      <c r="R108" s="5">
        <f t="shared" ref="R108:R114" si="75">IF(P$12=0,0,P108/P$12)</f>
        <v>3.3650641260421665E-2</v>
      </c>
      <c r="S108" s="1"/>
      <c r="T108" s="1">
        <f>SUM(OSRRefT22_19x_0)</f>
        <v>258207</v>
      </c>
      <c r="U108" s="1"/>
      <c r="V108" s="5">
        <f t="shared" ref="V108:V114" si="76">IF(T$12=0,0,T108/T$12)</f>
        <v>2.4645729156964623E-2</v>
      </c>
      <c r="W108" s="1"/>
      <c r="X108" s="1">
        <f t="shared" ref="X108:X114" si="77">+P108-T108</f>
        <v>-23185.820000000007</v>
      </c>
      <c r="Y108" s="1"/>
      <c r="Z108" s="5">
        <f t="shared" ref="Z108:Z114" si="78">IF(T108=0,0,X108/T108)</f>
        <v>-8.9795474173821804E-2</v>
      </c>
    </row>
    <row r="109" spans="1:26" s="24" customFormat="1" hidden="1" outlineLevel="2" x14ac:dyDescent="0.25">
      <c r="A109" s="26"/>
      <c r="B109" s="11" t="str">
        <f>CONCATENATE("          ", "6281", " - ", "STORAGE FEE")</f>
        <v xml:space="preserve">          6281 - STORAGE FEE</v>
      </c>
      <c r="C109" s="11"/>
      <c r="D109" s="7"/>
      <c r="E109" s="2"/>
      <c r="F109" s="6">
        <f t="shared" si="71"/>
        <v>0</v>
      </c>
      <c r="G109" s="2"/>
      <c r="H109" s="7"/>
      <c r="I109" s="2"/>
      <c r="J109" s="6">
        <f t="shared" si="72"/>
        <v>0</v>
      </c>
      <c r="K109" s="2"/>
      <c r="L109" s="7">
        <f t="shared" si="73"/>
        <v>0</v>
      </c>
      <c r="M109" s="2"/>
      <c r="N109" s="6">
        <f t="shared" si="74"/>
        <v>0</v>
      </c>
      <c r="O109" s="11"/>
      <c r="P109" s="7"/>
      <c r="Q109" s="2"/>
      <c r="R109" s="6">
        <f t="shared" si="75"/>
        <v>0</v>
      </c>
      <c r="S109" s="2"/>
      <c r="T109" s="7">
        <v>0</v>
      </c>
      <c r="U109" s="2"/>
      <c r="V109" s="6">
        <f t="shared" si="76"/>
        <v>0</v>
      </c>
      <c r="W109" s="2"/>
      <c r="X109" s="7">
        <f t="shared" si="77"/>
        <v>0</v>
      </c>
      <c r="Y109" s="2"/>
      <c r="Z109" s="6">
        <f t="shared" si="78"/>
        <v>0</v>
      </c>
    </row>
    <row r="110" spans="1:26" s="24" customFormat="1" hidden="1" outlineLevel="2" x14ac:dyDescent="0.25">
      <c r="A110" s="26"/>
      <c r="B110" s="11" t="str">
        <f>CONCATENATE("          ", "6282", " - ", "JANITORIAL/EXTERMINATOR EXPENS")</f>
        <v xml:space="preserve">          6282 - JANITORIAL/EXTERMINATOR EXPENS</v>
      </c>
      <c r="C110" s="11"/>
      <c r="D110" s="7">
        <v>372</v>
      </c>
      <c r="E110" s="2"/>
      <c r="F110" s="6">
        <f t="shared" si="71"/>
        <v>13.117066290550071</v>
      </c>
      <c r="G110" s="2"/>
      <c r="H110" s="7">
        <v>1788</v>
      </c>
      <c r="I110" s="2"/>
      <c r="J110" s="6">
        <f t="shared" si="72"/>
        <v>1.9507000918618277E-3</v>
      </c>
      <c r="K110" s="2"/>
      <c r="L110" s="7">
        <f t="shared" si="73"/>
        <v>-1416</v>
      </c>
      <c r="M110" s="2"/>
      <c r="N110" s="6">
        <f t="shared" si="74"/>
        <v>-0.79194630872483218</v>
      </c>
      <c r="O110" s="11"/>
      <c r="P110" s="7">
        <v>19096.830000000002</v>
      </c>
      <c r="Q110" s="2"/>
      <c r="R110" s="6">
        <f t="shared" si="75"/>
        <v>2.7343092037120159E-3</v>
      </c>
      <c r="S110" s="2"/>
      <c r="T110" s="7">
        <v>19953</v>
      </c>
      <c r="U110" s="2"/>
      <c r="V110" s="6">
        <f t="shared" si="76"/>
        <v>1.9045038820361771E-3</v>
      </c>
      <c r="W110" s="2"/>
      <c r="X110" s="7">
        <f t="shared" si="77"/>
        <v>-856.16999999999825</v>
      </c>
      <c r="Y110" s="2"/>
      <c r="Z110" s="6">
        <f t="shared" si="78"/>
        <v>-4.2909336941813175E-2</v>
      </c>
    </row>
    <row r="111" spans="1:26" s="24" customFormat="1" hidden="1" outlineLevel="2" x14ac:dyDescent="0.25">
      <c r="A111" s="26"/>
      <c r="B111" s="11" t="str">
        <f>CONCATENATE("          ", "6283", " - ", "PLANT SERVICE")</f>
        <v xml:space="preserve">          6283 - PLANT SERVICE</v>
      </c>
      <c r="C111" s="11"/>
      <c r="D111" s="7"/>
      <c r="E111" s="2"/>
      <c r="F111" s="6">
        <f t="shared" si="71"/>
        <v>0</v>
      </c>
      <c r="G111" s="2"/>
      <c r="H111" s="7">
        <v>185</v>
      </c>
      <c r="I111" s="2"/>
      <c r="J111" s="6">
        <f t="shared" si="72"/>
        <v>2.0183418176422712E-4</v>
      </c>
      <c r="K111" s="2"/>
      <c r="L111" s="7">
        <f t="shared" si="73"/>
        <v>-185</v>
      </c>
      <c r="M111" s="2"/>
      <c r="N111" s="6">
        <f t="shared" si="74"/>
        <v>-1</v>
      </c>
      <c r="O111" s="11"/>
      <c r="P111" s="7">
        <v>1798.02</v>
      </c>
      <c r="Q111" s="2"/>
      <c r="R111" s="6">
        <f t="shared" si="75"/>
        <v>2.5744286535819182E-4</v>
      </c>
      <c r="S111" s="2"/>
      <c r="T111" s="7">
        <v>2000</v>
      </c>
      <c r="U111" s="2"/>
      <c r="V111" s="6">
        <f t="shared" si="76"/>
        <v>1.9089900085562844E-4</v>
      </c>
      <c r="W111" s="2"/>
      <c r="X111" s="7">
        <f t="shared" si="77"/>
        <v>-201.98000000000002</v>
      </c>
      <c r="Y111" s="2"/>
      <c r="Z111" s="6">
        <f t="shared" si="78"/>
        <v>-0.10099000000000001</v>
      </c>
    </row>
    <row r="112" spans="1:26" s="24" customFormat="1" hidden="1" outlineLevel="2" x14ac:dyDescent="0.25">
      <c r="A112" s="26"/>
      <c r="B112" s="11" t="str">
        <f>CONCATENATE("          ", "6284", " - ", "TRASH REMOVAL EXPENSE")</f>
        <v xml:space="preserve">          6284 - TRASH REMOVAL EXPENSE</v>
      </c>
      <c r="C112" s="11"/>
      <c r="D112" s="7">
        <v>5419</v>
      </c>
      <c r="E112" s="2"/>
      <c r="F112" s="6">
        <f t="shared" si="71"/>
        <v>191.0789844851904</v>
      </c>
      <c r="G112" s="2"/>
      <c r="H112" s="7">
        <v>3665</v>
      </c>
      <c r="I112" s="2"/>
      <c r="J112" s="6">
        <f t="shared" si="72"/>
        <v>3.9984987900859052E-3</v>
      </c>
      <c r="K112" s="2"/>
      <c r="L112" s="7">
        <f t="shared" si="73"/>
        <v>1754</v>
      </c>
      <c r="M112" s="2"/>
      <c r="N112" s="6">
        <f t="shared" si="74"/>
        <v>0.47858117326057298</v>
      </c>
      <c r="O112" s="11"/>
      <c r="P112" s="7">
        <v>51719</v>
      </c>
      <c r="Q112" s="2"/>
      <c r="R112" s="6">
        <f t="shared" si="75"/>
        <v>7.4051943546013521E-3</v>
      </c>
      <c r="S112" s="2"/>
      <c r="T112" s="7">
        <v>40315</v>
      </c>
      <c r="U112" s="2"/>
      <c r="V112" s="6">
        <f t="shared" si="76"/>
        <v>3.8480466097473298E-3</v>
      </c>
      <c r="W112" s="2"/>
      <c r="X112" s="7">
        <f t="shared" si="77"/>
        <v>11404</v>
      </c>
      <c r="Y112" s="2"/>
      <c r="Z112" s="6">
        <f t="shared" si="78"/>
        <v>0.28287238000744142</v>
      </c>
    </row>
    <row r="113" spans="1:26" s="24" customFormat="1" hidden="1" outlineLevel="2" x14ac:dyDescent="0.25">
      <c r="A113" s="26"/>
      <c r="B113" s="11" t="str">
        <f>CONCATENATE("          ", "6285", " - ", "JANITORIAL SERVICES")</f>
        <v xml:space="preserve">          6285 - JANITORIAL SERVICES</v>
      </c>
      <c r="C113" s="11"/>
      <c r="D113" s="7">
        <v>134.1</v>
      </c>
      <c r="E113" s="2"/>
      <c r="F113" s="6">
        <f t="shared" si="71"/>
        <v>4.7284908321579691</v>
      </c>
      <c r="G113" s="2"/>
      <c r="H113" s="7">
        <v>13321</v>
      </c>
      <c r="I113" s="2"/>
      <c r="J113" s="6">
        <f t="shared" si="72"/>
        <v>1.4533152082601457E-2</v>
      </c>
      <c r="K113" s="2"/>
      <c r="L113" s="7">
        <f t="shared" si="73"/>
        <v>-13186.9</v>
      </c>
      <c r="M113" s="2"/>
      <c r="N113" s="6">
        <f t="shared" si="74"/>
        <v>-0.98993318819908416</v>
      </c>
      <c r="O113" s="11"/>
      <c r="P113" s="7">
        <v>129209.54999999999</v>
      </c>
      <c r="Q113" s="2"/>
      <c r="R113" s="6">
        <f t="shared" si="75"/>
        <v>1.8500393089978171E-2</v>
      </c>
      <c r="S113" s="2"/>
      <c r="T113" s="7">
        <v>147735</v>
      </c>
      <c r="U113" s="2"/>
      <c r="V113" s="6">
        <f t="shared" si="76"/>
        <v>1.4101231945703133E-2</v>
      </c>
      <c r="W113" s="2"/>
      <c r="X113" s="7">
        <f t="shared" si="77"/>
        <v>-18525.450000000012</v>
      </c>
      <c r="Y113" s="2"/>
      <c r="Z113" s="6">
        <f t="shared" si="78"/>
        <v>-0.12539648695299024</v>
      </c>
    </row>
    <row r="114" spans="1:26" s="24" customFormat="1" hidden="1" outlineLevel="2" x14ac:dyDescent="0.25">
      <c r="A114" s="26"/>
      <c r="B114" s="11" t="str">
        <f>CONCATENATE("          ", "6286", " - ", "LAUNDRY EXPENSE")</f>
        <v xml:space="preserve">          6286 - LAUNDRY EXPENSE</v>
      </c>
      <c r="C114" s="11"/>
      <c r="D114" s="7">
        <v>129.53</v>
      </c>
      <c r="E114" s="2"/>
      <c r="F114" s="6">
        <f t="shared" si="71"/>
        <v>4.5673483779971793</v>
      </c>
      <c r="G114" s="2"/>
      <c r="H114" s="7">
        <v>4531</v>
      </c>
      <c r="I114" s="2"/>
      <c r="J114" s="6">
        <f t="shared" si="72"/>
        <v>4.9433009598579087E-3</v>
      </c>
      <c r="K114" s="2"/>
      <c r="L114" s="7">
        <f t="shared" si="73"/>
        <v>-4401.47</v>
      </c>
      <c r="M114" s="2"/>
      <c r="N114" s="6">
        <f t="shared" si="74"/>
        <v>-0.97141249172368138</v>
      </c>
      <c r="O114" s="11"/>
      <c r="P114" s="7">
        <v>33197.78</v>
      </c>
      <c r="Q114" s="2"/>
      <c r="R114" s="6">
        <f t="shared" si="75"/>
        <v>4.7533017467719348E-3</v>
      </c>
      <c r="S114" s="2"/>
      <c r="T114" s="7">
        <v>48204</v>
      </c>
      <c r="U114" s="2"/>
      <c r="V114" s="6">
        <f t="shared" si="76"/>
        <v>4.6010477186223565E-3</v>
      </c>
      <c r="W114" s="2"/>
      <c r="X114" s="7">
        <f t="shared" si="77"/>
        <v>-15006.220000000001</v>
      </c>
      <c r="Y114" s="2"/>
      <c r="Z114" s="6">
        <f t="shared" si="78"/>
        <v>-0.31130653057837526</v>
      </c>
    </row>
    <row r="115" spans="1:26" s="27" customFormat="1" outlineLevel="1" collapsed="1" x14ac:dyDescent="0.25">
      <c r="A115" s="25"/>
      <c r="B115" s="12" t="str">
        <f>CONCATENATE("     ","Subscriptions &amp; Dues                              ")</f>
        <v xml:space="preserve">     Subscriptions &amp; Dues                              </v>
      </c>
      <c r="C115" s="12"/>
      <c r="D115" s="1">
        <f>SUM(OSRRefD22_20x_0)</f>
        <v>0</v>
      </c>
      <c r="E115" s="1"/>
      <c r="F115" s="5">
        <f t="shared" ref="F115:F117" si="79">IF(D$12=0,0,D115/D$12)</f>
        <v>0</v>
      </c>
      <c r="G115" s="1"/>
      <c r="H115" s="1">
        <f>SUM(OSRRefH22_20x_0)</f>
        <v>574</v>
      </c>
      <c r="I115" s="1"/>
      <c r="J115" s="5">
        <f t="shared" ref="J115:J117" si="80">IF(H$12=0,0,H115/H$12)</f>
        <v>6.2623146125765608E-4</v>
      </c>
      <c r="K115" s="1"/>
      <c r="L115" s="1">
        <f t="shared" ref="L115:L117" si="81">+D115-H115</f>
        <v>-574</v>
      </c>
      <c r="M115" s="1"/>
      <c r="N115" s="5">
        <f t="shared" ref="N115:N117" si="82">IF(H115=0,0,L115/H115)</f>
        <v>-1</v>
      </c>
      <c r="O115" s="12"/>
      <c r="P115" s="1">
        <f>SUM(OSRRefP22_20x_0)</f>
        <v>8711.75</v>
      </c>
      <c r="Q115" s="1"/>
      <c r="R115" s="5">
        <f t="shared" ref="R115:R117" si="83">IF(P$12=0,0,P115/P$12)</f>
        <v>1.2473598081691125E-3</v>
      </c>
      <c r="S115" s="1"/>
      <c r="T115" s="1">
        <f>SUM(OSRRefT22_20x_0)</f>
        <v>6439</v>
      </c>
      <c r="U115" s="1"/>
      <c r="V115" s="5">
        <f t="shared" ref="V115:V117" si="84">IF(T$12=0,0,T115/T$12)</f>
        <v>6.1459933325469572E-4</v>
      </c>
      <c r="W115" s="1"/>
      <c r="X115" s="1">
        <f t="shared" ref="X115:X117" si="85">+P115-T115</f>
        <v>2272.75</v>
      </c>
      <c r="Y115" s="1"/>
      <c r="Z115" s="5">
        <f t="shared" ref="Z115:Z117" si="86">IF(T115=0,0,X115/T115)</f>
        <v>0.3529662991147694</v>
      </c>
    </row>
    <row r="116" spans="1:26" s="24" customFormat="1" hidden="1" outlineLevel="2" x14ac:dyDescent="0.25">
      <c r="A116" s="26"/>
      <c r="B116" s="11" t="str">
        <f>CONCATENATE("          ", "6258", " - ", "MEMBERSHIP DUES")</f>
        <v xml:space="preserve">          6258 - MEMBERSHIP DUES</v>
      </c>
      <c r="C116" s="11"/>
      <c r="D116" s="7"/>
      <c r="E116" s="2"/>
      <c r="F116" s="6">
        <f t="shared" si="79"/>
        <v>0</v>
      </c>
      <c r="G116" s="2"/>
      <c r="H116" s="7"/>
      <c r="I116" s="2"/>
      <c r="J116" s="6">
        <f t="shared" si="80"/>
        <v>0</v>
      </c>
      <c r="K116" s="2"/>
      <c r="L116" s="7">
        <f t="shared" si="81"/>
        <v>0</v>
      </c>
      <c r="M116" s="2"/>
      <c r="N116" s="6">
        <f t="shared" si="82"/>
        <v>0</v>
      </c>
      <c r="O116" s="11"/>
      <c r="P116" s="7">
        <v>3730</v>
      </c>
      <c r="Q116" s="2"/>
      <c r="R116" s="6">
        <f t="shared" si="83"/>
        <v>5.3406629947723363E-4</v>
      </c>
      <c r="S116" s="2"/>
      <c r="T116" s="7">
        <v>300</v>
      </c>
      <c r="U116" s="2"/>
      <c r="V116" s="6">
        <f t="shared" si="84"/>
        <v>2.8634850128344264E-5</v>
      </c>
      <c r="W116" s="2"/>
      <c r="X116" s="7">
        <f t="shared" si="85"/>
        <v>3430</v>
      </c>
      <c r="Y116" s="2"/>
      <c r="Z116" s="6">
        <f t="shared" si="86"/>
        <v>11.433333333333334</v>
      </c>
    </row>
    <row r="117" spans="1:26" s="24" customFormat="1" hidden="1" outlineLevel="2" x14ac:dyDescent="0.25">
      <c r="A117" s="26"/>
      <c r="B117" s="11" t="str">
        <f>CONCATENATE("          ", "6275", " - ", "SUBSCRIPTIONS")</f>
        <v xml:space="preserve">          6275 - SUBSCRIPTIONS</v>
      </c>
      <c r="C117" s="11"/>
      <c r="D117" s="7"/>
      <c r="E117" s="2"/>
      <c r="F117" s="6">
        <f t="shared" si="79"/>
        <v>0</v>
      </c>
      <c r="G117" s="2"/>
      <c r="H117" s="7">
        <v>574</v>
      </c>
      <c r="I117" s="2"/>
      <c r="J117" s="6">
        <f t="shared" si="80"/>
        <v>6.2623146125765608E-4</v>
      </c>
      <c r="K117" s="2"/>
      <c r="L117" s="7">
        <f t="shared" si="81"/>
        <v>-574</v>
      </c>
      <c r="M117" s="2"/>
      <c r="N117" s="6">
        <f t="shared" si="82"/>
        <v>-1</v>
      </c>
      <c r="O117" s="11"/>
      <c r="P117" s="7">
        <v>4981.75</v>
      </c>
      <c r="Q117" s="2"/>
      <c r="R117" s="6">
        <f t="shared" si="83"/>
        <v>7.1329350869187892E-4</v>
      </c>
      <c r="S117" s="2"/>
      <c r="T117" s="7">
        <v>6139</v>
      </c>
      <c r="U117" s="2"/>
      <c r="V117" s="6">
        <f t="shared" si="84"/>
        <v>5.8596448312635144E-4</v>
      </c>
      <c r="W117" s="2"/>
      <c r="X117" s="7">
        <f t="shared" si="85"/>
        <v>-1157.25</v>
      </c>
      <c r="Y117" s="2"/>
      <c r="Z117" s="6">
        <f t="shared" si="86"/>
        <v>-0.18850790030949666</v>
      </c>
    </row>
    <row r="118" spans="1:26" s="27" customFormat="1" outlineLevel="1" collapsed="1" x14ac:dyDescent="0.25">
      <c r="A118" s="25"/>
      <c r="B118" s="12" t="str">
        <f>CONCATENATE("     ","Supplies                                          ")</f>
        <v xml:space="preserve">     Supplies                                          </v>
      </c>
      <c r="C118" s="12"/>
      <c r="D118" s="1">
        <f>SUM(OSRRefD22_21x_0)</f>
        <v>1676.7399999999998</v>
      </c>
      <c r="E118" s="1"/>
      <c r="F118" s="5">
        <f t="shared" ref="F118:F129" si="87">IF(D$12=0,0,D118/D$12)</f>
        <v>59.123413258110006</v>
      </c>
      <c r="G118" s="1"/>
      <c r="H118" s="1">
        <f>SUM(OSRRefH22_21x_0)</f>
        <v>13836</v>
      </c>
      <c r="I118" s="1"/>
      <c r="J118" s="5">
        <f t="shared" ref="J118:J129" si="88">IF(H$12=0,0,H118/H$12)</f>
        <v>1.5095014804809981E-2</v>
      </c>
      <c r="K118" s="1"/>
      <c r="L118" s="1">
        <f t="shared" ref="L118:L129" si="89">+D118-H118</f>
        <v>-12159.26</v>
      </c>
      <c r="M118" s="1"/>
      <c r="N118" s="5">
        <f t="shared" ref="N118:N129" si="90">IF(H118=0,0,L118/H118)</f>
        <v>-0.87881324082104662</v>
      </c>
      <c r="O118" s="12"/>
      <c r="P118" s="1">
        <f>SUM(OSRRefP22_21x_0)</f>
        <v>219115.03999999998</v>
      </c>
      <c r="Q118" s="1"/>
      <c r="R118" s="5">
        <f t="shared" ref="R118:R129" si="91">IF(P$12=0,0,P118/P$12)</f>
        <v>3.1373179241985523E-2</v>
      </c>
      <c r="S118" s="1"/>
      <c r="T118" s="1">
        <f>SUM(OSRRefT22_21x_0)</f>
        <v>199624.86</v>
      </c>
      <c r="U118" s="1"/>
      <c r="V118" s="5">
        <f t="shared" ref="V118:V129" si="92">IF(T$12=0,0,T118/T$12)</f>
        <v>1.9054093159972352E-2</v>
      </c>
      <c r="W118" s="1"/>
      <c r="X118" s="1">
        <f t="shared" ref="X118:X129" si="93">+P118-T118</f>
        <v>19490.179999999993</v>
      </c>
      <c r="Y118" s="1"/>
      <c r="Z118" s="5">
        <f t="shared" ref="Z118:Z129" si="94">IF(T118=0,0,X118/T118)</f>
        <v>9.7634032154111441E-2</v>
      </c>
    </row>
    <row r="119" spans="1:26" s="24" customFormat="1" hidden="1" outlineLevel="2" x14ac:dyDescent="0.25">
      <c r="A119" s="26"/>
      <c r="B119" s="11" t="str">
        <f>CONCATENATE("          ", "6234", " - ", "EXPENDABLE SUPPLIES &amp; EQUIPMEN")</f>
        <v xml:space="preserve">          6234 - EXPENDABLE SUPPLIES &amp; EQUIPMEN</v>
      </c>
      <c r="C119" s="11"/>
      <c r="D119" s="7"/>
      <c r="E119" s="2"/>
      <c r="F119" s="6">
        <f t="shared" si="87"/>
        <v>0</v>
      </c>
      <c r="G119" s="2"/>
      <c r="H119" s="7">
        <v>700</v>
      </c>
      <c r="I119" s="2"/>
      <c r="J119" s="6">
        <f t="shared" si="88"/>
        <v>7.6369690397275127E-4</v>
      </c>
      <c r="K119" s="2"/>
      <c r="L119" s="7">
        <f t="shared" si="89"/>
        <v>-700</v>
      </c>
      <c r="M119" s="2"/>
      <c r="N119" s="6">
        <f t="shared" si="90"/>
        <v>-1</v>
      </c>
      <c r="O119" s="11"/>
      <c r="P119" s="7">
        <v>15778.950000000003</v>
      </c>
      <c r="Q119" s="2"/>
      <c r="R119" s="6">
        <f t="shared" si="91"/>
        <v>2.2592507871679081E-3</v>
      </c>
      <c r="S119" s="2"/>
      <c r="T119" s="7">
        <v>10350</v>
      </c>
      <c r="U119" s="2"/>
      <c r="V119" s="6">
        <f t="shared" si="92"/>
        <v>9.8790232942787704E-4</v>
      </c>
      <c r="W119" s="2"/>
      <c r="X119" s="7">
        <f t="shared" si="93"/>
        <v>5428.9500000000025</v>
      </c>
      <c r="Y119" s="2"/>
      <c r="Z119" s="6">
        <f t="shared" si="94"/>
        <v>0.52453623188405818</v>
      </c>
    </row>
    <row r="120" spans="1:26" s="24" customFormat="1" hidden="1" outlineLevel="2" x14ac:dyDescent="0.25">
      <c r="A120" s="26"/>
      <c r="B120" s="11" t="str">
        <f>CONCATENATE("          ", "6235", " - ", "COVID-19 EXPENSES")</f>
        <v xml:space="preserve">          6235 - COVID-19 EXPENSES</v>
      </c>
      <c r="C120" s="11"/>
      <c r="D120" s="7">
        <v>1095.08</v>
      </c>
      <c r="E120" s="2"/>
      <c r="F120" s="6">
        <f t="shared" si="87"/>
        <v>38.613540197461212</v>
      </c>
      <c r="G120" s="2"/>
      <c r="H120" s="7"/>
      <c r="I120" s="2"/>
      <c r="J120" s="6">
        <f t="shared" si="88"/>
        <v>0</v>
      </c>
      <c r="K120" s="2"/>
      <c r="L120" s="7">
        <f t="shared" si="89"/>
        <v>1095.08</v>
      </c>
      <c r="M120" s="2"/>
      <c r="N120" s="6">
        <f t="shared" si="90"/>
        <v>0</v>
      </c>
      <c r="O120" s="11"/>
      <c r="P120" s="7">
        <v>1095.08</v>
      </c>
      <c r="Q120" s="2"/>
      <c r="R120" s="6">
        <f t="shared" si="91"/>
        <v>1.5679499282346621E-4</v>
      </c>
      <c r="S120" s="2"/>
      <c r="T120" s="7"/>
      <c r="U120" s="2"/>
      <c r="V120" s="6">
        <f t="shared" si="92"/>
        <v>0</v>
      </c>
      <c r="W120" s="2"/>
      <c r="X120" s="7">
        <f t="shared" si="93"/>
        <v>1095.08</v>
      </c>
      <c r="Y120" s="2"/>
      <c r="Z120" s="6">
        <f t="shared" si="94"/>
        <v>0</v>
      </c>
    </row>
    <row r="121" spans="1:26" s="24" customFormat="1" hidden="1" outlineLevel="2" x14ac:dyDescent="0.25">
      <c r="A121" s="26"/>
      <c r="B121" s="11" t="str">
        <f>CONCATENATE("          ", "6237", " - ", "JANITORIAL SUPPLIES")</f>
        <v xml:space="preserve">          6237 - JANITORIAL SUPPLIES</v>
      </c>
      <c r="C121" s="11"/>
      <c r="D121" s="7">
        <v>47.1</v>
      </c>
      <c r="E121" s="2"/>
      <c r="F121" s="6">
        <f t="shared" si="87"/>
        <v>1.6607898448519043</v>
      </c>
      <c r="G121" s="2"/>
      <c r="H121" s="7">
        <v>4061</v>
      </c>
      <c r="I121" s="2"/>
      <c r="J121" s="6">
        <f t="shared" si="88"/>
        <v>4.4305330386190615E-3</v>
      </c>
      <c r="K121" s="2"/>
      <c r="L121" s="7">
        <f t="shared" si="89"/>
        <v>-4013.9</v>
      </c>
      <c r="M121" s="2"/>
      <c r="N121" s="6">
        <f t="shared" si="90"/>
        <v>-0.98840187146023151</v>
      </c>
      <c r="O121" s="11"/>
      <c r="P121" s="7">
        <v>52899.67</v>
      </c>
      <c r="Q121" s="2"/>
      <c r="R121" s="6">
        <f t="shared" si="91"/>
        <v>7.5742442360500883E-3</v>
      </c>
      <c r="S121" s="2"/>
      <c r="T121" s="7">
        <v>47601</v>
      </c>
      <c r="U121" s="2"/>
      <c r="V121" s="6">
        <f t="shared" si="92"/>
        <v>4.5434916698643846E-3</v>
      </c>
      <c r="W121" s="2"/>
      <c r="X121" s="7">
        <f t="shared" si="93"/>
        <v>5298.6699999999983</v>
      </c>
      <c r="Y121" s="2"/>
      <c r="Z121" s="6">
        <f t="shared" si="94"/>
        <v>0.11131425810382131</v>
      </c>
    </row>
    <row r="122" spans="1:26" s="24" customFormat="1" hidden="1" outlineLevel="2" x14ac:dyDescent="0.25">
      <c r="A122" s="26"/>
      <c r="B122" s="11" t="str">
        <f>CONCATENATE("          ", "6239", " - ", "KITCHEN SUPPLIES")</f>
        <v xml:space="preserve">          6239 - KITCHEN SUPPLIES</v>
      </c>
      <c r="C122" s="11"/>
      <c r="D122" s="7"/>
      <c r="E122" s="2"/>
      <c r="F122" s="6">
        <f t="shared" si="87"/>
        <v>0</v>
      </c>
      <c r="G122" s="2"/>
      <c r="H122" s="7">
        <v>600</v>
      </c>
      <c r="I122" s="2"/>
      <c r="J122" s="6">
        <f t="shared" si="88"/>
        <v>6.5459734626235823E-4</v>
      </c>
      <c r="K122" s="2"/>
      <c r="L122" s="7">
        <f t="shared" si="89"/>
        <v>-600</v>
      </c>
      <c r="M122" s="2"/>
      <c r="N122" s="6">
        <f t="shared" si="90"/>
        <v>-1</v>
      </c>
      <c r="O122" s="11"/>
      <c r="P122" s="7">
        <v>45966.83</v>
      </c>
      <c r="Q122" s="2"/>
      <c r="R122" s="6">
        <f t="shared" si="91"/>
        <v>6.5815910983375563E-3</v>
      </c>
      <c r="S122" s="2"/>
      <c r="T122" s="7">
        <v>30554.15</v>
      </c>
      <c r="U122" s="2"/>
      <c r="V122" s="6">
        <f t="shared" si="92"/>
        <v>2.9163783534964997E-3</v>
      </c>
      <c r="W122" s="2"/>
      <c r="X122" s="7">
        <f t="shared" si="93"/>
        <v>15412.68</v>
      </c>
      <c r="Y122" s="2"/>
      <c r="Z122" s="6">
        <f t="shared" si="94"/>
        <v>0.50443818597473666</v>
      </c>
    </row>
    <row r="123" spans="1:26" s="24" customFormat="1" hidden="1" outlineLevel="2" x14ac:dyDescent="0.25">
      <c r="A123" s="26"/>
      <c r="B123" s="11" t="str">
        <f>CONCATENATE("          ", "6241", " - ", "OFFICE EXPENSE")</f>
        <v xml:space="preserve">          6241 - OFFICE EXPENSE</v>
      </c>
      <c r="C123" s="11"/>
      <c r="D123" s="7">
        <v>0</v>
      </c>
      <c r="E123" s="2"/>
      <c r="F123" s="6">
        <f t="shared" si="87"/>
        <v>0</v>
      </c>
      <c r="G123" s="2"/>
      <c r="H123" s="7">
        <v>770</v>
      </c>
      <c r="I123" s="2"/>
      <c r="J123" s="6">
        <f t="shared" si="88"/>
        <v>8.4006659437002639E-4</v>
      </c>
      <c r="K123" s="2"/>
      <c r="L123" s="7">
        <f t="shared" si="89"/>
        <v>-770</v>
      </c>
      <c r="M123" s="2"/>
      <c r="N123" s="6">
        <f t="shared" si="90"/>
        <v>-1</v>
      </c>
      <c r="O123" s="11"/>
      <c r="P123" s="7">
        <v>20136.28</v>
      </c>
      <c r="Q123" s="2"/>
      <c r="R123" s="6">
        <f t="shared" si="91"/>
        <v>2.8831390200636537E-3</v>
      </c>
      <c r="S123" s="2"/>
      <c r="T123" s="7">
        <v>10478.82</v>
      </c>
      <c r="U123" s="2"/>
      <c r="V123" s="6">
        <f t="shared" si="92"/>
        <v>1.0001981340729881E-3</v>
      </c>
      <c r="W123" s="2"/>
      <c r="X123" s="7">
        <f t="shared" si="93"/>
        <v>9657.4599999999991</v>
      </c>
      <c r="Y123" s="2"/>
      <c r="Z123" s="6">
        <f t="shared" si="94"/>
        <v>0.9216171286461643</v>
      </c>
    </row>
    <row r="124" spans="1:26" s="24" customFormat="1" hidden="1" outlineLevel="2" x14ac:dyDescent="0.25">
      <c r="A124" s="26"/>
      <c r="B124" s="11" t="str">
        <f>CONCATENATE("          ", "6243", " - ", "PAPER SUPPLIES")</f>
        <v xml:space="preserve">          6243 - PAPER SUPPLIES</v>
      </c>
      <c r="C124" s="11"/>
      <c r="D124" s="7"/>
      <c r="E124" s="2"/>
      <c r="F124" s="6">
        <f t="shared" si="87"/>
        <v>0</v>
      </c>
      <c r="G124" s="2"/>
      <c r="H124" s="7">
        <v>3750</v>
      </c>
      <c r="I124" s="2"/>
      <c r="J124" s="6">
        <f t="shared" si="88"/>
        <v>4.0912334141397387E-3</v>
      </c>
      <c r="K124" s="2"/>
      <c r="L124" s="7">
        <f t="shared" si="89"/>
        <v>-3750</v>
      </c>
      <c r="M124" s="2"/>
      <c r="N124" s="6">
        <f t="shared" si="90"/>
        <v>-1</v>
      </c>
      <c r="O124" s="11"/>
      <c r="P124" s="7">
        <v>34117.769999999997</v>
      </c>
      <c r="Q124" s="2"/>
      <c r="R124" s="6">
        <f t="shared" si="91"/>
        <v>4.8850271234089472E-3</v>
      </c>
      <c r="S124" s="2"/>
      <c r="T124" s="7">
        <v>43289.52</v>
      </c>
      <c r="U124" s="2"/>
      <c r="V124" s="6">
        <f t="shared" si="92"/>
        <v>4.1319630577598713E-3</v>
      </c>
      <c r="W124" s="2"/>
      <c r="X124" s="7">
        <f t="shared" si="93"/>
        <v>-9171.75</v>
      </c>
      <c r="Y124" s="2"/>
      <c r="Z124" s="6">
        <f t="shared" si="94"/>
        <v>-0.21186998608439181</v>
      </c>
    </row>
    <row r="125" spans="1:26" s="24" customFormat="1" hidden="1" outlineLevel="2" x14ac:dyDescent="0.25">
      <c r="A125" s="26"/>
      <c r="B125" s="11" t="str">
        <f>CONCATENATE("          ", "6244", " - ", "SAFETY SUPPLY EXPENSE")</f>
        <v xml:space="preserve">          6244 - SAFETY SUPPLY EXPENSE</v>
      </c>
      <c r="C125" s="11"/>
      <c r="D125" s="7"/>
      <c r="E125" s="2"/>
      <c r="F125" s="6">
        <f t="shared" si="87"/>
        <v>0</v>
      </c>
      <c r="G125" s="2"/>
      <c r="H125" s="7">
        <v>110</v>
      </c>
      <c r="I125" s="2"/>
      <c r="J125" s="6">
        <f t="shared" si="88"/>
        <v>1.2000951348143235E-4</v>
      </c>
      <c r="K125" s="2"/>
      <c r="L125" s="7">
        <f t="shared" si="89"/>
        <v>-110</v>
      </c>
      <c r="M125" s="2"/>
      <c r="N125" s="6">
        <f t="shared" si="90"/>
        <v>-1</v>
      </c>
      <c r="O125" s="11"/>
      <c r="P125" s="7"/>
      <c r="Q125" s="2"/>
      <c r="R125" s="6">
        <f t="shared" si="91"/>
        <v>0</v>
      </c>
      <c r="S125" s="2"/>
      <c r="T125" s="7">
        <v>1240</v>
      </c>
      <c r="U125" s="2"/>
      <c r="V125" s="6">
        <f t="shared" si="92"/>
        <v>1.1835738053048962E-4</v>
      </c>
      <c r="W125" s="2"/>
      <c r="X125" s="7">
        <f t="shared" si="93"/>
        <v>-1240</v>
      </c>
      <c r="Y125" s="2"/>
      <c r="Z125" s="6">
        <f t="shared" si="94"/>
        <v>-1</v>
      </c>
    </row>
    <row r="126" spans="1:26" s="24" customFormat="1" hidden="1" outlineLevel="2" x14ac:dyDescent="0.25">
      <c r="A126" s="26"/>
      <c r="B126" s="11" t="str">
        <f>CONCATENATE("          ", "6245", " - ", "PRINTING")</f>
        <v xml:space="preserve">          6245 - PRINTING</v>
      </c>
      <c r="C126" s="11"/>
      <c r="D126" s="7"/>
      <c r="E126" s="2"/>
      <c r="F126" s="6">
        <f t="shared" si="87"/>
        <v>0</v>
      </c>
      <c r="G126" s="2"/>
      <c r="H126" s="7">
        <v>50</v>
      </c>
      <c r="I126" s="2"/>
      <c r="J126" s="6">
        <f t="shared" si="88"/>
        <v>5.4549778855196519E-5</v>
      </c>
      <c r="K126" s="2"/>
      <c r="L126" s="7">
        <f t="shared" si="89"/>
        <v>-50</v>
      </c>
      <c r="M126" s="2"/>
      <c r="N126" s="6">
        <f t="shared" si="90"/>
        <v>-1</v>
      </c>
      <c r="O126" s="11"/>
      <c r="P126" s="7">
        <v>613.02</v>
      </c>
      <c r="Q126" s="2"/>
      <c r="R126" s="6">
        <f t="shared" si="91"/>
        <v>8.7773008821858908E-5</v>
      </c>
      <c r="S126" s="2"/>
      <c r="T126" s="7">
        <v>2686.82</v>
      </c>
      <c r="U126" s="2"/>
      <c r="V126" s="6">
        <f t="shared" si="92"/>
        <v>2.5645562673945981E-4</v>
      </c>
      <c r="W126" s="2"/>
      <c r="X126" s="7">
        <f t="shared" si="93"/>
        <v>-2073.8000000000002</v>
      </c>
      <c r="Y126" s="2"/>
      <c r="Z126" s="6">
        <f t="shared" si="94"/>
        <v>-0.77184180555452175</v>
      </c>
    </row>
    <row r="127" spans="1:26" s="24" customFormat="1" hidden="1" outlineLevel="2" x14ac:dyDescent="0.25">
      <c r="A127" s="26"/>
      <c r="B127" s="11" t="str">
        <f>CONCATENATE("          ", "6246", " - ", "REPLACEMENTS")</f>
        <v xml:space="preserve">          6246 - REPLACEMENTS</v>
      </c>
      <c r="C127" s="11"/>
      <c r="D127" s="7"/>
      <c r="E127" s="2"/>
      <c r="F127" s="6">
        <f t="shared" si="87"/>
        <v>0</v>
      </c>
      <c r="G127" s="2"/>
      <c r="H127" s="7"/>
      <c r="I127" s="2"/>
      <c r="J127" s="6">
        <f t="shared" si="88"/>
        <v>0</v>
      </c>
      <c r="K127" s="2"/>
      <c r="L127" s="7">
        <f t="shared" si="89"/>
        <v>0</v>
      </c>
      <c r="M127" s="2"/>
      <c r="N127" s="6">
        <f t="shared" si="90"/>
        <v>0</v>
      </c>
      <c r="O127" s="11"/>
      <c r="P127" s="7">
        <v>25.87</v>
      </c>
      <c r="Q127" s="2"/>
      <c r="R127" s="6">
        <f t="shared" si="91"/>
        <v>3.7041005810927706E-6</v>
      </c>
      <c r="S127" s="2"/>
      <c r="T127" s="7">
        <v>3400</v>
      </c>
      <c r="U127" s="2"/>
      <c r="V127" s="6">
        <f t="shared" si="92"/>
        <v>3.2452830145456832E-4</v>
      </c>
      <c r="W127" s="2"/>
      <c r="X127" s="7">
        <f t="shared" si="93"/>
        <v>-3374.13</v>
      </c>
      <c r="Y127" s="2"/>
      <c r="Z127" s="6">
        <f t="shared" si="94"/>
        <v>-0.99239117647058828</v>
      </c>
    </row>
    <row r="128" spans="1:26" s="24" customFormat="1" hidden="1" outlineLevel="2" x14ac:dyDescent="0.25">
      <c r="A128" s="26"/>
      <c r="B128" s="11" t="str">
        <f>CONCATENATE("          ", "6247", " - ", "STORE SUPPLIES")</f>
        <v xml:space="preserve">          6247 - STORE SUPPLIES</v>
      </c>
      <c r="C128" s="11"/>
      <c r="D128" s="7">
        <v>493.49</v>
      </c>
      <c r="E128" s="2"/>
      <c r="F128" s="6">
        <f t="shared" si="87"/>
        <v>17.400916784203105</v>
      </c>
      <c r="G128" s="2"/>
      <c r="H128" s="7">
        <v>3545</v>
      </c>
      <c r="I128" s="2"/>
      <c r="J128" s="6">
        <f t="shared" si="88"/>
        <v>3.8675793208334335E-3</v>
      </c>
      <c r="K128" s="2"/>
      <c r="L128" s="7">
        <f t="shared" si="89"/>
        <v>-3051.51</v>
      </c>
      <c r="M128" s="2"/>
      <c r="N128" s="6">
        <f t="shared" si="90"/>
        <v>-0.86079266572637525</v>
      </c>
      <c r="O128" s="11"/>
      <c r="P128" s="7">
        <v>43563.5</v>
      </c>
      <c r="Q128" s="2"/>
      <c r="R128" s="6">
        <f t="shared" si="91"/>
        <v>6.2374791520848436E-3</v>
      </c>
      <c r="S128" s="2"/>
      <c r="T128" s="7">
        <v>39874.550000000003</v>
      </c>
      <c r="U128" s="2"/>
      <c r="V128" s="6">
        <f t="shared" si="92"/>
        <v>3.8060058772838995E-3</v>
      </c>
      <c r="W128" s="2"/>
      <c r="X128" s="7">
        <f t="shared" si="93"/>
        <v>3688.9499999999971</v>
      </c>
      <c r="Y128" s="2"/>
      <c r="Z128" s="6">
        <f t="shared" si="94"/>
        <v>9.2513896708552118E-2</v>
      </c>
    </row>
    <row r="129" spans="1:26" s="24" customFormat="1" hidden="1" outlineLevel="2" x14ac:dyDescent="0.25">
      <c r="A129" s="26"/>
      <c r="B129" s="11" t="str">
        <f>CONCATENATE("          ", "6248", " - ", "UNIFORMS")</f>
        <v xml:space="preserve">          6248 - UNIFORMS</v>
      </c>
      <c r="C129" s="11"/>
      <c r="D129" s="7">
        <v>41.07</v>
      </c>
      <c r="E129" s="2"/>
      <c r="F129" s="6">
        <f t="shared" si="87"/>
        <v>1.4481664315937941</v>
      </c>
      <c r="G129" s="2"/>
      <c r="H129" s="7">
        <v>250</v>
      </c>
      <c r="I129" s="2"/>
      <c r="J129" s="6">
        <f t="shared" si="88"/>
        <v>2.727488942759826E-4</v>
      </c>
      <c r="K129" s="2"/>
      <c r="L129" s="7">
        <f t="shared" si="89"/>
        <v>-208.93</v>
      </c>
      <c r="M129" s="2"/>
      <c r="N129" s="6">
        <f t="shared" si="90"/>
        <v>-0.83572000000000002</v>
      </c>
      <c r="O129" s="11"/>
      <c r="P129" s="7">
        <v>4918.07</v>
      </c>
      <c r="Q129" s="2"/>
      <c r="R129" s="6">
        <f t="shared" si="91"/>
        <v>7.0417572264611214E-4</v>
      </c>
      <c r="S129" s="2"/>
      <c r="T129" s="7">
        <v>10150</v>
      </c>
      <c r="U129" s="2"/>
      <c r="V129" s="6">
        <f t="shared" si="92"/>
        <v>9.688124293423143E-4</v>
      </c>
      <c r="W129" s="2"/>
      <c r="X129" s="7">
        <f t="shared" si="93"/>
        <v>-5231.93</v>
      </c>
      <c r="Y129" s="2"/>
      <c r="Z129" s="6">
        <f t="shared" si="94"/>
        <v>-0.51546108374384236</v>
      </c>
    </row>
    <row r="130" spans="1:26" s="27" customFormat="1" outlineLevel="1" collapsed="1" x14ac:dyDescent="0.25">
      <c r="A130" s="25"/>
      <c r="B130" s="12" t="str">
        <f>CONCATENATE("     ","Telephone/Data Lines                              ")</f>
        <v xml:space="preserve">     Telephone/Data Lines                              </v>
      </c>
      <c r="C130" s="12"/>
      <c r="D130" s="1">
        <f>SUM(OSRRefD22_22x_0)</f>
        <v>1994.65</v>
      </c>
      <c r="E130" s="1"/>
      <c r="F130" s="5">
        <f t="shared" ref="F130:F132" si="95">IF(D$12=0,0,D130/D$12)</f>
        <v>70.333215796897036</v>
      </c>
      <c r="G130" s="1"/>
      <c r="H130" s="1">
        <f>SUM(OSRRefH22_22x_0)</f>
        <v>2351</v>
      </c>
      <c r="I130" s="1"/>
      <c r="J130" s="5">
        <f t="shared" ref="J130:J132" si="96">IF(H$12=0,0,H130/H$12)</f>
        <v>2.5649306017713402E-3</v>
      </c>
      <c r="K130" s="1"/>
      <c r="L130" s="1">
        <f t="shared" ref="L130:L132" si="97">+D130-H130</f>
        <v>-356.34999999999991</v>
      </c>
      <c r="M130" s="1"/>
      <c r="N130" s="5">
        <f t="shared" ref="N130:N132" si="98">IF(H130=0,0,L130/H130)</f>
        <v>-0.1515737983836665</v>
      </c>
      <c r="O130" s="12"/>
      <c r="P130" s="1">
        <f>SUM(OSRRefP22_22x_0)</f>
        <v>24985.84</v>
      </c>
      <c r="Q130" s="1"/>
      <c r="R130" s="5">
        <f t="shared" ref="R130:R132" si="99">IF(P$12=0,0,P130/P$12)</f>
        <v>3.577505390919636E-3</v>
      </c>
      <c r="S130" s="1"/>
      <c r="T130" s="1">
        <f>SUM(OSRRefT22_22x_0)</f>
        <v>25142</v>
      </c>
      <c r="U130" s="1"/>
      <c r="V130" s="5">
        <f t="shared" ref="V130:V132" si="100">IF(T$12=0,0,T130/T$12)</f>
        <v>2.3997913397561048E-3</v>
      </c>
      <c r="W130" s="1"/>
      <c r="X130" s="1">
        <f t="shared" ref="X130:X132" si="101">+P130-T130</f>
        <v>-156.15999999999985</v>
      </c>
      <c r="Y130" s="1"/>
      <c r="Z130" s="5">
        <f t="shared" ref="Z130:Z132" si="102">IF(T130=0,0,X130/T130)</f>
        <v>-6.2111208336647784E-3</v>
      </c>
    </row>
    <row r="131" spans="1:26" s="24" customFormat="1" hidden="1" outlineLevel="2" x14ac:dyDescent="0.25">
      <c r="A131" s="26"/>
      <c r="B131" s="11" t="str">
        <f>CONCATENATE("          ", "6303", " - ", "DATA PHONE LINES")</f>
        <v xml:space="preserve">          6303 - DATA PHONE LINES</v>
      </c>
      <c r="C131" s="11"/>
      <c r="D131" s="7"/>
      <c r="E131" s="2"/>
      <c r="F131" s="6">
        <f t="shared" si="95"/>
        <v>0</v>
      </c>
      <c r="G131" s="2"/>
      <c r="H131" s="7">
        <v>696</v>
      </c>
      <c r="I131" s="2"/>
      <c r="J131" s="6">
        <f t="shared" si="96"/>
        <v>7.593329216643356E-4</v>
      </c>
      <c r="K131" s="2"/>
      <c r="L131" s="7">
        <f t="shared" si="97"/>
        <v>-696</v>
      </c>
      <c r="M131" s="2"/>
      <c r="N131" s="6">
        <f t="shared" si="98"/>
        <v>-1</v>
      </c>
      <c r="O131" s="11"/>
      <c r="P131" s="7"/>
      <c r="Q131" s="2"/>
      <c r="R131" s="6">
        <f t="shared" si="99"/>
        <v>0</v>
      </c>
      <c r="S131" s="2"/>
      <c r="T131" s="7">
        <v>6862</v>
      </c>
      <c r="U131" s="2"/>
      <c r="V131" s="6">
        <f t="shared" si="100"/>
        <v>6.5497447193566113E-4</v>
      </c>
      <c r="W131" s="2"/>
      <c r="X131" s="7">
        <f t="shared" si="101"/>
        <v>-6862</v>
      </c>
      <c r="Y131" s="2"/>
      <c r="Z131" s="6">
        <f t="shared" si="102"/>
        <v>-1</v>
      </c>
    </row>
    <row r="132" spans="1:26" s="24" customFormat="1" hidden="1" outlineLevel="2" x14ac:dyDescent="0.25">
      <c r="A132" s="26"/>
      <c r="B132" s="11" t="str">
        <f>CONCATENATE("          ", "6309", " - ", "TELEPHONE")</f>
        <v xml:space="preserve">          6309 - TELEPHONE</v>
      </c>
      <c r="C132" s="11"/>
      <c r="D132" s="7">
        <v>1994.65</v>
      </c>
      <c r="E132" s="2"/>
      <c r="F132" s="6">
        <f t="shared" si="95"/>
        <v>70.333215796897036</v>
      </c>
      <c r="G132" s="2"/>
      <c r="H132" s="7">
        <v>1655</v>
      </c>
      <c r="I132" s="2"/>
      <c r="J132" s="6">
        <f t="shared" si="96"/>
        <v>1.8055976801070049E-3</v>
      </c>
      <c r="K132" s="2"/>
      <c r="L132" s="7">
        <f t="shared" si="97"/>
        <v>339.65000000000009</v>
      </c>
      <c r="M132" s="2"/>
      <c r="N132" s="6">
        <f t="shared" si="98"/>
        <v>0.2052265861027191</v>
      </c>
      <c r="O132" s="11"/>
      <c r="P132" s="7">
        <v>24985.84</v>
      </c>
      <c r="Q132" s="2"/>
      <c r="R132" s="6">
        <f t="shared" si="99"/>
        <v>3.577505390919636E-3</v>
      </c>
      <c r="S132" s="2"/>
      <c r="T132" s="7">
        <v>18280</v>
      </c>
      <c r="U132" s="2"/>
      <c r="V132" s="6">
        <f t="shared" si="100"/>
        <v>1.7448168678204437E-3</v>
      </c>
      <c r="W132" s="2"/>
      <c r="X132" s="7">
        <f t="shared" si="101"/>
        <v>6705.84</v>
      </c>
      <c r="Y132" s="2"/>
      <c r="Z132" s="6">
        <f t="shared" si="102"/>
        <v>0.36684026258205688</v>
      </c>
    </row>
    <row r="133" spans="1:26" s="27" customFormat="1" outlineLevel="1" collapsed="1" x14ac:dyDescent="0.25">
      <c r="A133" s="25"/>
      <c r="B133" s="12" t="str">
        <f>CONCATENATE("     ","Training                                          ")</f>
        <v xml:space="preserve">     Training                                          </v>
      </c>
      <c r="C133" s="12"/>
      <c r="D133" s="1">
        <f>SUM(OSRRefD22_23x_0)</f>
        <v>0</v>
      </c>
      <c r="E133" s="1"/>
      <c r="F133" s="5">
        <f t="shared" ref="F133:F138" si="103">IF(D$12=0,0,D133/D$12)</f>
        <v>0</v>
      </c>
      <c r="G133" s="1"/>
      <c r="H133" s="1">
        <f>SUM(OSRRefH22_23x_0)</f>
        <v>0</v>
      </c>
      <c r="I133" s="1"/>
      <c r="J133" s="5">
        <f t="shared" ref="J133:J138" si="104">IF(H$12=0,0,H133/H$12)</f>
        <v>0</v>
      </c>
      <c r="K133" s="1"/>
      <c r="L133" s="1">
        <f t="shared" ref="L133:L138" si="105">+D133-H133</f>
        <v>0</v>
      </c>
      <c r="M133" s="1"/>
      <c r="N133" s="5">
        <f t="shared" ref="N133:N138" si="106">IF(H133=0,0,L133/H133)</f>
        <v>0</v>
      </c>
      <c r="O133" s="12"/>
      <c r="P133" s="1">
        <f>SUM(OSRRefP22_23x_0)</f>
        <v>2233.0100000000002</v>
      </c>
      <c r="Q133" s="1"/>
      <c r="R133" s="5">
        <f t="shared" ref="R133:R138" si="107">IF(P$12=0,0,P133/P$12)</f>
        <v>3.1972530493181166E-4</v>
      </c>
      <c r="S133" s="1"/>
      <c r="T133" s="1">
        <f>SUM(OSRRefT22_23x_0)</f>
        <v>10540</v>
      </c>
      <c r="U133" s="1"/>
      <c r="V133" s="5">
        <f t="shared" ref="V133:V138" si="108">IF(T$12=0,0,T133/T$12)</f>
        <v>1.0060377345091618E-3</v>
      </c>
      <c r="W133" s="1"/>
      <c r="X133" s="1">
        <f t="shared" ref="X133:X138" si="109">+P133-T133</f>
        <v>-8306.99</v>
      </c>
      <c r="Y133" s="1"/>
      <c r="Z133" s="5">
        <f t="shared" ref="Z133:Z138" si="110">IF(T133=0,0,X133/T133)</f>
        <v>-0.78813946869070206</v>
      </c>
    </row>
    <row r="134" spans="1:26" s="24" customFormat="1" hidden="1" outlineLevel="2" x14ac:dyDescent="0.25">
      <c r="A134" s="26"/>
      <c r="B134" s="11" t="str">
        <f>CONCATENATE("          ", "6376", " - ", "TRAINING")</f>
        <v xml:space="preserve">          6376 - TRAINING</v>
      </c>
      <c r="C134" s="11"/>
      <c r="D134" s="7"/>
      <c r="E134" s="2"/>
      <c r="F134" s="6">
        <f t="shared" si="103"/>
        <v>0</v>
      </c>
      <c r="G134" s="2"/>
      <c r="H134" s="7"/>
      <c r="I134" s="2"/>
      <c r="J134" s="6">
        <f t="shared" si="104"/>
        <v>0</v>
      </c>
      <c r="K134" s="2"/>
      <c r="L134" s="7">
        <f t="shared" si="105"/>
        <v>0</v>
      </c>
      <c r="M134" s="2"/>
      <c r="N134" s="6">
        <f t="shared" si="106"/>
        <v>0</v>
      </c>
      <c r="O134" s="11"/>
      <c r="P134" s="7">
        <v>2233.0100000000002</v>
      </c>
      <c r="Q134" s="2"/>
      <c r="R134" s="6">
        <f t="shared" si="107"/>
        <v>3.1972530493181166E-4</v>
      </c>
      <c r="S134" s="2"/>
      <c r="T134" s="7">
        <v>10540</v>
      </c>
      <c r="U134" s="2"/>
      <c r="V134" s="6">
        <f t="shared" si="108"/>
        <v>1.0060377345091618E-3</v>
      </c>
      <c r="W134" s="2"/>
      <c r="X134" s="7">
        <f t="shared" si="109"/>
        <v>-8306.99</v>
      </c>
      <c r="Y134" s="2"/>
      <c r="Z134" s="6">
        <f t="shared" si="110"/>
        <v>-0.78813946869070206</v>
      </c>
    </row>
    <row r="135" spans="1:26" s="27" customFormat="1" outlineLevel="1" collapsed="1" x14ac:dyDescent="0.25">
      <c r="A135" s="25"/>
      <c r="B135" s="12" t="str">
        <f>CONCATENATE("     ","Travel                                            ")</f>
        <v xml:space="preserve">     Travel                                            </v>
      </c>
      <c r="C135" s="12"/>
      <c r="D135" s="1">
        <f>SUM(OSRRefD22_24x_0)</f>
        <v>0</v>
      </c>
      <c r="E135" s="1"/>
      <c r="F135" s="5">
        <f t="shared" si="103"/>
        <v>0</v>
      </c>
      <c r="G135" s="1"/>
      <c r="H135" s="1">
        <f>SUM(OSRRefH22_24x_0)</f>
        <v>0</v>
      </c>
      <c r="I135" s="1"/>
      <c r="J135" s="5">
        <f t="shared" si="104"/>
        <v>0</v>
      </c>
      <c r="K135" s="1"/>
      <c r="L135" s="1">
        <f t="shared" si="105"/>
        <v>0</v>
      </c>
      <c r="M135" s="1"/>
      <c r="N135" s="5">
        <f t="shared" si="106"/>
        <v>0</v>
      </c>
      <c r="O135" s="12"/>
      <c r="P135" s="1">
        <f>SUM(OSRRefP22_24x_0)</f>
        <v>6407.32</v>
      </c>
      <c r="Q135" s="1"/>
      <c r="R135" s="5">
        <f t="shared" si="107"/>
        <v>9.174084938247904E-4</v>
      </c>
      <c r="S135" s="1"/>
      <c r="T135" s="1">
        <f>SUM(OSRRefT22_24x_0)</f>
        <v>15520</v>
      </c>
      <c r="U135" s="1"/>
      <c r="V135" s="5">
        <f t="shared" si="108"/>
        <v>1.4813762466396765E-3</v>
      </c>
      <c r="W135" s="1"/>
      <c r="X135" s="1">
        <f t="shared" si="109"/>
        <v>-9112.68</v>
      </c>
      <c r="Y135" s="1"/>
      <c r="Z135" s="5">
        <f t="shared" si="110"/>
        <v>-0.58715721649484542</v>
      </c>
    </row>
    <row r="136" spans="1:26" s="24" customFormat="1" hidden="1" outlineLevel="2" x14ac:dyDescent="0.25">
      <c r="A136" s="26"/>
      <c r="B136" s="11" t="str">
        <f>CONCATENATE("          ", "6292", " - ", "TRAVEL/CONFERENCE")</f>
        <v xml:space="preserve">          6292 - TRAVEL/CONFERENCE</v>
      </c>
      <c r="C136" s="11"/>
      <c r="D136" s="7"/>
      <c r="E136" s="2"/>
      <c r="F136" s="6">
        <f t="shared" si="103"/>
        <v>0</v>
      </c>
      <c r="G136" s="2"/>
      <c r="H136" s="7"/>
      <c r="I136" s="2"/>
      <c r="J136" s="6">
        <f t="shared" si="104"/>
        <v>0</v>
      </c>
      <c r="K136" s="2"/>
      <c r="L136" s="7">
        <f t="shared" si="105"/>
        <v>0</v>
      </c>
      <c r="M136" s="2"/>
      <c r="N136" s="6">
        <f t="shared" si="106"/>
        <v>0</v>
      </c>
      <c r="O136" s="11"/>
      <c r="P136" s="7">
        <v>4995.68</v>
      </c>
      <c r="Q136" s="2"/>
      <c r="R136" s="6">
        <f t="shared" si="107"/>
        <v>7.1528802438939048E-4</v>
      </c>
      <c r="S136" s="2"/>
      <c r="T136" s="7">
        <v>15400</v>
      </c>
      <c r="U136" s="2"/>
      <c r="V136" s="6">
        <f t="shared" si="108"/>
        <v>1.4699223065883389E-3</v>
      </c>
      <c r="W136" s="2"/>
      <c r="X136" s="7">
        <f t="shared" si="109"/>
        <v>-10404.32</v>
      </c>
      <c r="Y136" s="2"/>
      <c r="Z136" s="6">
        <f t="shared" si="110"/>
        <v>-0.67560519480519476</v>
      </c>
    </row>
    <row r="137" spans="1:26" s="24" customFormat="1" hidden="1" outlineLevel="2" x14ac:dyDescent="0.25">
      <c r="A137" s="26"/>
      <c r="B137" s="11" t="str">
        <f>CONCATENATE("          ", "6294", " - ", "TRAVEL OPERATIONAL")</f>
        <v xml:space="preserve">          6294 - TRAVEL OPERATIONAL</v>
      </c>
      <c r="C137" s="11"/>
      <c r="D137" s="7"/>
      <c r="E137" s="2"/>
      <c r="F137" s="6">
        <f t="shared" si="103"/>
        <v>0</v>
      </c>
      <c r="G137" s="2"/>
      <c r="H137" s="7"/>
      <c r="I137" s="2"/>
      <c r="J137" s="6">
        <f t="shared" si="104"/>
        <v>0</v>
      </c>
      <c r="K137" s="2"/>
      <c r="L137" s="7">
        <f t="shared" si="105"/>
        <v>0</v>
      </c>
      <c r="M137" s="2"/>
      <c r="N137" s="6">
        <f t="shared" si="106"/>
        <v>0</v>
      </c>
      <c r="O137" s="11"/>
      <c r="P137" s="7">
        <v>56.99</v>
      </c>
      <c r="Q137" s="2"/>
      <c r="R137" s="6">
        <f t="shared" si="107"/>
        <v>8.1599030582325862E-6</v>
      </c>
      <c r="S137" s="2"/>
      <c r="T137" s="7">
        <v>120</v>
      </c>
      <c r="U137" s="2"/>
      <c r="V137" s="6">
        <f t="shared" si="108"/>
        <v>1.1453940051337705E-5</v>
      </c>
      <c r="W137" s="2"/>
      <c r="X137" s="7">
        <f t="shared" si="109"/>
        <v>-63.01</v>
      </c>
      <c r="Y137" s="2"/>
      <c r="Z137" s="6">
        <f t="shared" si="110"/>
        <v>-0.52508333333333335</v>
      </c>
    </row>
    <row r="138" spans="1:26" s="24" customFormat="1" hidden="1" outlineLevel="2" x14ac:dyDescent="0.25">
      <c r="A138" s="26"/>
      <c r="B138" s="11" t="str">
        <f>CONCATENATE("          ", "6298", " - ", "VEHICLE MILEAGE")</f>
        <v xml:space="preserve">          6298 - VEHICLE MILEAGE</v>
      </c>
      <c r="C138" s="11"/>
      <c r="D138" s="7"/>
      <c r="E138" s="2"/>
      <c r="F138" s="6">
        <f t="shared" si="103"/>
        <v>0</v>
      </c>
      <c r="G138" s="2"/>
      <c r="H138" s="7"/>
      <c r="I138" s="2"/>
      <c r="J138" s="6">
        <f t="shared" si="104"/>
        <v>0</v>
      </c>
      <c r="K138" s="2"/>
      <c r="L138" s="7">
        <f t="shared" si="105"/>
        <v>0</v>
      </c>
      <c r="M138" s="2"/>
      <c r="N138" s="6">
        <f t="shared" si="106"/>
        <v>0</v>
      </c>
      <c r="O138" s="11"/>
      <c r="P138" s="7">
        <v>1354.65</v>
      </c>
      <c r="Q138" s="2"/>
      <c r="R138" s="6">
        <f t="shared" si="107"/>
        <v>1.9396056637716744E-4</v>
      </c>
      <c r="S138" s="2"/>
      <c r="T138" s="7">
        <v>0</v>
      </c>
      <c r="U138" s="2"/>
      <c r="V138" s="6">
        <f t="shared" si="108"/>
        <v>0</v>
      </c>
      <c r="W138" s="2"/>
      <c r="X138" s="7">
        <f t="shared" si="109"/>
        <v>1354.65</v>
      </c>
      <c r="Y138" s="2"/>
      <c r="Z138" s="6">
        <f t="shared" si="110"/>
        <v>0</v>
      </c>
    </row>
    <row r="139" spans="1:26" s="27" customFormat="1" outlineLevel="1" collapsed="1" x14ac:dyDescent="0.25">
      <c r="A139" s="25"/>
      <c r="B139" s="12" t="str">
        <f>CONCATENATE("     ","Utilities                                         ")</f>
        <v xml:space="preserve">     Utilities                                         </v>
      </c>
      <c r="C139" s="12"/>
      <c r="D139" s="1">
        <f>SUM(OSRRefD22_25x_0)</f>
        <v>16692</v>
      </c>
      <c r="E139" s="1"/>
      <c r="F139" s="5">
        <f t="shared" ref="F139:F140" si="111">IF(D$12=0,0,D139/D$12)</f>
        <v>588.57545839210161</v>
      </c>
      <c r="G139" s="1"/>
      <c r="H139" s="1">
        <f>SUM(OSRRefH22_25x_0)</f>
        <v>18573</v>
      </c>
      <c r="I139" s="1"/>
      <c r="J139" s="5">
        <f t="shared" ref="J139:J140" si="112">IF(H$12=0,0,H139/H$12)</f>
        <v>2.0263060853551298E-2</v>
      </c>
      <c r="K139" s="1"/>
      <c r="L139" s="1">
        <f t="shared" ref="L139:L140" si="113">+D139-H139</f>
        <v>-1881</v>
      </c>
      <c r="M139" s="1"/>
      <c r="N139" s="5">
        <f t="shared" ref="N139:N140" si="114">IF(H139=0,0,L139/H139)</f>
        <v>-0.10127604587304151</v>
      </c>
      <c r="O139" s="12"/>
      <c r="P139" s="1">
        <f>SUM(OSRRefP22_25x_0)</f>
        <v>186405.74</v>
      </c>
      <c r="Q139" s="1"/>
      <c r="R139" s="5">
        <f t="shared" ref="R139:R140" si="115">IF(P$12=0,0,P139/P$12)</f>
        <v>2.6689818703248078E-2</v>
      </c>
      <c r="S139" s="1"/>
      <c r="T139" s="1">
        <f>SUM(OSRRefT22_25x_0)</f>
        <v>224371</v>
      </c>
      <c r="U139" s="1"/>
      <c r="V139" s="5">
        <f t="shared" ref="V139:V140" si="116">IF(T$12=0,0,T139/T$12)</f>
        <v>2.1416099860489101E-2</v>
      </c>
      <c r="W139" s="1"/>
      <c r="X139" s="1">
        <f t="shared" ref="X139:X140" si="117">+P139-T139</f>
        <v>-37965.260000000009</v>
      </c>
      <c r="Y139" s="1"/>
      <c r="Z139" s="5">
        <f t="shared" ref="Z139:Z140" si="118">IF(T139=0,0,X139/T139)</f>
        <v>-0.16920751790561173</v>
      </c>
    </row>
    <row r="140" spans="1:26" s="24" customFormat="1" hidden="1" outlineLevel="2" x14ac:dyDescent="0.25">
      <c r="A140" s="26"/>
      <c r="B140" s="11" t="str">
        <f>CONCATENATE("          ", "6274", " - ", "UTILITIES")</f>
        <v xml:space="preserve">          6274 - UTILITIES</v>
      </c>
      <c r="C140" s="11"/>
      <c r="D140" s="7">
        <v>16692</v>
      </c>
      <c r="E140" s="2"/>
      <c r="F140" s="6">
        <f t="shared" si="111"/>
        <v>588.57545839210161</v>
      </c>
      <c r="G140" s="2"/>
      <c r="H140" s="7">
        <v>18573</v>
      </c>
      <c r="I140" s="2"/>
      <c r="J140" s="6">
        <f t="shared" si="112"/>
        <v>2.0263060853551298E-2</v>
      </c>
      <c r="K140" s="2"/>
      <c r="L140" s="7">
        <f t="shared" si="113"/>
        <v>-1881</v>
      </c>
      <c r="M140" s="2"/>
      <c r="N140" s="6">
        <f t="shared" si="114"/>
        <v>-0.10127604587304151</v>
      </c>
      <c r="O140" s="11"/>
      <c r="P140" s="7">
        <v>186405.74</v>
      </c>
      <c r="Q140" s="2"/>
      <c r="R140" s="6">
        <f t="shared" si="115"/>
        <v>2.6689818703248078E-2</v>
      </c>
      <c r="S140" s="2"/>
      <c r="T140" s="7">
        <v>224371</v>
      </c>
      <c r="U140" s="2"/>
      <c r="V140" s="6">
        <f t="shared" si="116"/>
        <v>2.1416099860489101E-2</v>
      </c>
      <c r="W140" s="2"/>
      <c r="X140" s="7">
        <f t="shared" si="117"/>
        <v>-37965.260000000009</v>
      </c>
      <c r="Y140" s="2"/>
      <c r="Z140" s="6">
        <f t="shared" si="118"/>
        <v>-0.16920751790561173</v>
      </c>
    </row>
    <row r="141" spans="1:26" s="62" customFormat="1" x14ac:dyDescent="0.25">
      <c r="A141" s="36"/>
      <c r="B141" s="36"/>
      <c r="C141" s="36"/>
      <c r="D141" s="1"/>
      <c r="E141" s="1"/>
      <c r="F141" s="5"/>
      <c r="G141" s="1"/>
      <c r="H141" s="1"/>
      <c r="I141" s="1"/>
      <c r="J141" s="5"/>
      <c r="K141" s="1"/>
      <c r="L141" s="1"/>
      <c r="M141" s="1"/>
      <c r="N141" s="5"/>
      <c r="O141" s="36"/>
      <c r="P141" s="1"/>
      <c r="Q141" s="1"/>
      <c r="R141" s="5"/>
      <c r="S141" s="1"/>
      <c r="T141" s="1"/>
      <c r="U141" s="1"/>
      <c r="V141" s="5"/>
      <c r="W141" s="1"/>
      <c r="X141" s="1"/>
      <c r="Y141" s="1"/>
      <c r="Z141" s="5"/>
    </row>
    <row r="142" spans="1:26" s="23" customFormat="1" collapsed="1" x14ac:dyDescent="0.25">
      <c r="A142" s="10"/>
      <c r="B142" s="28" t="s">
        <v>0</v>
      </c>
      <c r="C142" s="10"/>
      <c r="D142" s="4">
        <f>SUM(OSRRefD25x_0)</f>
        <v>6624.89</v>
      </c>
      <c r="E142" s="4"/>
      <c r="F142" s="13">
        <f t="shared" ref="F142:F146" si="119">IF(D$12=0,0,D142/D$12)</f>
        <v>233.59978843441468</v>
      </c>
      <c r="G142" s="4"/>
      <c r="H142" s="4">
        <f>SUM(OSRRefH25x_0)</f>
        <v>63178</v>
      </c>
      <c r="I142" s="4"/>
      <c r="J142" s="13">
        <f t="shared" ref="J142:J146" si="120">IF(H$12=0,0,H142/H$12)</f>
        <v>6.8926918570272111E-2</v>
      </c>
      <c r="K142" s="4"/>
      <c r="L142" s="4">
        <f t="shared" ref="L142:L146" si="121">+D142-H142</f>
        <v>-56553.11</v>
      </c>
      <c r="M142" s="4"/>
      <c r="N142" s="13">
        <f t="shared" ref="N142:N146" si="122">IF(H142=0,0,L142/H142)</f>
        <v>-0.89513928899300388</v>
      </c>
      <c r="O142" s="10"/>
      <c r="P142" s="4">
        <f>SUM(OSRRefP25x_0)</f>
        <v>687198.88</v>
      </c>
      <c r="Q142" s="4"/>
      <c r="R142" s="13">
        <f t="shared" ref="R142:R146" si="123">IF(P$12=0,0,P142/P$12)</f>
        <v>9.8394038296648667E-2</v>
      </c>
      <c r="S142" s="4"/>
      <c r="T142" s="4">
        <f>SUM(OSRRefT25x_0)</f>
        <v>707351</v>
      </c>
      <c r="U142" s="4"/>
      <c r="V142" s="13">
        <f t="shared" ref="V142:V146" si="124">IF(T$12=0,0,T142/T$12)</f>
        <v>6.7516299577114816E-2</v>
      </c>
      <c r="W142" s="4"/>
      <c r="X142" s="4">
        <f t="shared" ref="X142:X146" si="125">+P142-T142</f>
        <v>-20152.119999999995</v>
      </c>
      <c r="Y142" s="4"/>
      <c r="Z142" s="13">
        <f t="shared" ref="Z142:Z146" si="126">IF(T142=0,0,X142/T142)</f>
        <v>-2.8489561759296296E-2</v>
      </c>
    </row>
    <row r="143" spans="1:26" s="24" customFormat="1" hidden="1" outlineLevel="1" x14ac:dyDescent="0.25">
      <c r="A143" s="44"/>
      <c r="B143" s="11" t="str">
        <f>CONCATENATE("          ", "9150", " - ", "MISC. INCOME")</f>
        <v xml:space="preserve">          9150 - MISC. INCOME</v>
      </c>
      <c r="C143" s="11"/>
      <c r="D143" s="2">
        <f t="shared" ref="D143:D145" si="127">0</f>
        <v>0</v>
      </c>
      <c r="E143" s="2"/>
      <c r="F143" s="19">
        <f t="shared" si="119"/>
        <v>0</v>
      </c>
      <c r="G143" s="2"/>
      <c r="H143" s="2">
        <v>54779</v>
      </c>
      <c r="I143" s="2"/>
      <c r="J143" s="19">
        <f t="shared" si="120"/>
        <v>5.9763646718176203E-2</v>
      </c>
      <c r="K143" s="2"/>
      <c r="L143" s="2">
        <f t="shared" si="121"/>
        <v>-54779</v>
      </c>
      <c r="M143" s="2"/>
      <c r="N143" s="19">
        <f t="shared" si="122"/>
        <v>-1</v>
      </c>
      <c r="O143" s="11"/>
      <c r="P143" s="2">
        <f>--313984.54</f>
        <v>313984.53999999998</v>
      </c>
      <c r="Q143" s="2"/>
      <c r="R143" s="19">
        <f t="shared" si="123"/>
        <v>4.4956718866182688E-2</v>
      </c>
      <c r="S143" s="2"/>
      <c r="T143" s="2">
        <v>383455</v>
      </c>
      <c r="U143" s="2"/>
      <c r="V143" s="19">
        <f t="shared" si="124"/>
        <v>3.6600588186547496E-2</v>
      </c>
      <c r="W143" s="2"/>
      <c r="X143" s="2">
        <f t="shared" si="125"/>
        <v>-69470.460000000021</v>
      </c>
      <c r="Y143" s="2"/>
      <c r="Z143" s="19">
        <f t="shared" si="126"/>
        <v>-0.18116978524207539</v>
      </c>
    </row>
    <row r="144" spans="1:26" s="24" customFormat="1" hidden="1" outlineLevel="1" x14ac:dyDescent="0.25">
      <c r="A144" s="44"/>
      <c r="B144" s="11" t="str">
        <f>CONCATENATE("          ", "9151", " - ", "MISC. INCOME")</f>
        <v xml:space="preserve">          9151 - MISC. INCOME</v>
      </c>
      <c r="C144" s="11"/>
      <c r="D144" s="2">
        <f t="shared" si="127"/>
        <v>0</v>
      </c>
      <c r="E144" s="2"/>
      <c r="F144" s="19">
        <f t="shared" si="119"/>
        <v>0</v>
      </c>
      <c r="G144" s="2"/>
      <c r="H144" s="2">
        <v>8399</v>
      </c>
      <c r="I144" s="2"/>
      <c r="J144" s="19">
        <f t="shared" si="120"/>
        <v>9.1632718520959118E-3</v>
      </c>
      <c r="K144" s="2"/>
      <c r="L144" s="2">
        <f t="shared" si="121"/>
        <v>-8399</v>
      </c>
      <c r="M144" s="2"/>
      <c r="N144" s="19">
        <f t="shared" si="122"/>
        <v>-1</v>
      </c>
      <c r="O144" s="11"/>
      <c r="P144" s="2">
        <f>0</f>
        <v>0</v>
      </c>
      <c r="Q144" s="2"/>
      <c r="R144" s="19">
        <f t="shared" si="123"/>
        <v>0</v>
      </c>
      <c r="S144" s="2"/>
      <c r="T144" s="2">
        <v>323896</v>
      </c>
      <c r="U144" s="2"/>
      <c r="V144" s="19">
        <f t="shared" si="124"/>
        <v>3.0915711390567313E-2</v>
      </c>
      <c r="W144" s="2"/>
      <c r="X144" s="2">
        <f t="shared" si="125"/>
        <v>-323896</v>
      </c>
      <c r="Y144" s="2"/>
      <c r="Z144" s="19">
        <f t="shared" si="126"/>
        <v>-1</v>
      </c>
    </row>
    <row r="145" spans="1:26" s="24" customFormat="1" hidden="1" outlineLevel="1" x14ac:dyDescent="0.25">
      <c r="A145" s="44"/>
      <c r="B145" s="11" t="str">
        <f>CONCATENATE("          ", "9160", " - ", "MISC. INCOME")</f>
        <v xml:space="preserve">          9160 - MISC. INCOME</v>
      </c>
      <c r="C145" s="11"/>
      <c r="D145" s="2">
        <f t="shared" si="127"/>
        <v>0</v>
      </c>
      <c r="E145" s="2"/>
      <c r="F145" s="19">
        <f t="shared" si="119"/>
        <v>0</v>
      </c>
      <c r="G145" s="2"/>
      <c r="H145" s="2"/>
      <c r="I145" s="2"/>
      <c r="J145" s="19">
        <f t="shared" si="120"/>
        <v>0</v>
      </c>
      <c r="K145" s="2"/>
      <c r="L145" s="2">
        <f t="shared" si="121"/>
        <v>0</v>
      </c>
      <c r="M145" s="2"/>
      <c r="N145" s="19">
        <f t="shared" si="122"/>
        <v>0</v>
      </c>
      <c r="O145" s="11"/>
      <c r="P145" s="2">
        <f>--130089.32</f>
        <v>130089.32</v>
      </c>
      <c r="Q145" s="2"/>
      <c r="R145" s="19">
        <f t="shared" si="123"/>
        <v>1.8626359714184901E-2</v>
      </c>
      <c r="S145" s="2"/>
      <c r="T145" s="2"/>
      <c r="U145" s="2"/>
      <c r="V145" s="19">
        <f t="shared" si="124"/>
        <v>0</v>
      </c>
      <c r="W145" s="2"/>
      <c r="X145" s="2">
        <f t="shared" si="125"/>
        <v>130089.32</v>
      </c>
      <c r="Y145" s="2"/>
      <c r="Z145" s="19">
        <f t="shared" si="126"/>
        <v>0</v>
      </c>
    </row>
    <row r="146" spans="1:26" s="24" customFormat="1" hidden="1" outlineLevel="1" x14ac:dyDescent="0.25">
      <c r="A146" s="44"/>
      <c r="B146" s="11" t="str">
        <f>CONCATENATE("          ", "9165", " - ", "OTHER INCOME")</f>
        <v xml:space="preserve">          9165 - OTHER INCOME</v>
      </c>
      <c r="C146" s="11"/>
      <c r="D146" s="2">
        <f>--6624.89</f>
        <v>6624.89</v>
      </c>
      <c r="E146" s="2"/>
      <c r="F146" s="19">
        <f t="shared" si="119"/>
        <v>233.59978843441468</v>
      </c>
      <c r="G146" s="2"/>
      <c r="H146" s="2"/>
      <c r="I146" s="2"/>
      <c r="J146" s="19">
        <f t="shared" si="120"/>
        <v>0</v>
      </c>
      <c r="K146" s="2"/>
      <c r="L146" s="2">
        <f t="shared" si="121"/>
        <v>6624.89</v>
      </c>
      <c r="M146" s="2"/>
      <c r="N146" s="19">
        <f t="shared" si="122"/>
        <v>0</v>
      </c>
      <c r="O146" s="11"/>
      <c r="P146" s="2">
        <f>--243125.02</f>
        <v>243125.02</v>
      </c>
      <c r="Q146" s="2"/>
      <c r="R146" s="19">
        <f t="shared" si="123"/>
        <v>3.4810959716281072E-2</v>
      </c>
      <c r="S146" s="2"/>
      <c r="T146" s="2"/>
      <c r="U146" s="2"/>
      <c r="V146" s="19">
        <f t="shared" si="124"/>
        <v>0</v>
      </c>
      <c r="W146" s="2"/>
      <c r="X146" s="2">
        <f t="shared" si="125"/>
        <v>243125.02</v>
      </c>
      <c r="Y146" s="2"/>
      <c r="Z146" s="19">
        <f t="shared" si="126"/>
        <v>0</v>
      </c>
    </row>
    <row r="147" spans="1:26" x14ac:dyDescent="0.25">
      <c r="A147" s="9"/>
      <c r="B147" s="10"/>
      <c r="C147" s="10"/>
      <c r="D147" s="3"/>
      <c r="E147" s="3"/>
      <c r="F147" s="8"/>
      <c r="G147" s="3"/>
      <c r="H147" s="3"/>
      <c r="I147" s="3"/>
      <c r="J147" s="8"/>
      <c r="K147" s="3"/>
      <c r="L147" s="3"/>
      <c r="M147" s="3"/>
      <c r="N147" s="8"/>
      <c r="O147" s="10"/>
      <c r="P147" s="3"/>
      <c r="Q147" s="3"/>
      <c r="R147" s="8"/>
      <c r="S147" s="3"/>
      <c r="T147" s="3"/>
      <c r="U147" s="3"/>
      <c r="V147" s="8"/>
      <c r="W147" s="3"/>
      <c r="X147" s="3"/>
      <c r="Y147" s="3"/>
      <c r="Z147" s="8"/>
    </row>
    <row r="148" spans="1:26" s="23" customFormat="1" x14ac:dyDescent="0.25">
      <c r="A148" s="10"/>
      <c r="B148" s="29" t="s">
        <v>3</v>
      </c>
      <c r="C148" s="29"/>
      <c r="D148" s="20">
        <f>+D38-D40+D142</f>
        <v>-182639.73999999996</v>
      </c>
      <c r="E148" s="14"/>
      <c r="F148" s="22">
        <f>IF(D$12=0,0,D148/D$12)</f>
        <v>-6440.0472496473894</v>
      </c>
      <c r="G148" s="14"/>
      <c r="H148" s="20">
        <f>+H38-H40+H142</f>
        <v>72769.707486772677</v>
      </c>
      <c r="I148" s="14"/>
      <c r="J148" s="22">
        <f>IF(H$12=0,0,H148/H$12)</f>
        <v>7.9391429015215759E-2</v>
      </c>
      <c r="K148" s="16"/>
      <c r="L148" s="20">
        <f>+D148-H148</f>
        <v>-255409.44748677264</v>
      </c>
      <c r="M148" s="16"/>
      <c r="N148" s="22">
        <f>IF(H148=0,0,L148/H148)</f>
        <v>-3.5098319933909083</v>
      </c>
      <c r="O148" s="28"/>
      <c r="P148" s="20">
        <f>+P38-P40+P142</f>
        <v>-932553.34000000113</v>
      </c>
      <c r="Q148" s="14"/>
      <c r="R148" s="22">
        <f>IF(P$12=0,0,P148/P$12)</f>
        <v>-0.13352421216057239</v>
      </c>
      <c r="S148" s="14"/>
      <c r="T148" s="20">
        <f>+T38-T40+T142</f>
        <v>891146.35993437376</v>
      </c>
      <c r="U148" s="14"/>
      <c r="V148" s="22">
        <f>IF(T$12=0,0,T148/T$12)</f>
        <v>8.5059474863801082E-2</v>
      </c>
      <c r="W148" s="16"/>
      <c r="X148" s="20">
        <f>+P148-T148</f>
        <v>-1823699.699934375</v>
      </c>
      <c r="Y148" s="16"/>
      <c r="Z148" s="22">
        <f>IF(T148=0,0,X148/T148)</f>
        <v>-2.0464648478939833</v>
      </c>
    </row>
    <row r="149" spans="1:26" x14ac:dyDescent="0.25">
      <c r="A149" s="9"/>
      <c r="B149" s="10"/>
      <c r="C149" s="9"/>
      <c r="D149" s="3"/>
      <c r="E149" s="3"/>
      <c r="F149" s="8"/>
      <c r="G149" s="3"/>
      <c r="H149" s="3"/>
      <c r="I149" s="3"/>
      <c r="J149" s="8"/>
      <c r="K149" s="3"/>
      <c r="L149" s="3"/>
      <c r="M149" s="3"/>
      <c r="N149" s="8"/>
      <c r="P149" s="3"/>
      <c r="Q149" s="3"/>
      <c r="R149" s="8"/>
      <c r="S149" s="3"/>
      <c r="T149" s="3"/>
      <c r="U149" s="3"/>
      <c r="V149" s="8"/>
      <c r="W149" s="3"/>
      <c r="X149" s="3"/>
      <c r="Y149" s="3"/>
      <c r="Z149" s="8"/>
    </row>
    <row r="150" spans="1:26" s="23" customFormat="1" x14ac:dyDescent="0.25">
      <c r="A150" s="52"/>
      <c r="B150" s="10" t="s">
        <v>14</v>
      </c>
      <c r="C150" s="10"/>
      <c r="D150" s="4">
        <v>34035.43</v>
      </c>
      <c r="E150" s="4"/>
      <c r="F150" s="13">
        <f>IF(D$12=0,0,D150/D$12)</f>
        <v>1200.1209449929479</v>
      </c>
      <c r="G150" s="4"/>
      <c r="H150" s="4">
        <v>96450</v>
      </c>
      <c r="I150" s="4"/>
      <c r="J150" s="13">
        <f>IF(H$12=0,0,H150/H$12)</f>
        <v>0.10522652341167409</v>
      </c>
      <c r="K150" s="4"/>
      <c r="L150" s="4">
        <f>+D150-H150</f>
        <v>-62414.57</v>
      </c>
      <c r="M150" s="4"/>
      <c r="N150" s="13">
        <f>IF(H150=0,0,L150/H150)</f>
        <v>-0.64711840331778125</v>
      </c>
      <c r="O150" s="10"/>
      <c r="P150" s="4">
        <v>827032.63</v>
      </c>
      <c r="Q150" s="4"/>
      <c r="R150" s="13">
        <f>IF(P$12=0,0,P150/P$12)</f>
        <v>0.11841561829786169</v>
      </c>
      <c r="S150" s="4"/>
      <c r="T150" s="4">
        <v>1213474</v>
      </c>
      <c r="U150" s="4"/>
      <c r="V150" s="13">
        <f>IF(T$12=0,0,T150/T$12)</f>
        <v>0.11582548708214142</v>
      </c>
      <c r="W150" s="4"/>
      <c r="X150" s="4">
        <f>+P150-T150</f>
        <v>-386441.37</v>
      </c>
      <c r="Y150" s="4"/>
      <c r="Z150" s="13">
        <f>IF(T150=0,0,X150/T150)</f>
        <v>-0.31845871440179185</v>
      </c>
    </row>
    <row r="151" spans="1:26" x14ac:dyDescent="0.25">
      <c r="A151" s="9"/>
      <c r="B151" s="10"/>
      <c r="C151" s="10"/>
      <c r="D151" s="3"/>
      <c r="E151" s="3"/>
      <c r="F151" s="8"/>
      <c r="G151" s="3"/>
      <c r="H151" s="3"/>
      <c r="I151" s="3"/>
      <c r="J151" s="8"/>
      <c r="K151" s="3"/>
      <c r="L151" s="3"/>
      <c r="M151" s="3"/>
      <c r="N151" s="8"/>
      <c r="O151" s="10"/>
      <c r="P151" s="3"/>
      <c r="Q151" s="3"/>
      <c r="R151" s="8"/>
      <c r="S151" s="3"/>
      <c r="T151" s="3"/>
      <c r="U151" s="3"/>
      <c r="V151" s="8"/>
      <c r="W151" s="3"/>
      <c r="X151" s="3"/>
      <c r="Y151" s="3"/>
      <c r="Z151" s="8"/>
    </row>
    <row r="152" spans="1:26" s="23" customFormat="1" ht="15.75" thickBot="1" x14ac:dyDescent="0.3">
      <c r="A152" s="10"/>
      <c r="B152" s="29" t="s">
        <v>4</v>
      </c>
      <c r="C152" s="29"/>
      <c r="D152" s="35">
        <f>+D148-D150</f>
        <v>-216675.16999999995</v>
      </c>
      <c r="E152" s="14"/>
      <c r="F152" s="32">
        <f>IF(D$12=0,0,D152/D$12)</f>
        <v>-7640.1681946403369</v>
      </c>
      <c r="G152" s="14"/>
      <c r="H152" s="35">
        <f>+H148-H150</f>
        <v>-23680.292513227323</v>
      </c>
      <c r="I152" s="14"/>
      <c r="J152" s="32">
        <f>IF(H$12=0,0,H152/H$12)</f>
        <v>-2.5835094396458327E-2</v>
      </c>
      <c r="K152" s="16"/>
      <c r="L152" s="35">
        <f>D152-H152</f>
        <v>-192994.87748677263</v>
      </c>
      <c r="M152" s="16"/>
      <c r="N152" s="32">
        <f>IF(H152=0,0,L152/H152)</f>
        <v>8.1500208402818366</v>
      </c>
      <c r="O152" s="28"/>
      <c r="P152" s="35">
        <f>+P148-P150</f>
        <v>-1759585.9700000011</v>
      </c>
      <c r="Q152" s="14"/>
      <c r="R152" s="32">
        <f>IF(P$12=0,0,P152/P$12)</f>
        <v>-0.2519398304584341</v>
      </c>
      <c r="S152" s="14"/>
      <c r="T152" s="35">
        <f>+T148-T150</f>
        <v>-322327.64006562624</v>
      </c>
      <c r="U152" s="14"/>
      <c r="V152" s="32">
        <f>IF(T$12=0,0,T152/T$12)</f>
        <v>-3.0766012218340338E-2</v>
      </c>
      <c r="W152" s="16"/>
      <c r="X152" s="35">
        <f>P152-T152</f>
        <v>-1437258.3299343749</v>
      </c>
      <c r="Y152" s="16"/>
      <c r="Z152" s="32">
        <f>IF(T152=0,0,X152/T152)</f>
        <v>4.4589980854317908</v>
      </c>
    </row>
    <row r="153" spans="1:26" ht="15.75" thickTop="1" x14ac:dyDescent="0.25">
      <c r="A153" s="9"/>
      <c r="B153" s="9"/>
      <c r="C153" s="9"/>
      <c r="D153" s="3"/>
      <c r="E153" s="3"/>
      <c r="F153" s="8"/>
      <c r="G153" s="3"/>
      <c r="H153" s="3"/>
      <c r="I153" s="3"/>
      <c r="J153" s="8"/>
      <c r="K153" s="3"/>
      <c r="L153" s="3"/>
      <c r="M153" s="3"/>
      <c r="N153" s="8"/>
      <c r="P153" s="3"/>
      <c r="Q153" s="3"/>
      <c r="R153" s="8"/>
      <c r="S153" s="3"/>
      <c r="T153" s="3"/>
      <c r="U153" s="3"/>
      <c r="V153" s="8"/>
      <c r="W153" s="3"/>
      <c r="X153" s="3"/>
      <c r="Y153" s="3"/>
      <c r="Z153" s="8"/>
    </row>
    <row r="154" spans="1:26" x14ac:dyDescent="0.25">
      <c r="A154" s="9"/>
      <c r="B154" s="9"/>
      <c r="C154" s="9"/>
      <c r="D154" s="3"/>
      <c r="E154" s="3"/>
      <c r="F154" s="8"/>
      <c r="G154" s="3"/>
      <c r="H154" s="3"/>
      <c r="I154" s="3"/>
      <c r="J154" s="8"/>
      <c r="K154" s="3"/>
      <c r="L154" s="3"/>
      <c r="M154" s="3"/>
      <c r="N154" s="8"/>
      <c r="P154" s="3"/>
      <c r="Q154" s="3"/>
      <c r="R154" s="8"/>
      <c r="S154" s="3"/>
      <c r="T154" s="3"/>
      <c r="U154" s="3"/>
      <c r="V154" s="8"/>
      <c r="W154" s="3"/>
      <c r="X154" s="3"/>
      <c r="Y154" s="3"/>
      <c r="Z154" s="8"/>
    </row>
    <row r="155" spans="1:26" s="23" customFormat="1" ht="15.75" thickBot="1" x14ac:dyDescent="0.3">
      <c r="A155" s="10"/>
      <c r="B155" s="29" t="s">
        <v>5</v>
      </c>
      <c r="C155" s="29"/>
      <c r="D155" s="34">
        <f>SUM(D152:D154)</f>
        <v>-216675.16999999995</v>
      </c>
      <c r="E155" s="14"/>
      <c r="F155" s="31">
        <f>IF(D$12=0,0,D155/D$12)</f>
        <v>-7640.1681946403369</v>
      </c>
      <c r="G155" s="14"/>
      <c r="H155" s="34">
        <f>SUM(H152:H154)</f>
        <v>-23680.292513227323</v>
      </c>
      <c r="I155" s="14"/>
      <c r="J155" s="31">
        <f>IF(H$12=0,0,H155/H$12)</f>
        <v>-2.5835094396458327E-2</v>
      </c>
      <c r="K155" s="16"/>
      <c r="L155" s="34">
        <f>+D155-H155</f>
        <v>-192994.87748677263</v>
      </c>
      <c r="M155" s="16"/>
      <c r="N155" s="31">
        <f>IF(H155=0,0,L155/H155)</f>
        <v>8.1500208402818366</v>
      </c>
      <c r="O155" s="28"/>
      <c r="P155" s="34">
        <f>SUM(P152:P154)</f>
        <v>-1759585.9700000011</v>
      </c>
      <c r="Q155" s="14"/>
      <c r="R155" s="31">
        <f>IF(P$12=0,0,P155/P$12)</f>
        <v>-0.2519398304584341</v>
      </c>
      <c r="S155" s="14"/>
      <c r="T155" s="34">
        <f>SUM(T152:T154)</f>
        <v>-322327.64006562624</v>
      </c>
      <c r="U155" s="14"/>
      <c r="V155" s="31">
        <f>IF(T$12=0,0,T155/T$12)</f>
        <v>-3.0766012218340338E-2</v>
      </c>
      <c r="W155" s="16"/>
      <c r="X155" s="34">
        <f>+P155-T155</f>
        <v>-1437258.3299343749</v>
      </c>
      <c r="Y155" s="16"/>
      <c r="Z155" s="31">
        <f>IF(T155=0,0,X155/T155)</f>
        <v>4.4589980854317908</v>
      </c>
    </row>
    <row r="156" spans="1:26" ht="15.75" thickTop="1" x14ac:dyDescent="0.25">
      <c r="A156" s="9"/>
      <c r="C156" s="9"/>
      <c r="D156" s="18"/>
      <c r="E156" s="18"/>
      <c r="G156" s="18"/>
      <c r="H156" s="18"/>
      <c r="I156" s="18"/>
      <c r="J156" s="42"/>
      <c r="K156" s="18"/>
      <c r="L156" s="18"/>
      <c r="M156" s="18"/>
      <c r="P156" s="18"/>
      <c r="Q156" s="18"/>
      <c r="R156" s="42"/>
      <c r="S156" s="18"/>
      <c r="T156" s="18"/>
      <c r="U156" s="18"/>
      <c r="V156" s="42"/>
      <c r="W156" s="18"/>
      <c r="X156" s="18"/>
    </row>
    <row r="157" spans="1:26" x14ac:dyDescent="0.25">
      <c r="A157" s="9"/>
      <c r="B157" s="59">
        <v>43992.371195370368</v>
      </c>
      <c r="D157" s="18"/>
      <c r="E157" s="18"/>
      <c r="G157" s="18"/>
      <c r="H157" s="18"/>
      <c r="I157" s="18"/>
      <c r="J157" s="42"/>
      <c r="K157" s="18"/>
      <c r="L157" s="18"/>
      <c r="M157" s="18"/>
      <c r="P157" s="18"/>
      <c r="Q157" s="18"/>
      <c r="R157" s="42"/>
      <c r="S157" s="18"/>
      <c r="T157" s="18"/>
      <c r="U157" s="18"/>
      <c r="V157" s="42"/>
      <c r="W157" s="18"/>
      <c r="X157" s="18"/>
    </row>
    <row r="158" spans="1:26" x14ac:dyDescent="0.25">
      <c r="A158" s="9"/>
      <c r="B158" s="56" t="s">
        <v>314</v>
      </c>
      <c r="D158" s="18"/>
      <c r="E158" s="18"/>
      <c r="G158" s="18"/>
      <c r="H158" s="18"/>
      <c r="I158" s="18"/>
      <c r="J158" s="42"/>
      <c r="K158" s="18"/>
      <c r="L158" s="18"/>
      <c r="M158" s="18"/>
      <c r="P158" s="18"/>
      <c r="Q158" s="18"/>
      <c r="R158" s="42"/>
      <c r="S158" s="18"/>
      <c r="T158" s="18"/>
      <c r="U158" s="18"/>
      <c r="V158" s="42"/>
      <c r="W158" s="18"/>
      <c r="X158" s="18"/>
    </row>
    <row r="159" spans="1:26" x14ac:dyDescent="0.25">
      <c r="A159" s="9"/>
      <c r="B159" s="54"/>
      <c r="D159" s="18"/>
      <c r="E159" s="18"/>
      <c r="G159" s="18"/>
      <c r="H159" s="18"/>
      <c r="I159" s="18"/>
      <c r="J159" s="42"/>
      <c r="K159" s="18"/>
      <c r="L159" s="18"/>
      <c r="M159" s="18"/>
      <c r="P159" s="18"/>
      <c r="Q159" s="18"/>
      <c r="R159" s="42"/>
      <c r="S159" s="18"/>
      <c r="T159" s="18"/>
      <c r="U159" s="18"/>
      <c r="V159" s="42"/>
      <c r="W159" s="18"/>
      <c r="X159" s="18"/>
    </row>
    <row r="160" spans="1:26" x14ac:dyDescent="0.25">
      <c r="D160" s="18"/>
      <c r="E160" s="18"/>
      <c r="G160" s="18"/>
      <c r="H160" s="18"/>
      <c r="I160" s="18"/>
      <c r="J160" s="42"/>
      <c r="K160" s="18"/>
      <c r="L160" s="18"/>
      <c r="M160" s="18"/>
      <c r="P160" s="18"/>
      <c r="Q160" s="18"/>
      <c r="R160" s="42"/>
      <c r="S160" s="18"/>
      <c r="T160" s="18"/>
      <c r="U160" s="18"/>
      <c r="V160" s="42"/>
      <c r="W160" s="18"/>
      <c r="X160" s="18"/>
    </row>
  </sheetData>
  <pageMargins left="0.25" right="0.25" top="0.75" bottom="0.75" header="0.3" footer="0.3"/>
  <pageSetup scale="55" fitToWidth="2" orientation="landscape"/>
  <drawing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149"/>
  <sheetViews>
    <sheetView zoomScale="80" workbookViewId="0">
      <pane xSplit="3" ySplit="10" topLeftCell="D56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63" t="s">
        <v>13</v>
      </c>
    </row>
    <row r="3" spans="1:26" x14ac:dyDescent="0.25">
      <c r="D3" s="63" t="s">
        <v>296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61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63" t="str">
        <f>CONCATENATE("Period ",RIGHT(202011,2),", ",2020)</f>
        <v>Period 11, 2020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61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4">
        <v>43981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61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51"/>
      <c r="C6" s="51"/>
      <c r="D6" s="23" t="s">
        <v>301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57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5" t="s">
        <v>294</v>
      </c>
      <c r="E9" s="15"/>
      <c r="F9" s="38"/>
      <c r="G9" s="15"/>
      <c r="H9" s="15"/>
      <c r="I9" s="15"/>
      <c r="J9" s="46"/>
      <c r="K9" s="15"/>
      <c r="L9" s="15"/>
      <c r="M9" s="15"/>
      <c r="N9" s="38"/>
      <c r="P9" s="15" t="s">
        <v>295</v>
      </c>
      <c r="Q9" s="15"/>
      <c r="R9" s="38"/>
      <c r="S9" s="15"/>
      <c r="T9" s="15"/>
      <c r="U9" s="15"/>
      <c r="V9" s="46"/>
      <c r="W9" s="15"/>
      <c r="X9" s="15"/>
      <c r="Y9" s="15"/>
      <c r="Z9" s="38"/>
    </row>
    <row r="10" spans="1:26" x14ac:dyDescent="0.25">
      <c r="A10" s="10"/>
      <c r="B10" s="55"/>
      <c r="C10" s="10"/>
      <c r="D10" s="43" t="s">
        <v>10</v>
      </c>
      <c r="E10" s="33"/>
      <c r="F10" s="40" t="s">
        <v>15</v>
      </c>
      <c r="G10" s="33"/>
      <c r="H10" s="47" t="s">
        <v>11</v>
      </c>
      <c r="I10" s="33"/>
      <c r="J10" s="45" t="s">
        <v>16</v>
      </c>
      <c r="K10" s="10"/>
      <c r="L10" s="43" t="s">
        <v>12</v>
      </c>
      <c r="M10" s="10"/>
      <c r="N10" s="40" t="s">
        <v>17</v>
      </c>
      <c r="O10" s="10"/>
      <c r="P10" s="53" t="s">
        <v>10</v>
      </c>
      <c r="Q10" s="33"/>
      <c r="R10" s="40" t="s">
        <v>15</v>
      </c>
      <c r="S10" s="33"/>
      <c r="T10" s="47" t="s">
        <v>11</v>
      </c>
      <c r="U10" s="33"/>
      <c r="V10" s="45" t="s">
        <v>16</v>
      </c>
      <c r="W10" s="10"/>
      <c r="X10" s="43" t="s">
        <v>12</v>
      </c>
      <c r="Y10" s="10"/>
      <c r="Z10" s="40" t="s">
        <v>17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0</v>
      </c>
      <c r="E12" s="4"/>
      <c r="F12" s="13"/>
      <c r="G12" s="4"/>
      <c r="H12" s="4">
        <f>SUM(OSRRefH13x_0)</f>
        <v>650614</v>
      </c>
      <c r="I12" s="4"/>
      <c r="J12" s="13"/>
      <c r="K12" s="4"/>
      <c r="L12" s="4">
        <f t="shared" ref="L12:L24" si="0">+D12-H12</f>
        <v>-650614</v>
      </c>
      <c r="M12" s="4"/>
      <c r="N12" s="13">
        <f t="shared" ref="N12:N24" si="1">IF(H12=0,0,L12/H12)</f>
        <v>-1</v>
      </c>
      <c r="O12" s="10"/>
      <c r="P12" s="4">
        <f>SUM(OSRRefP13x_0)</f>
        <v>4619542.3499999996</v>
      </c>
      <c r="Q12" s="4"/>
      <c r="R12" s="13"/>
      <c r="S12" s="4"/>
      <c r="T12" s="4">
        <f>SUM(OSRRefT13x_0)</f>
        <v>7297816</v>
      </c>
      <c r="U12" s="4"/>
      <c r="V12" s="13"/>
      <c r="W12" s="4"/>
      <c r="X12" s="4">
        <f t="shared" ref="X12:X24" si="2">+P12-T12</f>
        <v>-2678273.6500000004</v>
      </c>
      <c r="Y12" s="4"/>
      <c r="Z12" s="13">
        <f t="shared" ref="Z12:Z24" si="3">IF(T12=0,0,X12/T12)</f>
        <v>-0.36699659870843554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 t="shared" ref="D13:D24" si="4">0</f>
        <v>0</v>
      </c>
      <c r="E13" s="2"/>
      <c r="F13" s="19"/>
      <c r="G13" s="2"/>
      <c r="H13" s="2">
        <v>337514</v>
      </c>
      <c r="I13" s="2"/>
      <c r="J13" s="19"/>
      <c r="K13" s="2"/>
      <c r="L13" s="2">
        <f t="shared" si="0"/>
        <v>-337514</v>
      </c>
      <c r="M13" s="2"/>
      <c r="N13" s="19">
        <f t="shared" si="1"/>
        <v>-1</v>
      </c>
      <c r="O13" s="11"/>
      <c r="P13" s="2">
        <f>0</f>
        <v>0</v>
      </c>
      <c r="Q13" s="2"/>
      <c r="R13" s="19"/>
      <c r="S13" s="2"/>
      <c r="T13" s="2">
        <v>3546591</v>
      </c>
      <c r="U13" s="2"/>
      <c r="V13" s="19"/>
      <c r="W13" s="2"/>
      <c r="X13" s="2">
        <f t="shared" si="2"/>
        <v>-3546591</v>
      </c>
      <c r="Y13" s="2"/>
      <c r="Z13" s="19">
        <f t="shared" si="3"/>
        <v>-1</v>
      </c>
    </row>
    <row r="14" spans="1:26" s="24" customFormat="1" hidden="1" outlineLevel="1" x14ac:dyDescent="0.25">
      <c r="A14" s="44"/>
      <c r="B14" s="11" t="str">
        <f>CONCATENATE("          ", "4051", " - ", "TAXABLE SALES-FOOD")</f>
        <v xml:space="preserve">          4051 - TAXABLE SALES-FOOD</v>
      </c>
      <c r="C14" s="11"/>
      <c r="D14" s="2">
        <f t="shared" si="4"/>
        <v>0</v>
      </c>
      <c r="E14" s="2"/>
      <c r="F14" s="19"/>
      <c r="G14" s="2"/>
      <c r="H14" s="2"/>
      <c r="I14" s="2"/>
      <c r="J14" s="19"/>
      <c r="K14" s="2"/>
      <c r="L14" s="2">
        <f t="shared" si="0"/>
        <v>0</v>
      </c>
      <c r="M14" s="2"/>
      <c r="N14" s="19">
        <f t="shared" si="1"/>
        <v>0</v>
      </c>
      <c r="O14" s="11"/>
      <c r="P14" s="2">
        <f>--454738.68</f>
        <v>454738.68</v>
      </c>
      <c r="Q14" s="2"/>
      <c r="R14" s="19"/>
      <c r="S14" s="2"/>
      <c r="T14" s="2"/>
      <c r="U14" s="2"/>
      <c r="V14" s="19"/>
      <c r="W14" s="2"/>
      <c r="X14" s="2">
        <f t="shared" si="2"/>
        <v>454738.68</v>
      </c>
      <c r="Y14" s="2"/>
      <c r="Z14" s="19">
        <f t="shared" si="3"/>
        <v>0</v>
      </c>
    </row>
    <row r="15" spans="1:26" s="24" customFormat="1" hidden="1" outlineLevel="1" x14ac:dyDescent="0.25">
      <c r="A15" s="44"/>
      <c r="B15" s="11" t="str">
        <f>CONCATENATE("          ", "4052", " - ", "TAXABLE SALES-FOOD")</f>
        <v xml:space="preserve">          4052 - TAXABLE SALES-FOOD</v>
      </c>
      <c r="C15" s="11"/>
      <c r="D15" s="2">
        <f t="shared" si="4"/>
        <v>0</v>
      </c>
      <c r="E15" s="2"/>
      <c r="F15" s="19"/>
      <c r="G15" s="2"/>
      <c r="H15" s="2"/>
      <c r="I15" s="2"/>
      <c r="J15" s="19"/>
      <c r="K15" s="2"/>
      <c r="L15" s="2">
        <f t="shared" si="0"/>
        <v>0</v>
      </c>
      <c r="M15" s="2"/>
      <c r="N15" s="19">
        <f t="shared" si="1"/>
        <v>0</v>
      </c>
      <c r="O15" s="11"/>
      <c r="P15" s="2">
        <f>--836487.29</f>
        <v>836487.29</v>
      </c>
      <c r="Q15" s="2"/>
      <c r="R15" s="19"/>
      <c r="S15" s="2"/>
      <c r="T15" s="2"/>
      <c r="U15" s="2"/>
      <c r="V15" s="19"/>
      <c r="W15" s="2"/>
      <c r="X15" s="2">
        <f t="shared" si="2"/>
        <v>836487.29</v>
      </c>
      <c r="Y15" s="2"/>
      <c r="Z15" s="19">
        <f t="shared" si="3"/>
        <v>0</v>
      </c>
    </row>
    <row r="16" spans="1:26" s="24" customFormat="1" hidden="1" outlineLevel="1" x14ac:dyDescent="0.25">
      <c r="A16" s="44"/>
      <c r="B16" s="11" t="str">
        <f>CONCATENATE("          ", "4053", " - ", "TAXABLE SALES-FOOD")</f>
        <v xml:space="preserve">          4053 - TAXABLE SALES-FOOD</v>
      </c>
      <c r="C16" s="11"/>
      <c r="D16" s="2">
        <f t="shared" si="4"/>
        <v>0</v>
      </c>
      <c r="E16" s="2"/>
      <c r="F16" s="19"/>
      <c r="G16" s="2"/>
      <c r="H16" s="2"/>
      <c r="I16" s="2"/>
      <c r="J16" s="19"/>
      <c r="K16" s="2"/>
      <c r="L16" s="2">
        <f t="shared" si="0"/>
        <v>0</v>
      </c>
      <c r="M16" s="2"/>
      <c r="N16" s="19">
        <f t="shared" si="1"/>
        <v>0</v>
      </c>
      <c r="O16" s="11"/>
      <c r="P16" s="2">
        <f>--253270.4</f>
        <v>253270.39999999999</v>
      </c>
      <c r="Q16" s="2"/>
      <c r="R16" s="19"/>
      <c r="S16" s="2"/>
      <c r="T16" s="2"/>
      <c r="U16" s="2"/>
      <c r="V16" s="19"/>
      <c r="W16" s="2"/>
      <c r="X16" s="2">
        <f t="shared" si="2"/>
        <v>253270.39999999999</v>
      </c>
      <c r="Y16" s="2"/>
      <c r="Z16" s="19">
        <f t="shared" si="3"/>
        <v>0</v>
      </c>
    </row>
    <row r="17" spans="1:26" s="24" customFormat="1" hidden="1" outlineLevel="1" x14ac:dyDescent="0.25">
      <c r="A17" s="44"/>
      <c r="B17" s="11" t="str">
        <f>CONCATENATE("          ", "4055", " - ", "TAXABLE SALES-FOOD")</f>
        <v xml:space="preserve">          4055 - TAXABLE SALES-FOOD</v>
      </c>
      <c r="C17" s="11"/>
      <c r="D17" s="2">
        <f t="shared" si="4"/>
        <v>0</v>
      </c>
      <c r="E17" s="2"/>
      <c r="F17" s="19"/>
      <c r="G17" s="2"/>
      <c r="H17" s="2"/>
      <c r="I17" s="2"/>
      <c r="J17" s="19"/>
      <c r="K17" s="2"/>
      <c r="L17" s="2">
        <f t="shared" si="0"/>
        <v>0</v>
      </c>
      <c r="M17" s="2"/>
      <c r="N17" s="19">
        <f t="shared" si="1"/>
        <v>0</v>
      </c>
      <c r="O17" s="11"/>
      <c r="P17" s="2">
        <f>--381406.04</f>
        <v>381406.04</v>
      </c>
      <c r="Q17" s="2"/>
      <c r="R17" s="19"/>
      <c r="S17" s="2"/>
      <c r="T17" s="2"/>
      <c r="U17" s="2"/>
      <c r="V17" s="19"/>
      <c r="W17" s="2"/>
      <c r="X17" s="2">
        <f t="shared" si="2"/>
        <v>381406.04</v>
      </c>
      <c r="Y17" s="2"/>
      <c r="Z17" s="19">
        <f t="shared" si="3"/>
        <v>0</v>
      </c>
    </row>
    <row r="18" spans="1:26" s="24" customFormat="1" hidden="1" outlineLevel="1" x14ac:dyDescent="0.25">
      <c r="A18" s="44"/>
      <c r="B18" s="11" t="str">
        <f>CONCATENATE("          ", "4058", " - ", "TAXABLE SALES-FOOD")</f>
        <v xml:space="preserve">          4058 - TAXABLE SALES-FOOD</v>
      </c>
      <c r="C18" s="11"/>
      <c r="D18" s="2">
        <f t="shared" si="4"/>
        <v>0</v>
      </c>
      <c r="E18" s="2"/>
      <c r="F18" s="19"/>
      <c r="G18" s="2"/>
      <c r="H18" s="2"/>
      <c r="I18" s="2"/>
      <c r="J18" s="19"/>
      <c r="K18" s="2"/>
      <c r="L18" s="2">
        <f t="shared" si="0"/>
        <v>0</v>
      </c>
      <c r="M18" s="2"/>
      <c r="N18" s="19">
        <f t="shared" si="1"/>
        <v>0</v>
      </c>
      <c r="O18" s="11"/>
      <c r="P18" s="2">
        <f>--117077.57</f>
        <v>117077.57</v>
      </c>
      <c r="Q18" s="2"/>
      <c r="R18" s="19"/>
      <c r="S18" s="2"/>
      <c r="T18" s="2"/>
      <c r="U18" s="2"/>
      <c r="V18" s="19"/>
      <c r="W18" s="2"/>
      <c r="X18" s="2">
        <f t="shared" si="2"/>
        <v>117077.57</v>
      </c>
      <c r="Y18" s="2"/>
      <c r="Z18" s="19">
        <f t="shared" si="3"/>
        <v>0</v>
      </c>
    </row>
    <row r="19" spans="1:26" s="24" customFormat="1" hidden="1" outlineLevel="1" x14ac:dyDescent="0.25">
      <c r="A19" s="44"/>
      <c r="B19" s="11" t="str">
        <f>CONCATENATE("          ", "4100", " - ", "NON-TAXABLE SALES")</f>
        <v xml:space="preserve">          4100 - NON-TAXABLE SALES</v>
      </c>
      <c r="C19" s="11"/>
      <c r="D19" s="2">
        <f t="shared" si="4"/>
        <v>0</v>
      </c>
      <c r="E19" s="2"/>
      <c r="F19" s="19"/>
      <c r="G19" s="2"/>
      <c r="H19" s="2">
        <v>313100</v>
      </c>
      <c r="I19" s="2"/>
      <c r="J19" s="19"/>
      <c r="K19" s="2"/>
      <c r="L19" s="2">
        <f t="shared" si="0"/>
        <v>-313100</v>
      </c>
      <c r="M19" s="2"/>
      <c r="N19" s="19">
        <f t="shared" si="1"/>
        <v>-1</v>
      </c>
      <c r="O19" s="11"/>
      <c r="P19" s="2">
        <f>0</f>
        <v>0</v>
      </c>
      <c r="Q19" s="2"/>
      <c r="R19" s="19"/>
      <c r="S19" s="2"/>
      <c r="T19" s="2">
        <v>3751225</v>
      </c>
      <c r="U19" s="2"/>
      <c r="V19" s="19"/>
      <c r="W19" s="2"/>
      <c r="X19" s="2">
        <f t="shared" si="2"/>
        <v>-3751225</v>
      </c>
      <c r="Y19" s="2"/>
      <c r="Z19" s="19">
        <f t="shared" si="3"/>
        <v>-1</v>
      </c>
    </row>
    <row r="20" spans="1:26" s="24" customFormat="1" hidden="1" outlineLevel="1" x14ac:dyDescent="0.25">
      <c r="A20" s="44"/>
      <c r="B20" s="11" t="str">
        <f>CONCATENATE("          ", "4151", " - ", "NON-TAXABLE SALES-FOOD")</f>
        <v xml:space="preserve">          4151 - NON-TAXABLE SALES-FOOD</v>
      </c>
      <c r="C20" s="11"/>
      <c r="D20" s="2">
        <f t="shared" si="4"/>
        <v>0</v>
      </c>
      <c r="E20" s="2"/>
      <c r="F20" s="19"/>
      <c r="G20" s="2"/>
      <c r="H20" s="2"/>
      <c r="I20" s="2"/>
      <c r="J20" s="19"/>
      <c r="K20" s="2"/>
      <c r="L20" s="2">
        <f t="shared" si="0"/>
        <v>0</v>
      </c>
      <c r="M20" s="2"/>
      <c r="N20" s="19">
        <f t="shared" si="1"/>
        <v>0</v>
      </c>
      <c r="O20" s="11"/>
      <c r="P20" s="2">
        <f>--1363402.11</f>
        <v>1363402.11</v>
      </c>
      <c r="Q20" s="2"/>
      <c r="R20" s="19"/>
      <c r="S20" s="2"/>
      <c r="T20" s="2"/>
      <c r="U20" s="2"/>
      <c r="V20" s="19"/>
      <c r="W20" s="2"/>
      <c r="X20" s="2">
        <f t="shared" si="2"/>
        <v>1363402.11</v>
      </c>
      <c r="Y20" s="2"/>
      <c r="Z20" s="19">
        <f t="shared" si="3"/>
        <v>0</v>
      </c>
    </row>
    <row r="21" spans="1:26" s="24" customFormat="1" hidden="1" outlineLevel="1" x14ac:dyDescent="0.25">
      <c r="A21" s="44"/>
      <c r="B21" s="11" t="str">
        <f>CONCATENATE("          ", "4152", " - ", "NON-TAXABLE SALES-FOOD")</f>
        <v xml:space="preserve">          4152 - NON-TAXABLE SALES-FOOD</v>
      </c>
      <c r="C21" s="11"/>
      <c r="D21" s="2">
        <f t="shared" si="4"/>
        <v>0</v>
      </c>
      <c r="E21" s="2"/>
      <c r="F21" s="19"/>
      <c r="G21" s="2"/>
      <c r="H21" s="2"/>
      <c r="I21" s="2"/>
      <c r="J21" s="19"/>
      <c r="K21" s="2"/>
      <c r="L21" s="2">
        <f t="shared" si="0"/>
        <v>0</v>
      </c>
      <c r="M21" s="2"/>
      <c r="N21" s="19">
        <f t="shared" si="1"/>
        <v>0</v>
      </c>
      <c r="O21" s="11"/>
      <c r="P21" s="2">
        <f>--51415.27</f>
        <v>51415.27</v>
      </c>
      <c r="Q21" s="2"/>
      <c r="R21" s="19"/>
      <c r="S21" s="2"/>
      <c r="T21" s="2"/>
      <c r="U21" s="2"/>
      <c r="V21" s="19"/>
      <c r="W21" s="2"/>
      <c r="X21" s="2">
        <f t="shared" si="2"/>
        <v>51415.27</v>
      </c>
      <c r="Y21" s="2"/>
      <c r="Z21" s="19">
        <f t="shared" si="3"/>
        <v>0</v>
      </c>
    </row>
    <row r="22" spans="1:26" s="24" customFormat="1" hidden="1" outlineLevel="1" x14ac:dyDescent="0.25">
      <c r="A22" s="44"/>
      <c r="B22" s="11" t="str">
        <f>CONCATENATE("          ", "4153", " - ", "NON-TAXABLE SALES-FOOD")</f>
        <v xml:space="preserve">          4153 - NON-TAXABLE SALES-FOOD</v>
      </c>
      <c r="C22" s="11"/>
      <c r="D22" s="2">
        <f t="shared" si="4"/>
        <v>0</v>
      </c>
      <c r="E22" s="2"/>
      <c r="F22" s="19"/>
      <c r="G22" s="2"/>
      <c r="H22" s="2"/>
      <c r="I22" s="2"/>
      <c r="J22" s="19"/>
      <c r="K22" s="2"/>
      <c r="L22" s="2">
        <f t="shared" si="0"/>
        <v>0</v>
      </c>
      <c r="M22" s="2"/>
      <c r="N22" s="19">
        <f t="shared" si="1"/>
        <v>0</v>
      </c>
      <c r="O22" s="11"/>
      <c r="P22" s="2">
        <f>-498.41</f>
        <v>-498.41</v>
      </c>
      <c r="Q22" s="2"/>
      <c r="R22" s="19"/>
      <c r="S22" s="2"/>
      <c r="T22" s="2"/>
      <c r="U22" s="2"/>
      <c r="V22" s="19"/>
      <c r="W22" s="2"/>
      <c r="X22" s="2">
        <f t="shared" si="2"/>
        <v>-498.41</v>
      </c>
      <c r="Y22" s="2"/>
      <c r="Z22" s="19">
        <f t="shared" si="3"/>
        <v>0</v>
      </c>
    </row>
    <row r="23" spans="1:26" s="24" customFormat="1" hidden="1" outlineLevel="1" x14ac:dyDescent="0.25">
      <c r="A23" s="44"/>
      <c r="B23" s="11" t="str">
        <f>CONCATENATE("          ", "4155", " - ", "NON-TAXABLE SALES-FOOD")</f>
        <v xml:space="preserve">          4155 - NON-TAXABLE SALES-FOOD</v>
      </c>
      <c r="C23" s="11"/>
      <c r="D23" s="2">
        <f t="shared" si="4"/>
        <v>0</v>
      </c>
      <c r="E23" s="2"/>
      <c r="F23" s="19"/>
      <c r="G23" s="2"/>
      <c r="H23" s="2"/>
      <c r="I23" s="2"/>
      <c r="J23" s="19"/>
      <c r="K23" s="2"/>
      <c r="L23" s="2">
        <f t="shared" si="0"/>
        <v>0</v>
      </c>
      <c r="M23" s="2"/>
      <c r="N23" s="19">
        <f t="shared" si="1"/>
        <v>0</v>
      </c>
      <c r="O23" s="11"/>
      <c r="P23" s="2">
        <f>--687389.73</f>
        <v>687389.73</v>
      </c>
      <c r="Q23" s="2"/>
      <c r="R23" s="19"/>
      <c r="S23" s="2"/>
      <c r="T23" s="2"/>
      <c r="U23" s="2"/>
      <c r="V23" s="19"/>
      <c r="W23" s="2"/>
      <c r="X23" s="2">
        <f t="shared" si="2"/>
        <v>687389.73</v>
      </c>
      <c r="Y23" s="2"/>
      <c r="Z23" s="19">
        <f t="shared" si="3"/>
        <v>0</v>
      </c>
    </row>
    <row r="24" spans="1:26" s="24" customFormat="1" hidden="1" outlineLevel="1" x14ac:dyDescent="0.25">
      <c r="A24" s="44"/>
      <c r="B24" s="11" t="str">
        <f>CONCATENATE("          ", "4158", " - ", "NON-TAXABLE SALES-FOOD")</f>
        <v xml:space="preserve">          4158 - NON-TAXABLE SALES-FOOD</v>
      </c>
      <c r="C24" s="11"/>
      <c r="D24" s="2">
        <f t="shared" si="4"/>
        <v>0</v>
      </c>
      <c r="E24" s="2"/>
      <c r="F24" s="19"/>
      <c r="G24" s="2"/>
      <c r="H24" s="2"/>
      <c r="I24" s="2"/>
      <c r="J24" s="19"/>
      <c r="K24" s="2"/>
      <c r="L24" s="2">
        <f t="shared" si="0"/>
        <v>0</v>
      </c>
      <c r="M24" s="2"/>
      <c r="N24" s="19">
        <f t="shared" si="1"/>
        <v>0</v>
      </c>
      <c r="O24" s="11"/>
      <c r="P24" s="2">
        <f>--474853.67</f>
        <v>474853.67</v>
      </c>
      <c r="Q24" s="2"/>
      <c r="R24" s="19"/>
      <c r="S24" s="2"/>
      <c r="T24" s="2"/>
      <c r="U24" s="2"/>
      <c r="V24" s="19"/>
      <c r="W24" s="2"/>
      <c r="X24" s="2">
        <f t="shared" si="2"/>
        <v>474853.67</v>
      </c>
      <c r="Y24" s="2"/>
      <c r="Z24" s="19">
        <f t="shared" si="3"/>
        <v>0</v>
      </c>
    </row>
    <row r="25" spans="1:26" x14ac:dyDescent="0.25">
      <c r="A25" s="9"/>
      <c r="B25" s="10"/>
      <c r="C25" s="9"/>
      <c r="D25" s="3"/>
      <c r="E25" s="3"/>
      <c r="F25" s="8"/>
      <c r="G25" s="3"/>
      <c r="H25" s="3"/>
      <c r="I25" s="3"/>
      <c r="J25" s="8"/>
      <c r="K25" s="3"/>
      <c r="L25" s="3"/>
      <c r="M25" s="3"/>
      <c r="N25" s="8"/>
      <c r="P25" s="3"/>
      <c r="Q25" s="3"/>
      <c r="R25" s="8"/>
      <c r="S25" s="3"/>
      <c r="T25" s="3"/>
      <c r="U25" s="3"/>
      <c r="V25" s="8"/>
      <c r="W25" s="3"/>
      <c r="X25" s="3"/>
      <c r="Y25" s="3"/>
      <c r="Z25" s="8"/>
    </row>
    <row r="26" spans="1:26" s="23" customFormat="1" collapsed="1" x14ac:dyDescent="0.25">
      <c r="A26" s="10"/>
      <c r="B26" s="28" t="s">
        <v>8</v>
      </c>
      <c r="C26" s="10"/>
      <c r="D26" s="4">
        <f>SUM(OSRRefD16x_0)</f>
        <v>17386.59</v>
      </c>
      <c r="E26" s="4"/>
      <c r="F26" s="13">
        <f t="shared" ref="F26:F29" si="5">IF(D$12=0,0,D26/D$12)</f>
        <v>0</v>
      </c>
      <c r="G26" s="4"/>
      <c r="H26" s="4">
        <f>SUM(OSRRefH16x_0)</f>
        <v>199437</v>
      </c>
      <c r="I26" s="4"/>
      <c r="J26" s="13">
        <f t="shared" ref="J26:J29" si="6">IF(H$12=0,0,H26/H$12)</f>
        <v>0.30653659466288768</v>
      </c>
      <c r="K26" s="4"/>
      <c r="L26" s="4">
        <f t="shared" ref="L26:L29" si="7">+D26-H26</f>
        <v>-182050.41</v>
      </c>
      <c r="M26" s="4"/>
      <c r="N26" s="13">
        <f t="shared" ref="N26:N29" si="8">IF(H26=0,0,L26/H26)</f>
        <v>-0.91282164292483348</v>
      </c>
      <c r="O26" s="10"/>
      <c r="P26" s="4">
        <f>SUM(OSRRefP16x_0)</f>
        <v>1644832.26</v>
      </c>
      <c r="Q26" s="4"/>
      <c r="R26" s="13">
        <f t="shared" ref="R26:R29" si="9">IF(P$12=0,0,P26/P$12)</f>
        <v>0.35605956940734618</v>
      </c>
      <c r="S26" s="4"/>
      <c r="T26" s="4">
        <f>SUM(OSRRefT16x_0)</f>
        <v>2240575</v>
      </c>
      <c r="U26" s="4"/>
      <c r="V26" s="13">
        <f t="shared" ref="V26:V29" si="10">IF(T$12=0,0,T26/T$12)</f>
        <v>0.3070199358273763</v>
      </c>
      <c r="W26" s="4"/>
      <c r="X26" s="4">
        <f t="shared" ref="X26:X29" si="11">+P26-T26</f>
        <v>-595742.74</v>
      </c>
      <c r="Y26" s="4"/>
      <c r="Z26" s="13">
        <f t="shared" ref="Z26:Z29" si="12">IF(T26=0,0,X26/T26)</f>
        <v>-0.2658883277730047</v>
      </c>
    </row>
    <row r="27" spans="1:26" s="24" customFormat="1" hidden="1" outlineLevel="1" x14ac:dyDescent="0.25">
      <c r="A27" s="44"/>
      <c r="B27" s="11" t="str">
        <f>CONCATENATE("          ", "5000", " - ", "PURCHASES @ COST")</f>
        <v xml:space="preserve">          5000 - PURCHASES @ COST</v>
      </c>
      <c r="C27" s="11"/>
      <c r="D27" s="2"/>
      <c r="E27" s="2"/>
      <c r="F27" s="19">
        <f t="shared" si="5"/>
        <v>0</v>
      </c>
      <c r="G27" s="2"/>
      <c r="H27" s="2">
        <v>199437</v>
      </c>
      <c r="I27" s="2"/>
      <c r="J27" s="19">
        <f t="shared" si="6"/>
        <v>0.30653659466288768</v>
      </c>
      <c r="K27" s="2"/>
      <c r="L27" s="2">
        <f t="shared" si="7"/>
        <v>-199437</v>
      </c>
      <c r="M27" s="2"/>
      <c r="N27" s="19">
        <f t="shared" si="8"/>
        <v>-1</v>
      </c>
      <c r="O27" s="11"/>
      <c r="P27" s="2"/>
      <c r="Q27" s="2"/>
      <c r="R27" s="19">
        <f t="shared" si="9"/>
        <v>0</v>
      </c>
      <c r="S27" s="2"/>
      <c r="T27" s="2">
        <v>2240575</v>
      </c>
      <c r="U27" s="2"/>
      <c r="V27" s="19">
        <f t="shared" si="10"/>
        <v>0.3070199358273763</v>
      </c>
      <c r="W27" s="2"/>
      <c r="X27" s="2">
        <f t="shared" si="11"/>
        <v>-2240575</v>
      </c>
      <c r="Y27" s="2"/>
      <c r="Z27" s="19">
        <f t="shared" si="12"/>
        <v>-1</v>
      </c>
    </row>
    <row r="28" spans="1:26" s="24" customFormat="1" hidden="1" outlineLevel="1" x14ac:dyDescent="0.25">
      <c r="A28" s="44"/>
      <c r="B28" s="11" t="str">
        <f>CONCATENATE("          ", "5053", " - ", "PURCHASES @ COST-FOOD")</f>
        <v xml:space="preserve">          5053 - PURCHASES @ COST-FOOD</v>
      </c>
      <c r="C28" s="11"/>
      <c r="D28" s="2">
        <v>4713.59</v>
      </c>
      <c r="E28" s="2"/>
      <c r="F28" s="19">
        <f t="shared" si="5"/>
        <v>0</v>
      </c>
      <c r="G28" s="2"/>
      <c r="H28" s="2"/>
      <c r="I28" s="2"/>
      <c r="J28" s="19">
        <f t="shared" si="6"/>
        <v>0</v>
      </c>
      <c r="K28" s="2"/>
      <c r="L28" s="2">
        <f t="shared" si="7"/>
        <v>4713.59</v>
      </c>
      <c r="M28" s="2"/>
      <c r="N28" s="19">
        <f t="shared" si="8"/>
        <v>0</v>
      </c>
      <c r="O28" s="11"/>
      <c r="P28" s="2">
        <v>1601459.27</v>
      </c>
      <c r="Q28" s="2"/>
      <c r="R28" s="19">
        <f t="shared" si="9"/>
        <v>0.34667054627175353</v>
      </c>
      <c r="S28" s="2"/>
      <c r="T28" s="2"/>
      <c r="U28" s="2"/>
      <c r="V28" s="19">
        <f t="shared" si="10"/>
        <v>0</v>
      </c>
      <c r="W28" s="2"/>
      <c r="X28" s="2">
        <f t="shared" si="11"/>
        <v>1601459.27</v>
      </c>
      <c r="Y28" s="2"/>
      <c r="Z28" s="19">
        <f t="shared" si="12"/>
        <v>0</v>
      </c>
    </row>
    <row r="29" spans="1:26" s="24" customFormat="1" hidden="1" outlineLevel="1" x14ac:dyDescent="0.25">
      <c r="A29" s="44"/>
      <c r="B29" s="11" t="str">
        <f>CONCATENATE("          ", "5059", " - ", "PURCHASES @ COST-FOOD")</f>
        <v xml:space="preserve">          5059 - PURCHASES @ COST-FOOD</v>
      </c>
      <c r="C29" s="11"/>
      <c r="D29" s="2">
        <v>12673</v>
      </c>
      <c r="E29" s="2"/>
      <c r="F29" s="19">
        <f t="shared" si="5"/>
        <v>0</v>
      </c>
      <c r="G29" s="2"/>
      <c r="H29" s="2"/>
      <c r="I29" s="2"/>
      <c r="J29" s="19">
        <f t="shared" si="6"/>
        <v>0</v>
      </c>
      <c r="K29" s="2"/>
      <c r="L29" s="2">
        <f t="shared" si="7"/>
        <v>12673</v>
      </c>
      <c r="M29" s="2"/>
      <c r="N29" s="19">
        <f t="shared" si="8"/>
        <v>0</v>
      </c>
      <c r="O29" s="11"/>
      <c r="P29" s="2">
        <v>43372.990000000005</v>
      </c>
      <c r="Q29" s="2"/>
      <c r="R29" s="19">
        <f t="shared" si="9"/>
        <v>9.3890231355926428E-3</v>
      </c>
      <c r="S29" s="2"/>
      <c r="T29" s="2"/>
      <c r="U29" s="2"/>
      <c r="V29" s="19">
        <f t="shared" si="10"/>
        <v>0</v>
      </c>
      <c r="W29" s="2"/>
      <c r="X29" s="2">
        <f t="shared" si="11"/>
        <v>43372.990000000005</v>
      </c>
      <c r="Y29" s="2"/>
      <c r="Z29" s="19">
        <f t="shared" si="12"/>
        <v>0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x14ac:dyDescent="0.25">
      <c r="A31" s="10"/>
      <c r="B31" s="29" t="s">
        <v>6</v>
      </c>
      <c r="C31" s="29"/>
      <c r="D31" s="20">
        <f>D12-D26</f>
        <v>-17386.59</v>
      </c>
      <c r="E31" s="14"/>
      <c r="F31" s="22">
        <f>IF(D$12=0,0,D31/D$12)</f>
        <v>0</v>
      </c>
      <c r="G31" s="14"/>
      <c r="H31" s="20">
        <f>H12-H26</f>
        <v>451177</v>
      </c>
      <c r="I31" s="14"/>
      <c r="J31" s="22">
        <f>IF(H$12=0,0,H31/H$12)</f>
        <v>0.69346340533711237</v>
      </c>
      <c r="K31" s="16"/>
      <c r="L31" s="20">
        <f>+D31-H31</f>
        <v>-468563.59</v>
      </c>
      <c r="M31" s="16"/>
      <c r="N31" s="22">
        <f>IF(H31=0,0,L31/H31)</f>
        <v>-1.0385360734257287</v>
      </c>
      <c r="O31" s="28"/>
      <c r="P31" s="20">
        <f>P12-P26</f>
        <v>2974710.09</v>
      </c>
      <c r="Q31" s="14"/>
      <c r="R31" s="22">
        <f>IF(P$12=0,0,P31/P$12)</f>
        <v>0.64394043059265382</v>
      </c>
      <c r="S31" s="14"/>
      <c r="T31" s="20">
        <f>T12-T26</f>
        <v>5057241</v>
      </c>
      <c r="U31" s="14"/>
      <c r="V31" s="22">
        <f>IF(T$12=0,0,T31/T$12)</f>
        <v>0.6929800641726237</v>
      </c>
      <c r="W31" s="16"/>
      <c r="X31" s="20">
        <f>+P31-T31</f>
        <v>-2082530.9100000001</v>
      </c>
      <c r="Y31" s="16"/>
      <c r="Z31" s="22">
        <f>IF(T31=0,0,X31/T31)</f>
        <v>-0.41179190590284309</v>
      </c>
    </row>
    <row r="32" spans="1:26" x14ac:dyDescent="0.25">
      <c r="A32" s="9"/>
      <c r="B32" s="10"/>
      <c r="C32" s="9"/>
      <c r="D32" s="1"/>
      <c r="E32" s="1"/>
      <c r="F32" s="5"/>
      <c r="G32" s="1"/>
      <c r="H32" s="1"/>
      <c r="I32" s="1"/>
      <c r="J32" s="5"/>
      <c r="K32" s="1"/>
      <c r="L32" s="1"/>
      <c r="M32" s="1"/>
      <c r="N32" s="5"/>
      <c r="O32" s="36"/>
      <c r="P32" s="1"/>
      <c r="Q32" s="1"/>
      <c r="R32" s="5"/>
      <c r="S32" s="1"/>
      <c r="T32" s="1"/>
      <c r="U32" s="1"/>
      <c r="V32" s="5"/>
      <c r="W32" s="1"/>
      <c r="X32" s="1"/>
      <c r="Y32" s="1"/>
      <c r="Z32" s="5"/>
    </row>
    <row r="33" spans="1:26" s="23" customFormat="1" x14ac:dyDescent="0.25">
      <c r="A33" s="10"/>
      <c r="B33" s="28" t="s">
        <v>9</v>
      </c>
      <c r="C33" s="10"/>
      <c r="D33" s="21">
        <f>SUM(OSRRefD22x_0)</f>
        <v>138193.29000000004</v>
      </c>
      <c r="E33" s="21"/>
      <c r="F33" s="30">
        <f t="shared" ref="F33:F44" si="13">IF(D$12=0,0,D33/D$12)</f>
        <v>0</v>
      </c>
      <c r="G33" s="21"/>
      <c r="H33" s="21">
        <f>SUM(OSRRefH22x_0)</f>
        <v>468389.62697077962</v>
      </c>
      <c r="I33" s="21"/>
      <c r="J33" s="30">
        <f t="shared" ref="J33:J44" si="14">IF(H$12=0,0,H33/H$12)</f>
        <v>0.71991937918762827</v>
      </c>
      <c r="K33" s="4"/>
      <c r="L33" s="21">
        <f t="shared" ref="L33:L44" si="15">+D33-H33</f>
        <v>-330196.33697077958</v>
      </c>
      <c r="M33" s="4"/>
      <c r="N33" s="30">
        <f t="shared" ref="N33:N44" si="16">IF(H33=0,0,L33/H33)</f>
        <v>-0.70496082312125752</v>
      </c>
      <c r="O33" s="10"/>
      <c r="P33" s="21">
        <f>SUM(OSRRefP22x_0)</f>
        <v>4695062.4100000011</v>
      </c>
      <c r="Q33" s="21"/>
      <c r="R33" s="30">
        <f t="shared" ref="R33:R44" si="17">IF(P$12=0,0,P33/P$12)</f>
        <v>1.0163479527360544</v>
      </c>
      <c r="S33" s="21"/>
      <c r="T33" s="21">
        <f>SUM(OSRRefT22x_0)</f>
        <v>5324656.347857113</v>
      </c>
      <c r="U33" s="21"/>
      <c r="V33" s="30">
        <f t="shared" ref="V33:V44" si="18">IF(T$12=0,0,T33/T$12)</f>
        <v>0.72962326644808706</v>
      </c>
      <c r="W33" s="4"/>
      <c r="X33" s="21">
        <f t="shared" ref="X33:X44" si="19">+P33-T33</f>
        <v>-629593.93785711192</v>
      </c>
      <c r="Y33" s="4"/>
      <c r="Z33" s="30">
        <f t="shared" ref="Z33:Z44" si="20">IF(T33=0,0,X33/T33)</f>
        <v>-0.11824123412405563</v>
      </c>
    </row>
    <row r="34" spans="1:26" s="27" customFormat="1" outlineLevel="1" collapsed="1" x14ac:dyDescent="0.25">
      <c r="A34" s="25"/>
      <c r="B34" s="12" t="str">
        <f>CONCATENATE("     ","*Benefits                                         ")</f>
        <v xml:space="preserve">     *Benefits                                         </v>
      </c>
      <c r="C34" s="12"/>
      <c r="D34" s="1">
        <f>SUM(OSRRefD22_0x_0)</f>
        <v>25570.010000000002</v>
      </c>
      <c r="E34" s="1"/>
      <c r="F34" s="5">
        <f t="shared" si="13"/>
        <v>0</v>
      </c>
      <c r="G34" s="1"/>
      <c r="H34" s="1">
        <f>SUM(OSRRefH22_0x_0)</f>
        <v>71720.542247702615</v>
      </c>
      <c r="I34" s="1"/>
      <c r="J34" s="5">
        <f t="shared" si="14"/>
        <v>0.11023516593203131</v>
      </c>
      <c r="K34" s="1"/>
      <c r="L34" s="1">
        <f t="shared" si="15"/>
        <v>-46150.532247702613</v>
      </c>
      <c r="M34" s="1"/>
      <c r="N34" s="5">
        <f t="shared" si="16"/>
        <v>-0.6434771796385983</v>
      </c>
      <c r="O34" s="12"/>
      <c r="P34" s="1">
        <f>SUM(OSRRefP22_0x_0)</f>
        <v>618079.1399999999</v>
      </c>
      <c r="Q34" s="1"/>
      <c r="R34" s="5">
        <f t="shared" si="17"/>
        <v>0.1337966173207612</v>
      </c>
      <c r="S34" s="1"/>
      <c r="T34" s="1">
        <f>SUM(OSRRefT22_0x_0)</f>
        <v>739589.86243018962</v>
      </c>
      <c r="U34" s="1"/>
      <c r="V34" s="5">
        <f t="shared" si="18"/>
        <v>0.1013439996884259</v>
      </c>
      <c r="W34" s="1"/>
      <c r="X34" s="1">
        <f t="shared" si="19"/>
        <v>-121510.72243018972</v>
      </c>
      <c r="Y34" s="1"/>
      <c r="Z34" s="5">
        <f t="shared" si="20"/>
        <v>-0.16429473766841848</v>
      </c>
    </row>
    <row r="35" spans="1:26" s="24" customFormat="1" hidden="1" outlineLevel="2" x14ac:dyDescent="0.25">
      <c r="A35" s="26"/>
      <c r="B35" s="11" t="str">
        <f>CONCATENATE("          ", "6111", " - ", "F.I.C.A.")</f>
        <v xml:space="preserve">          6111 - F.I.C.A.</v>
      </c>
      <c r="C35" s="11"/>
      <c r="D35" s="7">
        <v>2765.22</v>
      </c>
      <c r="E35" s="2"/>
      <c r="F35" s="6">
        <f t="shared" si="13"/>
        <v>0</v>
      </c>
      <c r="G35" s="2"/>
      <c r="H35" s="7">
        <v>10852.96657313954</v>
      </c>
      <c r="I35" s="2"/>
      <c r="J35" s="6">
        <f t="shared" si="14"/>
        <v>1.6681114413676219E-2</v>
      </c>
      <c r="K35" s="2"/>
      <c r="L35" s="7">
        <f t="shared" si="15"/>
        <v>-8087.7465731395405</v>
      </c>
      <c r="M35" s="2"/>
      <c r="N35" s="6">
        <f t="shared" si="16"/>
        <v>-0.74521067752629422</v>
      </c>
      <c r="O35" s="11"/>
      <c r="P35" s="7">
        <v>134319.51999999999</v>
      </c>
      <c r="Q35" s="2"/>
      <c r="R35" s="6">
        <f t="shared" si="17"/>
        <v>2.9076369437331818E-2</v>
      </c>
      <c r="S35" s="2"/>
      <c r="T35" s="7">
        <v>122563.64074362649</v>
      </c>
      <c r="U35" s="2"/>
      <c r="V35" s="6">
        <f t="shared" si="18"/>
        <v>1.6794564393460523E-2</v>
      </c>
      <c r="W35" s="2"/>
      <c r="X35" s="7">
        <f t="shared" si="19"/>
        <v>11755.879256373504</v>
      </c>
      <c r="Y35" s="2"/>
      <c r="Z35" s="6">
        <f t="shared" si="20"/>
        <v>9.5916531077629805E-2</v>
      </c>
    </row>
    <row r="36" spans="1:26" s="24" customFormat="1" hidden="1" outlineLevel="2" x14ac:dyDescent="0.25">
      <c r="A36" s="26"/>
      <c r="B36" s="11" t="str">
        <f>CONCATENATE("          ", "6112", " - ", "COMPENSATION INSURANCE")</f>
        <v xml:space="preserve">          6112 - COMPENSATION INSURANCE</v>
      </c>
      <c r="C36" s="11"/>
      <c r="D36" s="7">
        <v>1175.01</v>
      </c>
      <c r="E36" s="2"/>
      <c r="F36" s="6">
        <f t="shared" si="13"/>
        <v>0</v>
      </c>
      <c r="G36" s="2"/>
      <c r="H36" s="7">
        <v>7966.1229970338418</v>
      </c>
      <c r="I36" s="2"/>
      <c r="J36" s="6">
        <f t="shared" si="14"/>
        <v>1.2244007963299041E-2</v>
      </c>
      <c r="K36" s="2"/>
      <c r="L36" s="7">
        <f t="shared" si="15"/>
        <v>-6791.1129970338416</v>
      </c>
      <c r="M36" s="2"/>
      <c r="N36" s="6">
        <f t="shared" si="16"/>
        <v>-0.85249913911227437</v>
      </c>
      <c r="O36" s="11"/>
      <c r="P36" s="7">
        <v>71111.59</v>
      </c>
      <c r="Q36" s="2"/>
      <c r="R36" s="6">
        <f t="shared" si="17"/>
        <v>1.539364391799547E-2</v>
      </c>
      <c r="S36" s="2"/>
      <c r="T36" s="7">
        <v>94835.678844726135</v>
      </c>
      <c r="U36" s="2"/>
      <c r="V36" s="6">
        <f t="shared" si="18"/>
        <v>1.2995076724971709E-2</v>
      </c>
      <c r="W36" s="2"/>
      <c r="X36" s="7">
        <f t="shared" si="19"/>
        <v>-23724.088844726139</v>
      </c>
      <c r="Y36" s="2"/>
      <c r="Z36" s="6">
        <f t="shared" si="20"/>
        <v>-0.25015995175791844</v>
      </c>
    </row>
    <row r="37" spans="1:26" s="24" customFormat="1" hidden="1" outlineLevel="2" x14ac:dyDescent="0.25">
      <c r="A37" s="26"/>
      <c r="B37" s="11" t="str">
        <f>CONCATENATE("          ", "6113", " - ", "GROUP INSURANCE")</f>
        <v xml:space="preserve">          6113 - GROUP INSURANCE</v>
      </c>
      <c r="C37" s="11"/>
      <c r="D37" s="7">
        <v>13618.48</v>
      </c>
      <c r="E37" s="2"/>
      <c r="F37" s="6">
        <f t="shared" si="13"/>
        <v>0</v>
      </c>
      <c r="G37" s="2"/>
      <c r="H37" s="7">
        <v>23347.715384615381</v>
      </c>
      <c r="I37" s="2"/>
      <c r="J37" s="6">
        <f t="shared" si="14"/>
        <v>3.5885663979894962E-2</v>
      </c>
      <c r="K37" s="2"/>
      <c r="L37" s="7">
        <f t="shared" si="15"/>
        <v>-9729.2353846153819</v>
      </c>
      <c r="M37" s="2"/>
      <c r="N37" s="6">
        <f t="shared" si="16"/>
        <v>-0.41671038148025019</v>
      </c>
      <c r="O37" s="11"/>
      <c r="P37" s="7">
        <v>235713.3</v>
      </c>
      <c r="Q37" s="2"/>
      <c r="R37" s="6">
        <f t="shared" si="17"/>
        <v>5.1025249286869294E-2</v>
      </c>
      <c r="S37" s="2"/>
      <c r="T37" s="7">
        <v>244789.10576923084</v>
      </c>
      <c r="U37" s="2"/>
      <c r="V37" s="6">
        <f t="shared" si="18"/>
        <v>3.3542789482391831E-2</v>
      </c>
      <c r="W37" s="2"/>
      <c r="X37" s="7">
        <f t="shared" si="19"/>
        <v>-9075.8057692308503</v>
      </c>
      <c r="Y37" s="2"/>
      <c r="Z37" s="6">
        <f t="shared" si="20"/>
        <v>-3.7076019950768771E-2</v>
      </c>
    </row>
    <row r="38" spans="1:26" s="24" customFormat="1" hidden="1" outlineLevel="2" x14ac:dyDescent="0.25">
      <c r="A38" s="26"/>
      <c r="B38" s="11" t="str">
        <f>CONCATENATE("          ", "6114", " - ", "STATE UNEMPLOYMENT INSURANCE")</f>
        <v xml:space="preserve">          6114 - STATE UNEMPLOYMENT INSURANCE</v>
      </c>
      <c r="C38" s="11"/>
      <c r="D38" s="7">
        <v>140</v>
      </c>
      <c r="E38" s="2"/>
      <c r="F38" s="6">
        <f t="shared" si="13"/>
        <v>0</v>
      </c>
      <c r="G38" s="2"/>
      <c r="H38" s="7">
        <v>583.70002876000001</v>
      </c>
      <c r="I38" s="2"/>
      <c r="J38" s="6">
        <f t="shared" si="14"/>
        <v>8.9715258011662826E-4</v>
      </c>
      <c r="K38" s="2"/>
      <c r="L38" s="7">
        <f t="shared" si="15"/>
        <v>-443.70002876000001</v>
      </c>
      <c r="M38" s="2"/>
      <c r="N38" s="6">
        <f t="shared" si="16"/>
        <v>-0.76015077419575761</v>
      </c>
      <c r="O38" s="11"/>
      <c r="P38" s="7">
        <v>6145.79</v>
      </c>
      <c r="Q38" s="2"/>
      <c r="R38" s="6">
        <f t="shared" si="17"/>
        <v>1.3303893620544469E-3</v>
      </c>
      <c r="S38" s="2"/>
      <c r="T38" s="7">
        <v>6859.1924807599999</v>
      </c>
      <c r="U38" s="2"/>
      <c r="V38" s="6">
        <f t="shared" si="18"/>
        <v>9.3989660478696634E-4</v>
      </c>
      <c r="W38" s="2"/>
      <c r="X38" s="7">
        <f t="shared" si="19"/>
        <v>-713.40248075999989</v>
      </c>
      <c r="Y38" s="2"/>
      <c r="Z38" s="6">
        <f t="shared" si="20"/>
        <v>-0.10400677379459612</v>
      </c>
    </row>
    <row r="39" spans="1:26" s="24" customFormat="1" hidden="1" outlineLevel="2" x14ac:dyDescent="0.25">
      <c r="A39" s="26"/>
      <c r="B39" s="11" t="str">
        <f>CONCATENATE("          ", "6115", " - ", "P.E.R.S.")</f>
        <v xml:space="preserve">          6115 - P.E.R.S.</v>
      </c>
      <c r="C39" s="11"/>
      <c r="D39" s="7">
        <v>3064.65</v>
      </c>
      <c r="E39" s="2"/>
      <c r="F39" s="6">
        <f t="shared" si="13"/>
        <v>0</v>
      </c>
      <c r="G39" s="2"/>
      <c r="H39" s="7">
        <v>6790.4317276923139</v>
      </c>
      <c r="I39" s="2"/>
      <c r="J39" s="6">
        <f t="shared" si="14"/>
        <v>1.0436959130440343E-2</v>
      </c>
      <c r="K39" s="2"/>
      <c r="L39" s="7">
        <f t="shared" si="15"/>
        <v>-3725.7817276923138</v>
      </c>
      <c r="M39" s="2"/>
      <c r="N39" s="6">
        <f t="shared" si="16"/>
        <v>-0.54868112619379761</v>
      </c>
      <c r="O39" s="11"/>
      <c r="P39" s="7">
        <v>75933.180000000008</v>
      </c>
      <c r="Q39" s="2"/>
      <c r="R39" s="6">
        <f t="shared" si="17"/>
        <v>1.643738150814875E-2</v>
      </c>
      <c r="S39" s="2"/>
      <c r="T39" s="7">
        <v>81485.180732307752</v>
      </c>
      <c r="U39" s="2"/>
      <c r="V39" s="6">
        <f t="shared" si="18"/>
        <v>1.1165694055907652E-2</v>
      </c>
      <c r="W39" s="2"/>
      <c r="X39" s="7">
        <f t="shared" si="19"/>
        <v>-5552.0007323077443</v>
      </c>
      <c r="Y39" s="2"/>
      <c r="Z39" s="6">
        <f t="shared" si="20"/>
        <v>-6.8135097479221182E-2</v>
      </c>
    </row>
    <row r="40" spans="1:26" s="24" customFormat="1" hidden="1" outlineLevel="2" x14ac:dyDescent="0.25">
      <c r="A40" s="26"/>
      <c r="B40" s="11" t="str">
        <f>CONCATENATE("          ", "6116", " - ", "EDUCATIONAL BENEFITS")</f>
        <v xml:space="preserve">          6116 - EDUCATIONAL BENEFITS</v>
      </c>
      <c r="C40" s="11"/>
      <c r="D40" s="7"/>
      <c r="E40" s="2"/>
      <c r="F40" s="6">
        <f t="shared" si="13"/>
        <v>0</v>
      </c>
      <c r="G40" s="2"/>
      <c r="H40" s="7">
        <v>8000</v>
      </c>
      <c r="I40" s="2"/>
      <c r="J40" s="6">
        <f t="shared" si="14"/>
        <v>1.2296077243957246E-2</v>
      </c>
      <c r="K40" s="2"/>
      <c r="L40" s="7">
        <f t="shared" si="15"/>
        <v>-8000</v>
      </c>
      <c r="M40" s="2"/>
      <c r="N40" s="6">
        <f t="shared" si="16"/>
        <v>-1</v>
      </c>
      <c r="O40" s="11"/>
      <c r="P40" s="7"/>
      <c r="Q40" s="2"/>
      <c r="R40" s="6">
        <f t="shared" si="17"/>
        <v>0</v>
      </c>
      <c r="S40" s="2"/>
      <c r="T40" s="7">
        <v>24000</v>
      </c>
      <c r="U40" s="2"/>
      <c r="V40" s="6">
        <f t="shared" si="18"/>
        <v>3.2886551264104218E-3</v>
      </c>
      <c r="W40" s="2"/>
      <c r="X40" s="7">
        <f t="shared" si="19"/>
        <v>-24000</v>
      </c>
      <c r="Y40" s="2"/>
      <c r="Z40" s="6">
        <f t="shared" si="20"/>
        <v>-1</v>
      </c>
    </row>
    <row r="41" spans="1:26" s="24" customFormat="1" hidden="1" outlineLevel="2" x14ac:dyDescent="0.25">
      <c r="A41" s="26"/>
      <c r="B41" s="11" t="str">
        <f>CONCATENATE("          ", "6117", " - ", "RETIREMENT STAFF HOURLY")</f>
        <v xml:space="preserve">          6117 - RETIREMENT STAFF HOURLY</v>
      </c>
      <c r="C41" s="11"/>
      <c r="D41" s="7"/>
      <c r="E41" s="2"/>
      <c r="F41" s="6">
        <f t="shared" si="13"/>
        <v>0</v>
      </c>
      <c r="G41" s="2"/>
      <c r="H41" s="7"/>
      <c r="I41" s="2"/>
      <c r="J41" s="6">
        <f t="shared" si="14"/>
        <v>0</v>
      </c>
      <c r="K41" s="2"/>
      <c r="L41" s="7">
        <f t="shared" si="15"/>
        <v>0</v>
      </c>
      <c r="M41" s="2"/>
      <c r="N41" s="6">
        <f t="shared" si="16"/>
        <v>0</v>
      </c>
      <c r="O41" s="11"/>
      <c r="P41" s="7">
        <v>1352.45</v>
      </c>
      <c r="Q41" s="2"/>
      <c r="R41" s="6">
        <f t="shared" si="17"/>
        <v>2.9276709629039339E-4</v>
      </c>
      <c r="S41" s="2"/>
      <c r="T41" s="7"/>
      <c r="U41" s="2"/>
      <c r="V41" s="6">
        <f t="shared" si="18"/>
        <v>0</v>
      </c>
      <c r="W41" s="2"/>
      <c r="X41" s="7">
        <f t="shared" si="19"/>
        <v>1352.45</v>
      </c>
      <c r="Y41" s="2"/>
      <c r="Z41" s="6">
        <f t="shared" si="20"/>
        <v>0</v>
      </c>
    </row>
    <row r="42" spans="1:26" s="24" customFormat="1" hidden="1" outlineLevel="2" x14ac:dyDescent="0.25">
      <c r="A42" s="26"/>
      <c r="B42" s="11" t="str">
        <f>CONCATENATE("          ", "6118", " - ", "VACATION")</f>
        <v xml:space="preserve">          6118 - VACATION</v>
      </c>
      <c r="C42" s="11"/>
      <c r="D42" s="7">
        <v>2558.84</v>
      </c>
      <c r="E42" s="2"/>
      <c r="F42" s="6">
        <f t="shared" si="13"/>
        <v>0</v>
      </c>
      <c r="G42" s="2"/>
      <c r="H42" s="7">
        <v>5339.2384076923054</v>
      </c>
      <c r="I42" s="2"/>
      <c r="J42" s="6">
        <f t="shared" si="14"/>
        <v>8.2064609856109857E-3</v>
      </c>
      <c r="K42" s="2"/>
      <c r="L42" s="7">
        <f t="shared" si="15"/>
        <v>-2780.3984076923052</v>
      </c>
      <c r="M42" s="2"/>
      <c r="N42" s="6">
        <f t="shared" si="16"/>
        <v>-0.52074812836350437</v>
      </c>
      <c r="O42" s="11"/>
      <c r="P42" s="7">
        <v>75447.960000000006</v>
      </c>
      <c r="Q42" s="2"/>
      <c r="R42" s="6">
        <f t="shared" si="17"/>
        <v>1.6332345129382787E-2</v>
      </c>
      <c r="S42" s="2"/>
      <c r="T42" s="7">
        <v>62622.84219230766</v>
      </c>
      <c r="U42" s="2"/>
      <c r="V42" s="6">
        <f t="shared" si="18"/>
        <v>8.5810387919218103E-3</v>
      </c>
      <c r="W42" s="2"/>
      <c r="X42" s="7">
        <f t="shared" si="19"/>
        <v>12825.117807692346</v>
      </c>
      <c r="Y42" s="2"/>
      <c r="Z42" s="6">
        <f t="shared" si="20"/>
        <v>0.20479935689133785</v>
      </c>
    </row>
    <row r="43" spans="1:26" s="24" customFormat="1" hidden="1" outlineLevel="2" x14ac:dyDescent="0.25">
      <c r="A43" s="26"/>
      <c r="B43" s="11" t="str">
        <f>CONCATENATE("          ", "6119", " - ", "SICK LEAVE")</f>
        <v xml:space="preserve">          6119 - SICK LEAVE</v>
      </c>
      <c r="C43" s="11"/>
      <c r="D43" s="7">
        <v>1655.82</v>
      </c>
      <c r="E43" s="2"/>
      <c r="F43" s="6">
        <f t="shared" si="13"/>
        <v>0</v>
      </c>
      <c r="G43" s="2"/>
      <c r="H43" s="7">
        <v>7115.3671287692277</v>
      </c>
      <c r="I43" s="2"/>
      <c r="J43" s="6">
        <f t="shared" si="14"/>
        <v>1.0936387979307589E-2</v>
      </c>
      <c r="K43" s="2"/>
      <c r="L43" s="7">
        <f t="shared" si="15"/>
        <v>-5459.547128769228</v>
      </c>
      <c r="M43" s="2"/>
      <c r="N43" s="6">
        <f t="shared" si="16"/>
        <v>-0.76728959025809074</v>
      </c>
      <c r="O43" s="11"/>
      <c r="P43" s="7">
        <v>-7941.17</v>
      </c>
      <c r="Q43" s="2"/>
      <c r="R43" s="6">
        <f t="shared" si="17"/>
        <v>-1.719038250618051E-3</v>
      </c>
      <c r="S43" s="2"/>
      <c r="T43" s="7">
        <v>83459.221667230755</v>
      </c>
      <c r="U43" s="2"/>
      <c r="V43" s="6">
        <f t="shared" si="18"/>
        <v>1.1436191549256758E-2</v>
      </c>
      <c r="W43" s="2"/>
      <c r="X43" s="7">
        <f t="shared" si="19"/>
        <v>-91400.391667230753</v>
      </c>
      <c r="Y43" s="2"/>
      <c r="Z43" s="6">
        <f t="shared" si="20"/>
        <v>-1.0951503002467851</v>
      </c>
    </row>
    <row r="44" spans="1:26" s="24" customFormat="1" hidden="1" outlineLevel="2" x14ac:dyDescent="0.25">
      <c r="A44" s="26"/>
      <c r="B44" s="11" t="str">
        <f>CONCATENATE("          ", "6156", " - ", "EMPLOYEE MEALS")</f>
        <v xml:space="preserve">          6156 - EMPLOYEE MEALS</v>
      </c>
      <c r="C44" s="11"/>
      <c r="D44" s="7">
        <v>591.99</v>
      </c>
      <c r="E44" s="2"/>
      <c r="F44" s="6">
        <f t="shared" si="13"/>
        <v>0</v>
      </c>
      <c r="G44" s="2"/>
      <c r="H44" s="7">
        <v>1725</v>
      </c>
      <c r="I44" s="2"/>
      <c r="J44" s="6">
        <f t="shared" si="14"/>
        <v>2.6513416557282813E-3</v>
      </c>
      <c r="K44" s="2"/>
      <c r="L44" s="7">
        <f t="shared" si="15"/>
        <v>-1133.01</v>
      </c>
      <c r="M44" s="2"/>
      <c r="N44" s="6">
        <f t="shared" si="16"/>
        <v>-0.6568173913043478</v>
      </c>
      <c r="O44" s="11"/>
      <c r="P44" s="7">
        <v>25996.52</v>
      </c>
      <c r="Q44" s="2"/>
      <c r="R44" s="6">
        <f t="shared" si="17"/>
        <v>5.6275098333063234E-3</v>
      </c>
      <c r="S44" s="2"/>
      <c r="T44" s="7">
        <v>18975</v>
      </c>
      <c r="U44" s="2"/>
      <c r="V44" s="6">
        <f t="shared" si="18"/>
        <v>2.6000929593182399E-3</v>
      </c>
      <c r="W44" s="2"/>
      <c r="X44" s="7">
        <f t="shared" si="19"/>
        <v>7021.52</v>
      </c>
      <c r="Y44" s="2"/>
      <c r="Z44" s="6">
        <f t="shared" si="20"/>
        <v>0.37004057971014492</v>
      </c>
    </row>
    <row r="45" spans="1:26" s="27" customFormat="1" outlineLevel="1" collapsed="1" x14ac:dyDescent="0.25">
      <c r="A45" s="25"/>
      <c r="B45" s="12" t="str">
        <f>CONCATENATE("     ","*Payroll                                          ")</f>
        <v xml:space="preserve">     *Payroll                                          </v>
      </c>
      <c r="C45" s="12"/>
      <c r="D45" s="1">
        <f>SUM(OSRRefD22_1x_0)</f>
        <v>29203.090000000004</v>
      </c>
      <c r="E45" s="1"/>
      <c r="F45" s="5">
        <f t="shared" ref="F45:F55" si="21">IF(D$12=0,0,D45/D$12)</f>
        <v>0</v>
      </c>
      <c r="G45" s="1"/>
      <c r="H45" s="1">
        <f>SUM(OSRRefH22_1x_0)</f>
        <v>208967.08472307696</v>
      </c>
      <c r="I45" s="1"/>
      <c r="J45" s="5">
        <f t="shared" ref="J45:J55" si="22">IF(H$12=0,0,H45/H$12)</f>
        <v>0.32118442689993909</v>
      </c>
      <c r="K45" s="1"/>
      <c r="L45" s="1">
        <f t="shared" ref="L45:L55" si="23">+D45-H45</f>
        <v>-179763.99472307696</v>
      </c>
      <c r="M45" s="1"/>
      <c r="N45" s="5">
        <f t="shared" ref="N45:N55" si="24">IF(H45=0,0,L45/H45)</f>
        <v>-0.86025028755748822</v>
      </c>
      <c r="O45" s="12"/>
      <c r="P45" s="1">
        <f>SUM(OSRRefP22_1x_0)</f>
        <v>2133745.7700000005</v>
      </c>
      <c r="Q45" s="1"/>
      <c r="R45" s="5">
        <f t="shared" ref="R45:R55" si="25">IF(P$12=0,0,P45/P$12)</f>
        <v>0.46189548841347905</v>
      </c>
      <c r="S45" s="1"/>
      <c r="T45" s="1">
        <f>SUM(OSRRefT22_1x_0)</f>
        <v>2457314.6254269234</v>
      </c>
      <c r="U45" s="1"/>
      <c r="V45" s="5">
        <f t="shared" ref="V45:V55" si="26">IF(T$12=0,0,T45/T$12)</f>
        <v>0.3367191808380649</v>
      </c>
      <c r="W45" s="1"/>
      <c r="X45" s="1">
        <f t="shared" ref="X45:X55" si="27">+P45-T45</f>
        <v>-323568.85542692291</v>
      </c>
      <c r="Y45" s="1"/>
      <c r="Z45" s="5">
        <f t="shared" ref="Z45:Z55" si="28">IF(T45=0,0,X45/T45)</f>
        <v>-0.13167579441346769</v>
      </c>
    </row>
    <row r="46" spans="1:26" s="24" customFormat="1" hidden="1" outlineLevel="2" x14ac:dyDescent="0.25">
      <c r="A46" s="26"/>
      <c r="B46" s="11" t="str">
        <f>CONCATENATE("          ", "6001", " - ", "ADMINISTRATIVE SALARIES")</f>
        <v xml:space="preserve">          6001 - ADMINISTRATIVE SALARIES</v>
      </c>
      <c r="C46" s="11"/>
      <c r="D46" s="7">
        <v>9962.35</v>
      </c>
      <c r="E46" s="2"/>
      <c r="F46" s="6">
        <f t="shared" si="21"/>
        <v>0</v>
      </c>
      <c r="G46" s="2"/>
      <c r="H46" s="7">
        <v>20213.021076923069</v>
      </c>
      <c r="I46" s="2"/>
      <c r="J46" s="6">
        <f t="shared" si="22"/>
        <v>3.1067608561947742E-2</v>
      </c>
      <c r="K46" s="2"/>
      <c r="L46" s="7">
        <f t="shared" si="23"/>
        <v>-10250.671076923069</v>
      </c>
      <c r="M46" s="2"/>
      <c r="N46" s="6">
        <f t="shared" si="24"/>
        <v>-0.50713206293670376</v>
      </c>
      <c r="O46" s="11"/>
      <c r="P46" s="7">
        <v>179437.74</v>
      </c>
      <c r="Q46" s="2"/>
      <c r="R46" s="6">
        <f t="shared" si="25"/>
        <v>3.8843185407749323E-2</v>
      </c>
      <c r="S46" s="2"/>
      <c r="T46" s="7">
        <v>242556.25292307691</v>
      </c>
      <c r="U46" s="2"/>
      <c r="V46" s="6">
        <f t="shared" si="26"/>
        <v>3.323682769243249E-2</v>
      </c>
      <c r="W46" s="2"/>
      <c r="X46" s="7">
        <f t="shared" si="27"/>
        <v>-63118.512923076923</v>
      </c>
      <c r="Y46" s="2"/>
      <c r="Z46" s="6">
        <f t="shared" si="28"/>
        <v>-0.26022216357000705</v>
      </c>
    </row>
    <row r="47" spans="1:26" s="24" customFormat="1" hidden="1" outlineLevel="2" x14ac:dyDescent="0.25">
      <c r="A47" s="26"/>
      <c r="B47" s="11" t="str">
        <f>CONCATENATE("          ", "6002", " - ", "STAFF SALARIES")</f>
        <v xml:space="preserve">          6002 - STAFF SALARIES</v>
      </c>
      <c r="C47" s="11"/>
      <c r="D47" s="7">
        <v>18990.740000000002</v>
      </c>
      <c r="E47" s="2"/>
      <c r="F47" s="6">
        <f t="shared" si="21"/>
        <v>0</v>
      </c>
      <c r="G47" s="2"/>
      <c r="H47" s="7">
        <v>51367.801646153872</v>
      </c>
      <c r="I47" s="2"/>
      <c r="J47" s="6">
        <f t="shared" si="22"/>
        <v>7.8952807111672782E-2</v>
      </c>
      <c r="K47" s="2"/>
      <c r="L47" s="7">
        <f t="shared" si="23"/>
        <v>-32377.06164615387</v>
      </c>
      <c r="M47" s="2"/>
      <c r="N47" s="6">
        <f t="shared" si="24"/>
        <v>-0.63029875931196444</v>
      </c>
      <c r="O47" s="11"/>
      <c r="P47" s="7">
        <v>603899.72</v>
      </c>
      <c r="Q47" s="2"/>
      <c r="R47" s="6">
        <f t="shared" si="25"/>
        <v>0.13072717473842405</v>
      </c>
      <c r="S47" s="2"/>
      <c r="T47" s="7">
        <v>616413.61975384632</v>
      </c>
      <c r="U47" s="2"/>
      <c r="V47" s="6">
        <f t="shared" si="26"/>
        <v>8.4465492108028797E-2</v>
      </c>
      <c r="W47" s="2"/>
      <c r="X47" s="7">
        <f t="shared" si="27"/>
        <v>-12513.899753846345</v>
      </c>
      <c r="Y47" s="2"/>
      <c r="Z47" s="6">
        <f t="shared" si="28"/>
        <v>-2.0301140910617039E-2</v>
      </c>
    </row>
    <row r="48" spans="1:26" s="24" customFormat="1" hidden="1" outlineLevel="2" x14ac:dyDescent="0.25">
      <c r="A48" s="26"/>
      <c r="B48" s="11" t="str">
        <f>CONCATENATE("          ", "6003", " - ", "STAFF HOURLY-9 MONTH")</f>
        <v xml:space="preserve">          6003 - STAFF HOURLY-9 MONTH</v>
      </c>
      <c r="C48" s="11"/>
      <c r="D48" s="7"/>
      <c r="E48" s="2"/>
      <c r="F48" s="6">
        <f t="shared" si="21"/>
        <v>0</v>
      </c>
      <c r="G48" s="2"/>
      <c r="H48" s="7">
        <v>0</v>
      </c>
      <c r="I48" s="2"/>
      <c r="J48" s="6">
        <f t="shared" si="22"/>
        <v>0</v>
      </c>
      <c r="K48" s="2"/>
      <c r="L48" s="7">
        <f t="shared" si="23"/>
        <v>0</v>
      </c>
      <c r="M48" s="2"/>
      <c r="N48" s="6">
        <f t="shared" si="24"/>
        <v>0</v>
      </c>
      <c r="O48" s="11"/>
      <c r="P48" s="7"/>
      <c r="Q48" s="2"/>
      <c r="R48" s="6">
        <f t="shared" si="25"/>
        <v>0</v>
      </c>
      <c r="S48" s="2"/>
      <c r="T48" s="7">
        <v>0</v>
      </c>
      <c r="U48" s="2"/>
      <c r="V48" s="6">
        <f t="shared" si="26"/>
        <v>0</v>
      </c>
      <c r="W48" s="2"/>
      <c r="X48" s="7">
        <f t="shared" si="27"/>
        <v>0</v>
      </c>
      <c r="Y48" s="2"/>
      <c r="Z48" s="6">
        <f t="shared" si="28"/>
        <v>0</v>
      </c>
    </row>
    <row r="49" spans="1:26" s="24" customFormat="1" hidden="1" outlineLevel="2" x14ac:dyDescent="0.25">
      <c r="A49" s="26"/>
      <c r="B49" s="11" t="str">
        <f>CONCATENATE("          ", "6004", " - ", "STAFF HOURLY")</f>
        <v xml:space="preserve">          6004 - STAFF HOURLY</v>
      </c>
      <c r="C49" s="11"/>
      <c r="D49" s="7">
        <v>250</v>
      </c>
      <c r="E49" s="2"/>
      <c r="F49" s="6">
        <f t="shared" si="21"/>
        <v>0</v>
      </c>
      <c r="G49" s="2"/>
      <c r="H49" s="7">
        <v>61451.205000000009</v>
      </c>
      <c r="I49" s="2"/>
      <c r="J49" s="6">
        <f t="shared" si="22"/>
        <v>9.4451095426781484E-2</v>
      </c>
      <c r="K49" s="2"/>
      <c r="L49" s="7">
        <f t="shared" si="23"/>
        <v>-61201.205000000009</v>
      </c>
      <c r="M49" s="2"/>
      <c r="N49" s="6">
        <f t="shared" si="24"/>
        <v>-0.99593173152585046</v>
      </c>
      <c r="O49" s="11"/>
      <c r="P49" s="7">
        <v>221154.82</v>
      </c>
      <c r="Q49" s="2"/>
      <c r="R49" s="6">
        <f t="shared" si="25"/>
        <v>4.7873750957170037E-2</v>
      </c>
      <c r="S49" s="2"/>
      <c r="T49" s="7">
        <v>578759.71525000001</v>
      </c>
      <c r="U49" s="2"/>
      <c r="V49" s="6">
        <f t="shared" si="26"/>
        <v>7.9305879354864522E-2</v>
      </c>
      <c r="W49" s="2"/>
      <c r="X49" s="7">
        <f t="shared" si="27"/>
        <v>-357604.89525</v>
      </c>
      <c r="Y49" s="2"/>
      <c r="Z49" s="6">
        <f t="shared" si="28"/>
        <v>-0.61788145551134233</v>
      </c>
    </row>
    <row r="50" spans="1:26" s="24" customFormat="1" hidden="1" outlineLevel="2" x14ac:dyDescent="0.25">
      <c r="A50" s="26"/>
      <c r="B50" s="11" t="str">
        <f>CONCATENATE("          ", "6005", " - ", "TEMPORARY WAGES-HOURLY")</f>
        <v xml:space="preserve">          6005 - TEMPORARY WAGES-HOURLY</v>
      </c>
      <c r="C50" s="11"/>
      <c r="D50" s="7"/>
      <c r="E50" s="2"/>
      <c r="F50" s="6">
        <f t="shared" si="21"/>
        <v>0</v>
      </c>
      <c r="G50" s="2"/>
      <c r="H50" s="7">
        <v>22971.705999999998</v>
      </c>
      <c r="I50" s="2"/>
      <c r="J50" s="6">
        <f t="shared" si="22"/>
        <v>3.5307733925184513E-2</v>
      </c>
      <c r="K50" s="2"/>
      <c r="L50" s="7">
        <f t="shared" si="23"/>
        <v>-22971.705999999998</v>
      </c>
      <c r="M50" s="2"/>
      <c r="N50" s="6">
        <f t="shared" si="24"/>
        <v>-1</v>
      </c>
      <c r="O50" s="11"/>
      <c r="P50" s="7">
        <v>437740.4</v>
      </c>
      <c r="Q50" s="2"/>
      <c r="R50" s="6">
        <f t="shared" si="25"/>
        <v>9.4758390947536186E-2</v>
      </c>
      <c r="S50" s="2"/>
      <c r="T50" s="7">
        <v>318756.74900000001</v>
      </c>
      <c r="U50" s="2"/>
      <c r="V50" s="6">
        <f t="shared" si="26"/>
        <v>4.3678375694865428E-2</v>
      </c>
      <c r="W50" s="2"/>
      <c r="X50" s="7">
        <f t="shared" si="27"/>
        <v>118983.65100000001</v>
      </c>
      <c r="Y50" s="2"/>
      <c r="Z50" s="6">
        <f t="shared" si="28"/>
        <v>0.37327413889517369</v>
      </c>
    </row>
    <row r="51" spans="1:26" s="24" customFormat="1" hidden="1" outlineLevel="2" x14ac:dyDescent="0.25">
      <c r="A51" s="26"/>
      <c r="B51" s="11" t="str">
        <f>CONCATENATE("          ", "6006", " - ", "TEMPORARY PART TIME")</f>
        <v xml:space="preserve">          6006 - TEMPORARY PART TIME</v>
      </c>
      <c r="C51" s="11"/>
      <c r="D51" s="7"/>
      <c r="E51" s="2"/>
      <c r="F51" s="6">
        <f t="shared" si="21"/>
        <v>0</v>
      </c>
      <c r="G51" s="2"/>
      <c r="H51" s="7">
        <v>0</v>
      </c>
      <c r="I51" s="2"/>
      <c r="J51" s="6">
        <f t="shared" si="22"/>
        <v>0</v>
      </c>
      <c r="K51" s="2"/>
      <c r="L51" s="7">
        <f t="shared" si="23"/>
        <v>0</v>
      </c>
      <c r="M51" s="2"/>
      <c r="N51" s="6">
        <f t="shared" si="24"/>
        <v>0</v>
      </c>
      <c r="O51" s="11"/>
      <c r="P51" s="7">
        <v>11826.56</v>
      </c>
      <c r="Q51" s="2"/>
      <c r="R51" s="6">
        <f t="shared" si="25"/>
        <v>2.5601150728708009E-3</v>
      </c>
      <c r="S51" s="2"/>
      <c r="T51" s="7">
        <v>0</v>
      </c>
      <c r="U51" s="2"/>
      <c r="V51" s="6">
        <f t="shared" si="26"/>
        <v>0</v>
      </c>
      <c r="W51" s="2"/>
      <c r="X51" s="7">
        <f t="shared" si="27"/>
        <v>11826.56</v>
      </c>
      <c r="Y51" s="2"/>
      <c r="Z51" s="6">
        <f t="shared" si="28"/>
        <v>0</v>
      </c>
    </row>
    <row r="52" spans="1:26" s="24" customFormat="1" hidden="1" outlineLevel="2" x14ac:dyDescent="0.25">
      <c r="A52" s="26"/>
      <c r="B52" s="11" t="str">
        <f>CONCATENATE("          ", "6007", " - ", "STUDENT HOURLY")</f>
        <v xml:space="preserve">          6007 - STUDENT HOURLY</v>
      </c>
      <c r="C52" s="11"/>
      <c r="D52" s="7"/>
      <c r="E52" s="2"/>
      <c r="F52" s="6">
        <f t="shared" si="21"/>
        <v>0</v>
      </c>
      <c r="G52" s="2"/>
      <c r="H52" s="7">
        <v>382.5</v>
      </c>
      <c r="I52" s="2"/>
      <c r="J52" s="6">
        <f t="shared" si="22"/>
        <v>5.8790619322670581E-4</v>
      </c>
      <c r="K52" s="2"/>
      <c r="L52" s="7">
        <f t="shared" si="23"/>
        <v>-382.5</v>
      </c>
      <c r="M52" s="2"/>
      <c r="N52" s="6">
        <f t="shared" si="24"/>
        <v>-1</v>
      </c>
      <c r="O52" s="11"/>
      <c r="P52" s="7">
        <v>643229.24</v>
      </c>
      <c r="Q52" s="2"/>
      <c r="R52" s="6">
        <f t="shared" si="25"/>
        <v>0.13924090121178348</v>
      </c>
      <c r="S52" s="2"/>
      <c r="T52" s="7">
        <v>55895.299999999996</v>
      </c>
      <c r="U52" s="2"/>
      <c r="V52" s="6">
        <f t="shared" si="26"/>
        <v>7.6591818703020181E-3</v>
      </c>
      <c r="W52" s="2"/>
      <c r="X52" s="7">
        <f t="shared" si="27"/>
        <v>587333.93999999994</v>
      </c>
      <c r="Y52" s="2"/>
      <c r="Z52" s="6">
        <f t="shared" si="28"/>
        <v>10.507751814553281</v>
      </c>
    </row>
    <row r="53" spans="1:26" s="24" customFormat="1" hidden="1" outlineLevel="2" x14ac:dyDescent="0.25">
      <c r="A53" s="26"/>
      <c r="B53" s="11" t="str">
        <f>CONCATENATE("          ", "6008", " - ", "STUDENT HOURLY-FICA EXEMPT")</f>
        <v xml:space="preserve">          6008 - STUDENT HOURLY-FICA EXEMPT</v>
      </c>
      <c r="C53" s="11"/>
      <c r="D53" s="7"/>
      <c r="E53" s="2"/>
      <c r="F53" s="6">
        <f t="shared" si="21"/>
        <v>0</v>
      </c>
      <c r="G53" s="2"/>
      <c r="H53" s="7">
        <v>52580.851000000002</v>
      </c>
      <c r="I53" s="2"/>
      <c r="J53" s="6">
        <f t="shared" si="22"/>
        <v>8.081727568112583E-2</v>
      </c>
      <c r="K53" s="2"/>
      <c r="L53" s="7">
        <f t="shared" si="23"/>
        <v>-52580.851000000002</v>
      </c>
      <c r="M53" s="2"/>
      <c r="N53" s="6">
        <f t="shared" si="24"/>
        <v>-1</v>
      </c>
      <c r="O53" s="11"/>
      <c r="P53" s="7">
        <v>36457.29</v>
      </c>
      <c r="Q53" s="2"/>
      <c r="R53" s="6">
        <f t="shared" si="25"/>
        <v>7.89197007794506E-3</v>
      </c>
      <c r="S53" s="2"/>
      <c r="T53" s="7">
        <v>644932.98849999998</v>
      </c>
      <c r="U53" s="2"/>
      <c r="V53" s="6">
        <f t="shared" si="26"/>
        <v>8.8373424117571611E-2</v>
      </c>
      <c r="W53" s="2"/>
      <c r="X53" s="7">
        <f t="shared" si="27"/>
        <v>-608475.69849999994</v>
      </c>
      <c r="Y53" s="2"/>
      <c r="Z53" s="6">
        <f t="shared" si="28"/>
        <v>-0.94347119677535296</v>
      </c>
    </row>
    <row r="54" spans="1:26" s="24" customFormat="1" hidden="1" outlineLevel="2" x14ac:dyDescent="0.25">
      <c r="A54" s="26"/>
      <c r="B54" s="11" t="str">
        <f>CONCATENATE("          ", "6009", " - ", "TEMPORARY-SEASONAL")</f>
        <v xml:space="preserve">          6009 - TEMPORARY-SEASONAL</v>
      </c>
      <c r="C54" s="11"/>
      <c r="D54" s="7"/>
      <c r="E54" s="2"/>
      <c r="F54" s="6">
        <f t="shared" si="21"/>
        <v>0</v>
      </c>
      <c r="G54" s="2"/>
      <c r="H54" s="7">
        <v>0</v>
      </c>
      <c r="I54" s="2"/>
      <c r="J54" s="6">
        <f t="shared" si="22"/>
        <v>0</v>
      </c>
      <c r="K54" s="2"/>
      <c r="L54" s="7">
        <f t="shared" si="23"/>
        <v>0</v>
      </c>
      <c r="M54" s="2"/>
      <c r="N54" s="6">
        <f t="shared" si="24"/>
        <v>0</v>
      </c>
      <c r="O54" s="11"/>
      <c r="P54" s="7"/>
      <c r="Q54" s="2"/>
      <c r="R54" s="6">
        <f t="shared" si="25"/>
        <v>0</v>
      </c>
      <c r="S54" s="2"/>
      <c r="T54" s="7">
        <v>0</v>
      </c>
      <c r="U54" s="2"/>
      <c r="V54" s="6">
        <f t="shared" si="26"/>
        <v>0</v>
      </c>
      <c r="W54" s="2"/>
      <c r="X54" s="7">
        <f t="shared" si="27"/>
        <v>0</v>
      </c>
      <c r="Y54" s="2"/>
      <c r="Z54" s="6">
        <f t="shared" si="28"/>
        <v>0</v>
      </c>
    </row>
    <row r="55" spans="1:26" s="24" customFormat="1" hidden="1" outlineLevel="2" x14ac:dyDescent="0.25">
      <c r="A55" s="26"/>
      <c r="B55" s="11" t="str">
        <f>CONCATENATE("          ", "6010", " - ", "GRATUITY")</f>
        <v xml:space="preserve">          6010 - GRATUITY</v>
      </c>
      <c r="C55" s="11"/>
      <c r="D55" s="7"/>
      <c r="E55" s="2"/>
      <c r="F55" s="6">
        <f t="shared" si="21"/>
        <v>0</v>
      </c>
      <c r="G55" s="2"/>
      <c r="H55" s="7">
        <v>0</v>
      </c>
      <c r="I55" s="2"/>
      <c r="J55" s="6">
        <f t="shared" si="22"/>
        <v>0</v>
      </c>
      <c r="K55" s="2"/>
      <c r="L55" s="7">
        <f t="shared" si="23"/>
        <v>0</v>
      </c>
      <c r="M55" s="2"/>
      <c r="N55" s="6">
        <f t="shared" si="24"/>
        <v>0</v>
      </c>
      <c r="O55" s="11"/>
      <c r="P55" s="7"/>
      <c r="Q55" s="2"/>
      <c r="R55" s="6">
        <f t="shared" si="25"/>
        <v>0</v>
      </c>
      <c r="S55" s="2"/>
      <c r="T55" s="7">
        <v>0</v>
      </c>
      <c r="U55" s="2"/>
      <c r="V55" s="6">
        <f t="shared" si="26"/>
        <v>0</v>
      </c>
      <c r="W55" s="2"/>
      <c r="X55" s="7">
        <f t="shared" si="27"/>
        <v>0</v>
      </c>
      <c r="Y55" s="2"/>
      <c r="Z55" s="6">
        <f t="shared" si="28"/>
        <v>0</v>
      </c>
    </row>
    <row r="56" spans="1:26" s="27" customFormat="1" outlineLevel="1" collapsed="1" x14ac:dyDescent="0.25">
      <c r="A56" s="25"/>
      <c r="B56" s="12" t="str">
        <f>CONCATENATE("     ","Advertising/Promo                                 ")</f>
        <v xml:space="preserve">     Advertising/Promo                                 </v>
      </c>
      <c r="C56" s="12"/>
      <c r="D56" s="1">
        <f>SUM(OSRRefD22_2x_0)</f>
        <v>109.76</v>
      </c>
      <c r="E56" s="1"/>
      <c r="F56" s="5">
        <f t="shared" ref="F56:F66" si="29">IF(D$12=0,0,D56/D$12)</f>
        <v>0</v>
      </c>
      <c r="G56" s="1"/>
      <c r="H56" s="1">
        <f>SUM(OSRRefH22_2x_0)</f>
        <v>2325</v>
      </c>
      <c r="I56" s="1"/>
      <c r="J56" s="5">
        <f t="shared" ref="J56:J66" si="30">IF(H$12=0,0,H56/H$12)</f>
        <v>3.5735474490250748E-3</v>
      </c>
      <c r="K56" s="1"/>
      <c r="L56" s="1">
        <f t="shared" ref="L56:L66" si="31">+D56-H56</f>
        <v>-2215.2399999999998</v>
      </c>
      <c r="M56" s="1"/>
      <c r="N56" s="5">
        <f t="shared" ref="N56:N66" si="32">IF(H56=0,0,L56/H56)</f>
        <v>-0.95279139784946232</v>
      </c>
      <c r="O56" s="12"/>
      <c r="P56" s="1">
        <f>SUM(OSRRefP22_2x_0)</f>
        <v>28503.73</v>
      </c>
      <c r="Q56" s="1"/>
      <c r="R56" s="5">
        <f t="shared" ref="R56:R66" si="33">IF(P$12=0,0,P56/P$12)</f>
        <v>6.1702497434621426E-3</v>
      </c>
      <c r="S56" s="1"/>
      <c r="T56" s="1">
        <f>SUM(OSRRefT22_2x_0)</f>
        <v>24260</v>
      </c>
      <c r="U56" s="1"/>
      <c r="V56" s="5">
        <f t="shared" ref="V56:V66" si="34">IF(T$12=0,0,T56/T$12)</f>
        <v>3.3242822236132013E-3</v>
      </c>
      <c r="W56" s="1"/>
      <c r="X56" s="1">
        <f t="shared" ref="X56:X66" si="35">+P56-T56</f>
        <v>4243.7299999999996</v>
      </c>
      <c r="Y56" s="1"/>
      <c r="Z56" s="5">
        <f t="shared" ref="Z56:Z66" si="36">IF(T56=0,0,X56/T56)</f>
        <v>0.17492704039571308</v>
      </c>
    </row>
    <row r="57" spans="1:26" s="24" customFormat="1" hidden="1" outlineLevel="2" x14ac:dyDescent="0.25">
      <c r="A57" s="26"/>
      <c r="B57" s="11" t="str">
        <f>CONCATENATE("          ", "6362", " - ", "ADVERTISING EXPENSE")</f>
        <v xml:space="preserve">          6362 - ADVERTISING EXPENSE</v>
      </c>
      <c r="C57" s="11"/>
      <c r="D57" s="7">
        <v>109.76</v>
      </c>
      <c r="E57" s="2"/>
      <c r="F57" s="6">
        <f t="shared" si="29"/>
        <v>0</v>
      </c>
      <c r="G57" s="2"/>
      <c r="H57" s="7">
        <v>2325</v>
      </c>
      <c r="I57" s="2"/>
      <c r="J57" s="6">
        <f t="shared" si="30"/>
        <v>3.5735474490250748E-3</v>
      </c>
      <c r="K57" s="2"/>
      <c r="L57" s="7">
        <f t="shared" si="31"/>
        <v>-2215.2399999999998</v>
      </c>
      <c r="M57" s="2"/>
      <c r="N57" s="6">
        <f t="shared" si="32"/>
        <v>-0.95279139784946232</v>
      </c>
      <c r="O57" s="11"/>
      <c r="P57" s="7">
        <v>28503.73</v>
      </c>
      <c r="Q57" s="2"/>
      <c r="R57" s="6">
        <f t="shared" si="33"/>
        <v>6.1702497434621426E-3</v>
      </c>
      <c r="S57" s="2"/>
      <c r="T57" s="7">
        <v>24260</v>
      </c>
      <c r="U57" s="2"/>
      <c r="V57" s="6">
        <f t="shared" si="34"/>
        <v>3.3242822236132013E-3</v>
      </c>
      <c r="W57" s="2"/>
      <c r="X57" s="7">
        <f t="shared" si="35"/>
        <v>4243.7299999999996</v>
      </c>
      <c r="Y57" s="2"/>
      <c r="Z57" s="6">
        <f t="shared" si="36"/>
        <v>0.17492704039571308</v>
      </c>
    </row>
    <row r="58" spans="1:26" s="27" customFormat="1" outlineLevel="1" collapsed="1" x14ac:dyDescent="0.25">
      <c r="A58" s="25"/>
      <c r="B58" s="12" t="str">
        <f>CONCATENATE("     ","Bad Debts/Over/Short                              ")</f>
        <v xml:space="preserve">     Bad Debts/Over/Short                              </v>
      </c>
      <c r="C58" s="12"/>
      <c r="D58" s="1">
        <f>SUM(OSRRefD22_3x_0)</f>
        <v>0</v>
      </c>
      <c r="E58" s="1"/>
      <c r="F58" s="5">
        <f t="shared" si="29"/>
        <v>0</v>
      </c>
      <c r="G58" s="1"/>
      <c r="H58" s="1">
        <f>SUM(OSRRefH22_3x_0)</f>
        <v>169</v>
      </c>
      <c r="I58" s="1"/>
      <c r="J58" s="5">
        <f t="shared" si="30"/>
        <v>2.5975463177859684E-4</v>
      </c>
      <c r="K58" s="1"/>
      <c r="L58" s="1">
        <f t="shared" si="31"/>
        <v>-169</v>
      </c>
      <c r="M58" s="1"/>
      <c r="N58" s="5">
        <f t="shared" si="32"/>
        <v>-1</v>
      </c>
      <c r="O58" s="12"/>
      <c r="P58" s="1">
        <f>SUM(OSRRefP22_3x_0)</f>
        <v>-260.64999999999998</v>
      </c>
      <c r="Q58" s="1"/>
      <c r="R58" s="5">
        <f t="shared" si="33"/>
        <v>-5.6423338125691175E-5</v>
      </c>
      <c r="S58" s="1"/>
      <c r="T58" s="1">
        <f>SUM(OSRRefT22_3x_0)</f>
        <v>1664</v>
      </c>
      <c r="U58" s="1"/>
      <c r="V58" s="5">
        <f t="shared" si="34"/>
        <v>2.2801342209778926E-4</v>
      </c>
      <c r="W58" s="1"/>
      <c r="X58" s="1">
        <f t="shared" si="35"/>
        <v>-1924.65</v>
      </c>
      <c r="Y58" s="1"/>
      <c r="Z58" s="5">
        <f t="shared" si="36"/>
        <v>-1.1566406250000001</v>
      </c>
    </row>
    <row r="59" spans="1:26" s="24" customFormat="1" hidden="1" outlineLevel="2" x14ac:dyDescent="0.25">
      <c r="A59" s="26"/>
      <c r="B59" s="11" t="str">
        <f>CONCATENATE("          ", "6272", " - ", "CASH (OVER/SHORT)")</f>
        <v xml:space="preserve">          6272 - CASH (OVER/SHORT)</v>
      </c>
      <c r="C59" s="11"/>
      <c r="D59" s="7"/>
      <c r="E59" s="2"/>
      <c r="F59" s="6">
        <f t="shared" si="29"/>
        <v>0</v>
      </c>
      <c r="G59" s="2"/>
      <c r="H59" s="7">
        <v>169</v>
      </c>
      <c r="I59" s="2"/>
      <c r="J59" s="6">
        <f t="shared" si="30"/>
        <v>2.5975463177859684E-4</v>
      </c>
      <c r="K59" s="2"/>
      <c r="L59" s="7">
        <f t="shared" si="31"/>
        <v>-169</v>
      </c>
      <c r="M59" s="2"/>
      <c r="N59" s="6">
        <f t="shared" si="32"/>
        <v>-1</v>
      </c>
      <c r="O59" s="11"/>
      <c r="P59" s="7">
        <v>-260.64999999999998</v>
      </c>
      <c r="Q59" s="2"/>
      <c r="R59" s="6">
        <f t="shared" si="33"/>
        <v>-5.6423338125691175E-5</v>
      </c>
      <c r="S59" s="2"/>
      <c r="T59" s="7">
        <v>1664</v>
      </c>
      <c r="U59" s="2"/>
      <c r="V59" s="6">
        <f t="shared" si="34"/>
        <v>2.2801342209778926E-4</v>
      </c>
      <c r="W59" s="2"/>
      <c r="X59" s="7">
        <f t="shared" si="35"/>
        <v>-1924.65</v>
      </c>
      <c r="Y59" s="2"/>
      <c r="Z59" s="6">
        <f t="shared" si="36"/>
        <v>-1.1566406250000001</v>
      </c>
    </row>
    <row r="60" spans="1:26" s="27" customFormat="1" outlineLevel="1" collapsed="1" x14ac:dyDescent="0.25">
      <c r="A60" s="25"/>
      <c r="B60" s="12" t="str">
        <f>CONCATENATE("     ","Bank/card Fees                                    ")</f>
        <v xml:space="preserve">     Bank/card Fees                                    </v>
      </c>
      <c r="C60" s="12"/>
      <c r="D60" s="1">
        <f>SUM(OSRRefD22_4x_0)</f>
        <v>252.5</v>
      </c>
      <c r="E60" s="1"/>
      <c r="F60" s="5">
        <f t="shared" si="29"/>
        <v>0</v>
      </c>
      <c r="G60" s="1"/>
      <c r="H60" s="1">
        <f>SUM(OSRRefH22_4x_0)</f>
        <v>9345</v>
      </c>
      <c r="I60" s="1"/>
      <c r="J60" s="5">
        <f t="shared" si="30"/>
        <v>1.4363355230597558E-2</v>
      </c>
      <c r="K60" s="1"/>
      <c r="L60" s="1">
        <f t="shared" si="31"/>
        <v>-9092.5</v>
      </c>
      <c r="M60" s="1"/>
      <c r="N60" s="5">
        <f t="shared" si="32"/>
        <v>-0.97298020331728197</v>
      </c>
      <c r="O60" s="12"/>
      <c r="P60" s="1">
        <f>SUM(OSRRefP22_4x_0)</f>
        <v>149344.53</v>
      </c>
      <c r="Q60" s="1"/>
      <c r="R60" s="5">
        <f t="shared" si="33"/>
        <v>3.2328858290475465E-2</v>
      </c>
      <c r="S60" s="1"/>
      <c r="T60" s="1">
        <f>SUM(OSRRefT22_4x_0)</f>
        <v>112258</v>
      </c>
      <c r="U60" s="1"/>
      <c r="V60" s="5">
        <f t="shared" si="34"/>
        <v>1.5382410299190881E-2</v>
      </c>
      <c r="W60" s="1"/>
      <c r="X60" s="1">
        <f t="shared" si="35"/>
        <v>37086.53</v>
      </c>
      <c r="Y60" s="1"/>
      <c r="Z60" s="5">
        <f t="shared" si="36"/>
        <v>0.33036870423488746</v>
      </c>
    </row>
    <row r="61" spans="1:26" s="24" customFormat="1" hidden="1" outlineLevel="2" x14ac:dyDescent="0.25">
      <c r="A61" s="26"/>
      <c r="B61" s="11" t="str">
        <f>CONCATENATE("          ", "6381", " - ", "BANK/CREDIT CARD FEES")</f>
        <v xml:space="preserve">          6381 - BANK/CREDIT CARD FEES</v>
      </c>
      <c r="C61" s="11"/>
      <c r="D61" s="7">
        <v>252.5</v>
      </c>
      <c r="E61" s="2"/>
      <c r="F61" s="6">
        <f t="shared" si="29"/>
        <v>0</v>
      </c>
      <c r="G61" s="2"/>
      <c r="H61" s="7">
        <v>9345</v>
      </c>
      <c r="I61" s="2"/>
      <c r="J61" s="6">
        <f t="shared" si="30"/>
        <v>1.4363355230597558E-2</v>
      </c>
      <c r="K61" s="2"/>
      <c r="L61" s="7">
        <f t="shared" si="31"/>
        <v>-9092.5</v>
      </c>
      <c r="M61" s="2"/>
      <c r="N61" s="6">
        <f t="shared" si="32"/>
        <v>-0.97298020331728197</v>
      </c>
      <c r="O61" s="11"/>
      <c r="P61" s="7">
        <v>149344.53</v>
      </c>
      <c r="Q61" s="2"/>
      <c r="R61" s="6">
        <f t="shared" si="33"/>
        <v>3.2328858290475465E-2</v>
      </c>
      <c r="S61" s="2"/>
      <c r="T61" s="7">
        <v>112258</v>
      </c>
      <c r="U61" s="2"/>
      <c r="V61" s="6">
        <f t="shared" si="34"/>
        <v>1.5382410299190881E-2</v>
      </c>
      <c r="W61" s="2"/>
      <c r="X61" s="7">
        <f t="shared" si="35"/>
        <v>37086.53</v>
      </c>
      <c r="Y61" s="2"/>
      <c r="Z61" s="6">
        <f t="shared" si="36"/>
        <v>0.33036870423488746</v>
      </c>
    </row>
    <row r="62" spans="1:26" s="27" customFormat="1" outlineLevel="1" collapsed="1" x14ac:dyDescent="0.25">
      <c r="A62" s="25"/>
      <c r="B62" s="12" t="str">
        <f>CONCATENATE("     ","Depreciation                                      ")</f>
        <v xml:space="preserve">     Depreciation                                      </v>
      </c>
      <c r="C62" s="12"/>
      <c r="D62" s="1">
        <f>SUM(OSRRefD22_5x_0)</f>
        <v>37717.19</v>
      </c>
      <c r="E62" s="1"/>
      <c r="F62" s="5">
        <f t="shared" si="29"/>
        <v>0</v>
      </c>
      <c r="G62" s="1"/>
      <c r="H62" s="1">
        <f>SUM(OSRRefH22_5x_0)</f>
        <v>44988</v>
      </c>
      <c r="I62" s="1"/>
      <c r="J62" s="5">
        <f t="shared" si="30"/>
        <v>6.9146990381393575E-2</v>
      </c>
      <c r="K62" s="1"/>
      <c r="L62" s="1">
        <f t="shared" si="31"/>
        <v>-7270.8099999999977</v>
      </c>
      <c r="M62" s="1"/>
      <c r="N62" s="5">
        <f t="shared" si="32"/>
        <v>-0.16161665332977679</v>
      </c>
      <c r="O62" s="12"/>
      <c r="P62" s="1">
        <f>SUM(OSRRefP22_5x_0)</f>
        <v>439610.29999999993</v>
      </c>
      <c r="Q62" s="1"/>
      <c r="R62" s="5">
        <f t="shared" si="33"/>
        <v>9.5163171304187735E-2</v>
      </c>
      <c r="S62" s="1"/>
      <c r="T62" s="1">
        <f>SUM(OSRRefT22_5x_0)</f>
        <v>476666</v>
      </c>
      <c r="U62" s="1"/>
      <c r="V62" s="5">
        <f t="shared" si="34"/>
        <v>6.5316253520231252E-2</v>
      </c>
      <c r="W62" s="1"/>
      <c r="X62" s="1">
        <f t="shared" si="35"/>
        <v>-37055.70000000007</v>
      </c>
      <c r="Y62" s="1"/>
      <c r="Z62" s="5">
        <f t="shared" si="36"/>
        <v>-7.7739339495579859E-2</v>
      </c>
    </row>
    <row r="63" spans="1:26" s="24" customFormat="1" hidden="1" outlineLevel="2" x14ac:dyDescent="0.25">
      <c r="A63" s="26"/>
      <c r="B63" s="11" t="str">
        <f>CONCATENATE("          ", "6321", " - ", "BUILDING DEPRECIATION")</f>
        <v xml:space="preserve">          6321 - BUILDING DEPRECIATION</v>
      </c>
      <c r="C63" s="11"/>
      <c r="D63" s="7">
        <v>24042.959999999999</v>
      </c>
      <c r="E63" s="2"/>
      <c r="F63" s="6">
        <f t="shared" si="29"/>
        <v>0</v>
      </c>
      <c r="G63" s="2"/>
      <c r="H63" s="7">
        <v>23037</v>
      </c>
      <c r="I63" s="2"/>
      <c r="J63" s="6">
        <f t="shared" si="30"/>
        <v>3.5408091433630384E-2</v>
      </c>
      <c r="K63" s="2"/>
      <c r="L63" s="7">
        <f t="shared" si="31"/>
        <v>1005.9599999999991</v>
      </c>
      <c r="M63" s="2"/>
      <c r="N63" s="6">
        <f t="shared" si="32"/>
        <v>4.3667144159395717E-2</v>
      </c>
      <c r="O63" s="11"/>
      <c r="P63" s="7">
        <v>264472.56</v>
      </c>
      <c r="Q63" s="2"/>
      <c r="R63" s="6">
        <f t="shared" si="33"/>
        <v>5.7250814033558979E-2</v>
      </c>
      <c r="S63" s="2"/>
      <c r="T63" s="7">
        <v>253653.00000000003</v>
      </c>
      <c r="U63" s="2"/>
      <c r="V63" s="6">
        <f t="shared" si="34"/>
        <v>3.4757384949140956E-2</v>
      </c>
      <c r="W63" s="2"/>
      <c r="X63" s="7">
        <f t="shared" si="35"/>
        <v>10819.559999999969</v>
      </c>
      <c r="Y63" s="2"/>
      <c r="Z63" s="6">
        <f t="shared" si="36"/>
        <v>4.2654965642038405E-2</v>
      </c>
    </row>
    <row r="64" spans="1:26" s="24" customFormat="1" hidden="1" outlineLevel="2" x14ac:dyDescent="0.25">
      <c r="A64" s="26"/>
      <c r="B64" s="11" t="str">
        <f>CONCATENATE("          ", "6322", " - ", "EQUIPMENT DEPRECIATION EXPENSE")</f>
        <v xml:space="preserve">          6322 - EQUIPMENT DEPRECIATION EXPENSE</v>
      </c>
      <c r="C64" s="11"/>
      <c r="D64" s="7">
        <v>13674.23</v>
      </c>
      <c r="E64" s="2"/>
      <c r="F64" s="6">
        <f t="shared" si="29"/>
        <v>0</v>
      </c>
      <c r="G64" s="2"/>
      <c r="H64" s="7">
        <v>15301</v>
      </c>
      <c r="I64" s="2"/>
      <c r="J64" s="6">
        <f t="shared" si="30"/>
        <v>2.3517784738723728E-2</v>
      </c>
      <c r="K64" s="2"/>
      <c r="L64" s="7">
        <f t="shared" si="31"/>
        <v>-1626.7700000000004</v>
      </c>
      <c r="M64" s="2"/>
      <c r="N64" s="6">
        <f t="shared" si="32"/>
        <v>-0.10631788771975691</v>
      </c>
      <c r="O64" s="11"/>
      <c r="P64" s="7">
        <v>170895.25999999998</v>
      </c>
      <c r="Q64" s="2"/>
      <c r="R64" s="6">
        <f t="shared" si="33"/>
        <v>3.6993980583379646E-2</v>
      </c>
      <c r="S64" s="2"/>
      <c r="T64" s="7">
        <v>168311</v>
      </c>
      <c r="U64" s="2"/>
      <c r="V64" s="6">
        <f t="shared" si="34"/>
        <v>2.3063201374219355E-2</v>
      </c>
      <c r="W64" s="2"/>
      <c r="X64" s="7">
        <f t="shared" si="35"/>
        <v>2584.2599999999802</v>
      </c>
      <c r="Y64" s="2"/>
      <c r="Z64" s="6">
        <f t="shared" si="36"/>
        <v>1.535407667948013E-2</v>
      </c>
    </row>
    <row r="65" spans="1:26" s="24" customFormat="1" hidden="1" outlineLevel="2" x14ac:dyDescent="0.25">
      <c r="A65" s="26"/>
      <c r="B65" s="11" t="str">
        <f>CONCATENATE("          ", "6324", " - ", "FURNITURE + FIXT DEPRECIATION")</f>
        <v xml:space="preserve">          6324 - FURNITURE + FIXT DEPRECIATION</v>
      </c>
      <c r="C65" s="11"/>
      <c r="D65" s="7"/>
      <c r="E65" s="2"/>
      <c r="F65" s="6">
        <f t="shared" si="29"/>
        <v>0</v>
      </c>
      <c r="G65" s="2"/>
      <c r="H65" s="7">
        <v>4476</v>
      </c>
      <c r="I65" s="2"/>
      <c r="J65" s="6">
        <f t="shared" si="30"/>
        <v>6.8796552179940795E-3</v>
      </c>
      <c r="K65" s="2"/>
      <c r="L65" s="7">
        <f t="shared" si="31"/>
        <v>-4476</v>
      </c>
      <c r="M65" s="2"/>
      <c r="N65" s="6">
        <f t="shared" si="32"/>
        <v>-1</v>
      </c>
      <c r="O65" s="11"/>
      <c r="P65" s="7"/>
      <c r="Q65" s="2"/>
      <c r="R65" s="6">
        <f t="shared" si="33"/>
        <v>0</v>
      </c>
      <c r="S65" s="2"/>
      <c r="T65" s="7">
        <v>36038</v>
      </c>
      <c r="U65" s="2"/>
      <c r="V65" s="6">
        <f t="shared" si="34"/>
        <v>4.9381897268991164E-3</v>
      </c>
      <c r="W65" s="2"/>
      <c r="X65" s="7">
        <f t="shared" si="35"/>
        <v>-36038</v>
      </c>
      <c r="Y65" s="2"/>
      <c r="Z65" s="6">
        <f t="shared" si="36"/>
        <v>-1</v>
      </c>
    </row>
    <row r="66" spans="1:26" s="24" customFormat="1" hidden="1" outlineLevel="2" x14ac:dyDescent="0.25">
      <c r="A66" s="26"/>
      <c r="B66" s="11" t="str">
        <f>CONCATENATE("          ", "6326", " - ", "VEHICLES DEPRECIATION EXPENSE")</f>
        <v xml:space="preserve">          6326 - VEHICLES DEPRECIATION EXPENSE</v>
      </c>
      <c r="C66" s="11"/>
      <c r="D66" s="7"/>
      <c r="E66" s="2"/>
      <c r="F66" s="6">
        <f t="shared" si="29"/>
        <v>0</v>
      </c>
      <c r="G66" s="2"/>
      <c r="H66" s="7">
        <v>2174</v>
      </c>
      <c r="I66" s="2"/>
      <c r="J66" s="6">
        <f t="shared" si="30"/>
        <v>3.3414589910453819E-3</v>
      </c>
      <c r="K66" s="2"/>
      <c r="L66" s="7">
        <f t="shared" si="31"/>
        <v>-2174</v>
      </c>
      <c r="M66" s="2"/>
      <c r="N66" s="6">
        <f t="shared" si="32"/>
        <v>-1</v>
      </c>
      <c r="O66" s="11"/>
      <c r="P66" s="7">
        <v>4242.4799999999996</v>
      </c>
      <c r="Q66" s="2"/>
      <c r="R66" s="6">
        <f t="shared" si="33"/>
        <v>9.1837668724911682E-4</v>
      </c>
      <c r="S66" s="2"/>
      <c r="T66" s="7">
        <v>18664</v>
      </c>
      <c r="U66" s="2"/>
      <c r="V66" s="6">
        <f t="shared" si="34"/>
        <v>2.5574774699718382E-3</v>
      </c>
      <c r="W66" s="2"/>
      <c r="X66" s="7">
        <f t="shared" si="35"/>
        <v>-14421.52</v>
      </c>
      <c r="Y66" s="2"/>
      <c r="Z66" s="6">
        <f t="shared" si="36"/>
        <v>-0.77269181311615942</v>
      </c>
    </row>
    <row r="67" spans="1:26" s="27" customFormat="1" outlineLevel="1" collapsed="1" x14ac:dyDescent="0.25">
      <c r="A67" s="25"/>
      <c r="B67" s="12" t="str">
        <f>CONCATENATE("     ","Discounts and Markdowns                           ")</f>
        <v xml:space="preserve">     Discounts and Markdowns                           </v>
      </c>
      <c r="C67" s="12"/>
      <c r="D67" s="1">
        <f>SUM(OSRRefD22_6x_0)</f>
        <v>0</v>
      </c>
      <c r="E67" s="1"/>
      <c r="F67" s="5">
        <f t="shared" ref="F67:F79" si="37">IF(D$12=0,0,D67/D$12)</f>
        <v>0</v>
      </c>
      <c r="G67" s="1"/>
      <c r="H67" s="1">
        <f>SUM(OSRRefH22_6x_0)</f>
        <v>0</v>
      </c>
      <c r="I67" s="1"/>
      <c r="J67" s="5">
        <f t="shared" ref="J67:J79" si="38">IF(H$12=0,0,H67/H$12)</f>
        <v>0</v>
      </c>
      <c r="K67" s="1"/>
      <c r="L67" s="1">
        <f t="shared" ref="L67:L79" si="39">+D67-H67</f>
        <v>0</v>
      </c>
      <c r="M67" s="1"/>
      <c r="N67" s="5">
        <f t="shared" ref="N67:N79" si="40">IF(H67=0,0,L67/H67)</f>
        <v>0</v>
      </c>
      <c r="O67" s="12"/>
      <c r="P67" s="1">
        <f>SUM(OSRRefP22_6x_0)</f>
        <v>0.09</v>
      </c>
      <c r="Q67" s="1"/>
      <c r="R67" s="5">
        <f t="shared" ref="R67:R79" si="41">IF(P$12=0,0,P67/P$12)</f>
        <v>1.9482449381592965E-8</v>
      </c>
      <c r="S67" s="1"/>
      <c r="T67" s="1">
        <f>SUM(OSRRefT22_6x_0)</f>
        <v>0</v>
      </c>
      <c r="U67" s="1"/>
      <c r="V67" s="5">
        <f t="shared" ref="V67:V79" si="42">IF(T$12=0,0,T67/T$12)</f>
        <v>0</v>
      </c>
      <c r="W67" s="1"/>
      <c r="X67" s="1">
        <f t="shared" ref="X67:X79" si="43">+P67-T67</f>
        <v>0.09</v>
      </c>
      <c r="Y67" s="1"/>
      <c r="Z67" s="5">
        <f t="shared" ref="Z67:Z79" si="44">IF(T67=0,0,X67/T67)</f>
        <v>0</v>
      </c>
    </row>
    <row r="68" spans="1:26" s="24" customFormat="1" hidden="1" outlineLevel="2" x14ac:dyDescent="0.25">
      <c r="A68" s="26"/>
      <c r="B68" s="11" t="str">
        <f>CONCATENATE("          ", "6382", " - ", "DISCOUNTS/MARK DOWNS")</f>
        <v xml:space="preserve">          6382 - DISCOUNTS/MARK DOWNS</v>
      </c>
      <c r="C68" s="11"/>
      <c r="D68" s="7"/>
      <c r="E68" s="2"/>
      <c r="F68" s="6">
        <f t="shared" si="37"/>
        <v>0</v>
      </c>
      <c r="G68" s="2"/>
      <c r="H68" s="7"/>
      <c r="I68" s="2"/>
      <c r="J68" s="6">
        <f t="shared" si="38"/>
        <v>0</v>
      </c>
      <c r="K68" s="2"/>
      <c r="L68" s="7">
        <f t="shared" si="39"/>
        <v>0</v>
      </c>
      <c r="M68" s="2"/>
      <c r="N68" s="6">
        <f t="shared" si="40"/>
        <v>0</v>
      </c>
      <c r="O68" s="11"/>
      <c r="P68" s="7">
        <v>0.09</v>
      </c>
      <c r="Q68" s="2"/>
      <c r="R68" s="6">
        <f t="shared" si="41"/>
        <v>1.9482449381592965E-8</v>
      </c>
      <c r="S68" s="2"/>
      <c r="T68" s="7"/>
      <c r="U68" s="2"/>
      <c r="V68" s="6">
        <f t="shared" si="42"/>
        <v>0</v>
      </c>
      <c r="W68" s="2"/>
      <c r="X68" s="7">
        <f t="shared" si="43"/>
        <v>0.09</v>
      </c>
      <c r="Y68" s="2"/>
      <c r="Z68" s="6">
        <f t="shared" si="44"/>
        <v>0</v>
      </c>
    </row>
    <row r="69" spans="1:26" s="27" customFormat="1" outlineLevel="1" collapsed="1" x14ac:dyDescent="0.25">
      <c r="A69" s="25"/>
      <c r="B69" s="12" t="str">
        <f>CONCATENATE("     ","Donations                                         ")</f>
        <v xml:space="preserve">     Donations                                         </v>
      </c>
      <c r="C69" s="12"/>
      <c r="D69" s="1">
        <f>SUM(OSRRefD22_7x_0)</f>
        <v>0</v>
      </c>
      <c r="E69" s="1"/>
      <c r="F69" s="5">
        <f t="shared" si="37"/>
        <v>0</v>
      </c>
      <c r="G69" s="1"/>
      <c r="H69" s="1">
        <f>SUM(OSRRefH22_7x_0)</f>
        <v>500</v>
      </c>
      <c r="I69" s="1"/>
      <c r="J69" s="5">
        <f t="shared" si="38"/>
        <v>7.6850482774732786E-4</v>
      </c>
      <c r="K69" s="1"/>
      <c r="L69" s="1">
        <f t="shared" si="39"/>
        <v>-500</v>
      </c>
      <c r="M69" s="1"/>
      <c r="N69" s="5">
        <f t="shared" si="40"/>
        <v>-1</v>
      </c>
      <c r="O69" s="12"/>
      <c r="P69" s="1">
        <f>SUM(OSRRefP22_7x_0)</f>
        <v>236.68</v>
      </c>
      <c r="Q69" s="1"/>
      <c r="R69" s="5">
        <f t="shared" si="41"/>
        <v>5.123451244039359E-5</v>
      </c>
      <c r="S69" s="1"/>
      <c r="T69" s="1">
        <f>SUM(OSRRefT22_7x_0)</f>
        <v>4700</v>
      </c>
      <c r="U69" s="1"/>
      <c r="V69" s="5">
        <f t="shared" si="42"/>
        <v>6.4402829558870764E-4</v>
      </c>
      <c r="W69" s="1"/>
      <c r="X69" s="1">
        <f t="shared" si="43"/>
        <v>-4463.32</v>
      </c>
      <c r="Y69" s="1"/>
      <c r="Z69" s="5">
        <f t="shared" si="44"/>
        <v>-0.94964255319148927</v>
      </c>
    </row>
    <row r="70" spans="1:26" s="24" customFormat="1" hidden="1" outlineLevel="2" x14ac:dyDescent="0.25">
      <c r="A70" s="26"/>
      <c r="B70" s="11" t="str">
        <f>CONCATENATE("          ", "6399", " - ", "DONATION-ON CAMPUS")</f>
        <v xml:space="preserve">          6399 - DONATION-ON CAMPUS</v>
      </c>
      <c r="C70" s="11"/>
      <c r="D70" s="7"/>
      <c r="E70" s="2"/>
      <c r="F70" s="6">
        <f t="shared" si="37"/>
        <v>0</v>
      </c>
      <c r="G70" s="2"/>
      <c r="H70" s="7">
        <v>500</v>
      </c>
      <c r="I70" s="2"/>
      <c r="J70" s="6">
        <f t="shared" si="38"/>
        <v>7.6850482774732786E-4</v>
      </c>
      <c r="K70" s="2"/>
      <c r="L70" s="7">
        <f t="shared" si="39"/>
        <v>-500</v>
      </c>
      <c r="M70" s="2"/>
      <c r="N70" s="6">
        <f t="shared" si="40"/>
        <v>-1</v>
      </c>
      <c r="O70" s="11"/>
      <c r="P70" s="7">
        <v>236.68</v>
      </c>
      <c r="Q70" s="2"/>
      <c r="R70" s="6">
        <f t="shared" si="41"/>
        <v>5.123451244039359E-5</v>
      </c>
      <c r="S70" s="2"/>
      <c r="T70" s="7">
        <v>4700</v>
      </c>
      <c r="U70" s="2"/>
      <c r="V70" s="6">
        <f t="shared" si="42"/>
        <v>6.4402829558870764E-4</v>
      </c>
      <c r="W70" s="2"/>
      <c r="X70" s="7">
        <f t="shared" si="43"/>
        <v>-4463.32</v>
      </c>
      <c r="Y70" s="2"/>
      <c r="Z70" s="6">
        <f t="shared" si="44"/>
        <v>-0.94964255319148927</v>
      </c>
    </row>
    <row r="71" spans="1:26" s="27" customFormat="1" outlineLevel="1" collapsed="1" x14ac:dyDescent="0.25">
      <c r="A71" s="25"/>
      <c r="B71" s="12" t="str">
        <f>CONCATENATE("     ","Employees' Appreciation                           ")</f>
        <v xml:space="preserve">     Employees' Appreciation                           </v>
      </c>
      <c r="C71" s="12"/>
      <c r="D71" s="1">
        <f>SUM(OSRRefD22_8x_0)</f>
        <v>0</v>
      </c>
      <c r="E71" s="1"/>
      <c r="F71" s="5">
        <f t="shared" si="37"/>
        <v>0</v>
      </c>
      <c r="G71" s="1"/>
      <c r="H71" s="1">
        <f>SUM(OSRRefH22_8x_0)</f>
        <v>1510</v>
      </c>
      <c r="I71" s="1"/>
      <c r="J71" s="5">
        <f t="shared" si="38"/>
        <v>2.3208845797969301E-3</v>
      </c>
      <c r="K71" s="1"/>
      <c r="L71" s="1">
        <f t="shared" si="39"/>
        <v>-1510</v>
      </c>
      <c r="M71" s="1"/>
      <c r="N71" s="5">
        <f t="shared" si="40"/>
        <v>-1</v>
      </c>
      <c r="O71" s="12"/>
      <c r="P71" s="1">
        <f>SUM(OSRRefP22_8x_0)</f>
        <v>1672.81</v>
      </c>
      <c r="Q71" s="1"/>
      <c r="R71" s="5">
        <f t="shared" si="41"/>
        <v>3.6211595722247249E-4</v>
      </c>
      <c r="S71" s="1"/>
      <c r="T71" s="1">
        <f>SUM(OSRRefT22_8x_0)</f>
        <v>6025</v>
      </c>
      <c r="U71" s="1"/>
      <c r="V71" s="5">
        <f t="shared" si="42"/>
        <v>8.2558946402594966E-4</v>
      </c>
      <c r="W71" s="1"/>
      <c r="X71" s="1">
        <f t="shared" si="43"/>
        <v>-4352.1900000000005</v>
      </c>
      <c r="Y71" s="1"/>
      <c r="Z71" s="5">
        <f t="shared" si="44"/>
        <v>-0.72235518672199184</v>
      </c>
    </row>
    <row r="72" spans="1:26" s="24" customFormat="1" hidden="1" outlineLevel="2" x14ac:dyDescent="0.25">
      <c r="A72" s="26"/>
      <c r="B72" s="11" t="str">
        <f>CONCATENATE("          ", "6277", " - ", "EMPLOYEE APPRECIATION")</f>
        <v xml:space="preserve">          6277 - EMPLOYEE APPRECIATION</v>
      </c>
      <c r="C72" s="11"/>
      <c r="D72" s="7"/>
      <c r="E72" s="2"/>
      <c r="F72" s="6">
        <f t="shared" si="37"/>
        <v>0</v>
      </c>
      <c r="G72" s="2"/>
      <c r="H72" s="7">
        <v>1510</v>
      </c>
      <c r="I72" s="2"/>
      <c r="J72" s="6">
        <f t="shared" si="38"/>
        <v>2.3208845797969301E-3</v>
      </c>
      <c r="K72" s="2"/>
      <c r="L72" s="7">
        <f t="shared" si="39"/>
        <v>-1510</v>
      </c>
      <c r="M72" s="2"/>
      <c r="N72" s="6">
        <f t="shared" si="40"/>
        <v>-1</v>
      </c>
      <c r="O72" s="11"/>
      <c r="P72" s="7">
        <v>1672.81</v>
      </c>
      <c r="Q72" s="2"/>
      <c r="R72" s="6">
        <f t="shared" si="41"/>
        <v>3.6211595722247249E-4</v>
      </c>
      <c r="S72" s="2"/>
      <c r="T72" s="7">
        <v>6025</v>
      </c>
      <c r="U72" s="2"/>
      <c r="V72" s="6">
        <f t="shared" si="42"/>
        <v>8.2558946402594966E-4</v>
      </c>
      <c r="W72" s="2"/>
      <c r="X72" s="7">
        <f t="shared" si="43"/>
        <v>-4352.1900000000005</v>
      </c>
      <c r="Y72" s="2"/>
      <c r="Z72" s="6">
        <f t="shared" si="44"/>
        <v>-0.72235518672199184</v>
      </c>
    </row>
    <row r="73" spans="1:26" s="27" customFormat="1" outlineLevel="1" collapsed="1" x14ac:dyDescent="0.25">
      <c r="A73" s="25"/>
      <c r="B73" s="12" t="str">
        <f>CONCATENATE("     ","Equipment Rental                                  ")</f>
        <v xml:space="preserve">     Equipment Rental                                  </v>
      </c>
      <c r="C73" s="12"/>
      <c r="D73" s="1">
        <f>SUM(OSRRefD22_9x_0)</f>
        <v>1448.84</v>
      </c>
      <c r="E73" s="1"/>
      <c r="F73" s="5">
        <f t="shared" si="37"/>
        <v>0</v>
      </c>
      <c r="G73" s="1"/>
      <c r="H73" s="1">
        <f>SUM(OSRRefH22_9x_0)</f>
        <v>2060</v>
      </c>
      <c r="I73" s="1"/>
      <c r="J73" s="5">
        <f t="shared" si="38"/>
        <v>3.1662398903189908E-3</v>
      </c>
      <c r="K73" s="1"/>
      <c r="L73" s="1">
        <f t="shared" si="39"/>
        <v>-611.16000000000008</v>
      </c>
      <c r="M73" s="1"/>
      <c r="N73" s="5">
        <f t="shared" si="40"/>
        <v>-0.29667961165048545</v>
      </c>
      <c r="O73" s="12"/>
      <c r="P73" s="1">
        <f>SUM(OSRRefP22_9x_0)</f>
        <v>26544.560000000001</v>
      </c>
      <c r="Q73" s="1"/>
      <c r="R73" s="5">
        <f t="shared" si="41"/>
        <v>5.7461449617406376E-3</v>
      </c>
      <c r="S73" s="1"/>
      <c r="T73" s="1">
        <f>SUM(OSRRefT22_9x_0)</f>
        <v>17296</v>
      </c>
      <c r="U73" s="1"/>
      <c r="V73" s="5">
        <f t="shared" si="42"/>
        <v>2.3700241277664442E-3</v>
      </c>
      <c r="W73" s="1"/>
      <c r="X73" s="1">
        <f t="shared" si="43"/>
        <v>9248.5600000000013</v>
      </c>
      <c r="Y73" s="1"/>
      <c r="Z73" s="5">
        <f t="shared" si="44"/>
        <v>0.53472247918593907</v>
      </c>
    </row>
    <row r="74" spans="1:26" s="24" customFormat="1" hidden="1" outlineLevel="2" x14ac:dyDescent="0.25">
      <c r="A74" s="26"/>
      <c r="B74" s="11" t="str">
        <f>CONCATENATE("          ", "6351", " - ", "EQUIPMENT RENTAL")</f>
        <v xml:space="preserve">          6351 - EQUIPMENT RENTAL</v>
      </c>
      <c r="C74" s="11"/>
      <c r="D74" s="7">
        <v>1448.84</v>
      </c>
      <c r="E74" s="2"/>
      <c r="F74" s="6">
        <f t="shared" si="37"/>
        <v>0</v>
      </c>
      <c r="G74" s="2"/>
      <c r="H74" s="7">
        <v>2060</v>
      </c>
      <c r="I74" s="2"/>
      <c r="J74" s="6">
        <f t="shared" si="38"/>
        <v>3.1662398903189908E-3</v>
      </c>
      <c r="K74" s="2"/>
      <c r="L74" s="7">
        <f t="shared" si="39"/>
        <v>-611.16000000000008</v>
      </c>
      <c r="M74" s="2"/>
      <c r="N74" s="6">
        <f t="shared" si="40"/>
        <v>-0.29667961165048545</v>
      </c>
      <c r="O74" s="11"/>
      <c r="P74" s="7">
        <v>26544.560000000001</v>
      </c>
      <c r="Q74" s="2"/>
      <c r="R74" s="6">
        <f t="shared" si="41"/>
        <v>5.7461449617406376E-3</v>
      </c>
      <c r="S74" s="2"/>
      <c r="T74" s="7">
        <v>17296</v>
      </c>
      <c r="U74" s="2"/>
      <c r="V74" s="6">
        <f t="shared" si="42"/>
        <v>2.3700241277664442E-3</v>
      </c>
      <c r="W74" s="2"/>
      <c r="X74" s="7">
        <f t="shared" si="43"/>
        <v>9248.5600000000013</v>
      </c>
      <c r="Y74" s="2"/>
      <c r="Z74" s="6">
        <f t="shared" si="44"/>
        <v>0.53472247918593907</v>
      </c>
    </row>
    <row r="75" spans="1:26" s="27" customFormat="1" outlineLevel="1" collapsed="1" x14ac:dyDescent="0.25">
      <c r="A75" s="25"/>
      <c r="B75" s="12" t="str">
        <f>CONCATENATE("     ","Freight out/Postage                               ")</f>
        <v xml:space="preserve">     Freight out/Postage                               </v>
      </c>
      <c r="C75" s="12"/>
      <c r="D75" s="1">
        <f>SUM(OSRRefD22_10x_0)</f>
        <v>0.57999999999999996</v>
      </c>
      <c r="E75" s="1"/>
      <c r="F75" s="5">
        <f t="shared" si="37"/>
        <v>0</v>
      </c>
      <c r="G75" s="1"/>
      <c r="H75" s="1">
        <f>SUM(OSRRefH22_10x_0)</f>
        <v>0</v>
      </c>
      <c r="I75" s="1"/>
      <c r="J75" s="5">
        <f t="shared" si="38"/>
        <v>0</v>
      </c>
      <c r="K75" s="1"/>
      <c r="L75" s="1">
        <f t="shared" si="39"/>
        <v>0.57999999999999996</v>
      </c>
      <c r="M75" s="1"/>
      <c r="N75" s="5">
        <f t="shared" si="40"/>
        <v>0</v>
      </c>
      <c r="O75" s="12"/>
      <c r="P75" s="1">
        <f>SUM(OSRRefP22_10x_0)</f>
        <v>0.57999999999999996</v>
      </c>
      <c r="Q75" s="1"/>
      <c r="R75" s="5">
        <f t="shared" si="41"/>
        <v>1.2555356268137687E-7</v>
      </c>
      <c r="S75" s="1"/>
      <c r="T75" s="1">
        <f>SUM(OSRRefT22_10x_0)</f>
        <v>0</v>
      </c>
      <c r="U75" s="1"/>
      <c r="V75" s="5">
        <f t="shared" si="42"/>
        <v>0</v>
      </c>
      <c r="W75" s="1"/>
      <c r="X75" s="1">
        <f t="shared" si="43"/>
        <v>0.57999999999999996</v>
      </c>
      <c r="Y75" s="1"/>
      <c r="Z75" s="5">
        <f t="shared" si="44"/>
        <v>0</v>
      </c>
    </row>
    <row r="76" spans="1:26" s="24" customFormat="1" hidden="1" outlineLevel="2" x14ac:dyDescent="0.25">
      <c r="A76" s="26"/>
      <c r="B76" s="11" t="str">
        <f>CONCATENATE("          ", "6307", " - ", "POSTAGE")</f>
        <v xml:space="preserve">          6307 - POSTAGE</v>
      </c>
      <c r="C76" s="11"/>
      <c r="D76" s="7">
        <v>0.57999999999999996</v>
      </c>
      <c r="E76" s="2"/>
      <c r="F76" s="6">
        <f t="shared" si="37"/>
        <v>0</v>
      </c>
      <c r="G76" s="2"/>
      <c r="H76" s="7"/>
      <c r="I76" s="2"/>
      <c r="J76" s="6">
        <f t="shared" si="38"/>
        <v>0</v>
      </c>
      <c r="K76" s="2"/>
      <c r="L76" s="7">
        <f t="shared" si="39"/>
        <v>0.57999999999999996</v>
      </c>
      <c r="M76" s="2"/>
      <c r="N76" s="6">
        <f t="shared" si="40"/>
        <v>0</v>
      </c>
      <c r="O76" s="11"/>
      <c r="P76" s="7">
        <v>0.57999999999999996</v>
      </c>
      <c r="Q76" s="2"/>
      <c r="R76" s="6">
        <f t="shared" si="41"/>
        <v>1.2555356268137687E-7</v>
      </c>
      <c r="S76" s="2"/>
      <c r="T76" s="7"/>
      <c r="U76" s="2"/>
      <c r="V76" s="6">
        <f t="shared" si="42"/>
        <v>0</v>
      </c>
      <c r="W76" s="2"/>
      <c r="X76" s="7">
        <f t="shared" si="43"/>
        <v>0.57999999999999996</v>
      </c>
      <c r="Y76" s="2"/>
      <c r="Z76" s="6">
        <f t="shared" si="44"/>
        <v>0</v>
      </c>
    </row>
    <row r="77" spans="1:26" s="27" customFormat="1" outlineLevel="1" collapsed="1" x14ac:dyDescent="0.25">
      <c r="A77" s="25"/>
      <c r="B77" s="12" t="str">
        <f>CONCATENATE("     ","General                                           ")</f>
        <v xml:space="preserve">     General                                           </v>
      </c>
      <c r="C77" s="12"/>
      <c r="D77" s="1">
        <f>SUM(OSRRefD22_11x_0)</f>
        <v>-1200</v>
      </c>
      <c r="E77" s="1"/>
      <c r="F77" s="5">
        <f t="shared" si="37"/>
        <v>0</v>
      </c>
      <c r="G77" s="1"/>
      <c r="H77" s="1">
        <f>SUM(OSRRefH22_11x_0)</f>
        <v>2350</v>
      </c>
      <c r="I77" s="1"/>
      <c r="J77" s="5">
        <f t="shared" si="38"/>
        <v>3.6119726904124414E-3</v>
      </c>
      <c r="K77" s="1"/>
      <c r="L77" s="1">
        <f t="shared" si="39"/>
        <v>-3550</v>
      </c>
      <c r="M77" s="1"/>
      <c r="N77" s="5">
        <f t="shared" si="40"/>
        <v>-1.5106382978723405</v>
      </c>
      <c r="O77" s="12"/>
      <c r="P77" s="1">
        <f>SUM(OSRRefP22_11x_0)</f>
        <v>83587.350000000006</v>
      </c>
      <c r="Q77" s="1"/>
      <c r="R77" s="5">
        <f t="shared" si="41"/>
        <v>1.8094292392405498E-2</v>
      </c>
      <c r="S77" s="1"/>
      <c r="T77" s="1">
        <f>SUM(OSRRefT22_11x_0)</f>
        <v>46625</v>
      </c>
      <c r="U77" s="1"/>
      <c r="V77" s="5">
        <f t="shared" si="42"/>
        <v>6.3888977195369137E-3</v>
      </c>
      <c r="W77" s="1"/>
      <c r="X77" s="1">
        <f t="shared" si="43"/>
        <v>36962.350000000006</v>
      </c>
      <c r="Y77" s="1"/>
      <c r="Z77" s="5">
        <f t="shared" si="44"/>
        <v>0.79275817694369988</v>
      </c>
    </row>
    <row r="78" spans="1:26" s="24" customFormat="1" hidden="1" outlineLevel="2" x14ac:dyDescent="0.25">
      <c r="A78" s="26"/>
      <c r="B78" s="11" t="str">
        <f>CONCATENATE("          ", "6269", " - ", "ENTERTAINMENT")</f>
        <v xml:space="preserve">          6269 - ENTERTAINMENT</v>
      </c>
      <c r="C78" s="11"/>
      <c r="D78" s="7"/>
      <c r="E78" s="2"/>
      <c r="F78" s="6">
        <f t="shared" si="37"/>
        <v>0</v>
      </c>
      <c r="G78" s="2"/>
      <c r="H78" s="7">
        <v>300</v>
      </c>
      <c r="I78" s="2"/>
      <c r="J78" s="6">
        <f t="shared" si="38"/>
        <v>4.6110289664839677E-4</v>
      </c>
      <c r="K78" s="2"/>
      <c r="L78" s="7">
        <f t="shared" si="39"/>
        <v>-300</v>
      </c>
      <c r="M78" s="2"/>
      <c r="N78" s="6">
        <f t="shared" si="40"/>
        <v>-1</v>
      </c>
      <c r="O78" s="11"/>
      <c r="P78" s="7">
        <v>10050</v>
      </c>
      <c r="Q78" s="2"/>
      <c r="R78" s="6">
        <f t="shared" si="41"/>
        <v>2.1755401809445477E-3</v>
      </c>
      <c r="S78" s="2"/>
      <c r="T78" s="7">
        <v>7250</v>
      </c>
      <c r="U78" s="2"/>
      <c r="V78" s="6">
        <f t="shared" si="42"/>
        <v>9.9344790276981502E-4</v>
      </c>
      <c r="W78" s="2"/>
      <c r="X78" s="7">
        <f t="shared" si="43"/>
        <v>2800</v>
      </c>
      <c r="Y78" s="2"/>
      <c r="Z78" s="6">
        <f t="shared" si="44"/>
        <v>0.38620689655172413</v>
      </c>
    </row>
    <row r="79" spans="1:26" s="24" customFormat="1" hidden="1" outlineLevel="2" x14ac:dyDescent="0.25">
      <c r="A79" s="26"/>
      <c r="B79" s="11" t="str">
        <f>CONCATENATE("          ", "6279", " - ", "GENERAL EXPENSE")</f>
        <v xml:space="preserve">          6279 - GENERAL EXPENSE</v>
      </c>
      <c r="C79" s="11"/>
      <c r="D79" s="7">
        <v>-1200</v>
      </c>
      <c r="E79" s="2"/>
      <c r="F79" s="6">
        <f t="shared" si="37"/>
        <v>0</v>
      </c>
      <c r="G79" s="2"/>
      <c r="H79" s="7">
        <v>2050</v>
      </c>
      <c r="I79" s="2"/>
      <c r="J79" s="6">
        <f t="shared" si="38"/>
        <v>3.1508697937640442E-3</v>
      </c>
      <c r="K79" s="2"/>
      <c r="L79" s="7">
        <f t="shared" si="39"/>
        <v>-3250</v>
      </c>
      <c r="M79" s="2"/>
      <c r="N79" s="6">
        <f t="shared" si="40"/>
        <v>-1.5853658536585367</v>
      </c>
      <c r="O79" s="11"/>
      <c r="P79" s="7">
        <v>73537.350000000006</v>
      </c>
      <c r="Q79" s="2"/>
      <c r="R79" s="6">
        <f t="shared" si="41"/>
        <v>1.5918752211460951E-2</v>
      </c>
      <c r="S79" s="2"/>
      <c r="T79" s="7">
        <v>39375</v>
      </c>
      <c r="U79" s="2"/>
      <c r="V79" s="6">
        <f t="shared" si="42"/>
        <v>5.3954498167670985E-3</v>
      </c>
      <c r="W79" s="2"/>
      <c r="X79" s="7">
        <f t="shared" si="43"/>
        <v>34162.350000000006</v>
      </c>
      <c r="Y79" s="2"/>
      <c r="Z79" s="6">
        <f t="shared" si="44"/>
        <v>0.86761523809523822</v>
      </c>
    </row>
    <row r="80" spans="1:26" s="27" customFormat="1" outlineLevel="1" collapsed="1" x14ac:dyDescent="0.25">
      <c r="A80" s="25"/>
      <c r="B80" s="12" t="str">
        <f>CONCATENATE("     ","Insurance                                         ")</f>
        <v xml:space="preserve">     Insurance                                         </v>
      </c>
      <c r="C80" s="12"/>
      <c r="D80" s="1">
        <f>SUM(OSRRefD22_12x_0)</f>
        <v>4240.13</v>
      </c>
      <c r="E80" s="1"/>
      <c r="F80" s="5">
        <f t="shared" ref="F80:F92" si="45">IF(D$12=0,0,D80/D$12)</f>
        <v>0</v>
      </c>
      <c r="G80" s="1"/>
      <c r="H80" s="1">
        <f>SUM(OSRRefH22_12x_0)</f>
        <v>4004</v>
      </c>
      <c r="I80" s="1"/>
      <c r="J80" s="5">
        <f t="shared" ref="J80:J92" si="46">IF(H$12=0,0,H80/H$12)</f>
        <v>6.1541866606006019E-3</v>
      </c>
      <c r="K80" s="1"/>
      <c r="L80" s="1">
        <f t="shared" ref="L80:L92" si="47">+D80-H80</f>
        <v>236.13000000000011</v>
      </c>
      <c r="M80" s="1"/>
      <c r="N80" s="5">
        <f t="shared" ref="N80:N92" si="48">IF(H80=0,0,L80/H80)</f>
        <v>5.8973526473526501E-2</v>
      </c>
      <c r="O80" s="12"/>
      <c r="P80" s="1">
        <f>SUM(OSRRefP22_12x_0)</f>
        <v>52402.43</v>
      </c>
      <c r="Q80" s="1"/>
      <c r="R80" s="5">
        <f t="shared" ref="R80:R92" si="49">IF(P$12=0,0,P80/P$12)</f>
        <v>1.1343640999416317E-2</v>
      </c>
      <c r="S80" s="1"/>
      <c r="T80" s="1">
        <f>SUM(OSRRefT22_12x_0)</f>
        <v>44044</v>
      </c>
      <c r="U80" s="1"/>
      <c r="V80" s="5">
        <f t="shared" ref="V80:V92" si="50">IF(T$12=0,0,T80/T$12)</f>
        <v>6.0352302661508591E-3</v>
      </c>
      <c r="W80" s="1"/>
      <c r="X80" s="1">
        <f t="shared" ref="X80:X92" si="51">+P80-T80</f>
        <v>8358.43</v>
      </c>
      <c r="Y80" s="1"/>
      <c r="Z80" s="5">
        <f t="shared" ref="Z80:Z92" si="52">IF(T80=0,0,X80/T80)</f>
        <v>0.18977454363818</v>
      </c>
    </row>
    <row r="81" spans="1:26" s="24" customFormat="1" hidden="1" outlineLevel="2" x14ac:dyDescent="0.25">
      <c r="A81" s="26"/>
      <c r="B81" s="11" t="str">
        <f>CONCATENATE("          ", "6314", " - ", "LIABILITY INSURANCE")</f>
        <v xml:space="preserve">          6314 - LIABILITY INSURANCE</v>
      </c>
      <c r="C81" s="11"/>
      <c r="D81" s="7">
        <v>4240.13</v>
      </c>
      <c r="E81" s="2"/>
      <c r="F81" s="6">
        <f t="shared" si="45"/>
        <v>0</v>
      </c>
      <c r="G81" s="2"/>
      <c r="H81" s="7">
        <v>4004</v>
      </c>
      <c r="I81" s="2"/>
      <c r="J81" s="6">
        <f t="shared" si="46"/>
        <v>6.1541866606006019E-3</v>
      </c>
      <c r="K81" s="2"/>
      <c r="L81" s="7">
        <f t="shared" si="47"/>
        <v>236.13000000000011</v>
      </c>
      <c r="M81" s="2"/>
      <c r="N81" s="6">
        <f t="shared" si="48"/>
        <v>5.8973526473526501E-2</v>
      </c>
      <c r="O81" s="11"/>
      <c r="P81" s="7">
        <v>52402.43</v>
      </c>
      <c r="Q81" s="2"/>
      <c r="R81" s="6">
        <f t="shared" si="49"/>
        <v>1.1343640999416317E-2</v>
      </c>
      <c r="S81" s="2"/>
      <c r="T81" s="7">
        <v>44044</v>
      </c>
      <c r="U81" s="2"/>
      <c r="V81" s="6">
        <f t="shared" si="50"/>
        <v>6.0352302661508591E-3</v>
      </c>
      <c r="W81" s="2"/>
      <c r="X81" s="7">
        <f t="shared" si="51"/>
        <v>8358.43</v>
      </c>
      <c r="Y81" s="2"/>
      <c r="Z81" s="6">
        <f t="shared" si="52"/>
        <v>0.18977454363818</v>
      </c>
    </row>
    <row r="82" spans="1:26" s="27" customFormat="1" outlineLevel="1" collapsed="1" x14ac:dyDescent="0.25">
      <c r="A82" s="25"/>
      <c r="B82" s="12" t="str">
        <f>CONCATENATE("     ","Interest                                          ")</f>
        <v xml:space="preserve">     Interest                                          </v>
      </c>
      <c r="C82" s="12"/>
      <c r="D82" s="1">
        <f>SUM(OSRRefD22_13x_0)</f>
        <v>7754</v>
      </c>
      <c r="E82" s="1"/>
      <c r="F82" s="5">
        <f t="shared" si="45"/>
        <v>0</v>
      </c>
      <c r="G82" s="1"/>
      <c r="H82" s="1">
        <f>SUM(OSRRefH22_13x_0)</f>
        <v>7510</v>
      </c>
      <c r="I82" s="1"/>
      <c r="J82" s="5">
        <f t="shared" si="46"/>
        <v>1.1542942512764866E-2</v>
      </c>
      <c r="K82" s="1"/>
      <c r="L82" s="1">
        <f t="shared" si="47"/>
        <v>244</v>
      </c>
      <c r="M82" s="1"/>
      <c r="N82" s="5">
        <f t="shared" si="48"/>
        <v>3.2490013315579228E-2</v>
      </c>
      <c r="O82" s="12"/>
      <c r="P82" s="1">
        <f>SUM(OSRRefP22_13x_0)</f>
        <v>82950.28</v>
      </c>
      <c r="Q82" s="1"/>
      <c r="R82" s="5">
        <f t="shared" si="49"/>
        <v>1.795638479209959E-2</v>
      </c>
      <c r="S82" s="1"/>
      <c r="T82" s="1">
        <f>SUM(OSRRefT22_13x_0)</f>
        <v>85050</v>
      </c>
      <c r="U82" s="1"/>
      <c r="V82" s="5">
        <f t="shared" si="50"/>
        <v>1.1654171604216933E-2</v>
      </c>
      <c r="W82" s="1"/>
      <c r="X82" s="1">
        <f t="shared" si="51"/>
        <v>-2099.7200000000012</v>
      </c>
      <c r="Y82" s="1"/>
      <c r="Z82" s="5">
        <f t="shared" si="52"/>
        <v>-2.4688065843621414E-2</v>
      </c>
    </row>
    <row r="83" spans="1:26" s="24" customFormat="1" hidden="1" outlineLevel="2" x14ac:dyDescent="0.25">
      <c r="A83" s="26"/>
      <c r="B83" s="11" t="str">
        <f>CONCATENATE("          ", "6401", " - ", "INTEREST EXPENSE")</f>
        <v xml:space="preserve">          6401 - INTEREST EXPENSE</v>
      </c>
      <c r="C83" s="11"/>
      <c r="D83" s="7">
        <v>7754</v>
      </c>
      <c r="E83" s="2"/>
      <c r="F83" s="6">
        <f t="shared" si="45"/>
        <v>0</v>
      </c>
      <c r="G83" s="2"/>
      <c r="H83" s="7">
        <v>7510</v>
      </c>
      <c r="I83" s="2"/>
      <c r="J83" s="6">
        <f t="shared" si="46"/>
        <v>1.1542942512764866E-2</v>
      </c>
      <c r="K83" s="2"/>
      <c r="L83" s="7">
        <f t="shared" si="47"/>
        <v>244</v>
      </c>
      <c r="M83" s="2"/>
      <c r="N83" s="6">
        <f t="shared" si="48"/>
        <v>3.2490013315579228E-2</v>
      </c>
      <c r="O83" s="11"/>
      <c r="P83" s="7">
        <v>82950.28</v>
      </c>
      <c r="Q83" s="2"/>
      <c r="R83" s="6">
        <f t="shared" si="49"/>
        <v>1.795638479209959E-2</v>
      </c>
      <c r="S83" s="2"/>
      <c r="T83" s="7">
        <v>85050</v>
      </c>
      <c r="U83" s="2"/>
      <c r="V83" s="6">
        <f t="shared" si="50"/>
        <v>1.1654171604216933E-2</v>
      </c>
      <c r="W83" s="2"/>
      <c r="X83" s="7">
        <f t="shared" si="51"/>
        <v>-2099.7200000000012</v>
      </c>
      <c r="Y83" s="2"/>
      <c r="Z83" s="6">
        <f t="shared" si="52"/>
        <v>-2.4688065843621414E-2</v>
      </c>
    </row>
    <row r="84" spans="1:26" s="27" customFormat="1" outlineLevel="1" collapsed="1" x14ac:dyDescent="0.25">
      <c r="A84" s="25"/>
      <c r="B84" s="12" t="str">
        <f>CONCATENATE("     ","Professional Services                             ")</f>
        <v xml:space="preserve">     Professional Services                             </v>
      </c>
      <c r="C84" s="12"/>
      <c r="D84" s="1">
        <f>SUM(OSRRefD22_14x_0)</f>
        <v>0</v>
      </c>
      <c r="E84" s="1"/>
      <c r="F84" s="5">
        <f t="shared" si="45"/>
        <v>0</v>
      </c>
      <c r="G84" s="1"/>
      <c r="H84" s="1">
        <f>SUM(OSRRefH22_14x_0)</f>
        <v>0</v>
      </c>
      <c r="I84" s="1"/>
      <c r="J84" s="5">
        <f t="shared" si="46"/>
        <v>0</v>
      </c>
      <c r="K84" s="1"/>
      <c r="L84" s="1">
        <f t="shared" si="47"/>
        <v>0</v>
      </c>
      <c r="M84" s="1"/>
      <c r="N84" s="5">
        <f t="shared" si="48"/>
        <v>0</v>
      </c>
      <c r="O84" s="12"/>
      <c r="P84" s="1">
        <f>SUM(OSRRefP22_14x_0)</f>
        <v>125</v>
      </c>
      <c r="Q84" s="1"/>
      <c r="R84" s="5">
        <f t="shared" si="49"/>
        <v>2.7058957474434672E-5</v>
      </c>
      <c r="S84" s="1"/>
      <c r="T84" s="1">
        <f>SUM(OSRRefT22_14x_0)</f>
        <v>0</v>
      </c>
      <c r="U84" s="1"/>
      <c r="V84" s="5">
        <f t="shared" si="50"/>
        <v>0</v>
      </c>
      <c r="W84" s="1"/>
      <c r="X84" s="1">
        <f t="shared" si="51"/>
        <v>125</v>
      </c>
      <c r="Y84" s="1"/>
      <c r="Z84" s="5">
        <f t="shared" si="52"/>
        <v>0</v>
      </c>
    </row>
    <row r="85" spans="1:26" s="24" customFormat="1" hidden="1" outlineLevel="2" x14ac:dyDescent="0.25">
      <c r="A85" s="26"/>
      <c r="B85" s="11" t="str">
        <f>CONCATENATE("          ", "6336", " - ", "PROFESSIONAL SERVICES")</f>
        <v xml:space="preserve">          6336 - PROFESSIONAL SERVICES</v>
      </c>
      <c r="C85" s="11"/>
      <c r="D85" s="7"/>
      <c r="E85" s="2"/>
      <c r="F85" s="6">
        <f t="shared" si="45"/>
        <v>0</v>
      </c>
      <c r="G85" s="2"/>
      <c r="H85" s="7"/>
      <c r="I85" s="2"/>
      <c r="J85" s="6">
        <f t="shared" si="46"/>
        <v>0</v>
      </c>
      <c r="K85" s="2"/>
      <c r="L85" s="7">
        <f t="shared" si="47"/>
        <v>0</v>
      </c>
      <c r="M85" s="2"/>
      <c r="N85" s="6">
        <f t="shared" si="48"/>
        <v>0</v>
      </c>
      <c r="O85" s="11"/>
      <c r="P85" s="7">
        <v>125</v>
      </c>
      <c r="Q85" s="2"/>
      <c r="R85" s="6">
        <f t="shared" si="49"/>
        <v>2.7058957474434672E-5</v>
      </c>
      <c r="S85" s="2"/>
      <c r="T85" s="7"/>
      <c r="U85" s="2"/>
      <c r="V85" s="6">
        <f t="shared" si="50"/>
        <v>0</v>
      </c>
      <c r="W85" s="2"/>
      <c r="X85" s="7">
        <f t="shared" si="51"/>
        <v>125</v>
      </c>
      <c r="Y85" s="2"/>
      <c r="Z85" s="6">
        <f t="shared" si="52"/>
        <v>0</v>
      </c>
    </row>
    <row r="86" spans="1:26" s="27" customFormat="1" outlineLevel="1" collapsed="1" x14ac:dyDescent="0.25">
      <c r="A86" s="25"/>
      <c r="B86" s="12" t="str">
        <f>CONCATENATE("     ","Rent                                              ")</f>
        <v xml:space="preserve">     Rent                                              </v>
      </c>
      <c r="C86" s="12"/>
      <c r="D86" s="1">
        <f>SUM(OSRRefD22_15x_0)</f>
        <v>1850</v>
      </c>
      <c r="E86" s="1"/>
      <c r="F86" s="5">
        <f t="shared" si="45"/>
        <v>0</v>
      </c>
      <c r="G86" s="1"/>
      <c r="H86" s="1">
        <f>SUM(OSRRefH22_15x_0)</f>
        <v>1850</v>
      </c>
      <c r="I86" s="1"/>
      <c r="J86" s="5">
        <f t="shared" si="46"/>
        <v>2.8434678626651131E-3</v>
      </c>
      <c r="K86" s="1"/>
      <c r="L86" s="1">
        <f t="shared" si="47"/>
        <v>0</v>
      </c>
      <c r="M86" s="1"/>
      <c r="N86" s="5">
        <f t="shared" si="48"/>
        <v>0</v>
      </c>
      <c r="O86" s="12"/>
      <c r="P86" s="1">
        <f>SUM(OSRRefP22_15x_0)</f>
        <v>20350</v>
      </c>
      <c r="Q86" s="1"/>
      <c r="R86" s="5">
        <f t="shared" si="49"/>
        <v>4.4051982768379648E-3</v>
      </c>
      <c r="S86" s="1"/>
      <c r="T86" s="1">
        <f>SUM(OSRRefT22_15x_0)</f>
        <v>20350</v>
      </c>
      <c r="U86" s="1"/>
      <c r="V86" s="5">
        <f t="shared" si="50"/>
        <v>2.7885054926021701E-3</v>
      </c>
      <c r="W86" s="1"/>
      <c r="X86" s="1">
        <f t="shared" si="51"/>
        <v>0</v>
      </c>
      <c r="Y86" s="1"/>
      <c r="Z86" s="5">
        <f t="shared" si="52"/>
        <v>0</v>
      </c>
    </row>
    <row r="87" spans="1:26" s="24" customFormat="1" hidden="1" outlineLevel="2" x14ac:dyDescent="0.25">
      <c r="A87" s="26"/>
      <c r="B87" s="11" t="str">
        <f>CONCATENATE("          ", "6273", " - ", "RENT")</f>
        <v xml:space="preserve">          6273 - RENT</v>
      </c>
      <c r="C87" s="11"/>
      <c r="D87" s="7">
        <v>1850</v>
      </c>
      <c r="E87" s="2"/>
      <c r="F87" s="6">
        <f t="shared" si="45"/>
        <v>0</v>
      </c>
      <c r="G87" s="2"/>
      <c r="H87" s="7">
        <v>1850</v>
      </c>
      <c r="I87" s="2"/>
      <c r="J87" s="6">
        <f t="shared" si="46"/>
        <v>2.8434678626651131E-3</v>
      </c>
      <c r="K87" s="2"/>
      <c r="L87" s="7">
        <f t="shared" si="47"/>
        <v>0</v>
      </c>
      <c r="M87" s="2"/>
      <c r="N87" s="6">
        <f t="shared" si="48"/>
        <v>0</v>
      </c>
      <c r="O87" s="11"/>
      <c r="P87" s="7">
        <v>20350</v>
      </c>
      <c r="Q87" s="2"/>
      <c r="R87" s="6">
        <f t="shared" si="49"/>
        <v>4.4051982768379648E-3</v>
      </c>
      <c r="S87" s="2"/>
      <c r="T87" s="7">
        <v>20350</v>
      </c>
      <c r="U87" s="2"/>
      <c r="V87" s="6">
        <f t="shared" si="50"/>
        <v>2.7885054926021701E-3</v>
      </c>
      <c r="W87" s="2"/>
      <c r="X87" s="7">
        <f t="shared" si="51"/>
        <v>0</v>
      </c>
      <c r="Y87" s="2"/>
      <c r="Z87" s="6">
        <f t="shared" si="52"/>
        <v>0</v>
      </c>
    </row>
    <row r="88" spans="1:26" s="27" customFormat="1" outlineLevel="1" collapsed="1" x14ac:dyDescent="0.25">
      <c r="A88" s="25"/>
      <c r="B88" s="12" t="str">
        <f>CONCATENATE("     ","Repair and Maintenance                            ")</f>
        <v xml:space="preserve">     Repair and Maintenance                            </v>
      </c>
      <c r="C88" s="12"/>
      <c r="D88" s="1">
        <f>SUM(OSRRefD22_16x_0)</f>
        <v>7798.16</v>
      </c>
      <c r="E88" s="1"/>
      <c r="F88" s="5">
        <f t="shared" si="45"/>
        <v>0</v>
      </c>
      <c r="G88" s="1"/>
      <c r="H88" s="1">
        <f>SUM(OSRRefH22_16x_0)</f>
        <v>16775</v>
      </c>
      <c r="I88" s="1"/>
      <c r="J88" s="5">
        <f t="shared" si="46"/>
        <v>2.5783336970922853E-2</v>
      </c>
      <c r="K88" s="1"/>
      <c r="L88" s="1">
        <f t="shared" si="47"/>
        <v>-8976.84</v>
      </c>
      <c r="M88" s="1"/>
      <c r="N88" s="5">
        <f t="shared" si="48"/>
        <v>-0.53513204172876305</v>
      </c>
      <c r="O88" s="12"/>
      <c r="P88" s="1">
        <f>SUM(OSRRefP22_16x_0)</f>
        <v>226371.27000000002</v>
      </c>
      <c r="Q88" s="1"/>
      <c r="R88" s="5">
        <f t="shared" si="49"/>
        <v>4.9002964546910159E-2</v>
      </c>
      <c r="S88" s="1"/>
      <c r="T88" s="1">
        <f>SUM(OSRRefT22_16x_0)</f>
        <v>242344</v>
      </c>
      <c r="U88" s="1"/>
      <c r="V88" s="5">
        <f t="shared" si="50"/>
        <v>3.3207743248116969E-2</v>
      </c>
      <c r="W88" s="1"/>
      <c r="X88" s="1">
        <f t="shared" si="51"/>
        <v>-15972.729999999981</v>
      </c>
      <c r="Y88" s="1"/>
      <c r="Z88" s="5">
        <f t="shared" si="52"/>
        <v>-6.5909327237315476E-2</v>
      </c>
    </row>
    <row r="89" spans="1:26" s="24" customFormat="1" hidden="1" outlineLevel="2" x14ac:dyDescent="0.25">
      <c r="A89" s="26"/>
      <c r="B89" s="11" t="str">
        <f>CONCATENATE("          ", "6371", " - ", "COMPUTER SOFTWARE MAINTENANCE")</f>
        <v xml:space="preserve">          6371 - COMPUTER SOFTWARE MAINTENANCE</v>
      </c>
      <c r="C89" s="11"/>
      <c r="D89" s="7"/>
      <c r="E89" s="2"/>
      <c r="F89" s="6">
        <f t="shared" si="45"/>
        <v>0</v>
      </c>
      <c r="G89" s="2"/>
      <c r="H89" s="7">
        <v>50</v>
      </c>
      <c r="I89" s="2"/>
      <c r="J89" s="6">
        <f t="shared" si="46"/>
        <v>7.6850482774732786E-5</v>
      </c>
      <c r="K89" s="2"/>
      <c r="L89" s="7">
        <f t="shared" si="47"/>
        <v>-50</v>
      </c>
      <c r="M89" s="2"/>
      <c r="N89" s="6">
        <f t="shared" si="48"/>
        <v>-1</v>
      </c>
      <c r="O89" s="11"/>
      <c r="P89" s="7">
        <v>10932.69</v>
      </c>
      <c r="Q89" s="2"/>
      <c r="R89" s="6">
        <f t="shared" si="49"/>
        <v>2.3666175503294176E-3</v>
      </c>
      <c r="S89" s="2"/>
      <c r="T89" s="7">
        <v>2500</v>
      </c>
      <c r="U89" s="2"/>
      <c r="V89" s="6">
        <f t="shared" si="50"/>
        <v>3.4256824233441893E-4</v>
      </c>
      <c r="W89" s="2"/>
      <c r="X89" s="7">
        <f t="shared" si="51"/>
        <v>8432.69</v>
      </c>
      <c r="Y89" s="2"/>
      <c r="Z89" s="6">
        <f t="shared" si="52"/>
        <v>3.3730760000000002</v>
      </c>
    </row>
    <row r="90" spans="1:26" s="24" customFormat="1" hidden="1" outlineLevel="2" x14ac:dyDescent="0.25">
      <c r="A90" s="26"/>
      <c r="B90" s="11" t="str">
        <f>CONCATENATE("          ", "6372", " - ", "COMPUTER HARDWARE MAINTENANCE")</f>
        <v xml:space="preserve">          6372 - COMPUTER HARDWARE MAINTENANCE</v>
      </c>
      <c r="C90" s="11"/>
      <c r="D90" s="7"/>
      <c r="E90" s="2"/>
      <c r="F90" s="6">
        <f t="shared" si="45"/>
        <v>0</v>
      </c>
      <c r="G90" s="2"/>
      <c r="H90" s="7"/>
      <c r="I90" s="2"/>
      <c r="J90" s="6">
        <f t="shared" si="46"/>
        <v>0</v>
      </c>
      <c r="K90" s="2"/>
      <c r="L90" s="7">
        <f t="shared" si="47"/>
        <v>0</v>
      </c>
      <c r="M90" s="2"/>
      <c r="N90" s="6">
        <f t="shared" si="48"/>
        <v>0</v>
      </c>
      <c r="O90" s="11"/>
      <c r="P90" s="7">
        <v>8142.87</v>
      </c>
      <c r="Q90" s="2"/>
      <c r="R90" s="6">
        <f t="shared" si="49"/>
        <v>1.7627005843987987E-3</v>
      </c>
      <c r="S90" s="2"/>
      <c r="T90" s="7">
        <v>200</v>
      </c>
      <c r="U90" s="2"/>
      <c r="V90" s="6">
        <f t="shared" si="50"/>
        <v>2.7405459386753517E-5</v>
      </c>
      <c r="W90" s="2"/>
      <c r="X90" s="7">
        <f t="shared" si="51"/>
        <v>7942.87</v>
      </c>
      <c r="Y90" s="2"/>
      <c r="Z90" s="6">
        <f t="shared" si="52"/>
        <v>39.714349999999996</v>
      </c>
    </row>
    <row r="91" spans="1:26" s="24" customFormat="1" hidden="1" outlineLevel="2" x14ac:dyDescent="0.25">
      <c r="A91" s="26"/>
      <c r="B91" s="11" t="str">
        <f>CONCATENATE("          ", "6373", " - ", "MAINTENANCE CONTRACTS")</f>
        <v xml:space="preserve">          6373 - MAINTENANCE CONTRACTS</v>
      </c>
      <c r="C91" s="11"/>
      <c r="D91" s="7">
        <v>6801.32</v>
      </c>
      <c r="E91" s="2"/>
      <c r="F91" s="6">
        <f t="shared" si="45"/>
        <v>0</v>
      </c>
      <c r="G91" s="2"/>
      <c r="H91" s="7">
        <v>2325</v>
      </c>
      <c r="I91" s="2"/>
      <c r="J91" s="6">
        <f t="shared" si="46"/>
        <v>3.5735474490250748E-3</v>
      </c>
      <c r="K91" s="2"/>
      <c r="L91" s="7">
        <f t="shared" si="47"/>
        <v>4476.32</v>
      </c>
      <c r="M91" s="2"/>
      <c r="N91" s="6">
        <f t="shared" si="48"/>
        <v>1.9252989247311827</v>
      </c>
      <c r="O91" s="11"/>
      <c r="P91" s="7">
        <v>93257.24</v>
      </c>
      <c r="Q91" s="2"/>
      <c r="R91" s="6">
        <f t="shared" si="49"/>
        <v>2.0187549530745186E-2</v>
      </c>
      <c r="S91" s="2"/>
      <c r="T91" s="7">
        <v>25444</v>
      </c>
      <c r="U91" s="2"/>
      <c r="V91" s="6">
        <f t="shared" si="50"/>
        <v>3.4865225431827823E-3</v>
      </c>
      <c r="W91" s="2"/>
      <c r="X91" s="7">
        <f t="shared" si="51"/>
        <v>67813.240000000005</v>
      </c>
      <c r="Y91" s="2"/>
      <c r="Z91" s="6">
        <f t="shared" si="52"/>
        <v>2.6651957239427766</v>
      </c>
    </row>
    <row r="92" spans="1:26" s="24" customFormat="1" hidden="1" outlineLevel="2" x14ac:dyDescent="0.25">
      <c r="A92" s="26"/>
      <c r="B92" s="11" t="str">
        <f>CONCATENATE("          ", "6375", " - ", "OUTSIDE REPAIRS &amp; MAINTENANCE")</f>
        <v xml:space="preserve">          6375 - OUTSIDE REPAIRS &amp; MAINTENANCE</v>
      </c>
      <c r="C92" s="11"/>
      <c r="D92" s="7">
        <v>996.84</v>
      </c>
      <c r="E92" s="2"/>
      <c r="F92" s="6">
        <f t="shared" si="45"/>
        <v>0</v>
      </c>
      <c r="G92" s="2"/>
      <c r="H92" s="7">
        <v>14400</v>
      </c>
      <c r="I92" s="2"/>
      <c r="J92" s="6">
        <f t="shared" si="46"/>
        <v>2.2132939039123042E-2</v>
      </c>
      <c r="K92" s="2"/>
      <c r="L92" s="7">
        <f t="shared" si="47"/>
        <v>-13403.16</v>
      </c>
      <c r="M92" s="2"/>
      <c r="N92" s="6">
        <f t="shared" si="48"/>
        <v>-0.93077500000000002</v>
      </c>
      <c r="O92" s="11"/>
      <c r="P92" s="7">
        <v>114038.47</v>
      </c>
      <c r="Q92" s="2"/>
      <c r="R92" s="6">
        <f t="shared" si="49"/>
        <v>2.4686096881436755E-2</v>
      </c>
      <c r="S92" s="2"/>
      <c r="T92" s="7">
        <v>214200</v>
      </c>
      <c r="U92" s="2"/>
      <c r="V92" s="6">
        <f t="shared" si="50"/>
        <v>2.9351247003213017E-2</v>
      </c>
      <c r="W92" s="2"/>
      <c r="X92" s="7">
        <f t="shared" si="51"/>
        <v>-100161.53</v>
      </c>
      <c r="Y92" s="2"/>
      <c r="Z92" s="6">
        <f t="shared" si="52"/>
        <v>-0.4676075163398693</v>
      </c>
    </row>
    <row r="93" spans="1:26" s="27" customFormat="1" outlineLevel="1" collapsed="1" x14ac:dyDescent="0.25">
      <c r="A93" s="25"/>
      <c r="B93" s="12" t="str">
        <f>CONCATENATE("     ","Royalty &amp; Commissions                             ")</f>
        <v xml:space="preserve">     Royalty &amp; Commissions                             </v>
      </c>
      <c r="C93" s="12"/>
      <c r="D93" s="1">
        <f>SUM(OSRRefD22_17x_0)</f>
        <v>0</v>
      </c>
      <c r="E93" s="1"/>
      <c r="F93" s="5">
        <f t="shared" ref="F93:F97" si="53">IF(D$12=0,0,D93/D$12)</f>
        <v>0</v>
      </c>
      <c r="G93" s="1"/>
      <c r="H93" s="1">
        <f>SUM(OSRRefH22_17x_0)</f>
        <v>41240</v>
      </c>
      <c r="I93" s="1"/>
      <c r="J93" s="5">
        <f t="shared" ref="J93:J97" si="54">IF(H$12=0,0,H93/H$12)</f>
        <v>6.3386278192599607E-2</v>
      </c>
      <c r="K93" s="1"/>
      <c r="L93" s="1">
        <f t="shared" ref="L93:L97" si="55">+D93-H93</f>
        <v>-41240</v>
      </c>
      <c r="M93" s="1"/>
      <c r="N93" s="5">
        <f t="shared" ref="N93:N97" si="56">IF(H93=0,0,L93/H93)</f>
        <v>-1</v>
      </c>
      <c r="O93" s="12"/>
      <c r="P93" s="1">
        <f>SUM(OSRRefP22_17x_0)</f>
        <v>233763.46999999997</v>
      </c>
      <c r="Q93" s="1"/>
      <c r="R93" s="5">
        <f t="shared" ref="R93:R97" si="57">IF(P$12=0,0,P93/P$12)</f>
        <v>5.0603166350450278E-2</v>
      </c>
      <c r="S93" s="1"/>
      <c r="T93" s="1">
        <f>SUM(OSRRefT22_17x_0)</f>
        <v>377941</v>
      </c>
      <c r="U93" s="1"/>
      <c r="V93" s="5">
        <f t="shared" ref="V93:V97" si="58">IF(T$12=0,0,T93/T$12)</f>
        <v>5.1788233630445053E-2</v>
      </c>
      <c r="W93" s="1"/>
      <c r="X93" s="1">
        <f t="shared" ref="X93:X97" si="59">+P93-T93</f>
        <v>-144177.53000000003</v>
      </c>
      <c r="Y93" s="1"/>
      <c r="Z93" s="5">
        <f t="shared" ref="Z93:Z97" si="60">IF(T93=0,0,X93/T93)</f>
        <v>-0.38148158045832559</v>
      </c>
    </row>
    <row r="94" spans="1:26" s="24" customFormat="1" hidden="1" outlineLevel="2" x14ac:dyDescent="0.25">
      <c r="A94" s="26"/>
      <c r="B94" s="11" t="str">
        <f>CONCATENATE("          ", "6252", " - ", "ROYALTY DUE CSTV")</f>
        <v xml:space="preserve">          6252 - ROYALTY DUE CSTV</v>
      </c>
      <c r="C94" s="11"/>
      <c r="D94" s="7"/>
      <c r="E94" s="2"/>
      <c r="F94" s="6">
        <f t="shared" si="53"/>
        <v>0</v>
      </c>
      <c r="G94" s="2"/>
      <c r="H94" s="7">
        <v>10600</v>
      </c>
      <c r="I94" s="2"/>
      <c r="J94" s="6">
        <f t="shared" si="54"/>
        <v>1.6292302348243352E-2</v>
      </c>
      <c r="K94" s="2"/>
      <c r="L94" s="7">
        <f t="shared" si="55"/>
        <v>-10600</v>
      </c>
      <c r="M94" s="2"/>
      <c r="N94" s="6">
        <f t="shared" si="56"/>
        <v>-1</v>
      </c>
      <c r="O94" s="11"/>
      <c r="P94" s="7"/>
      <c r="Q94" s="2"/>
      <c r="R94" s="6">
        <f t="shared" si="57"/>
        <v>0</v>
      </c>
      <c r="S94" s="2"/>
      <c r="T94" s="7">
        <v>46000</v>
      </c>
      <c r="U94" s="2"/>
      <c r="V94" s="6">
        <f t="shared" si="58"/>
        <v>6.3032556589533084E-3</v>
      </c>
      <c r="W94" s="2"/>
      <c r="X94" s="7">
        <f t="shared" si="59"/>
        <v>-46000</v>
      </c>
      <c r="Y94" s="2"/>
      <c r="Z94" s="6">
        <f t="shared" si="60"/>
        <v>-1</v>
      </c>
    </row>
    <row r="95" spans="1:26" s="24" customFormat="1" hidden="1" outlineLevel="2" x14ac:dyDescent="0.25">
      <c r="A95" s="26"/>
      <c r="B95" s="11" t="str">
        <f>CONCATENATE("          ", "6253", " - ", "ROYALTY DUE ATHLETICS-LRG")</f>
        <v xml:space="preserve">          6253 - ROYALTY DUE ATHLETICS-LRG</v>
      </c>
      <c r="C95" s="11"/>
      <c r="D95" s="7"/>
      <c r="E95" s="2"/>
      <c r="F95" s="6">
        <f t="shared" si="53"/>
        <v>0</v>
      </c>
      <c r="G95" s="2"/>
      <c r="H95" s="7">
        <v>20000</v>
      </c>
      <c r="I95" s="2"/>
      <c r="J95" s="6">
        <f t="shared" si="54"/>
        <v>3.0740193109893118E-2</v>
      </c>
      <c r="K95" s="2"/>
      <c r="L95" s="7">
        <f t="shared" si="55"/>
        <v>-20000</v>
      </c>
      <c r="M95" s="2"/>
      <c r="N95" s="6">
        <f t="shared" si="56"/>
        <v>-1</v>
      </c>
      <c r="O95" s="11"/>
      <c r="P95" s="7"/>
      <c r="Q95" s="2"/>
      <c r="R95" s="6">
        <f t="shared" si="57"/>
        <v>0</v>
      </c>
      <c r="S95" s="2"/>
      <c r="T95" s="7">
        <v>167000</v>
      </c>
      <c r="U95" s="2"/>
      <c r="V95" s="6">
        <f t="shared" si="58"/>
        <v>2.2883558587939185E-2</v>
      </c>
      <c r="W95" s="2"/>
      <c r="X95" s="7">
        <f t="shared" si="59"/>
        <v>-167000</v>
      </c>
      <c r="Y95" s="2"/>
      <c r="Z95" s="6">
        <f t="shared" si="60"/>
        <v>-1</v>
      </c>
    </row>
    <row r="96" spans="1:26" s="24" customFormat="1" hidden="1" outlineLevel="2" x14ac:dyDescent="0.25">
      <c r="A96" s="26"/>
      <c r="B96" s="11" t="str">
        <f>CONCATENATE("          ", "6254", " - ", "ROYALTY &amp; COMMISSIONS")</f>
        <v xml:space="preserve">          6254 - ROYALTY &amp; COMMISSIONS</v>
      </c>
      <c r="C96" s="11"/>
      <c r="D96" s="7"/>
      <c r="E96" s="2"/>
      <c r="F96" s="6">
        <f t="shared" si="53"/>
        <v>0</v>
      </c>
      <c r="G96" s="2"/>
      <c r="H96" s="7"/>
      <c r="I96" s="2"/>
      <c r="J96" s="6">
        <f t="shared" si="54"/>
        <v>0</v>
      </c>
      <c r="K96" s="2"/>
      <c r="L96" s="7">
        <f t="shared" si="55"/>
        <v>0</v>
      </c>
      <c r="M96" s="2"/>
      <c r="N96" s="6">
        <f t="shared" si="56"/>
        <v>0</v>
      </c>
      <c r="O96" s="11"/>
      <c r="P96" s="7">
        <v>129093.51</v>
      </c>
      <c r="Q96" s="2"/>
      <c r="R96" s="6">
        <f t="shared" si="57"/>
        <v>2.7945086378524057E-2</v>
      </c>
      <c r="S96" s="2"/>
      <c r="T96" s="7">
        <v>6117</v>
      </c>
      <c r="U96" s="2"/>
      <c r="V96" s="6">
        <f t="shared" si="58"/>
        <v>8.3819597534385626E-4</v>
      </c>
      <c r="W96" s="2"/>
      <c r="X96" s="7">
        <f t="shared" si="59"/>
        <v>122976.51</v>
      </c>
      <c r="Y96" s="2"/>
      <c r="Z96" s="6">
        <f t="shared" si="60"/>
        <v>20.104055909759687</v>
      </c>
    </row>
    <row r="97" spans="1:26" s="24" customFormat="1" hidden="1" outlineLevel="2" x14ac:dyDescent="0.25">
      <c r="A97" s="26"/>
      <c r="B97" s="11" t="str">
        <f>CONCATENATE("          ", "6259", " - ", "ROYALTY &amp; COMMISSIONS")</f>
        <v xml:space="preserve">          6259 - ROYALTY &amp; COMMISSIONS</v>
      </c>
      <c r="C97" s="11"/>
      <c r="D97" s="7"/>
      <c r="E97" s="2"/>
      <c r="F97" s="6">
        <f t="shared" si="53"/>
        <v>0</v>
      </c>
      <c r="G97" s="2"/>
      <c r="H97" s="7">
        <v>10640</v>
      </c>
      <c r="I97" s="2"/>
      <c r="J97" s="6">
        <f t="shared" si="54"/>
        <v>1.6353782734463137E-2</v>
      </c>
      <c r="K97" s="2"/>
      <c r="L97" s="7">
        <f t="shared" si="55"/>
        <v>-10640</v>
      </c>
      <c r="M97" s="2"/>
      <c r="N97" s="6">
        <f t="shared" si="56"/>
        <v>-1</v>
      </c>
      <c r="O97" s="11"/>
      <c r="P97" s="7">
        <v>104669.95999999999</v>
      </c>
      <c r="Q97" s="2"/>
      <c r="R97" s="6">
        <f t="shared" si="57"/>
        <v>2.2658079971926225E-2</v>
      </c>
      <c r="S97" s="2"/>
      <c r="T97" s="7">
        <v>158824</v>
      </c>
      <c r="U97" s="2"/>
      <c r="V97" s="6">
        <f t="shared" si="58"/>
        <v>2.1763223408208701E-2</v>
      </c>
      <c r="W97" s="2"/>
      <c r="X97" s="7">
        <f t="shared" si="59"/>
        <v>-54154.040000000008</v>
      </c>
      <c r="Y97" s="2"/>
      <c r="Z97" s="6">
        <f t="shared" si="60"/>
        <v>-0.34096887120334463</v>
      </c>
    </row>
    <row r="98" spans="1:26" s="27" customFormat="1" outlineLevel="1" collapsed="1" x14ac:dyDescent="0.25">
      <c r="A98" s="25"/>
      <c r="B98" s="12" t="str">
        <f>CONCATENATE("     ","Services                                          ")</f>
        <v xml:space="preserve">     Services                                          </v>
      </c>
      <c r="C98" s="12"/>
      <c r="D98" s="1">
        <f>SUM(OSRRefD22_18x_0)</f>
        <v>5130</v>
      </c>
      <c r="E98" s="1"/>
      <c r="F98" s="5">
        <f t="shared" ref="F98:F103" si="61">IF(D$12=0,0,D98/D$12)</f>
        <v>0</v>
      </c>
      <c r="G98" s="1"/>
      <c r="H98" s="1">
        <f>SUM(OSRRefH22_18x_0)</f>
        <v>22680</v>
      </c>
      <c r="I98" s="1"/>
      <c r="J98" s="5">
        <f t="shared" ref="J98:J103" si="62">IF(H$12=0,0,H98/H$12)</f>
        <v>3.4859378986618797E-2</v>
      </c>
      <c r="K98" s="1"/>
      <c r="L98" s="1">
        <f t="shared" ref="L98:L103" si="63">+D98-H98</f>
        <v>-17550</v>
      </c>
      <c r="M98" s="1"/>
      <c r="N98" s="5">
        <f t="shared" ref="N98:N103" si="64">IF(H98=0,0,L98/H98)</f>
        <v>-0.77380952380952384</v>
      </c>
      <c r="O98" s="12"/>
      <c r="P98" s="1">
        <f>SUM(OSRRefP22_18x_0)</f>
        <v>217916.03999999998</v>
      </c>
      <c r="Q98" s="1"/>
      <c r="R98" s="5">
        <f t="shared" ref="R98:R103" si="65">IF(P$12=0,0,P98/P$12)</f>
        <v>4.7172646874857636E-2</v>
      </c>
      <c r="S98" s="1"/>
      <c r="T98" s="1">
        <f>SUM(OSRRefT22_18x_0)</f>
        <v>248516</v>
      </c>
      <c r="U98" s="1"/>
      <c r="V98" s="5">
        <f t="shared" ref="V98:V103" si="66">IF(T$12=0,0,T98/T$12)</f>
        <v>3.4053475724792184E-2</v>
      </c>
      <c r="W98" s="1"/>
      <c r="X98" s="1">
        <f t="shared" ref="X98:X103" si="67">+P98-T98</f>
        <v>-30599.960000000021</v>
      </c>
      <c r="Y98" s="1"/>
      <c r="Z98" s="5">
        <f t="shared" ref="Z98:Z103" si="68">IF(T98=0,0,X98/T98)</f>
        <v>-0.12313074409695964</v>
      </c>
    </row>
    <row r="99" spans="1:26" s="24" customFormat="1" hidden="1" outlineLevel="2" x14ac:dyDescent="0.25">
      <c r="A99" s="26"/>
      <c r="B99" s="11" t="str">
        <f>CONCATENATE("          ", "6282", " - ", "JANITORIAL/EXTERMINATOR EXPENS")</f>
        <v xml:space="preserve">          6282 - JANITORIAL/EXTERMINATOR EXPENS</v>
      </c>
      <c r="C99" s="11"/>
      <c r="D99" s="7"/>
      <c r="E99" s="2"/>
      <c r="F99" s="6">
        <f t="shared" si="61"/>
        <v>0</v>
      </c>
      <c r="G99" s="2"/>
      <c r="H99" s="7">
        <v>1355</v>
      </c>
      <c r="I99" s="2"/>
      <c r="J99" s="6">
        <f t="shared" si="62"/>
        <v>2.0826480831952587E-3</v>
      </c>
      <c r="K99" s="2"/>
      <c r="L99" s="7">
        <f t="shared" si="63"/>
        <v>-1355</v>
      </c>
      <c r="M99" s="2"/>
      <c r="N99" s="6">
        <f t="shared" si="64"/>
        <v>-1</v>
      </c>
      <c r="O99" s="11"/>
      <c r="P99" s="7">
        <v>12678.74</v>
      </c>
      <c r="Q99" s="2"/>
      <c r="R99" s="6">
        <f t="shared" si="65"/>
        <v>2.7445878919153109E-3</v>
      </c>
      <c r="S99" s="2"/>
      <c r="T99" s="7">
        <v>14690</v>
      </c>
      <c r="U99" s="2"/>
      <c r="V99" s="6">
        <f t="shared" si="66"/>
        <v>2.0129309919570456E-3</v>
      </c>
      <c r="W99" s="2"/>
      <c r="X99" s="7">
        <f t="shared" si="67"/>
        <v>-2011.2600000000002</v>
      </c>
      <c r="Y99" s="2"/>
      <c r="Z99" s="6">
        <f t="shared" si="68"/>
        <v>-0.13691354663036082</v>
      </c>
    </row>
    <row r="100" spans="1:26" s="24" customFormat="1" hidden="1" outlineLevel="2" x14ac:dyDescent="0.25">
      <c r="A100" s="26"/>
      <c r="B100" s="11" t="str">
        <f>CONCATENATE("          ", "6283", " - ", "PLANT SERVICE")</f>
        <v xml:space="preserve">          6283 - PLANT SERVICE</v>
      </c>
      <c r="C100" s="11"/>
      <c r="D100" s="7"/>
      <c r="E100" s="2"/>
      <c r="F100" s="6">
        <f t="shared" si="61"/>
        <v>0</v>
      </c>
      <c r="G100" s="2"/>
      <c r="H100" s="7">
        <v>185</v>
      </c>
      <c r="I100" s="2"/>
      <c r="J100" s="6">
        <f t="shared" si="62"/>
        <v>2.8434678626651131E-4</v>
      </c>
      <c r="K100" s="2"/>
      <c r="L100" s="7">
        <f t="shared" si="63"/>
        <v>-185</v>
      </c>
      <c r="M100" s="2"/>
      <c r="N100" s="6">
        <f t="shared" si="64"/>
        <v>-1</v>
      </c>
      <c r="O100" s="11"/>
      <c r="P100" s="7">
        <v>1798.02</v>
      </c>
      <c r="Q100" s="2"/>
      <c r="R100" s="6">
        <f t="shared" si="65"/>
        <v>3.8922037374546423E-4</v>
      </c>
      <c r="S100" s="2"/>
      <c r="T100" s="7">
        <v>2000</v>
      </c>
      <c r="U100" s="2"/>
      <c r="V100" s="6">
        <f t="shared" si="66"/>
        <v>2.7405459386753515E-4</v>
      </c>
      <c r="W100" s="2"/>
      <c r="X100" s="7">
        <f t="shared" si="67"/>
        <v>-201.98000000000002</v>
      </c>
      <c r="Y100" s="2"/>
      <c r="Z100" s="6">
        <f t="shared" si="68"/>
        <v>-0.10099000000000001</v>
      </c>
    </row>
    <row r="101" spans="1:26" s="24" customFormat="1" hidden="1" outlineLevel="2" x14ac:dyDescent="0.25">
      <c r="A101" s="26"/>
      <c r="B101" s="11" t="str">
        <f>CONCATENATE("          ", "6284", " - ", "TRASH REMOVAL EXPENSE")</f>
        <v xml:space="preserve">          6284 - TRASH REMOVAL EXPENSE</v>
      </c>
      <c r="C101" s="11"/>
      <c r="D101" s="7">
        <v>5130</v>
      </c>
      <c r="E101" s="2"/>
      <c r="F101" s="6">
        <f t="shared" si="61"/>
        <v>0</v>
      </c>
      <c r="G101" s="2"/>
      <c r="H101" s="7">
        <v>3515</v>
      </c>
      <c r="I101" s="2"/>
      <c r="J101" s="6">
        <f t="shared" si="62"/>
        <v>5.4025889390637155E-3</v>
      </c>
      <c r="K101" s="2"/>
      <c r="L101" s="7">
        <f t="shared" si="63"/>
        <v>1615</v>
      </c>
      <c r="M101" s="2"/>
      <c r="N101" s="6">
        <f t="shared" si="64"/>
        <v>0.45945945945945948</v>
      </c>
      <c r="O101" s="11"/>
      <c r="P101" s="7">
        <v>48541</v>
      </c>
      <c r="Q101" s="2"/>
      <c r="R101" s="6">
        <f t="shared" si="65"/>
        <v>1.0507750838132268E-2</v>
      </c>
      <c r="S101" s="2"/>
      <c r="T101" s="7">
        <v>38665</v>
      </c>
      <c r="U101" s="2"/>
      <c r="V101" s="6">
        <f t="shared" si="66"/>
        <v>5.2981604359441234E-3</v>
      </c>
      <c r="W101" s="2"/>
      <c r="X101" s="7">
        <f t="shared" si="67"/>
        <v>9876</v>
      </c>
      <c r="Y101" s="2"/>
      <c r="Z101" s="6">
        <f t="shared" si="68"/>
        <v>0.25542480279322383</v>
      </c>
    </row>
    <row r="102" spans="1:26" s="24" customFormat="1" hidden="1" outlineLevel="2" x14ac:dyDescent="0.25">
      <c r="A102" s="26"/>
      <c r="B102" s="11" t="str">
        <f>CONCATENATE("          ", "6285", " - ", "JANITORIAL SERVICES")</f>
        <v xml:space="preserve">          6285 - JANITORIAL SERVICES</v>
      </c>
      <c r="C102" s="11"/>
      <c r="D102" s="7"/>
      <c r="E102" s="2"/>
      <c r="F102" s="6">
        <f t="shared" si="61"/>
        <v>0</v>
      </c>
      <c r="G102" s="2"/>
      <c r="H102" s="7">
        <v>13184</v>
      </c>
      <c r="I102" s="2"/>
      <c r="J102" s="6">
        <f t="shared" si="62"/>
        <v>2.0263935298041543E-2</v>
      </c>
      <c r="K102" s="2"/>
      <c r="L102" s="7">
        <f t="shared" si="63"/>
        <v>-13184</v>
      </c>
      <c r="M102" s="2"/>
      <c r="N102" s="6">
        <f t="shared" si="64"/>
        <v>-1</v>
      </c>
      <c r="O102" s="11"/>
      <c r="P102" s="7">
        <v>127887.66999999998</v>
      </c>
      <c r="Q102" s="2"/>
      <c r="R102" s="6">
        <f t="shared" si="65"/>
        <v>2.7684056192276273E-2</v>
      </c>
      <c r="S102" s="2"/>
      <c r="T102" s="7">
        <v>145812</v>
      </c>
      <c r="U102" s="2"/>
      <c r="V102" s="6">
        <f t="shared" si="66"/>
        <v>1.9980224220506517E-2</v>
      </c>
      <c r="W102" s="2"/>
      <c r="X102" s="7">
        <f t="shared" si="67"/>
        <v>-17924.330000000016</v>
      </c>
      <c r="Y102" s="2"/>
      <c r="Z102" s="6">
        <f t="shared" si="68"/>
        <v>-0.12292767399116682</v>
      </c>
    </row>
    <row r="103" spans="1:26" s="24" customFormat="1" hidden="1" outlineLevel="2" x14ac:dyDescent="0.25">
      <c r="A103" s="26"/>
      <c r="B103" s="11" t="str">
        <f>CONCATENATE("          ", "6286", " - ", "LAUNDRY EXPENSE")</f>
        <v xml:space="preserve">          6286 - LAUNDRY EXPENSE</v>
      </c>
      <c r="C103" s="11"/>
      <c r="D103" s="7"/>
      <c r="E103" s="2"/>
      <c r="F103" s="6">
        <f t="shared" si="61"/>
        <v>0</v>
      </c>
      <c r="G103" s="2"/>
      <c r="H103" s="7">
        <v>4441</v>
      </c>
      <c r="I103" s="2"/>
      <c r="J103" s="6">
        <f t="shared" si="62"/>
        <v>6.8258598800517668E-3</v>
      </c>
      <c r="K103" s="2"/>
      <c r="L103" s="7">
        <f t="shared" si="63"/>
        <v>-4441</v>
      </c>
      <c r="M103" s="2"/>
      <c r="N103" s="6">
        <f t="shared" si="64"/>
        <v>-1</v>
      </c>
      <c r="O103" s="11"/>
      <c r="P103" s="7">
        <v>27010.609999999997</v>
      </c>
      <c r="Q103" s="2"/>
      <c r="R103" s="6">
        <f t="shared" si="65"/>
        <v>5.8470315787883184E-3</v>
      </c>
      <c r="S103" s="2"/>
      <c r="T103" s="7">
        <v>47349</v>
      </c>
      <c r="U103" s="2"/>
      <c r="V103" s="6">
        <f t="shared" si="66"/>
        <v>6.4881054825169614E-3</v>
      </c>
      <c r="W103" s="2"/>
      <c r="X103" s="7">
        <f t="shared" si="67"/>
        <v>-20338.390000000003</v>
      </c>
      <c r="Y103" s="2"/>
      <c r="Z103" s="6">
        <f t="shared" si="68"/>
        <v>-0.42954212338169767</v>
      </c>
    </row>
    <row r="104" spans="1:26" s="27" customFormat="1" outlineLevel="1" collapsed="1" x14ac:dyDescent="0.25">
      <c r="A104" s="25"/>
      <c r="B104" s="12" t="str">
        <f>CONCATENATE("     ","Subscriptions &amp; Dues                              ")</f>
        <v xml:space="preserve">     Subscriptions &amp; Dues                              </v>
      </c>
      <c r="C104" s="12"/>
      <c r="D104" s="1">
        <f>SUM(OSRRefD22_19x_0)</f>
        <v>0</v>
      </c>
      <c r="E104" s="1"/>
      <c r="F104" s="5">
        <f t="shared" ref="F104:F106" si="69">IF(D$12=0,0,D104/D$12)</f>
        <v>0</v>
      </c>
      <c r="G104" s="1"/>
      <c r="H104" s="1">
        <f>SUM(OSRRefH22_19x_0)</f>
        <v>394</v>
      </c>
      <c r="I104" s="1"/>
      <c r="J104" s="5">
        <f t="shared" ref="J104:J106" si="70">IF(H$12=0,0,H104/H$12)</f>
        <v>6.0558180426489438E-4</v>
      </c>
      <c r="K104" s="1"/>
      <c r="L104" s="1">
        <f t="shared" ref="L104:L106" si="71">+D104-H104</f>
        <v>-394</v>
      </c>
      <c r="M104" s="1"/>
      <c r="N104" s="5">
        <f t="shared" ref="N104:N106" si="72">IF(H104=0,0,L104/H104)</f>
        <v>-1</v>
      </c>
      <c r="O104" s="12"/>
      <c r="P104" s="1">
        <f>SUM(OSRRefP22_19x_0)</f>
        <v>7300.55</v>
      </c>
      <c r="Q104" s="1"/>
      <c r="R104" s="5">
        <f t="shared" ref="R104:R106" si="73">IF(P$12=0,0,P104/P$12)</f>
        <v>1.5803621759198725E-3</v>
      </c>
      <c r="S104" s="1"/>
      <c r="T104" s="1">
        <f>SUM(OSRRefT22_19x_0)</f>
        <v>4459</v>
      </c>
      <c r="U104" s="1"/>
      <c r="V104" s="5">
        <f t="shared" ref="V104:V106" si="74">IF(T$12=0,0,T104/T$12)</f>
        <v>6.1100471702766961E-4</v>
      </c>
      <c r="W104" s="1"/>
      <c r="X104" s="1">
        <f t="shared" ref="X104:X106" si="75">+P104-T104</f>
        <v>2841.55</v>
      </c>
      <c r="Y104" s="1"/>
      <c r="Z104" s="5">
        <f t="shared" ref="Z104:Z106" si="76">IF(T104=0,0,X104/T104)</f>
        <v>0.6372617178739628</v>
      </c>
    </row>
    <row r="105" spans="1:26" s="24" customFormat="1" hidden="1" outlineLevel="2" x14ac:dyDescent="0.25">
      <c r="A105" s="26"/>
      <c r="B105" s="11" t="str">
        <f>CONCATENATE("          ", "6258", " - ", "MEMBERSHIP DUES")</f>
        <v xml:space="preserve">          6258 - MEMBERSHIP DUES</v>
      </c>
      <c r="C105" s="11"/>
      <c r="D105" s="7"/>
      <c r="E105" s="2"/>
      <c r="F105" s="6">
        <f t="shared" si="69"/>
        <v>0</v>
      </c>
      <c r="G105" s="2"/>
      <c r="H105" s="7"/>
      <c r="I105" s="2"/>
      <c r="J105" s="6">
        <f t="shared" si="70"/>
        <v>0</v>
      </c>
      <c r="K105" s="2"/>
      <c r="L105" s="7">
        <f t="shared" si="71"/>
        <v>0</v>
      </c>
      <c r="M105" s="2"/>
      <c r="N105" s="6">
        <f t="shared" si="72"/>
        <v>0</v>
      </c>
      <c r="O105" s="11"/>
      <c r="P105" s="7">
        <v>3730</v>
      </c>
      <c r="Q105" s="2"/>
      <c r="R105" s="6">
        <f t="shared" si="73"/>
        <v>8.0743929103713067E-4</v>
      </c>
      <c r="S105" s="2"/>
      <c r="T105" s="7">
        <v>300</v>
      </c>
      <c r="U105" s="2"/>
      <c r="V105" s="6">
        <f t="shared" si="74"/>
        <v>4.1108189080130276E-5</v>
      </c>
      <c r="W105" s="2"/>
      <c r="X105" s="7">
        <f t="shared" si="75"/>
        <v>3430</v>
      </c>
      <c r="Y105" s="2"/>
      <c r="Z105" s="6">
        <f t="shared" si="76"/>
        <v>11.433333333333334</v>
      </c>
    </row>
    <row r="106" spans="1:26" s="24" customFormat="1" hidden="1" outlineLevel="2" x14ac:dyDescent="0.25">
      <c r="A106" s="26"/>
      <c r="B106" s="11" t="str">
        <f>CONCATENATE("          ", "6275", " - ", "SUBSCRIPTIONS")</f>
        <v xml:space="preserve">          6275 - SUBSCRIPTIONS</v>
      </c>
      <c r="C106" s="11"/>
      <c r="D106" s="7"/>
      <c r="E106" s="2"/>
      <c r="F106" s="6">
        <f t="shared" si="69"/>
        <v>0</v>
      </c>
      <c r="G106" s="2"/>
      <c r="H106" s="7">
        <v>394</v>
      </c>
      <c r="I106" s="2"/>
      <c r="J106" s="6">
        <f t="shared" si="70"/>
        <v>6.0558180426489438E-4</v>
      </c>
      <c r="K106" s="2"/>
      <c r="L106" s="7">
        <f t="shared" si="71"/>
        <v>-394</v>
      </c>
      <c r="M106" s="2"/>
      <c r="N106" s="6">
        <f t="shared" si="72"/>
        <v>-1</v>
      </c>
      <c r="O106" s="11"/>
      <c r="P106" s="7">
        <v>3570.55</v>
      </c>
      <c r="Q106" s="2"/>
      <c r="R106" s="6">
        <f t="shared" si="73"/>
        <v>7.7292288488274184E-4</v>
      </c>
      <c r="S106" s="2"/>
      <c r="T106" s="7">
        <v>4159</v>
      </c>
      <c r="U106" s="2"/>
      <c r="V106" s="6">
        <f t="shared" si="74"/>
        <v>5.6989652794753938E-4</v>
      </c>
      <c r="W106" s="2"/>
      <c r="X106" s="7">
        <f t="shared" si="75"/>
        <v>-588.44999999999982</v>
      </c>
      <c r="Y106" s="2"/>
      <c r="Z106" s="6">
        <f t="shared" si="76"/>
        <v>-0.14148833854291892</v>
      </c>
    </row>
    <row r="107" spans="1:26" s="27" customFormat="1" outlineLevel="1" collapsed="1" x14ac:dyDescent="0.25">
      <c r="A107" s="25"/>
      <c r="B107" s="12" t="str">
        <f>CONCATENATE("     ","Supplies                                          ")</f>
        <v xml:space="preserve">     Supplies                                          </v>
      </c>
      <c r="C107" s="12"/>
      <c r="D107" s="1">
        <f>SUM(OSRRefD22_20x_0)</f>
        <v>1142.1799999999998</v>
      </c>
      <c r="E107" s="1"/>
      <c r="F107" s="5">
        <f t="shared" ref="F107:F118" si="77">IF(D$12=0,0,D107/D$12)</f>
        <v>0</v>
      </c>
      <c r="G107" s="1"/>
      <c r="H107" s="1">
        <f>SUM(OSRRefH22_20x_0)</f>
        <v>10541</v>
      </c>
      <c r="I107" s="1"/>
      <c r="J107" s="5">
        <f t="shared" ref="J107:J118" si="78">IF(H$12=0,0,H107/H$12)</f>
        <v>1.6201618778569168E-2</v>
      </c>
      <c r="K107" s="1"/>
      <c r="L107" s="1">
        <f t="shared" ref="L107:L118" si="79">+D107-H107</f>
        <v>-9398.82</v>
      </c>
      <c r="M107" s="1"/>
      <c r="N107" s="5">
        <f t="shared" ref="N107:N118" si="80">IF(H107=0,0,L107/H107)</f>
        <v>-0.89164405654112511</v>
      </c>
      <c r="O107" s="12"/>
      <c r="P107" s="1">
        <f>SUM(OSRRefP22_20x_0)</f>
        <v>168942.98</v>
      </c>
      <c r="Q107" s="1"/>
      <c r="R107" s="5">
        <f t="shared" ref="R107:R118" si="81">IF(P$12=0,0,P107/P$12)</f>
        <v>3.6571367291394138E-2</v>
      </c>
      <c r="S107" s="1"/>
      <c r="T107" s="1">
        <f>SUM(OSRRefT22_20x_0)</f>
        <v>159341.85999999999</v>
      </c>
      <c r="U107" s="1"/>
      <c r="V107" s="5">
        <f t="shared" ref="V107:V118" si="82">IF(T$12=0,0,T107/T$12)</f>
        <v>2.183418436419882E-2</v>
      </c>
      <c r="W107" s="1"/>
      <c r="X107" s="1">
        <f t="shared" ref="X107:X118" si="83">+P107-T107</f>
        <v>9601.1200000000244</v>
      </c>
      <c r="Y107" s="1"/>
      <c r="Z107" s="5">
        <f t="shared" ref="Z107:Z118" si="84">IF(T107=0,0,X107/T107)</f>
        <v>6.0254850796896846E-2</v>
      </c>
    </row>
    <row r="108" spans="1:26" s="24" customFormat="1" hidden="1" outlineLevel="2" x14ac:dyDescent="0.25">
      <c r="A108" s="26"/>
      <c r="B108" s="11" t="str">
        <f>CONCATENATE("          ", "6234", " - ", "EXPENDABLE SUPPLIES &amp; EQUIPMEN")</f>
        <v xml:space="preserve">          6234 - EXPENDABLE SUPPLIES &amp; EQUIPMEN</v>
      </c>
      <c r="C108" s="11"/>
      <c r="D108" s="7"/>
      <c r="E108" s="2"/>
      <c r="F108" s="6">
        <f t="shared" si="77"/>
        <v>0</v>
      </c>
      <c r="G108" s="2"/>
      <c r="H108" s="7">
        <v>700</v>
      </c>
      <c r="I108" s="2"/>
      <c r="J108" s="6">
        <f t="shared" si="78"/>
        <v>1.075906758846259E-3</v>
      </c>
      <c r="K108" s="2"/>
      <c r="L108" s="7">
        <f t="shared" si="79"/>
        <v>-700</v>
      </c>
      <c r="M108" s="2"/>
      <c r="N108" s="6">
        <f t="shared" si="80"/>
        <v>-1</v>
      </c>
      <c r="O108" s="11"/>
      <c r="P108" s="7">
        <v>14686.49</v>
      </c>
      <c r="Q108" s="2"/>
      <c r="R108" s="6">
        <f t="shared" si="81"/>
        <v>3.1792088668696804E-3</v>
      </c>
      <c r="S108" s="2"/>
      <c r="T108" s="7">
        <v>7350</v>
      </c>
      <c r="U108" s="2"/>
      <c r="V108" s="6">
        <f t="shared" si="82"/>
        <v>1.0071506324631917E-3</v>
      </c>
      <c r="W108" s="2"/>
      <c r="X108" s="7">
        <f t="shared" si="83"/>
        <v>7336.49</v>
      </c>
      <c r="Y108" s="2"/>
      <c r="Z108" s="6">
        <f t="shared" si="84"/>
        <v>0.99816190476190469</v>
      </c>
    </row>
    <row r="109" spans="1:26" s="24" customFormat="1" hidden="1" outlineLevel="2" x14ac:dyDescent="0.25">
      <c r="A109" s="26"/>
      <c r="B109" s="11" t="str">
        <f>CONCATENATE("          ", "6235", " - ", "COVID-19 EXPENSES")</f>
        <v xml:space="preserve">          6235 - COVID-19 EXPENSES</v>
      </c>
      <c r="C109" s="11"/>
      <c r="D109" s="7">
        <v>1095.08</v>
      </c>
      <c r="E109" s="2"/>
      <c r="F109" s="6">
        <f t="shared" si="77"/>
        <v>0</v>
      </c>
      <c r="G109" s="2"/>
      <c r="H109" s="7"/>
      <c r="I109" s="2"/>
      <c r="J109" s="6">
        <f t="shared" si="78"/>
        <v>0</v>
      </c>
      <c r="K109" s="2"/>
      <c r="L109" s="7">
        <f t="shared" si="79"/>
        <v>1095.08</v>
      </c>
      <c r="M109" s="2"/>
      <c r="N109" s="6">
        <f t="shared" si="80"/>
        <v>0</v>
      </c>
      <c r="O109" s="11"/>
      <c r="P109" s="7">
        <v>1095.08</v>
      </c>
      <c r="Q109" s="2"/>
      <c r="R109" s="6">
        <f t="shared" si="81"/>
        <v>2.3705378520883134E-4</v>
      </c>
      <c r="S109" s="2"/>
      <c r="T109" s="7"/>
      <c r="U109" s="2"/>
      <c r="V109" s="6">
        <f t="shared" si="82"/>
        <v>0</v>
      </c>
      <c r="W109" s="2"/>
      <c r="X109" s="7">
        <f t="shared" si="83"/>
        <v>1095.08</v>
      </c>
      <c r="Y109" s="2"/>
      <c r="Z109" s="6">
        <f t="shared" si="84"/>
        <v>0</v>
      </c>
    </row>
    <row r="110" spans="1:26" s="24" customFormat="1" hidden="1" outlineLevel="2" x14ac:dyDescent="0.25">
      <c r="A110" s="26"/>
      <c r="B110" s="11" t="str">
        <f>CONCATENATE("          ", "6237", " - ", "JANITORIAL SUPPLIES")</f>
        <v xml:space="preserve">          6237 - JANITORIAL SUPPLIES</v>
      </c>
      <c r="C110" s="11"/>
      <c r="D110" s="7">
        <v>47.1</v>
      </c>
      <c r="E110" s="2"/>
      <c r="F110" s="6">
        <f t="shared" si="77"/>
        <v>0</v>
      </c>
      <c r="G110" s="2"/>
      <c r="H110" s="7">
        <v>3961</v>
      </c>
      <c r="I110" s="2"/>
      <c r="J110" s="6">
        <f t="shared" si="78"/>
        <v>6.0880952454143321E-3</v>
      </c>
      <c r="K110" s="2"/>
      <c r="L110" s="7">
        <f t="shared" si="79"/>
        <v>-3913.9</v>
      </c>
      <c r="M110" s="2"/>
      <c r="N110" s="6">
        <f t="shared" si="80"/>
        <v>-0.98810906336783644</v>
      </c>
      <c r="O110" s="11"/>
      <c r="P110" s="7">
        <v>48480.700000000004</v>
      </c>
      <c r="Q110" s="2"/>
      <c r="R110" s="6">
        <f t="shared" si="81"/>
        <v>1.04946975970466E-2</v>
      </c>
      <c r="S110" s="2"/>
      <c r="T110" s="7">
        <v>46101</v>
      </c>
      <c r="U110" s="2"/>
      <c r="V110" s="6">
        <f t="shared" si="82"/>
        <v>6.317095415943619E-3</v>
      </c>
      <c r="W110" s="2"/>
      <c r="X110" s="7">
        <f t="shared" si="83"/>
        <v>2379.7000000000044</v>
      </c>
      <c r="Y110" s="2"/>
      <c r="Z110" s="6">
        <f t="shared" si="84"/>
        <v>5.1619270731654503E-2</v>
      </c>
    </row>
    <row r="111" spans="1:26" s="24" customFormat="1" hidden="1" outlineLevel="2" x14ac:dyDescent="0.25">
      <c r="A111" s="26"/>
      <c r="B111" s="11" t="str">
        <f>CONCATENATE("          ", "6239", " - ", "KITCHEN SUPPLIES")</f>
        <v xml:space="preserve">          6239 - KITCHEN SUPPLIES</v>
      </c>
      <c r="C111" s="11"/>
      <c r="D111" s="7"/>
      <c r="E111" s="2"/>
      <c r="F111" s="6">
        <f t="shared" si="77"/>
        <v>0</v>
      </c>
      <c r="G111" s="2"/>
      <c r="H111" s="7">
        <v>600</v>
      </c>
      <c r="I111" s="2"/>
      <c r="J111" s="6">
        <f t="shared" si="78"/>
        <v>9.2220579329679354E-4</v>
      </c>
      <c r="K111" s="2"/>
      <c r="L111" s="7">
        <f t="shared" si="79"/>
        <v>-600</v>
      </c>
      <c r="M111" s="2"/>
      <c r="N111" s="6">
        <f t="shared" si="80"/>
        <v>-1</v>
      </c>
      <c r="O111" s="11"/>
      <c r="P111" s="7">
        <v>45525.630000000005</v>
      </c>
      <c r="Q111" s="2"/>
      <c r="R111" s="6">
        <f t="shared" si="81"/>
        <v>9.8550086893347804E-3</v>
      </c>
      <c r="S111" s="2"/>
      <c r="T111" s="7">
        <v>30554.15</v>
      </c>
      <c r="U111" s="2"/>
      <c r="V111" s="6">
        <f t="shared" si="82"/>
        <v>4.1867525846088754E-3</v>
      </c>
      <c r="W111" s="2"/>
      <c r="X111" s="7">
        <f t="shared" si="83"/>
        <v>14971.480000000003</v>
      </c>
      <c r="Y111" s="2"/>
      <c r="Z111" s="6">
        <f t="shared" si="84"/>
        <v>0.48999824901036365</v>
      </c>
    </row>
    <row r="112" spans="1:26" s="24" customFormat="1" hidden="1" outlineLevel="2" x14ac:dyDescent="0.25">
      <c r="A112" s="26"/>
      <c r="B112" s="11" t="str">
        <f>CONCATENATE("          ", "6241", " - ", "OFFICE EXPENSE")</f>
        <v xml:space="preserve">          6241 - OFFICE EXPENSE</v>
      </c>
      <c r="C112" s="11"/>
      <c r="D112" s="7">
        <v>0</v>
      </c>
      <c r="E112" s="2"/>
      <c r="F112" s="6">
        <f t="shared" si="77"/>
        <v>0</v>
      </c>
      <c r="G112" s="2"/>
      <c r="H112" s="7">
        <v>770</v>
      </c>
      <c r="I112" s="2"/>
      <c r="J112" s="6">
        <f t="shared" si="78"/>
        <v>1.1834974347308849E-3</v>
      </c>
      <c r="K112" s="2"/>
      <c r="L112" s="7">
        <f t="shared" si="79"/>
        <v>-770</v>
      </c>
      <c r="M112" s="2"/>
      <c r="N112" s="6">
        <f t="shared" si="80"/>
        <v>-1</v>
      </c>
      <c r="O112" s="11"/>
      <c r="P112" s="7">
        <v>17759.070000000003</v>
      </c>
      <c r="Q112" s="2"/>
      <c r="R112" s="6">
        <f t="shared" si="81"/>
        <v>3.8443353593240691E-3</v>
      </c>
      <c r="S112" s="2"/>
      <c r="T112" s="7">
        <v>9998.82</v>
      </c>
      <c r="U112" s="2"/>
      <c r="V112" s="6">
        <f t="shared" si="82"/>
        <v>1.370111277127294E-3</v>
      </c>
      <c r="W112" s="2"/>
      <c r="X112" s="7">
        <f t="shared" si="83"/>
        <v>7760.2500000000036</v>
      </c>
      <c r="Y112" s="2"/>
      <c r="Z112" s="6">
        <f t="shared" si="84"/>
        <v>0.77611658175664766</v>
      </c>
    </row>
    <row r="113" spans="1:26" s="24" customFormat="1" hidden="1" outlineLevel="2" x14ac:dyDescent="0.25">
      <c r="A113" s="26"/>
      <c r="B113" s="11" t="str">
        <f>CONCATENATE("          ", "6243", " - ", "PAPER SUPPLIES")</f>
        <v xml:space="preserve">          6243 - PAPER SUPPLIES</v>
      </c>
      <c r="C113" s="11"/>
      <c r="D113" s="7"/>
      <c r="E113" s="2"/>
      <c r="F113" s="6">
        <f t="shared" si="77"/>
        <v>0</v>
      </c>
      <c r="G113" s="2"/>
      <c r="H113" s="7">
        <v>3750</v>
      </c>
      <c r="I113" s="2"/>
      <c r="J113" s="6">
        <f t="shared" si="78"/>
        <v>5.7637862081049594E-3</v>
      </c>
      <c r="K113" s="2"/>
      <c r="L113" s="7">
        <f t="shared" si="79"/>
        <v>-3750</v>
      </c>
      <c r="M113" s="2"/>
      <c r="N113" s="6">
        <f t="shared" si="80"/>
        <v>-1</v>
      </c>
      <c r="O113" s="11"/>
      <c r="P113" s="7">
        <v>29152.85</v>
      </c>
      <c r="Q113" s="2"/>
      <c r="R113" s="6">
        <f t="shared" si="81"/>
        <v>6.3107658272685821E-3</v>
      </c>
      <c r="S113" s="2"/>
      <c r="T113" s="7">
        <v>43289.52</v>
      </c>
      <c r="U113" s="2"/>
      <c r="V113" s="6">
        <f t="shared" si="82"/>
        <v>5.9318459111602703E-3</v>
      </c>
      <c r="W113" s="2"/>
      <c r="X113" s="7">
        <f t="shared" si="83"/>
        <v>-14136.669999999998</v>
      </c>
      <c r="Y113" s="2"/>
      <c r="Z113" s="6">
        <f t="shared" si="84"/>
        <v>-0.32656102446966379</v>
      </c>
    </row>
    <row r="114" spans="1:26" s="24" customFormat="1" hidden="1" outlineLevel="2" x14ac:dyDescent="0.25">
      <c r="A114" s="26"/>
      <c r="B114" s="11" t="str">
        <f>CONCATENATE("          ", "6244", " - ", "SAFETY SUPPLY EXPENSE")</f>
        <v xml:space="preserve">          6244 - SAFETY SUPPLY EXPENSE</v>
      </c>
      <c r="C114" s="11"/>
      <c r="D114" s="7"/>
      <c r="E114" s="2"/>
      <c r="F114" s="6">
        <f t="shared" si="77"/>
        <v>0</v>
      </c>
      <c r="G114" s="2"/>
      <c r="H114" s="7">
        <v>110</v>
      </c>
      <c r="I114" s="2"/>
      <c r="J114" s="6">
        <f t="shared" si="78"/>
        <v>1.6907106210441213E-4</v>
      </c>
      <c r="K114" s="2"/>
      <c r="L114" s="7">
        <f t="shared" si="79"/>
        <v>-110</v>
      </c>
      <c r="M114" s="2"/>
      <c r="N114" s="6">
        <f t="shared" si="80"/>
        <v>-1</v>
      </c>
      <c r="O114" s="11"/>
      <c r="P114" s="7"/>
      <c r="Q114" s="2"/>
      <c r="R114" s="6">
        <f t="shared" si="81"/>
        <v>0</v>
      </c>
      <c r="S114" s="2"/>
      <c r="T114" s="7">
        <v>1210</v>
      </c>
      <c r="U114" s="2"/>
      <c r="V114" s="6">
        <f t="shared" si="82"/>
        <v>1.6580302928985877E-4</v>
      </c>
      <c r="W114" s="2"/>
      <c r="X114" s="7">
        <f t="shared" si="83"/>
        <v>-1210</v>
      </c>
      <c r="Y114" s="2"/>
      <c r="Z114" s="6">
        <f t="shared" si="84"/>
        <v>-1</v>
      </c>
    </row>
    <row r="115" spans="1:26" s="24" customFormat="1" hidden="1" outlineLevel="2" x14ac:dyDescent="0.25">
      <c r="A115" s="26"/>
      <c r="B115" s="11" t="str">
        <f>CONCATENATE("          ", "6245", " - ", "PRINTING")</f>
        <v xml:space="preserve">          6245 - PRINTING</v>
      </c>
      <c r="C115" s="11"/>
      <c r="D115" s="7"/>
      <c r="E115" s="2"/>
      <c r="F115" s="6">
        <f t="shared" si="77"/>
        <v>0</v>
      </c>
      <c r="G115" s="2"/>
      <c r="H115" s="7">
        <v>50</v>
      </c>
      <c r="I115" s="2"/>
      <c r="J115" s="6">
        <f t="shared" si="78"/>
        <v>7.6850482774732786E-5</v>
      </c>
      <c r="K115" s="2"/>
      <c r="L115" s="7">
        <f t="shared" si="79"/>
        <v>-50</v>
      </c>
      <c r="M115" s="2"/>
      <c r="N115" s="6">
        <f t="shared" si="80"/>
        <v>-1</v>
      </c>
      <c r="O115" s="11"/>
      <c r="P115" s="7">
        <v>531.28</v>
      </c>
      <c r="Q115" s="2"/>
      <c r="R115" s="6">
        <f t="shared" si="81"/>
        <v>1.1500706341614121E-4</v>
      </c>
      <c r="S115" s="2"/>
      <c r="T115" s="7">
        <v>2686.82</v>
      </c>
      <c r="U115" s="2"/>
      <c r="V115" s="6">
        <f t="shared" si="82"/>
        <v>3.6816768194758545E-4</v>
      </c>
      <c r="W115" s="2"/>
      <c r="X115" s="7">
        <f t="shared" si="83"/>
        <v>-2155.54</v>
      </c>
      <c r="Y115" s="2"/>
      <c r="Z115" s="6">
        <f t="shared" si="84"/>
        <v>-0.80226438689603319</v>
      </c>
    </row>
    <row r="116" spans="1:26" s="24" customFormat="1" hidden="1" outlineLevel="2" x14ac:dyDescent="0.25">
      <c r="A116" s="26"/>
      <c r="B116" s="11" t="str">
        <f>CONCATENATE("          ", "6246", " - ", "REPLACEMENTS")</f>
        <v xml:space="preserve">          6246 - REPLACEMENTS</v>
      </c>
      <c r="C116" s="11"/>
      <c r="D116" s="7"/>
      <c r="E116" s="2"/>
      <c r="F116" s="6">
        <f t="shared" si="77"/>
        <v>0</v>
      </c>
      <c r="G116" s="2"/>
      <c r="H116" s="7"/>
      <c r="I116" s="2"/>
      <c r="J116" s="6">
        <f t="shared" si="78"/>
        <v>0</v>
      </c>
      <c r="K116" s="2"/>
      <c r="L116" s="7">
        <f t="shared" si="79"/>
        <v>0</v>
      </c>
      <c r="M116" s="2"/>
      <c r="N116" s="6">
        <f t="shared" si="80"/>
        <v>0</v>
      </c>
      <c r="O116" s="11"/>
      <c r="P116" s="7">
        <v>25.87</v>
      </c>
      <c r="Q116" s="2"/>
      <c r="R116" s="6">
        <f t="shared" si="81"/>
        <v>5.600121838909E-6</v>
      </c>
      <c r="S116" s="2"/>
      <c r="T116" s="7">
        <v>3400</v>
      </c>
      <c r="U116" s="2"/>
      <c r="V116" s="6">
        <f t="shared" si="82"/>
        <v>4.6589280957480978E-4</v>
      </c>
      <c r="W116" s="2"/>
      <c r="X116" s="7">
        <f t="shared" si="83"/>
        <v>-3374.13</v>
      </c>
      <c r="Y116" s="2"/>
      <c r="Z116" s="6">
        <f t="shared" si="84"/>
        <v>-0.99239117647058828</v>
      </c>
    </row>
    <row r="117" spans="1:26" s="24" customFormat="1" hidden="1" outlineLevel="2" x14ac:dyDescent="0.25">
      <c r="A117" s="26"/>
      <c r="B117" s="11" t="str">
        <f>CONCATENATE("          ", "6247", " - ", "STORE SUPPLIES")</f>
        <v xml:space="preserve">          6247 - STORE SUPPLIES</v>
      </c>
      <c r="C117" s="11"/>
      <c r="D117" s="7"/>
      <c r="E117" s="2"/>
      <c r="F117" s="6">
        <f t="shared" si="77"/>
        <v>0</v>
      </c>
      <c r="G117" s="2"/>
      <c r="H117" s="7">
        <v>350</v>
      </c>
      <c r="I117" s="2"/>
      <c r="J117" s="6">
        <f t="shared" si="78"/>
        <v>5.379533794231295E-4</v>
      </c>
      <c r="K117" s="2"/>
      <c r="L117" s="7">
        <f t="shared" si="79"/>
        <v>-350</v>
      </c>
      <c r="M117" s="2"/>
      <c r="N117" s="6">
        <f t="shared" si="80"/>
        <v>-1</v>
      </c>
      <c r="O117" s="11"/>
      <c r="P117" s="7">
        <v>6962.12</v>
      </c>
      <c r="Q117" s="2"/>
      <c r="R117" s="6">
        <f t="shared" si="81"/>
        <v>1.507101672095289E-3</v>
      </c>
      <c r="S117" s="2"/>
      <c r="T117" s="7">
        <v>5201.55</v>
      </c>
      <c r="U117" s="2"/>
      <c r="V117" s="6">
        <f t="shared" si="82"/>
        <v>7.1275433636583884E-4</v>
      </c>
      <c r="W117" s="2"/>
      <c r="X117" s="7">
        <f t="shared" si="83"/>
        <v>1760.5699999999997</v>
      </c>
      <c r="Y117" s="2"/>
      <c r="Z117" s="6">
        <f t="shared" si="84"/>
        <v>0.33847026367140559</v>
      </c>
    </row>
    <row r="118" spans="1:26" s="24" customFormat="1" hidden="1" outlineLevel="2" x14ac:dyDescent="0.25">
      <c r="A118" s="26"/>
      <c r="B118" s="11" t="str">
        <f>CONCATENATE("          ", "6248", " - ", "UNIFORMS")</f>
        <v xml:space="preserve">          6248 - UNIFORMS</v>
      </c>
      <c r="C118" s="11"/>
      <c r="D118" s="7"/>
      <c r="E118" s="2"/>
      <c r="F118" s="6">
        <f t="shared" si="77"/>
        <v>0</v>
      </c>
      <c r="G118" s="2"/>
      <c r="H118" s="7">
        <v>250</v>
      </c>
      <c r="I118" s="2"/>
      <c r="J118" s="6">
        <f t="shared" si="78"/>
        <v>3.8425241387366393E-4</v>
      </c>
      <c r="K118" s="2"/>
      <c r="L118" s="7">
        <f t="shared" si="79"/>
        <v>-250</v>
      </c>
      <c r="M118" s="2"/>
      <c r="N118" s="6">
        <f t="shared" si="80"/>
        <v>-1</v>
      </c>
      <c r="O118" s="11"/>
      <c r="P118" s="7">
        <v>4723.8900000000003</v>
      </c>
      <c r="Q118" s="2"/>
      <c r="R118" s="6">
        <f t="shared" si="81"/>
        <v>1.0225883089912578E-3</v>
      </c>
      <c r="S118" s="2"/>
      <c r="T118" s="7">
        <v>9550</v>
      </c>
      <c r="U118" s="2"/>
      <c r="V118" s="6">
        <f t="shared" si="82"/>
        <v>1.3086106857174804E-3</v>
      </c>
      <c r="W118" s="2"/>
      <c r="X118" s="7">
        <f t="shared" si="83"/>
        <v>-4826.1099999999997</v>
      </c>
      <c r="Y118" s="2"/>
      <c r="Z118" s="6">
        <f t="shared" si="84"/>
        <v>-0.5053518324607329</v>
      </c>
    </row>
    <row r="119" spans="1:26" s="27" customFormat="1" outlineLevel="1" collapsed="1" x14ac:dyDescent="0.25">
      <c r="A119" s="25"/>
      <c r="B119" s="12" t="str">
        <f>CONCATENATE("     ","Telephone/Data Lines                              ")</f>
        <v xml:space="preserve">     Telephone/Data Lines                              </v>
      </c>
      <c r="C119" s="12"/>
      <c r="D119" s="1">
        <f>SUM(OSRRefD22_21x_0)</f>
        <v>1593.85</v>
      </c>
      <c r="E119" s="1"/>
      <c r="F119" s="5">
        <f t="shared" ref="F119:F121" si="85">IF(D$12=0,0,D119/D$12)</f>
        <v>0</v>
      </c>
      <c r="G119" s="1"/>
      <c r="H119" s="1">
        <f>SUM(OSRRefH22_21x_0)</f>
        <v>2011</v>
      </c>
      <c r="I119" s="1"/>
      <c r="J119" s="5">
        <f t="shared" ref="J119:J121" si="86">IF(H$12=0,0,H119/H$12)</f>
        <v>3.090926417199753E-3</v>
      </c>
      <c r="K119" s="1"/>
      <c r="L119" s="1">
        <f t="shared" ref="L119:L121" si="87">+D119-H119</f>
        <v>-417.15000000000009</v>
      </c>
      <c r="M119" s="1"/>
      <c r="N119" s="5">
        <f t="shared" ref="N119:N121" si="88">IF(H119=0,0,L119/H119)</f>
        <v>-0.2074341123818996</v>
      </c>
      <c r="O119" s="12"/>
      <c r="P119" s="1">
        <f>SUM(OSRRefP22_21x_0)</f>
        <v>20609.169999999998</v>
      </c>
      <c r="Q119" s="1"/>
      <c r="R119" s="5">
        <f t="shared" ref="R119:R121" si="89">IF(P$12=0,0,P119/P$12)</f>
        <v>4.4613012369071579E-3</v>
      </c>
      <c r="S119" s="1"/>
      <c r="T119" s="1">
        <f>SUM(OSRRefT22_21x_0)</f>
        <v>21402</v>
      </c>
      <c r="U119" s="1"/>
      <c r="V119" s="5">
        <f t="shared" ref="V119:V121" si="90">IF(T$12=0,0,T119/T$12)</f>
        <v>2.932658208976494E-3</v>
      </c>
      <c r="W119" s="1"/>
      <c r="X119" s="1">
        <f t="shared" ref="X119:X121" si="91">+P119-T119</f>
        <v>-792.83000000000175</v>
      </c>
      <c r="Y119" s="1"/>
      <c r="Z119" s="5">
        <f t="shared" ref="Z119:Z121" si="92">IF(T119=0,0,X119/T119)</f>
        <v>-3.7044668722549377E-2</v>
      </c>
    </row>
    <row r="120" spans="1:26" s="24" customFormat="1" hidden="1" outlineLevel="2" x14ac:dyDescent="0.25">
      <c r="A120" s="26"/>
      <c r="B120" s="11" t="str">
        <f>CONCATENATE("          ", "6303", " - ", "DATA PHONE LINES")</f>
        <v xml:space="preserve">          6303 - DATA PHONE LINES</v>
      </c>
      <c r="C120" s="11"/>
      <c r="D120" s="7"/>
      <c r="E120" s="2"/>
      <c r="F120" s="6">
        <f t="shared" si="85"/>
        <v>0</v>
      </c>
      <c r="G120" s="2"/>
      <c r="H120" s="7">
        <v>696</v>
      </c>
      <c r="I120" s="2"/>
      <c r="J120" s="6">
        <f t="shared" si="86"/>
        <v>1.0697587202242805E-3</v>
      </c>
      <c r="K120" s="2"/>
      <c r="L120" s="7">
        <f t="shared" si="87"/>
        <v>-696</v>
      </c>
      <c r="M120" s="2"/>
      <c r="N120" s="6">
        <f t="shared" si="88"/>
        <v>-1</v>
      </c>
      <c r="O120" s="11"/>
      <c r="P120" s="7"/>
      <c r="Q120" s="2"/>
      <c r="R120" s="6">
        <f t="shared" si="89"/>
        <v>0</v>
      </c>
      <c r="S120" s="2"/>
      <c r="T120" s="7">
        <v>6862</v>
      </c>
      <c r="U120" s="2"/>
      <c r="V120" s="6">
        <f t="shared" si="90"/>
        <v>9.4028131155951317E-4</v>
      </c>
      <c r="W120" s="2"/>
      <c r="X120" s="7">
        <f t="shared" si="91"/>
        <v>-6862</v>
      </c>
      <c r="Y120" s="2"/>
      <c r="Z120" s="6">
        <f t="shared" si="92"/>
        <v>-1</v>
      </c>
    </row>
    <row r="121" spans="1:26" s="24" customFormat="1" hidden="1" outlineLevel="2" x14ac:dyDescent="0.25">
      <c r="A121" s="26"/>
      <c r="B121" s="11" t="str">
        <f>CONCATENATE("          ", "6309", " - ", "TELEPHONE")</f>
        <v xml:space="preserve">          6309 - TELEPHONE</v>
      </c>
      <c r="C121" s="11"/>
      <c r="D121" s="7">
        <v>1593.85</v>
      </c>
      <c r="E121" s="2"/>
      <c r="F121" s="6">
        <f t="shared" si="85"/>
        <v>0</v>
      </c>
      <c r="G121" s="2"/>
      <c r="H121" s="7">
        <v>1315</v>
      </c>
      <c r="I121" s="2"/>
      <c r="J121" s="6">
        <f t="shared" si="86"/>
        <v>2.0211676969754725E-3</v>
      </c>
      <c r="K121" s="2"/>
      <c r="L121" s="7">
        <f t="shared" si="87"/>
        <v>278.84999999999991</v>
      </c>
      <c r="M121" s="2"/>
      <c r="N121" s="6">
        <f t="shared" si="88"/>
        <v>0.21205323193916342</v>
      </c>
      <c r="O121" s="11"/>
      <c r="P121" s="7">
        <v>20609.169999999998</v>
      </c>
      <c r="Q121" s="2"/>
      <c r="R121" s="6">
        <f t="shared" si="89"/>
        <v>4.4613012369071579E-3</v>
      </c>
      <c r="S121" s="2"/>
      <c r="T121" s="7">
        <v>14540</v>
      </c>
      <c r="U121" s="2"/>
      <c r="V121" s="6">
        <f t="shared" si="90"/>
        <v>1.9923768974169807E-3</v>
      </c>
      <c r="W121" s="2"/>
      <c r="X121" s="7">
        <f t="shared" si="91"/>
        <v>6069.1699999999983</v>
      </c>
      <c r="Y121" s="2"/>
      <c r="Z121" s="6">
        <f t="shared" si="92"/>
        <v>0.41741196698762023</v>
      </c>
    </row>
    <row r="122" spans="1:26" s="27" customFormat="1" outlineLevel="1" collapsed="1" x14ac:dyDescent="0.25">
      <c r="A122" s="25"/>
      <c r="B122" s="12" t="str">
        <f>CONCATENATE("     ","Training                                          ")</f>
        <v xml:space="preserve">     Training                                          </v>
      </c>
      <c r="C122" s="12"/>
      <c r="D122" s="1">
        <f>SUM(OSRRefD22_22x_0)</f>
        <v>0</v>
      </c>
      <c r="E122" s="1"/>
      <c r="F122" s="5">
        <f t="shared" ref="F122:F127" si="93">IF(D$12=0,0,D122/D$12)</f>
        <v>0</v>
      </c>
      <c r="G122" s="1"/>
      <c r="H122" s="1">
        <f>SUM(OSRRefH22_22x_0)</f>
        <v>0</v>
      </c>
      <c r="I122" s="1"/>
      <c r="J122" s="5">
        <f t="shared" ref="J122:J127" si="94">IF(H$12=0,0,H122/H$12)</f>
        <v>0</v>
      </c>
      <c r="K122" s="1"/>
      <c r="L122" s="1">
        <f t="shared" ref="L122:L127" si="95">+D122-H122</f>
        <v>0</v>
      </c>
      <c r="M122" s="1"/>
      <c r="N122" s="5">
        <f t="shared" ref="N122:N127" si="96">IF(H122=0,0,L122/H122)</f>
        <v>0</v>
      </c>
      <c r="O122" s="12"/>
      <c r="P122" s="1">
        <f>SUM(OSRRefP22_22x_0)</f>
        <v>2123.0100000000002</v>
      </c>
      <c r="Q122" s="1"/>
      <c r="R122" s="5">
        <f t="shared" ref="R122:R127" si="97">IF(P$12=0,0,P122/P$12)</f>
        <v>4.5957149846239645E-4</v>
      </c>
      <c r="S122" s="1"/>
      <c r="T122" s="1">
        <f>SUM(OSRRefT22_22x_0)</f>
        <v>8340</v>
      </c>
      <c r="U122" s="1"/>
      <c r="V122" s="5">
        <f t="shared" ref="V122:V127" si="98">IF(T$12=0,0,T122/T$12)</f>
        <v>1.1428076564276217E-3</v>
      </c>
      <c r="W122" s="1"/>
      <c r="X122" s="1">
        <f t="shared" ref="X122:X127" si="99">+P122-T122</f>
        <v>-6216.99</v>
      </c>
      <c r="Y122" s="1"/>
      <c r="Z122" s="5">
        <f t="shared" ref="Z122:Z127" si="100">IF(T122=0,0,X122/T122)</f>
        <v>-0.74544244604316545</v>
      </c>
    </row>
    <row r="123" spans="1:26" s="24" customFormat="1" hidden="1" outlineLevel="2" x14ac:dyDescent="0.25">
      <c r="A123" s="26"/>
      <c r="B123" s="11" t="str">
        <f>CONCATENATE("          ", "6376", " - ", "TRAINING")</f>
        <v xml:space="preserve">          6376 - TRAINING</v>
      </c>
      <c r="C123" s="11"/>
      <c r="D123" s="7"/>
      <c r="E123" s="2"/>
      <c r="F123" s="6">
        <f t="shared" si="93"/>
        <v>0</v>
      </c>
      <c r="G123" s="2"/>
      <c r="H123" s="7"/>
      <c r="I123" s="2"/>
      <c r="J123" s="6">
        <f t="shared" si="94"/>
        <v>0</v>
      </c>
      <c r="K123" s="2"/>
      <c r="L123" s="7">
        <f t="shared" si="95"/>
        <v>0</v>
      </c>
      <c r="M123" s="2"/>
      <c r="N123" s="6">
        <f t="shared" si="96"/>
        <v>0</v>
      </c>
      <c r="O123" s="11"/>
      <c r="P123" s="7">
        <v>2123.0100000000002</v>
      </c>
      <c r="Q123" s="2"/>
      <c r="R123" s="6">
        <f t="shared" si="97"/>
        <v>4.5957149846239645E-4</v>
      </c>
      <c r="S123" s="2"/>
      <c r="T123" s="7">
        <v>8340</v>
      </c>
      <c r="U123" s="2"/>
      <c r="V123" s="6">
        <f t="shared" si="98"/>
        <v>1.1428076564276217E-3</v>
      </c>
      <c r="W123" s="2"/>
      <c r="X123" s="7">
        <f t="shared" si="99"/>
        <v>-6216.99</v>
      </c>
      <c r="Y123" s="2"/>
      <c r="Z123" s="6">
        <f t="shared" si="100"/>
        <v>-0.74544244604316545</v>
      </c>
    </row>
    <row r="124" spans="1:26" s="27" customFormat="1" outlineLevel="1" collapsed="1" x14ac:dyDescent="0.25">
      <c r="A124" s="25"/>
      <c r="B124" s="12" t="str">
        <f>CONCATENATE("     ","Travel                                            ")</f>
        <v xml:space="preserve">     Travel                                            </v>
      </c>
      <c r="C124" s="12"/>
      <c r="D124" s="1">
        <f>SUM(OSRRefD22_23x_0)</f>
        <v>0</v>
      </c>
      <c r="E124" s="1"/>
      <c r="F124" s="5">
        <f t="shared" si="93"/>
        <v>0</v>
      </c>
      <c r="G124" s="1"/>
      <c r="H124" s="1">
        <f>SUM(OSRRefH22_23x_0)</f>
        <v>0</v>
      </c>
      <c r="I124" s="1"/>
      <c r="J124" s="5">
        <f t="shared" si="94"/>
        <v>0</v>
      </c>
      <c r="K124" s="1"/>
      <c r="L124" s="1">
        <f t="shared" si="95"/>
        <v>0</v>
      </c>
      <c r="M124" s="1"/>
      <c r="N124" s="5">
        <f t="shared" si="96"/>
        <v>0</v>
      </c>
      <c r="O124" s="12"/>
      <c r="P124" s="1">
        <f>SUM(OSRRefP22_23x_0)</f>
        <v>6341.32</v>
      </c>
      <c r="Q124" s="1"/>
      <c r="R124" s="5">
        <f t="shared" si="97"/>
        <v>1.3727160656942566E-3</v>
      </c>
      <c r="S124" s="1"/>
      <c r="T124" s="1">
        <f>SUM(OSRRefT22_23x_0)</f>
        <v>14520</v>
      </c>
      <c r="U124" s="1"/>
      <c r="V124" s="5">
        <f t="shared" si="98"/>
        <v>1.9896363514783051E-3</v>
      </c>
      <c r="W124" s="1"/>
      <c r="X124" s="1">
        <f t="shared" si="99"/>
        <v>-8178.68</v>
      </c>
      <c r="Y124" s="1"/>
      <c r="Z124" s="5">
        <f t="shared" si="100"/>
        <v>-0.56326997245179067</v>
      </c>
    </row>
    <row r="125" spans="1:26" s="24" customFormat="1" hidden="1" outlineLevel="2" x14ac:dyDescent="0.25">
      <c r="A125" s="26"/>
      <c r="B125" s="11" t="str">
        <f>CONCATENATE("          ", "6292", " - ", "TRAVEL/CONFERENCE")</f>
        <v xml:space="preserve">          6292 - TRAVEL/CONFERENCE</v>
      </c>
      <c r="C125" s="11"/>
      <c r="D125" s="7"/>
      <c r="E125" s="2"/>
      <c r="F125" s="6">
        <f t="shared" si="93"/>
        <v>0</v>
      </c>
      <c r="G125" s="2"/>
      <c r="H125" s="7"/>
      <c r="I125" s="2"/>
      <c r="J125" s="6">
        <f t="shared" si="94"/>
        <v>0</v>
      </c>
      <c r="K125" s="2"/>
      <c r="L125" s="7">
        <f t="shared" si="95"/>
        <v>0</v>
      </c>
      <c r="M125" s="2"/>
      <c r="N125" s="6">
        <f t="shared" si="96"/>
        <v>0</v>
      </c>
      <c r="O125" s="11"/>
      <c r="P125" s="7">
        <v>4995.68</v>
      </c>
      <c r="Q125" s="2"/>
      <c r="R125" s="6">
        <f t="shared" si="97"/>
        <v>1.0814231414070705E-3</v>
      </c>
      <c r="S125" s="2"/>
      <c r="T125" s="7">
        <v>14400</v>
      </c>
      <c r="U125" s="2"/>
      <c r="V125" s="6">
        <f t="shared" si="98"/>
        <v>1.9731930758462531E-3</v>
      </c>
      <c r="W125" s="2"/>
      <c r="X125" s="7">
        <f t="shared" si="99"/>
        <v>-9404.32</v>
      </c>
      <c r="Y125" s="2"/>
      <c r="Z125" s="6">
        <f t="shared" si="100"/>
        <v>-0.65307777777777776</v>
      </c>
    </row>
    <row r="126" spans="1:26" s="24" customFormat="1" hidden="1" outlineLevel="2" x14ac:dyDescent="0.25">
      <c r="A126" s="26"/>
      <c r="B126" s="11" t="str">
        <f>CONCATENATE("          ", "6294", " - ", "TRAVEL OPERATIONAL")</f>
        <v xml:space="preserve">          6294 - TRAVEL OPERATIONAL</v>
      </c>
      <c r="C126" s="11"/>
      <c r="D126" s="7"/>
      <c r="E126" s="2"/>
      <c r="F126" s="6">
        <f t="shared" si="93"/>
        <v>0</v>
      </c>
      <c r="G126" s="2"/>
      <c r="H126" s="7"/>
      <c r="I126" s="2"/>
      <c r="J126" s="6">
        <f t="shared" si="94"/>
        <v>0</v>
      </c>
      <c r="K126" s="2"/>
      <c r="L126" s="7">
        <f t="shared" si="95"/>
        <v>0</v>
      </c>
      <c r="M126" s="2"/>
      <c r="N126" s="6">
        <f t="shared" si="96"/>
        <v>0</v>
      </c>
      <c r="O126" s="11"/>
      <c r="P126" s="7">
        <v>56.99</v>
      </c>
      <c r="Q126" s="2"/>
      <c r="R126" s="6">
        <f t="shared" si="97"/>
        <v>1.2336719891744256E-5</v>
      </c>
      <c r="S126" s="2"/>
      <c r="T126" s="7">
        <v>120</v>
      </c>
      <c r="U126" s="2"/>
      <c r="V126" s="6">
        <f t="shared" si="98"/>
        <v>1.644327563205211E-5</v>
      </c>
      <c r="W126" s="2"/>
      <c r="X126" s="7">
        <f t="shared" si="99"/>
        <v>-63.01</v>
      </c>
      <c r="Y126" s="2"/>
      <c r="Z126" s="6">
        <f t="shared" si="100"/>
        <v>-0.52508333333333335</v>
      </c>
    </row>
    <row r="127" spans="1:26" s="24" customFormat="1" hidden="1" outlineLevel="2" x14ac:dyDescent="0.25">
      <c r="A127" s="26"/>
      <c r="B127" s="11" t="str">
        <f>CONCATENATE("          ", "6298", " - ", "VEHICLE MILEAGE")</f>
        <v xml:space="preserve">          6298 - VEHICLE MILEAGE</v>
      </c>
      <c r="C127" s="11"/>
      <c r="D127" s="7"/>
      <c r="E127" s="2"/>
      <c r="F127" s="6">
        <f t="shared" si="93"/>
        <v>0</v>
      </c>
      <c r="G127" s="2"/>
      <c r="H127" s="7"/>
      <c r="I127" s="2"/>
      <c r="J127" s="6">
        <f t="shared" si="94"/>
        <v>0</v>
      </c>
      <c r="K127" s="2"/>
      <c r="L127" s="7">
        <f t="shared" si="95"/>
        <v>0</v>
      </c>
      <c r="M127" s="2"/>
      <c r="N127" s="6">
        <f t="shared" si="96"/>
        <v>0</v>
      </c>
      <c r="O127" s="11"/>
      <c r="P127" s="7">
        <v>1288.6500000000001</v>
      </c>
      <c r="Q127" s="2"/>
      <c r="R127" s="6">
        <f t="shared" si="97"/>
        <v>2.7895620439544194E-4</v>
      </c>
      <c r="S127" s="2"/>
      <c r="T127" s="7">
        <v>0</v>
      </c>
      <c r="U127" s="2"/>
      <c r="V127" s="6">
        <f t="shared" si="98"/>
        <v>0</v>
      </c>
      <c r="W127" s="2"/>
      <c r="X127" s="7">
        <f t="shared" si="99"/>
        <v>1288.6500000000001</v>
      </c>
      <c r="Y127" s="2"/>
      <c r="Z127" s="6">
        <f t="shared" si="100"/>
        <v>0</v>
      </c>
    </row>
    <row r="128" spans="1:26" s="27" customFormat="1" outlineLevel="1" collapsed="1" x14ac:dyDescent="0.25">
      <c r="A128" s="25"/>
      <c r="B128" s="12" t="str">
        <f>CONCATENATE("     ","Utilities                                         ")</f>
        <v xml:space="preserve">     Utilities                                         </v>
      </c>
      <c r="C128" s="12"/>
      <c r="D128" s="1">
        <f>SUM(OSRRefD22_24x_0)</f>
        <v>15583</v>
      </c>
      <c r="E128" s="1"/>
      <c r="F128" s="5">
        <f t="shared" ref="F128:F129" si="101">IF(D$12=0,0,D128/D$12)</f>
        <v>0</v>
      </c>
      <c r="G128" s="1"/>
      <c r="H128" s="1">
        <f>SUM(OSRRefH22_24x_0)</f>
        <v>17450</v>
      </c>
      <c r="I128" s="1"/>
      <c r="J128" s="5">
        <f t="shared" ref="J128:J129" si="102">IF(H$12=0,0,H128/H$12)</f>
        <v>2.6820818488381745E-2</v>
      </c>
      <c r="K128" s="1"/>
      <c r="L128" s="1">
        <f t="shared" ref="L128:L129" si="103">+D128-H128</f>
        <v>-1867</v>
      </c>
      <c r="M128" s="1"/>
      <c r="N128" s="5">
        <f t="shared" ref="N128:N129" si="104">IF(H128=0,0,L128/H128)</f>
        <v>-0.10699140401146132</v>
      </c>
      <c r="O128" s="12"/>
      <c r="P128" s="1">
        <f>SUM(OSRRefP22_24x_0)</f>
        <v>174802</v>
      </c>
      <c r="Q128" s="1"/>
      <c r="R128" s="5">
        <f t="shared" ref="R128:R129" si="105">IF(P$12=0,0,P128/P$12)</f>
        <v>3.7839679075569038E-2</v>
      </c>
      <c r="S128" s="1"/>
      <c r="T128" s="1">
        <f>SUM(OSRRefT22_24x_0)</f>
        <v>211950</v>
      </c>
      <c r="U128" s="1"/>
      <c r="V128" s="5">
        <f t="shared" ref="V128:V129" si="106">IF(T$12=0,0,T128/T$12)</f>
        <v>2.9042935585112038E-2</v>
      </c>
      <c r="W128" s="1"/>
      <c r="X128" s="1">
        <f t="shared" ref="X128:X129" si="107">+P128-T128</f>
        <v>-37148</v>
      </c>
      <c r="Y128" s="1"/>
      <c r="Z128" s="5">
        <f t="shared" ref="Z128:Z129" si="108">IF(T128=0,0,X128/T128)</f>
        <v>-0.17526775182826138</v>
      </c>
    </row>
    <row r="129" spans="1:26" s="24" customFormat="1" hidden="1" outlineLevel="2" x14ac:dyDescent="0.25">
      <c r="A129" s="26"/>
      <c r="B129" s="11" t="str">
        <f>CONCATENATE("          ", "6274", " - ", "UTILITIES")</f>
        <v xml:space="preserve">          6274 - UTILITIES</v>
      </c>
      <c r="C129" s="11"/>
      <c r="D129" s="7">
        <v>15583</v>
      </c>
      <c r="E129" s="2"/>
      <c r="F129" s="6">
        <f t="shared" si="101"/>
        <v>0</v>
      </c>
      <c r="G129" s="2"/>
      <c r="H129" s="7">
        <v>17450</v>
      </c>
      <c r="I129" s="2"/>
      <c r="J129" s="6">
        <f t="shared" si="102"/>
        <v>2.6820818488381745E-2</v>
      </c>
      <c r="K129" s="2"/>
      <c r="L129" s="7">
        <f t="shared" si="103"/>
        <v>-1867</v>
      </c>
      <c r="M129" s="2"/>
      <c r="N129" s="6">
        <f t="shared" si="104"/>
        <v>-0.10699140401146132</v>
      </c>
      <c r="O129" s="11"/>
      <c r="P129" s="7">
        <v>174802</v>
      </c>
      <c r="Q129" s="2"/>
      <c r="R129" s="6">
        <f t="shared" si="105"/>
        <v>3.7839679075569038E-2</v>
      </c>
      <c r="S129" s="2"/>
      <c r="T129" s="7">
        <v>211950</v>
      </c>
      <c r="U129" s="2"/>
      <c r="V129" s="6">
        <f t="shared" si="106"/>
        <v>2.9042935585112038E-2</v>
      </c>
      <c r="W129" s="2"/>
      <c r="X129" s="7">
        <f t="shared" si="107"/>
        <v>-37148</v>
      </c>
      <c r="Y129" s="2"/>
      <c r="Z129" s="6">
        <f t="shared" si="108"/>
        <v>-0.17526775182826138</v>
      </c>
    </row>
    <row r="130" spans="1:26" s="62" customFormat="1" x14ac:dyDescent="0.25">
      <c r="A130" s="36"/>
      <c r="B130" s="36"/>
      <c r="C130" s="36"/>
      <c r="D130" s="1"/>
      <c r="E130" s="1"/>
      <c r="F130" s="5"/>
      <c r="G130" s="1"/>
      <c r="H130" s="1"/>
      <c r="I130" s="1"/>
      <c r="J130" s="5"/>
      <c r="K130" s="1"/>
      <c r="L130" s="1"/>
      <c r="M130" s="1"/>
      <c r="N130" s="5"/>
      <c r="O130" s="36"/>
      <c r="P130" s="1"/>
      <c r="Q130" s="1"/>
      <c r="R130" s="5"/>
      <c r="S130" s="1"/>
      <c r="T130" s="1"/>
      <c r="U130" s="1"/>
      <c r="V130" s="5"/>
      <c r="W130" s="1"/>
      <c r="X130" s="1"/>
      <c r="Y130" s="1"/>
      <c r="Z130" s="5"/>
    </row>
    <row r="131" spans="1:26" s="23" customFormat="1" collapsed="1" x14ac:dyDescent="0.25">
      <c r="A131" s="10"/>
      <c r="B131" s="28" t="s">
        <v>0</v>
      </c>
      <c r="C131" s="10"/>
      <c r="D131" s="4">
        <f>SUM(OSRRefD25x_0)</f>
        <v>6624.89</v>
      </c>
      <c r="E131" s="4"/>
      <c r="F131" s="13">
        <f t="shared" ref="F131:F135" si="109">IF(D$12=0,0,D131/D$12)</f>
        <v>0</v>
      </c>
      <c r="G131" s="4"/>
      <c r="H131" s="4">
        <f>SUM(OSRRefH25x_0)</f>
        <v>63178</v>
      </c>
      <c r="I131" s="4"/>
      <c r="J131" s="13">
        <f t="shared" ref="J131:J135" si="110">IF(H$12=0,0,H131/H$12)</f>
        <v>9.7105196014841369E-2</v>
      </c>
      <c r="K131" s="4"/>
      <c r="L131" s="4">
        <f t="shared" ref="L131:L135" si="111">+D131-H131</f>
        <v>-56553.11</v>
      </c>
      <c r="M131" s="4"/>
      <c r="N131" s="13">
        <f t="shared" ref="N131:N135" si="112">IF(H131=0,0,L131/H131)</f>
        <v>-0.89513928899300388</v>
      </c>
      <c r="O131" s="10"/>
      <c r="P131" s="4">
        <f>SUM(OSRRefP25x_0)</f>
        <v>687198.88</v>
      </c>
      <c r="Q131" s="4"/>
      <c r="R131" s="13">
        <f t="shared" ref="R131:R135" si="113">IF(P$12=0,0,P131/P$12)</f>
        <v>0.14875908216319308</v>
      </c>
      <c r="S131" s="4"/>
      <c r="T131" s="4">
        <f>SUM(OSRRefT25x_0)</f>
        <v>707351</v>
      </c>
      <c r="U131" s="4"/>
      <c r="V131" s="13">
        <f t="shared" ref="V131:V135" si="114">IF(T$12=0,0,T131/T$12)</f>
        <v>9.6926395513397434E-2</v>
      </c>
      <c r="W131" s="4"/>
      <c r="X131" s="4">
        <f t="shared" ref="X131:X135" si="115">+P131-T131</f>
        <v>-20152.119999999995</v>
      </c>
      <c r="Y131" s="4"/>
      <c r="Z131" s="13">
        <f t="shared" ref="Z131:Z135" si="116">IF(T131=0,0,X131/T131)</f>
        <v>-2.8489561759296296E-2</v>
      </c>
    </row>
    <row r="132" spans="1:26" s="24" customFormat="1" hidden="1" outlineLevel="1" x14ac:dyDescent="0.25">
      <c r="A132" s="44"/>
      <c r="B132" s="11" t="str">
        <f>CONCATENATE("          ", "9150", " - ", "MISC. INCOME")</f>
        <v xml:space="preserve">          9150 - MISC. INCOME</v>
      </c>
      <c r="C132" s="11"/>
      <c r="D132" s="2">
        <f t="shared" ref="D132:D134" si="117">0</f>
        <v>0</v>
      </c>
      <c r="E132" s="2"/>
      <c r="F132" s="19">
        <f t="shared" si="109"/>
        <v>0</v>
      </c>
      <c r="G132" s="2"/>
      <c r="H132" s="2">
        <v>54779</v>
      </c>
      <c r="I132" s="2"/>
      <c r="J132" s="19">
        <f t="shared" si="110"/>
        <v>8.4195851918341752E-2</v>
      </c>
      <c r="K132" s="2"/>
      <c r="L132" s="2">
        <f t="shared" si="111"/>
        <v>-54779</v>
      </c>
      <c r="M132" s="2"/>
      <c r="N132" s="19">
        <f t="shared" si="112"/>
        <v>-1</v>
      </c>
      <c r="O132" s="11"/>
      <c r="P132" s="2">
        <f>--313984.54</f>
        <v>313984.53999999998</v>
      </c>
      <c r="Q132" s="2"/>
      <c r="R132" s="19">
        <f t="shared" si="113"/>
        <v>6.7968754523919456E-2</v>
      </c>
      <c r="S132" s="2"/>
      <c r="T132" s="2">
        <v>383455</v>
      </c>
      <c r="U132" s="2"/>
      <c r="V132" s="19">
        <f t="shared" si="114"/>
        <v>5.2543802145737846E-2</v>
      </c>
      <c r="W132" s="2"/>
      <c r="X132" s="2">
        <f t="shared" si="115"/>
        <v>-69470.460000000021</v>
      </c>
      <c r="Y132" s="2"/>
      <c r="Z132" s="19">
        <f t="shared" si="116"/>
        <v>-0.18116978524207539</v>
      </c>
    </row>
    <row r="133" spans="1:26" s="24" customFormat="1" hidden="1" outlineLevel="1" x14ac:dyDescent="0.25">
      <c r="A133" s="44"/>
      <c r="B133" s="11" t="str">
        <f>CONCATENATE("          ", "9151", " - ", "MISC. INCOME")</f>
        <v xml:space="preserve">          9151 - MISC. INCOME</v>
      </c>
      <c r="C133" s="11"/>
      <c r="D133" s="2">
        <f t="shared" si="117"/>
        <v>0</v>
      </c>
      <c r="E133" s="2"/>
      <c r="F133" s="19">
        <f t="shared" si="109"/>
        <v>0</v>
      </c>
      <c r="G133" s="2"/>
      <c r="H133" s="2">
        <v>8399</v>
      </c>
      <c r="I133" s="2"/>
      <c r="J133" s="19">
        <f t="shared" si="110"/>
        <v>1.2909344096499614E-2</v>
      </c>
      <c r="K133" s="2"/>
      <c r="L133" s="2">
        <f t="shared" si="111"/>
        <v>-8399</v>
      </c>
      <c r="M133" s="2"/>
      <c r="N133" s="19">
        <f t="shared" si="112"/>
        <v>-1</v>
      </c>
      <c r="O133" s="11"/>
      <c r="P133" s="2">
        <f>0</f>
        <v>0</v>
      </c>
      <c r="Q133" s="2"/>
      <c r="R133" s="19">
        <f t="shared" si="113"/>
        <v>0</v>
      </c>
      <c r="S133" s="2"/>
      <c r="T133" s="2">
        <v>323896</v>
      </c>
      <c r="U133" s="2"/>
      <c r="V133" s="19">
        <f t="shared" si="114"/>
        <v>4.4382593367659581E-2</v>
      </c>
      <c r="W133" s="2"/>
      <c r="X133" s="2">
        <f t="shared" si="115"/>
        <v>-323896</v>
      </c>
      <c r="Y133" s="2"/>
      <c r="Z133" s="19">
        <f t="shared" si="116"/>
        <v>-1</v>
      </c>
    </row>
    <row r="134" spans="1:26" s="24" customFormat="1" hidden="1" outlineLevel="1" x14ac:dyDescent="0.25">
      <c r="A134" s="44"/>
      <c r="B134" s="11" t="str">
        <f>CONCATENATE("          ", "9160", " - ", "MISC. INCOME")</f>
        <v xml:space="preserve">          9160 - MISC. INCOME</v>
      </c>
      <c r="C134" s="11"/>
      <c r="D134" s="2">
        <f t="shared" si="117"/>
        <v>0</v>
      </c>
      <c r="E134" s="2"/>
      <c r="F134" s="19">
        <f t="shared" si="109"/>
        <v>0</v>
      </c>
      <c r="G134" s="2"/>
      <c r="H134" s="2"/>
      <c r="I134" s="2"/>
      <c r="J134" s="19">
        <f t="shared" si="110"/>
        <v>0</v>
      </c>
      <c r="K134" s="2"/>
      <c r="L134" s="2">
        <f t="shared" si="111"/>
        <v>0</v>
      </c>
      <c r="M134" s="2"/>
      <c r="N134" s="19">
        <f t="shared" si="112"/>
        <v>0</v>
      </c>
      <c r="O134" s="11"/>
      <c r="P134" s="2">
        <f>--130089.32</f>
        <v>130089.32</v>
      </c>
      <c r="Q134" s="2"/>
      <c r="R134" s="19">
        <f t="shared" si="113"/>
        <v>2.8160651022064994E-2</v>
      </c>
      <c r="S134" s="2"/>
      <c r="T134" s="2"/>
      <c r="U134" s="2"/>
      <c r="V134" s="19">
        <f t="shared" si="114"/>
        <v>0</v>
      </c>
      <c r="W134" s="2"/>
      <c r="X134" s="2">
        <f t="shared" si="115"/>
        <v>130089.32</v>
      </c>
      <c r="Y134" s="2"/>
      <c r="Z134" s="19">
        <f t="shared" si="116"/>
        <v>0</v>
      </c>
    </row>
    <row r="135" spans="1:26" s="24" customFormat="1" hidden="1" outlineLevel="1" x14ac:dyDescent="0.25">
      <c r="A135" s="44"/>
      <c r="B135" s="11" t="str">
        <f>CONCATENATE("          ", "9165", " - ", "OTHER INCOME")</f>
        <v xml:space="preserve">          9165 - OTHER INCOME</v>
      </c>
      <c r="C135" s="11"/>
      <c r="D135" s="2">
        <f>--6624.89</f>
        <v>6624.89</v>
      </c>
      <c r="E135" s="2"/>
      <c r="F135" s="19">
        <f t="shared" si="109"/>
        <v>0</v>
      </c>
      <c r="G135" s="2"/>
      <c r="H135" s="2"/>
      <c r="I135" s="2"/>
      <c r="J135" s="19">
        <f t="shared" si="110"/>
        <v>0</v>
      </c>
      <c r="K135" s="2"/>
      <c r="L135" s="2">
        <f t="shared" si="111"/>
        <v>6624.89</v>
      </c>
      <c r="M135" s="2"/>
      <c r="N135" s="19">
        <f t="shared" si="112"/>
        <v>0</v>
      </c>
      <c r="O135" s="11"/>
      <c r="P135" s="2">
        <f>--243125.02</f>
        <v>243125.02</v>
      </c>
      <c r="Q135" s="2"/>
      <c r="R135" s="19">
        <f t="shared" si="113"/>
        <v>5.2629676617208632E-2</v>
      </c>
      <c r="S135" s="2"/>
      <c r="T135" s="2"/>
      <c r="U135" s="2"/>
      <c r="V135" s="19">
        <f t="shared" si="114"/>
        <v>0</v>
      </c>
      <c r="W135" s="2"/>
      <c r="X135" s="2">
        <f t="shared" si="115"/>
        <v>243125.02</v>
      </c>
      <c r="Y135" s="2"/>
      <c r="Z135" s="19">
        <f t="shared" si="116"/>
        <v>0</v>
      </c>
    </row>
    <row r="136" spans="1:26" x14ac:dyDescent="0.25">
      <c r="A136" s="9"/>
      <c r="B136" s="10"/>
      <c r="C136" s="10"/>
      <c r="D136" s="3"/>
      <c r="E136" s="3"/>
      <c r="F136" s="8"/>
      <c r="G136" s="3"/>
      <c r="H136" s="3"/>
      <c r="I136" s="3"/>
      <c r="J136" s="8"/>
      <c r="K136" s="3"/>
      <c r="L136" s="3"/>
      <c r="M136" s="3"/>
      <c r="N136" s="8"/>
      <c r="O136" s="10"/>
      <c r="P136" s="3"/>
      <c r="Q136" s="3"/>
      <c r="R136" s="8"/>
      <c r="S136" s="3"/>
      <c r="T136" s="3"/>
      <c r="U136" s="3"/>
      <c r="V136" s="8"/>
      <c r="W136" s="3"/>
      <c r="X136" s="3"/>
      <c r="Y136" s="3"/>
      <c r="Z136" s="8"/>
    </row>
    <row r="137" spans="1:26" s="23" customFormat="1" x14ac:dyDescent="0.25">
      <c r="A137" s="10"/>
      <c r="B137" s="29" t="s">
        <v>3</v>
      </c>
      <c r="C137" s="29"/>
      <c r="D137" s="20">
        <f>+D31-D33+D131</f>
        <v>-148954.99000000002</v>
      </c>
      <c r="E137" s="14"/>
      <c r="F137" s="22">
        <f>IF(D$12=0,0,D137/D$12)</f>
        <v>0</v>
      </c>
      <c r="G137" s="14"/>
      <c r="H137" s="20">
        <f>+H31-H33+H131</f>
        <v>45965.373029220384</v>
      </c>
      <c r="I137" s="14"/>
      <c r="J137" s="22">
        <f>IF(H$12=0,0,H137/H$12)</f>
        <v>7.064922216432537E-2</v>
      </c>
      <c r="K137" s="16"/>
      <c r="L137" s="20">
        <f>+D137-H137</f>
        <v>-194920.3630292204</v>
      </c>
      <c r="M137" s="16"/>
      <c r="N137" s="22">
        <f>IF(H137=0,0,L137/H137)</f>
        <v>-4.2405913448218664</v>
      </c>
      <c r="O137" s="28"/>
      <c r="P137" s="20">
        <f>+P31-P33+P131</f>
        <v>-1033153.4400000012</v>
      </c>
      <c r="Q137" s="14"/>
      <c r="R137" s="22">
        <f>IF(P$12=0,0,P137/P$12)</f>
        <v>-0.22364843998020742</v>
      </c>
      <c r="S137" s="14"/>
      <c r="T137" s="20">
        <f>+T31-T33+T131</f>
        <v>439935.652142887</v>
      </c>
      <c r="U137" s="14"/>
      <c r="V137" s="22">
        <f>IF(T$12=0,0,T137/T$12)</f>
        <v>6.028319323793406E-2</v>
      </c>
      <c r="W137" s="16"/>
      <c r="X137" s="20">
        <f>+P137-T137</f>
        <v>-1473089.0921428883</v>
      </c>
      <c r="Y137" s="16"/>
      <c r="Z137" s="22">
        <f>IF(T137=0,0,X137/T137)</f>
        <v>-3.3484194449065536</v>
      </c>
    </row>
    <row r="138" spans="1:26" x14ac:dyDescent="0.25">
      <c r="A138" s="9"/>
      <c r="B138" s="10"/>
      <c r="C138" s="9"/>
      <c r="D138" s="3"/>
      <c r="E138" s="3"/>
      <c r="F138" s="8"/>
      <c r="G138" s="3"/>
      <c r="H138" s="3"/>
      <c r="I138" s="3"/>
      <c r="J138" s="8"/>
      <c r="K138" s="3"/>
      <c r="L138" s="3"/>
      <c r="M138" s="3"/>
      <c r="N138" s="8"/>
      <c r="P138" s="3"/>
      <c r="Q138" s="3"/>
      <c r="R138" s="8"/>
      <c r="S138" s="3"/>
      <c r="T138" s="3"/>
      <c r="U138" s="3"/>
      <c r="V138" s="8"/>
      <c r="W138" s="3"/>
      <c r="X138" s="3"/>
      <c r="Y138" s="3"/>
      <c r="Z138" s="8"/>
    </row>
    <row r="139" spans="1:26" s="23" customFormat="1" x14ac:dyDescent="0.25">
      <c r="A139" s="52"/>
      <c r="B139" s="10" t="s">
        <v>14</v>
      </c>
      <c r="C139" s="10"/>
      <c r="D139" s="4">
        <v>22509.99</v>
      </c>
      <c r="E139" s="4"/>
      <c r="F139" s="13">
        <f>IF(D$12=0,0,D139/D$12)</f>
        <v>0</v>
      </c>
      <c r="G139" s="4"/>
      <c r="H139" s="4">
        <v>68603</v>
      </c>
      <c r="I139" s="4"/>
      <c r="J139" s="13">
        <f>IF(H$12=0,0,H139/H$12)</f>
        <v>0.10544347339589988</v>
      </c>
      <c r="K139" s="4"/>
      <c r="L139" s="4">
        <f>+D139-H139</f>
        <v>-46093.009999999995</v>
      </c>
      <c r="M139" s="4"/>
      <c r="N139" s="13">
        <f>IF(H139=0,0,L139/H139)</f>
        <v>-0.67188038423975616</v>
      </c>
      <c r="O139" s="10"/>
      <c r="P139" s="4">
        <v>547025.96000000008</v>
      </c>
      <c r="Q139" s="4"/>
      <c r="R139" s="13">
        <f>IF(P$12=0,0,P139/P$12)</f>
        <v>0.11841561751241443</v>
      </c>
      <c r="S139" s="4"/>
      <c r="T139" s="4">
        <v>845275</v>
      </c>
      <c r="U139" s="4"/>
      <c r="V139" s="13">
        <f>IF(T$12=0,0,T139/T$12)</f>
        <v>0.11582574841569039</v>
      </c>
      <c r="W139" s="4"/>
      <c r="X139" s="4">
        <f>+P139-T139</f>
        <v>-298249.03999999992</v>
      </c>
      <c r="Y139" s="4"/>
      <c r="Z139" s="13">
        <f>IF(T139=0,0,X139/T139)</f>
        <v>-0.35284261335068462</v>
      </c>
    </row>
    <row r="140" spans="1:26" x14ac:dyDescent="0.25">
      <c r="A140" s="9"/>
      <c r="B140" s="10"/>
      <c r="C140" s="10"/>
      <c r="D140" s="3"/>
      <c r="E140" s="3"/>
      <c r="F140" s="8"/>
      <c r="G140" s="3"/>
      <c r="H140" s="3"/>
      <c r="I140" s="3"/>
      <c r="J140" s="8"/>
      <c r="K140" s="3"/>
      <c r="L140" s="3"/>
      <c r="M140" s="3"/>
      <c r="N140" s="8"/>
      <c r="O140" s="10"/>
      <c r="P140" s="3"/>
      <c r="Q140" s="3"/>
      <c r="R140" s="8"/>
      <c r="S140" s="3"/>
      <c r="T140" s="3"/>
      <c r="U140" s="3"/>
      <c r="V140" s="8"/>
      <c r="W140" s="3"/>
      <c r="X140" s="3"/>
      <c r="Y140" s="3"/>
      <c r="Z140" s="8"/>
    </row>
    <row r="141" spans="1:26" s="23" customFormat="1" ht="15.75" thickBot="1" x14ac:dyDescent="0.3">
      <c r="A141" s="10"/>
      <c r="B141" s="29" t="s">
        <v>4</v>
      </c>
      <c r="C141" s="29"/>
      <c r="D141" s="35">
        <f>+D137-D139</f>
        <v>-171464.98</v>
      </c>
      <c r="E141" s="14"/>
      <c r="F141" s="32">
        <f>IF(D$12=0,0,D141/D$12)</f>
        <v>0</v>
      </c>
      <c r="G141" s="14"/>
      <c r="H141" s="35">
        <f>+H137-H139</f>
        <v>-22637.626970779616</v>
      </c>
      <c r="I141" s="14"/>
      <c r="J141" s="32">
        <f>IF(H$12=0,0,H141/H$12)</f>
        <v>-3.4794251231574508E-2</v>
      </c>
      <c r="K141" s="16"/>
      <c r="L141" s="35">
        <f>D141-H141</f>
        <v>-148827.35302922039</v>
      </c>
      <c r="M141" s="16"/>
      <c r="N141" s="32">
        <f>IF(H141=0,0,L141/H141)</f>
        <v>6.5743354292976468</v>
      </c>
      <c r="O141" s="28"/>
      <c r="P141" s="35">
        <f>+P137-P139</f>
        <v>-1580179.4000000013</v>
      </c>
      <c r="Q141" s="14"/>
      <c r="R141" s="32">
        <f>IF(P$12=0,0,P141/P$12)</f>
        <v>-0.34206405749262186</v>
      </c>
      <c r="S141" s="14"/>
      <c r="T141" s="35">
        <f>+T137-T139</f>
        <v>-405339.347857113</v>
      </c>
      <c r="U141" s="14"/>
      <c r="V141" s="32">
        <f>IF(T$12=0,0,T141/T$12)</f>
        <v>-5.5542555177756331E-2</v>
      </c>
      <c r="W141" s="16"/>
      <c r="X141" s="35">
        <f>P141-T141</f>
        <v>-1174840.0521428883</v>
      </c>
      <c r="Y141" s="16"/>
      <c r="Z141" s="32">
        <f>IF(T141=0,0,X141/T141)</f>
        <v>2.8984110680442345</v>
      </c>
    </row>
    <row r="142" spans="1:26" ht="15.75" thickTop="1" x14ac:dyDescent="0.25">
      <c r="A142" s="9"/>
      <c r="B142" s="9"/>
      <c r="C142" s="9"/>
      <c r="D142" s="3"/>
      <c r="E142" s="3"/>
      <c r="F142" s="8"/>
      <c r="G142" s="3"/>
      <c r="H142" s="3"/>
      <c r="I142" s="3"/>
      <c r="J142" s="8"/>
      <c r="K142" s="3"/>
      <c r="L142" s="3"/>
      <c r="M142" s="3"/>
      <c r="N142" s="8"/>
      <c r="P142" s="3"/>
      <c r="Q142" s="3"/>
      <c r="R142" s="8"/>
      <c r="S142" s="3"/>
      <c r="T142" s="3"/>
      <c r="U142" s="3"/>
      <c r="V142" s="8"/>
      <c r="W142" s="3"/>
      <c r="X142" s="3"/>
      <c r="Y142" s="3"/>
      <c r="Z142" s="8"/>
    </row>
    <row r="143" spans="1:26" x14ac:dyDescent="0.25">
      <c r="A143" s="9"/>
      <c r="B143" s="9"/>
      <c r="C143" s="9"/>
      <c r="D143" s="3"/>
      <c r="E143" s="3"/>
      <c r="F143" s="8"/>
      <c r="G143" s="3"/>
      <c r="H143" s="3"/>
      <c r="I143" s="3"/>
      <c r="J143" s="8"/>
      <c r="K143" s="3"/>
      <c r="L143" s="3"/>
      <c r="M143" s="3"/>
      <c r="N143" s="8"/>
      <c r="P143" s="3"/>
      <c r="Q143" s="3"/>
      <c r="R143" s="8"/>
      <c r="S143" s="3"/>
      <c r="T143" s="3"/>
      <c r="U143" s="3"/>
      <c r="V143" s="8"/>
      <c r="W143" s="3"/>
      <c r="X143" s="3"/>
      <c r="Y143" s="3"/>
      <c r="Z143" s="8"/>
    </row>
    <row r="144" spans="1:26" s="23" customFormat="1" ht="15.75" thickBot="1" x14ac:dyDescent="0.3">
      <c r="A144" s="10"/>
      <c r="B144" s="29" t="s">
        <v>5</v>
      </c>
      <c r="C144" s="29"/>
      <c r="D144" s="34">
        <f>SUM(D141:D143)</f>
        <v>-171464.98</v>
      </c>
      <c r="E144" s="14"/>
      <c r="F144" s="31">
        <f>IF(D$12=0,0,D144/D$12)</f>
        <v>0</v>
      </c>
      <c r="G144" s="14"/>
      <c r="H144" s="34">
        <f>SUM(H141:H143)</f>
        <v>-22637.626970779616</v>
      </c>
      <c r="I144" s="14"/>
      <c r="J144" s="31">
        <f>IF(H$12=0,0,H144/H$12)</f>
        <v>-3.4794251231574508E-2</v>
      </c>
      <c r="K144" s="16"/>
      <c r="L144" s="34">
        <f>+D144-H144</f>
        <v>-148827.35302922039</v>
      </c>
      <c r="M144" s="16"/>
      <c r="N144" s="31">
        <f>IF(H144=0,0,L144/H144)</f>
        <v>6.5743354292976468</v>
      </c>
      <c r="O144" s="28"/>
      <c r="P144" s="34">
        <f>SUM(P141:P143)</f>
        <v>-1580179.4000000013</v>
      </c>
      <c r="Q144" s="14"/>
      <c r="R144" s="31">
        <f>IF(P$12=0,0,P144/P$12)</f>
        <v>-0.34206405749262186</v>
      </c>
      <c r="S144" s="14"/>
      <c r="T144" s="34">
        <f>SUM(T141:T143)</f>
        <v>-405339.347857113</v>
      </c>
      <c r="U144" s="14"/>
      <c r="V144" s="31">
        <f>IF(T$12=0,0,T144/T$12)</f>
        <v>-5.5542555177756331E-2</v>
      </c>
      <c r="W144" s="16"/>
      <c r="X144" s="34">
        <f>+P144-T144</f>
        <v>-1174840.0521428883</v>
      </c>
      <c r="Y144" s="16"/>
      <c r="Z144" s="31">
        <f>IF(T144=0,0,X144/T144)</f>
        <v>2.8984110680442345</v>
      </c>
    </row>
    <row r="145" spans="1:24" ht="15.75" thickTop="1" x14ac:dyDescent="0.25">
      <c r="A145" s="9"/>
      <c r="C145" s="9"/>
      <c r="D145" s="18"/>
      <c r="E145" s="18"/>
      <c r="G145" s="18"/>
      <c r="H145" s="18"/>
      <c r="I145" s="18"/>
      <c r="J145" s="42"/>
      <c r="K145" s="18"/>
      <c r="L145" s="18"/>
      <c r="M145" s="18"/>
      <c r="P145" s="18"/>
      <c r="Q145" s="18"/>
      <c r="R145" s="42"/>
      <c r="S145" s="18"/>
      <c r="T145" s="18"/>
      <c r="U145" s="18"/>
      <c r="V145" s="42"/>
      <c r="W145" s="18"/>
      <c r="X145" s="18"/>
    </row>
    <row r="146" spans="1:24" x14ac:dyDescent="0.25">
      <c r="A146" s="9"/>
      <c r="B146" s="59">
        <v>43992.371219328707</v>
      </c>
      <c r="D146" s="18"/>
      <c r="E146" s="18"/>
      <c r="G146" s="18"/>
      <c r="H146" s="18"/>
      <c r="I146" s="18"/>
      <c r="J146" s="42"/>
      <c r="K146" s="18"/>
      <c r="L146" s="18"/>
      <c r="M146" s="18"/>
      <c r="P146" s="18"/>
      <c r="Q146" s="18"/>
      <c r="R146" s="42"/>
      <c r="S146" s="18"/>
      <c r="T146" s="18"/>
      <c r="U146" s="18"/>
      <c r="V146" s="42"/>
      <c r="W146" s="18"/>
      <c r="X146" s="18"/>
    </row>
    <row r="147" spans="1:24" x14ac:dyDescent="0.25">
      <c r="A147" s="9"/>
      <c r="B147" s="56" t="s">
        <v>314</v>
      </c>
      <c r="D147" s="18"/>
      <c r="E147" s="18"/>
      <c r="G147" s="18"/>
      <c r="H147" s="18"/>
      <c r="I147" s="18"/>
      <c r="J147" s="42"/>
      <c r="K147" s="18"/>
      <c r="L147" s="18"/>
      <c r="M147" s="18"/>
      <c r="P147" s="18"/>
      <c r="Q147" s="18"/>
      <c r="R147" s="42"/>
      <c r="S147" s="18"/>
      <c r="T147" s="18"/>
      <c r="U147" s="18"/>
      <c r="V147" s="42"/>
      <c r="W147" s="18"/>
      <c r="X147" s="18"/>
    </row>
    <row r="148" spans="1:24" x14ac:dyDescent="0.25">
      <c r="A148" s="9"/>
      <c r="B148" s="54"/>
      <c r="D148" s="18"/>
      <c r="E148" s="18"/>
      <c r="G148" s="18"/>
      <c r="H148" s="18"/>
      <c r="I148" s="18"/>
      <c r="J148" s="42"/>
      <c r="K148" s="18"/>
      <c r="L148" s="18"/>
      <c r="M148" s="18"/>
      <c r="P148" s="18"/>
      <c r="Q148" s="18"/>
      <c r="R148" s="42"/>
      <c r="S148" s="18"/>
      <c r="T148" s="18"/>
      <c r="U148" s="18"/>
      <c r="V148" s="42"/>
      <c r="W148" s="18"/>
      <c r="X148" s="18"/>
    </row>
    <row r="149" spans="1:24" x14ac:dyDescent="0.25">
      <c r="D149" s="18"/>
      <c r="E149" s="18"/>
      <c r="G149" s="18"/>
      <c r="H149" s="18"/>
      <c r="I149" s="18"/>
      <c r="J149" s="42"/>
      <c r="K149" s="18"/>
      <c r="L149" s="18"/>
      <c r="M149" s="18"/>
      <c r="P149" s="18"/>
      <c r="Q149" s="18"/>
      <c r="R149" s="42"/>
      <c r="S149" s="18"/>
      <c r="T149" s="18"/>
      <c r="U149" s="18"/>
      <c r="V149" s="42"/>
      <c r="W149" s="18"/>
      <c r="X149" s="18"/>
    </row>
  </sheetData>
  <pageMargins left="0.25" right="0.25" top="0.75" bottom="0.75" header="0.3" footer="0.3"/>
  <pageSetup scale="55" fitToWidth="2" orientation="landscape"/>
  <drawing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112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63" t="s">
        <v>13</v>
      </c>
    </row>
    <row r="3" spans="1:26" x14ac:dyDescent="0.25">
      <c r="D3" s="63" t="s">
        <v>296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61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63" t="str">
        <f>CONCATENATE("Period ",RIGHT(202011,2),", ",2020)</f>
        <v>Period 11, 2020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61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4">
        <v>43981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61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51"/>
      <c r="C6" s="51"/>
      <c r="D6" s="23" t="str">
        <f>CONCATENATE("Department ","405", " - ", "Library Starbucks")</f>
        <v>Department 405 - Library Starbucks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57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5" t="s">
        <v>294</v>
      </c>
      <c r="E9" s="15"/>
      <c r="F9" s="38"/>
      <c r="G9" s="15"/>
      <c r="H9" s="15"/>
      <c r="I9" s="15"/>
      <c r="J9" s="46"/>
      <c r="K9" s="15"/>
      <c r="L9" s="15"/>
      <c r="M9" s="15"/>
      <c r="N9" s="38"/>
      <c r="P9" s="15" t="s">
        <v>295</v>
      </c>
      <c r="Q9" s="15"/>
      <c r="R9" s="38"/>
      <c r="S9" s="15"/>
      <c r="T9" s="15"/>
      <c r="U9" s="15"/>
      <c r="V9" s="46"/>
      <c r="W9" s="15"/>
      <c r="X9" s="15"/>
      <c r="Y9" s="15"/>
      <c r="Z9" s="38"/>
    </row>
    <row r="10" spans="1:26" x14ac:dyDescent="0.25">
      <c r="A10" s="10"/>
      <c r="B10" s="55"/>
      <c r="C10" s="10"/>
      <c r="D10" s="43" t="s">
        <v>10</v>
      </c>
      <c r="E10" s="33"/>
      <c r="F10" s="40" t="s">
        <v>15</v>
      </c>
      <c r="G10" s="33"/>
      <c r="H10" s="47" t="s">
        <v>11</v>
      </c>
      <c r="I10" s="33"/>
      <c r="J10" s="45" t="s">
        <v>16</v>
      </c>
      <c r="K10" s="10"/>
      <c r="L10" s="43" t="s">
        <v>12</v>
      </c>
      <c r="M10" s="10"/>
      <c r="N10" s="40" t="s">
        <v>17</v>
      </c>
      <c r="O10" s="10"/>
      <c r="P10" s="53" t="s">
        <v>10</v>
      </c>
      <c r="Q10" s="33"/>
      <c r="R10" s="40" t="s">
        <v>15</v>
      </c>
      <c r="S10" s="33"/>
      <c r="T10" s="47" t="s">
        <v>11</v>
      </c>
      <c r="U10" s="33"/>
      <c r="V10" s="45" t="s">
        <v>16</v>
      </c>
      <c r="W10" s="10"/>
      <c r="X10" s="43" t="s">
        <v>12</v>
      </c>
      <c r="Y10" s="10"/>
      <c r="Z10" s="40" t="s">
        <v>17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0</v>
      </c>
      <c r="E12" s="4"/>
      <c r="F12" s="13"/>
      <c r="G12" s="4"/>
      <c r="H12" s="4">
        <f>SUM(OSRRefH13x_0)</f>
        <v>70000</v>
      </c>
      <c r="I12" s="4"/>
      <c r="J12" s="13"/>
      <c r="K12" s="4"/>
      <c r="L12" s="4">
        <f t="shared" ref="L12:L15" si="0">+D12-H12</f>
        <v>-70000</v>
      </c>
      <c r="M12" s="4"/>
      <c r="N12" s="13">
        <f t="shared" ref="N12:N15" si="1">IF(H12=0,0,L12/H12)</f>
        <v>-1</v>
      </c>
      <c r="O12" s="10"/>
      <c r="P12" s="4">
        <f>SUM(OSRRefP13x_0)</f>
        <v>721341.64</v>
      </c>
      <c r="Q12" s="4"/>
      <c r="R12" s="13"/>
      <c r="S12" s="4"/>
      <c r="T12" s="4">
        <f>SUM(OSRRefT13x_0)</f>
        <v>1146300</v>
      </c>
      <c r="U12" s="4"/>
      <c r="V12" s="13"/>
      <c r="W12" s="4"/>
      <c r="X12" s="4">
        <f t="shared" ref="X12:X15" si="2">+P12-T12</f>
        <v>-424958.36</v>
      </c>
      <c r="Y12" s="4"/>
      <c r="Z12" s="13">
        <f t="shared" ref="Z12:Z15" si="3">IF(T12=0,0,X12/T12)</f>
        <v>-0.37072176568088633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 t="shared" ref="D13:D15" si="4">0</f>
        <v>0</v>
      </c>
      <c r="E13" s="2"/>
      <c r="F13" s="19"/>
      <c r="G13" s="2"/>
      <c r="H13" s="2">
        <v>70000</v>
      </c>
      <c r="I13" s="2"/>
      <c r="J13" s="19"/>
      <c r="K13" s="2"/>
      <c r="L13" s="2">
        <f t="shared" si="0"/>
        <v>-70000</v>
      </c>
      <c r="M13" s="2"/>
      <c r="N13" s="19">
        <f t="shared" si="1"/>
        <v>-1</v>
      </c>
      <c r="O13" s="11"/>
      <c r="P13" s="2">
        <f>0</f>
        <v>0</v>
      </c>
      <c r="Q13" s="2"/>
      <c r="R13" s="19"/>
      <c r="S13" s="2"/>
      <c r="T13" s="2">
        <v>1146300</v>
      </c>
      <c r="U13" s="2"/>
      <c r="V13" s="19"/>
      <c r="W13" s="2"/>
      <c r="X13" s="2">
        <f t="shared" si="2"/>
        <v>-1146300</v>
      </c>
      <c r="Y13" s="2"/>
      <c r="Z13" s="19">
        <f t="shared" si="3"/>
        <v>-1</v>
      </c>
    </row>
    <row r="14" spans="1:26" s="24" customFormat="1" hidden="1" outlineLevel="1" x14ac:dyDescent="0.25">
      <c r="A14" s="44"/>
      <c r="B14" s="11" t="str">
        <f>CONCATENATE("          ", "4051", " - ", "TAXABLE SALES-FOOD")</f>
        <v xml:space="preserve">          4051 - TAXABLE SALES-FOOD</v>
      </c>
      <c r="C14" s="11"/>
      <c r="D14" s="2">
        <f t="shared" si="4"/>
        <v>0</v>
      </c>
      <c r="E14" s="2"/>
      <c r="F14" s="19"/>
      <c r="G14" s="2"/>
      <c r="H14" s="2"/>
      <c r="I14" s="2"/>
      <c r="J14" s="19"/>
      <c r="K14" s="2"/>
      <c r="L14" s="2">
        <f t="shared" si="0"/>
        <v>0</v>
      </c>
      <c r="M14" s="2"/>
      <c r="N14" s="19">
        <f t="shared" si="1"/>
        <v>0</v>
      </c>
      <c r="O14" s="11"/>
      <c r="P14" s="2">
        <f>--149614.63</f>
        <v>149614.63</v>
      </c>
      <c r="Q14" s="2"/>
      <c r="R14" s="19"/>
      <c r="S14" s="2"/>
      <c r="T14" s="2"/>
      <c r="U14" s="2"/>
      <c r="V14" s="19"/>
      <c r="W14" s="2"/>
      <c r="X14" s="2">
        <f t="shared" si="2"/>
        <v>149614.63</v>
      </c>
      <c r="Y14" s="2"/>
      <c r="Z14" s="19">
        <f t="shared" si="3"/>
        <v>0</v>
      </c>
    </row>
    <row r="15" spans="1:26" s="24" customFormat="1" hidden="1" outlineLevel="1" x14ac:dyDescent="0.25">
      <c r="A15" s="44"/>
      <c r="B15" s="11" t="str">
        <f>CONCATENATE("          ", "4151", " - ", "NON-TAXABLE SALES-FOOD")</f>
        <v xml:space="preserve">          4151 - NON-TAXABLE SALES-FOOD</v>
      </c>
      <c r="C15" s="11"/>
      <c r="D15" s="2">
        <f t="shared" si="4"/>
        <v>0</v>
      </c>
      <c r="E15" s="2"/>
      <c r="F15" s="19"/>
      <c r="G15" s="2"/>
      <c r="H15" s="2"/>
      <c r="I15" s="2"/>
      <c r="J15" s="19"/>
      <c r="K15" s="2"/>
      <c r="L15" s="2">
        <f t="shared" si="0"/>
        <v>0</v>
      </c>
      <c r="M15" s="2"/>
      <c r="N15" s="19">
        <f t="shared" si="1"/>
        <v>0</v>
      </c>
      <c r="O15" s="11"/>
      <c r="P15" s="2">
        <f>--571727.01</f>
        <v>571727.01</v>
      </c>
      <c r="Q15" s="2"/>
      <c r="R15" s="19"/>
      <c r="S15" s="2"/>
      <c r="T15" s="2"/>
      <c r="U15" s="2"/>
      <c r="V15" s="19"/>
      <c r="W15" s="2"/>
      <c r="X15" s="2">
        <f t="shared" si="2"/>
        <v>571727.01</v>
      </c>
      <c r="Y15" s="2"/>
      <c r="Z15" s="19">
        <f t="shared" si="3"/>
        <v>0</v>
      </c>
    </row>
    <row r="16" spans="1:26" x14ac:dyDescent="0.25">
      <c r="A16" s="9"/>
      <c r="B16" s="10"/>
      <c r="C16" s="9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3" customFormat="1" collapsed="1" x14ac:dyDescent="0.25">
      <c r="A17" s="10"/>
      <c r="B17" s="28" t="s">
        <v>8</v>
      </c>
      <c r="C17" s="10"/>
      <c r="D17" s="4">
        <f>SUM(OSRRefD16x_0)</f>
        <v>6898</v>
      </c>
      <c r="E17" s="4"/>
      <c r="F17" s="13">
        <f t="shared" ref="F17:F20" si="5">IF(D$12=0,0,D17/D$12)</f>
        <v>0</v>
      </c>
      <c r="G17" s="4"/>
      <c r="H17" s="4">
        <f>SUM(OSRRefH16x_0)</f>
        <v>22400</v>
      </c>
      <c r="I17" s="4"/>
      <c r="J17" s="13">
        <f t="shared" ref="J17:J20" si="6">IF(H$12=0,0,H17/H$12)</f>
        <v>0.32</v>
      </c>
      <c r="K17" s="4"/>
      <c r="L17" s="4">
        <f t="shared" ref="L17:L20" si="7">+D17-H17</f>
        <v>-15502</v>
      </c>
      <c r="M17" s="4"/>
      <c r="N17" s="13">
        <f t="shared" ref="N17:N20" si="8">IF(H17=0,0,L17/H17)</f>
        <v>-0.69205357142857138</v>
      </c>
      <c r="O17" s="10"/>
      <c r="P17" s="4">
        <f>SUM(OSRRefP16x_0)</f>
        <v>294688.14</v>
      </c>
      <c r="Q17" s="4"/>
      <c r="R17" s="13">
        <f t="shared" ref="R17:R20" si="9">IF(P$12=0,0,P17/P$12)</f>
        <v>0.40852783710087776</v>
      </c>
      <c r="S17" s="4"/>
      <c r="T17" s="4">
        <f>SUM(OSRRefT16x_0)</f>
        <v>366816</v>
      </c>
      <c r="U17" s="4"/>
      <c r="V17" s="13">
        <f t="shared" ref="V17:V20" si="10">IF(T$12=0,0,T17/T$12)</f>
        <v>0.32</v>
      </c>
      <c r="W17" s="4"/>
      <c r="X17" s="4">
        <f t="shared" ref="X17:X20" si="11">+P17-T17</f>
        <v>-72127.859999999986</v>
      </c>
      <c r="Y17" s="4"/>
      <c r="Z17" s="13">
        <f t="shared" ref="Z17:Z20" si="12">IF(T17=0,0,X17/T17)</f>
        <v>-0.19663226249672858</v>
      </c>
    </row>
    <row r="18" spans="1:26" s="24" customFormat="1" hidden="1" outlineLevel="1" x14ac:dyDescent="0.25">
      <c r="A18" s="44"/>
      <c r="B18" s="11" t="str">
        <f>CONCATENATE("          ", "5000", " - ", "PURCHASES @ COST")</f>
        <v xml:space="preserve">          5000 - PURCHASES @ COST</v>
      </c>
      <c r="C18" s="11"/>
      <c r="D18" s="2"/>
      <c r="E18" s="2"/>
      <c r="F18" s="19">
        <f t="shared" si="5"/>
        <v>0</v>
      </c>
      <c r="G18" s="2"/>
      <c r="H18" s="2">
        <v>22400</v>
      </c>
      <c r="I18" s="2"/>
      <c r="J18" s="19">
        <f t="shared" si="6"/>
        <v>0.32</v>
      </c>
      <c r="K18" s="2"/>
      <c r="L18" s="2">
        <f t="shared" si="7"/>
        <v>-22400</v>
      </c>
      <c r="M18" s="2"/>
      <c r="N18" s="19">
        <f t="shared" si="8"/>
        <v>-1</v>
      </c>
      <c r="O18" s="11"/>
      <c r="P18" s="2"/>
      <c r="Q18" s="2"/>
      <c r="R18" s="19">
        <f t="shared" si="9"/>
        <v>0</v>
      </c>
      <c r="S18" s="2"/>
      <c r="T18" s="2">
        <v>366816</v>
      </c>
      <c r="U18" s="2"/>
      <c r="V18" s="19">
        <f t="shared" si="10"/>
        <v>0.32</v>
      </c>
      <c r="W18" s="2"/>
      <c r="X18" s="2">
        <f t="shared" si="11"/>
        <v>-366816</v>
      </c>
      <c r="Y18" s="2"/>
      <c r="Z18" s="19">
        <f t="shared" si="12"/>
        <v>-1</v>
      </c>
    </row>
    <row r="19" spans="1:26" s="24" customFormat="1" hidden="1" outlineLevel="1" x14ac:dyDescent="0.25">
      <c r="A19" s="44"/>
      <c r="B19" s="11" t="str">
        <f>CONCATENATE("          ", "5053", " - ", "PURCHASES @ COST-FOOD")</f>
        <v xml:space="preserve">          5053 - PURCHASES @ COST-FOOD</v>
      </c>
      <c r="C19" s="11"/>
      <c r="D19" s="2"/>
      <c r="E19" s="2"/>
      <c r="F19" s="19">
        <f t="shared" si="5"/>
        <v>0</v>
      </c>
      <c r="G19" s="2"/>
      <c r="H19" s="2"/>
      <c r="I19" s="2"/>
      <c r="J19" s="19">
        <f t="shared" si="6"/>
        <v>0</v>
      </c>
      <c r="K19" s="2"/>
      <c r="L19" s="2">
        <f t="shared" si="7"/>
        <v>0</v>
      </c>
      <c r="M19" s="2"/>
      <c r="N19" s="19">
        <f t="shared" si="8"/>
        <v>0</v>
      </c>
      <c r="O19" s="11"/>
      <c r="P19" s="2">
        <v>288904.14</v>
      </c>
      <c r="Q19" s="2"/>
      <c r="R19" s="19">
        <f t="shared" si="9"/>
        <v>0.40050944515001241</v>
      </c>
      <c r="S19" s="2"/>
      <c r="T19" s="2"/>
      <c r="U19" s="2"/>
      <c r="V19" s="19">
        <f t="shared" si="10"/>
        <v>0</v>
      </c>
      <c r="W19" s="2"/>
      <c r="X19" s="2">
        <f t="shared" si="11"/>
        <v>288904.14</v>
      </c>
      <c r="Y19" s="2"/>
      <c r="Z19" s="19">
        <f t="shared" si="12"/>
        <v>0</v>
      </c>
    </row>
    <row r="20" spans="1:26" s="24" customFormat="1" hidden="1" outlineLevel="1" x14ac:dyDescent="0.25">
      <c r="A20" s="44"/>
      <c r="B20" s="11" t="str">
        <f>CONCATENATE("          ", "5059", " - ", "PURCHASES @ COST-FOOD")</f>
        <v xml:space="preserve">          5059 - PURCHASES @ COST-FOOD</v>
      </c>
      <c r="C20" s="11"/>
      <c r="D20" s="2">
        <v>6898</v>
      </c>
      <c r="E20" s="2"/>
      <c r="F20" s="19">
        <f t="shared" si="5"/>
        <v>0</v>
      </c>
      <c r="G20" s="2"/>
      <c r="H20" s="2"/>
      <c r="I20" s="2"/>
      <c r="J20" s="19">
        <f t="shared" si="6"/>
        <v>0</v>
      </c>
      <c r="K20" s="2"/>
      <c r="L20" s="2">
        <f t="shared" si="7"/>
        <v>6898</v>
      </c>
      <c r="M20" s="2"/>
      <c r="N20" s="19">
        <f t="shared" si="8"/>
        <v>0</v>
      </c>
      <c r="O20" s="11"/>
      <c r="P20" s="2">
        <v>5784</v>
      </c>
      <c r="Q20" s="2"/>
      <c r="R20" s="19">
        <f t="shared" si="9"/>
        <v>8.0183919508653341E-3</v>
      </c>
      <c r="S20" s="2"/>
      <c r="T20" s="2"/>
      <c r="U20" s="2"/>
      <c r="V20" s="19">
        <f t="shared" si="10"/>
        <v>0</v>
      </c>
      <c r="W20" s="2"/>
      <c r="X20" s="2">
        <f t="shared" si="11"/>
        <v>5784</v>
      </c>
      <c r="Y20" s="2"/>
      <c r="Z20" s="19">
        <f t="shared" si="12"/>
        <v>0</v>
      </c>
    </row>
    <row r="21" spans="1:26" x14ac:dyDescent="0.25">
      <c r="A21" s="9"/>
      <c r="B21" s="10"/>
      <c r="C21" s="10"/>
      <c r="D21" s="3"/>
      <c r="E21" s="3"/>
      <c r="F21" s="8"/>
      <c r="G21" s="3"/>
      <c r="H21" s="3"/>
      <c r="I21" s="3"/>
      <c r="J21" s="8"/>
      <c r="K21" s="3"/>
      <c r="L21" s="3"/>
      <c r="M21" s="3"/>
      <c r="N21" s="8"/>
      <c r="O21" s="10"/>
      <c r="P21" s="3"/>
      <c r="Q21" s="3"/>
      <c r="R21" s="8"/>
      <c r="S21" s="3"/>
      <c r="T21" s="3"/>
      <c r="U21" s="3"/>
      <c r="V21" s="8"/>
      <c r="W21" s="3"/>
      <c r="X21" s="3"/>
      <c r="Y21" s="3"/>
      <c r="Z21" s="8"/>
    </row>
    <row r="22" spans="1:26" s="23" customFormat="1" x14ac:dyDescent="0.25">
      <c r="A22" s="10"/>
      <c r="B22" s="29" t="s">
        <v>6</v>
      </c>
      <c r="C22" s="29"/>
      <c r="D22" s="20">
        <f>D12-D17</f>
        <v>-6898</v>
      </c>
      <c r="E22" s="14"/>
      <c r="F22" s="22">
        <f>IF(D$12=0,0,D22/D$12)</f>
        <v>0</v>
      </c>
      <c r="G22" s="14"/>
      <c r="H22" s="20">
        <f>H12-H17</f>
        <v>47600</v>
      </c>
      <c r="I22" s="14"/>
      <c r="J22" s="22">
        <f>IF(H$12=0,0,H22/H$12)</f>
        <v>0.68</v>
      </c>
      <c r="K22" s="16"/>
      <c r="L22" s="20">
        <f>+D22-H22</f>
        <v>-54498</v>
      </c>
      <c r="M22" s="16"/>
      <c r="N22" s="22">
        <f>IF(H22=0,0,L22/H22)</f>
        <v>-1.1449159663865547</v>
      </c>
      <c r="O22" s="28"/>
      <c r="P22" s="20">
        <f>P12-P17</f>
        <v>426653.5</v>
      </c>
      <c r="Q22" s="14"/>
      <c r="R22" s="22">
        <f>IF(P$12=0,0,P22/P$12)</f>
        <v>0.59147216289912219</v>
      </c>
      <c r="S22" s="14"/>
      <c r="T22" s="20">
        <f>T12-T17</f>
        <v>779484</v>
      </c>
      <c r="U22" s="14"/>
      <c r="V22" s="22">
        <f>IF(T$12=0,0,T22/T$12)</f>
        <v>0.68</v>
      </c>
      <c r="W22" s="16"/>
      <c r="X22" s="20">
        <f>+P22-T22</f>
        <v>-352830.5</v>
      </c>
      <c r="Y22" s="16"/>
      <c r="Z22" s="22">
        <f>IF(T22=0,0,X22/T22)</f>
        <v>-0.45264623776754881</v>
      </c>
    </row>
    <row r="23" spans="1:26" x14ac:dyDescent="0.25">
      <c r="A23" s="9"/>
      <c r="B23" s="10"/>
      <c r="C23" s="9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x14ac:dyDescent="0.25">
      <c r="A24" s="10"/>
      <c r="B24" s="28" t="s">
        <v>9</v>
      </c>
      <c r="C24" s="10"/>
      <c r="D24" s="21">
        <f>SUM(OSRRefD22x_0)</f>
        <v>9736.06</v>
      </c>
      <c r="E24" s="21"/>
      <c r="F24" s="30">
        <f t="shared" ref="F24:F34" si="13">IF(D$12=0,0,D24/D$12)</f>
        <v>0</v>
      </c>
      <c r="G24" s="21"/>
      <c r="H24" s="21">
        <f>SUM(OSRRefH22x_0)</f>
        <v>46978.020669600002</v>
      </c>
      <c r="I24" s="21"/>
      <c r="J24" s="30">
        <f t="shared" ref="J24:J34" si="14">IF(H$12=0,0,H24/H$12)</f>
        <v>0.67111458099428578</v>
      </c>
      <c r="K24" s="4"/>
      <c r="L24" s="21">
        <f t="shared" ref="L24:L34" si="15">+D24-H24</f>
        <v>-37241.960669600005</v>
      </c>
      <c r="M24" s="4"/>
      <c r="N24" s="30">
        <f t="shared" ref="N24:N34" si="16">IF(H24=0,0,L24/H24)</f>
        <v>-0.79275286908159781</v>
      </c>
      <c r="O24" s="10"/>
      <c r="P24" s="21">
        <f>SUM(OSRRefP22x_0)</f>
        <v>525784.86</v>
      </c>
      <c r="Q24" s="21"/>
      <c r="R24" s="30">
        <f t="shared" ref="R24:R34" si="17">IF(P$12=0,0,P24/P$12)</f>
        <v>0.72889852858071524</v>
      </c>
      <c r="S24" s="21"/>
      <c r="T24" s="21">
        <f>SUM(OSRRefT22x_0)</f>
        <v>612724.48766240012</v>
      </c>
      <c r="U24" s="21"/>
      <c r="V24" s="30">
        <f t="shared" ref="V24:V34" si="18">IF(T$12=0,0,T24/T$12)</f>
        <v>0.53452367413626456</v>
      </c>
      <c r="W24" s="4"/>
      <c r="X24" s="21">
        <f t="shared" ref="X24:X34" si="19">+P24-T24</f>
        <v>-86939.627662400133</v>
      </c>
      <c r="Y24" s="4"/>
      <c r="Z24" s="30">
        <f t="shared" ref="Z24:Z34" si="20">IF(T24=0,0,X24/T24)</f>
        <v>-0.14189024498446726</v>
      </c>
    </row>
    <row r="25" spans="1:26" s="27" customFormat="1" outlineLevel="1" collapsed="1" x14ac:dyDescent="0.25">
      <c r="A25" s="25"/>
      <c r="B25" s="12" t="str">
        <f>CONCATENATE("     ","*Benefits                                         ")</f>
        <v xml:space="preserve">     *Benefits                                         </v>
      </c>
      <c r="C25" s="12"/>
      <c r="D25" s="1">
        <f>SUM(OSRRefD22_0x_0)</f>
        <v>0</v>
      </c>
      <c r="E25" s="1"/>
      <c r="F25" s="5">
        <f t="shared" si="13"/>
        <v>0</v>
      </c>
      <c r="G25" s="1"/>
      <c r="H25" s="1">
        <f>SUM(OSRRefH22_0x_0)</f>
        <v>12403.870023446154</v>
      </c>
      <c r="I25" s="1"/>
      <c r="J25" s="5">
        <f t="shared" si="14"/>
        <v>0.1771981431920879</v>
      </c>
      <c r="K25" s="1"/>
      <c r="L25" s="1">
        <f t="shared" si="15"/>
        <v>-12403.870023446154</v>
      </c>
      <c r="M25" s="1"/>
      <c r="N25" s="5">
        <f t="shared" si="16"/>
        <v>-1</v>
      </c>
      <c r="O25" s="12"/>
      <c r="P25" s="1">
        <f>SUM(OSRRefP22_0x_0)</f>
        <v>44026.969999999994</v>
      </c>
      <c r="Q25" s="1"/>
      <c r="R25" s="5">
        <f t="shared" si="17"/>
        <v>6.1034837805841895E-2</v>
      </c>
      <c r="S25" s="1"/>
      <c r="T25" s="1">
        <f>SUM(OSRRefT22_0x_0)</f>
        <v>83574.631908553885</v>
      </c>
      <c r="U25" s="1"/>
      <c r="V25" s="5">
        <f t="shared" si="18"/>
        <v>7.2908167066696228E-2</v>
      </c>
      <c r="W25" s="1"/>
      <c r="X25" s="1">
        <f t="shared" si="19"/>
        <v>-39547.661908553891</v>
      </c>
      <c r="Y25" s="1"/>
      <c r="Z25" s="5">
        <f t="shared" si="20"/>
        <v>-0.47320174801160181</v>
      </c>
    </row>
    <row r="26" spans="1:26" s="24" customFormat="1" hidden="1" outlineLevel="2" x14ac:dyDescent="0.25">
      <c r="A26" s="26"/>
      <c r="B26" s="11" t="str">
        <f>CONCATENATE("          ", "6111", " - ", "F.I.C.A.")</f>
        <v xml:space="preserve">          6111 - F.I.C.A.</v>
      </c>
      <c r="C26" s="11"/>
      <c r="D26" s="7"/>
      <c r="E26" s="2"/>
      <c r="F26" s="6">
        <f t="shared" si="13"/>
        <v>0</v>
      </c>
      <c r="G26" s="2"/>
      <c r="H26" s="7">
        <v>724.52340313846196</v>
      </c>
      <c r="I26" s="2"/>
      <c r="J26" s="6">
        <f t="shared" si="14"/>
        <v>1.0350334330549457E-2</v>
      </c>
      <c r="K26" s="2"/>
      <c r="L26" s="7">
        <f t="shared" si="15"/>
        <v>-724.52340313846196</v>
      </c>
      <c r="M26" s="2"/>
      <c r="N26" s="6">
        <f t="shared" si="16"/>
        <v>-1</v>
      </c>
      <c r="O26" s="11"/>
      <c r="P26" s="7">
        <v>9200.35</v>
      </c>
      <c r="Q26" s="2"/>
      <c r="R26" s="6">
        <f t="shared" si="17"/>
        <v>1.2754497300336079E-2</v>
      </c>
      <c r="S26" s="2"/>
      <c r="T26" s="7">
        <v>10133.04483766154</v>
      </c>
      <c r="U26" s="2"/>
      <c r="V26" s="6">
        <f t="shared" si="18"/>
        <v>8.8397843825015615E-3</v>
      </c>
      <c r="W26" s="2"/>
      <c r="X26" s="7">
        <f t="shared" si="19"/>
        <v>-932.69483766154008</v>
      </c>
      <c r="Y26" s="2"/>
      <c r="Z26" s="6">
        <f t="shared" si="20"/>
        <v>-9.2044874231187485E-2</v>
      </c>
    </row>
    <row r="27" spans="1:26" s="24" customFormat="1" hidden="1" outlineLevel="2" x14ac:dyDescent="0.25">
      <c r="A27" s="26"/>
      <c r="B27" s="11" t="str">
        <f>CONCATENATE("          ", "6112", " - ", "COMPENSATION INSURANCE")</f>
        <v xml:space="preserve">          6112 - COMPENSATION INSURANCE</v>
      </c>
      <c r="C27" s="11"/>
      <c r="D27" s="7"/>
      <c r="E27" s="2"/>
      <c r="F27" s="6">
        <f t="shared" si="13"/>
        <v>0</v>
      </c>
      <c r="G27" s="2"/>
      <c r="H27" s="7">
        <v>682.07224369230801</v>
      </c>
      <c r="I27" s="2"/>
      <c r="J27" s="6">
        <f t="shared" si="14"/>
        <v>9.7438891956043994E-3</v>
      </c>
      <c r="K27" s="2"/>
      <c r="L27" s="7">
        <f t="shared" si="15"/>
        <v>-682.07224369230801</v>
      </c>
      <c r="M27" s="2"/>
      <c r="N27" s="6">
        <f t="shared" si="16"/>
        <v>-1</v>
      </c>
      <c r="O27" s="11"/>
      <c r="P27" s="7">
        <v>8884.57</v>
      </c>
      <c r="Q27" s="2"/>
      <c r="R27" s="6">
        <f t="shared" si="17"/>
        <v>1.2316729698288316E-2</v>
      </c>
      <c r="S27" s="2"/>
      <c r="T27" s="7">
        <v>11779.805186707699</v>
      </c>
      <c r="U27" s="2"/>
      <c r="V27" s="6">
        <f t="shared" si="18"/>
        <v>1.0276371967816191E-2</v>
      </c>
      <c r="W27" s="2"/>
      <c r="X27" s="7">
        <f t="shared" si="19"/>
        <v>-2895.2351867076995</v>
      </c>
      <c r="Y27" s="2"/>
      <c r="Z27" s="6">
        <f t="shared" si="20"/>
        <v>-0.24577954735403224</v>
      </c>
    </row>
    <row r="28" spans="1:26" s="24" customFormat="1" hidden="1" outlineLevel="2" x14ac:dyDescent="0.25">
      <c r="A28" s="26"/>
      <c r="B28" s="11" t="str">
        <f>CONCATENATE("          ", "6113", " - ", "GROUP INSURANCE")</f>
        <v xml:space="preserve">          6113 - GROUP INSURANCE</v>
      </c>
      <c r="C28" s="11"/>
      <c r="D28" s="7"/>
      <c r="E28" s="2"/>
      <c r="F28" s="6">
        <f t="shared" si="13"/>
        <v>0</v>
      </c>
      <c r="G28" s="2"/>
      <c r="H28" s="7">
        <v>1326</v>
      </c>
      <c r="I28" s="2"/>
      <c r="J28" s="6">
        <f t="shared" si="14"/>
        <v>1.8942857142857143E-2</v>
      </c>
      <c r="K28" s="2"/>
      <c r="L28" s="7">
        <f t="shared" si="15"/>
        <v>-1326</v>
      </c>
      <c r="M28" s="2"/>
      <c r="N28" s="6">
        <f t="shared" si="16"/>
        <v>-1</v>
      </c>
      <c r="O28" s="11"/>
      <c r="P28" s="7">
        <v>12146.21</v>
      </c>
      <c r="Q28" s="2"/>
      <c r="R28" s="6">
        <f t="shared" si="17"/>
        <v>1.6838359698741361E-2</v>
      </c>
      <c r="S28" s="2"/>
      <c r="T28" s="7">
        <v>14586</v>
      </c>
      <c r="U28" s="2"/>
      <c r="V28" s="6">
        <f t="shared" si="18"/>
        <v>1.2724417691703743E-2</v>
      </c>
      <c r="W28" s="2"/>
      <c r="X28" s="7">
        <f t="shared" si="19"/>
        <v>-2439.7900000000009</v>
      </c>
      <c r="Y28" s="2"/>
      <c r="Z28" s="6">
        <f t="shared" si="20"/>
        <v>-0.16726929932812293</v>
      </c>
    </row>
    <row r="29" spans="1:26" s="24" customFormat="1" hidden="1" outlineLevel="2" x14ac:dyDescent="0.25">
      <c r="A29" s="26"/>
      <c r="B29" s="11" t="str">
        <f>CONCATENATE("          ", "6114", " - ", "STATE UNEMPLOYMENT INSURANCE")</f>
        <v xml:space="preserve">          6114 - STATE UNEMPLOYMENT INSURANCE</v>
      </c>
      <c r="C29" s="11"/>
      <c r="D29" s="7"/>
      <c r="E29" s="2"/>
      <c r="F29" s="6">
        <f t="shared" si="13"/>
        <v>0</v>
      </c>
      <c r="G29" s="2"/>
      <c r="H29" s="7">
        <v>45.705871999999999</v>
      </c>
      <c r="I29" s="2"/>
      <c r="J29" s="6">
        <f t="shared" si="14"/>
        <v>6.5294102857142852E-4</v>
      </c>
      <c r="K29" s="2"/>
      <c r="L29" s="7">
        <f t="shared" si="15"/>
        <v>-45.705871999999999</v>
      </c>
      <c r="M29" s="2"/>
      <c r="N29" s="6">
        <f t="shared" si="16"/>
        <v>-1</v>
      </c>
      <c r="O29" s="11"/>
      <c r="P29" s="7">
        <v>699.48</v>
      </c>
      <c r="Q29" s="2"/>
      <c r="R29" s="6">
        <f t="shared" si="17"/>
        <v>9.6969308468037425E-4</v>
      </c>
      <c r="S29" s="2"/>
      <c r="T29" s="7">
        <v>789.36838880000005</v>
      </c>
      <c r="U29" s="2"/>
      <c r="V29" s="6">
        <f t="shared" si="18"/>
        <v>6.8862286382273411E-4</v>
      </c>
      <c r="W29" s="2"/>
      <c r="X29" s="7">
        <f t="shared" si="19"/>
        <v>-89.88838880000003</v>
      </c>
      <c r="Y29" s="2"/>
      <c r="Z29" s="6">
        <f t="shared" si="20"/>
        <v>-0.11387381364061031</v>
      </c>
    </row>
    <row r="30" spans="1:26" s="24" customFormat="1" hidden="1" outlineLevel="2" x14ac:dyDescent="0.25">
      <c r="A30" s="26"/>
      <c r="B30" s="11" t="str">
        <f>CONCATENATE("          ", "6115", " - ", "P.E.R.S.")</f>
        <v xml:space="preserve">          6115 - P.E.R.S.</v>
      </c>
      <c r="C30" s="11"/>
      <c r="D30" s="7"/>
      <c r="E30" s="2"/>
      <c r="F30" s="6">
        <f t="shared" si="13"/>
        <v>0</v>
      </c>
      <c r="G30" s="2"/>
      <c r="H30" s="7">
        <v>814.17761230769202</v>
      </c>
      <c r="I30" s="2"/>
      <c r="J30" s="6">
        <f t="shared" si="14"/>
        <v>1.1631108747252743E-2</v>
      </c>
      <c r="K30" s="2"/>
      <c r="L30" s="7">
        <f t="shared" si="15"/>
        <v>-814.17761230769202</v>
      </c>
      <c r="M30" s="2"/>
      <c r="N30" s="6">
        <f t="shared" si="16"/>
        <v>-1</v>
      </c>
      <c r="O30" s="11"/>
      <c r="P30" s="7">
        <v>6335.08</v>
      </c>
      <c r="Q30" s="2"/>
      <c r="R30" s="6">
        <f t="shared" si="17"/>
        <v>8.7823572752572555E-3</v>
      </c>
      <c r="S30" s="2"/>
      <c r="T30" s="7">
        <v>9770.1313476923242</v>
      </c>
      <c r="U30" s="2"/>
      <c r="V30" s="6">
        <f t="shared" si="18"/>
        <v>8.5231888229017928E-3</v>
      </c>
      <c r="W30" s="2"/>
      <c r="X30" s="7">
        <f t="shared" si="19"/>
        <v>-3435.0513476923243</v>
      </c>
      <c r="Y30" s="2"/>
      <c r="Z30" s="6">
        <f t="shared" si="20"/>
        <v>-0.35158701817285937</v>
      </c>
    </row>
    <row r="31" spans="1:26" s="24" customFormat="1" hidden="1" outlineLevel="2" x14ac:dyDescent="0.25">
      <c r="A31" s="26"/>
      <c r="B31" s="11" t="str">
        <f>CONCATENATE("          ", "6116", " - ", "EDUCATIONAL BENEFITS")</f>
        <v xml:space="preserve">          6116 - EDUCATIONAL BENEFITS</v>
      </c>
      <c r="C31" s="11"/>
      <c r="D31" s="7"/>
      <c r="E31" s="2"/>
      <c r="F31" s="6">
        <f t="shared" si="13"/>
        <v>0</v>
      </c>
      <c r="G31" s="2"/>
      <c r="H31" s="7">
        <v>8000</v>
      </c>
      <c r="I31" s="2"/>
      <c r="J31" s="6">
        <f t="shared" si="14"/>
        <v>0.11428571428571428</v>
      </c>
      <c r="K31" s="2"/>
      <c r="L31" s="7">
        <f t="shared" si="15"/>
        <v>-8000</v>
      </c>
      <c r="M31" s="2"/>
      <c r="N31" s="6">
        <f t="shared" si="16"/>
        <v>-1</v>
      </c>
      <c r="O31" s="11"/>
      <c r="P31" s="7"/>
      <c r="Q31" s="2"/>
      <c r="R31" s="6">
        <f t="shared" si="17"/>
        <v>0</v>
      </c>
      <c r="S31" s="2"/>
      <c r="T31" s="7">
        <v>24000</v>
      </c>
      <c r="U31" s="2"/>
      <c r="V31" s="6">
        <f t="shared" si="18"/>
        <v>2.0936927505888509E-2</v>
      </c>
      <c r="W31" s="2"/>
      <c r="X31" s="7">
        <f t="shared" si="19"/>
        <v>-24000</v>
      </c>
      <c r="Y31" s="2"/>
      <c r="Z31" s="6">
        <f t="shared" si="20"/>
        <v>-1</v>
      </c>
    </row>
    <row r="32" spans="1:26" s="24" customFormat="1" hidden="1" outlineLevel="2" x14ac:dyDescent="0.25">
      <c r="A32" s="26"/>
      <c r="B32" s="11" t="str">
        <f>CONCATENATE("          ", "6118", " - ", "VACATION")</f>
        <v xml:space="preserve">          6118 - VACATION</v>
      </c>
      <c r="C32" s="11"/>
      <c r="D32" s="7"/>
      <c r="E32" s="2"/>
      <c r="F32" s="6">
        <f t="shared" si="13"/>
        <v>0</v>
      </c>
      <c r="G32" s="2"/>
      <c r="H32" s="7">
        <v>284.01544615384603</v>
      </c>
      <c r="I32" s="2"/>
      <c r="J32" s="6">
        <f t="shared" si="14"/>
        <v>4.0573635164835144E-3</v>
      </c>
      <c r="K32" s="2"/>
      <c r="L32" s="7">
        <f t="shared" si="15"/>
        <v>-284.01544615384603</v>
      </c>
      <c r="M32" s="2"/>
      <c r="N32" s="6">
        <f t="shared" si="16"/>
        <v>-1</v>
      </c>
      <c r="O32" s="11"/>
      <c r="P32" s="7">
        <v>3696.18</v>
      </c>
      <c r="Q32" s="2"/>
      <c r="R32" s="6">
        <f t="shared" si="17"/>
        <v>5.1240352629580623E-3</v>
      </c>
      <c r="S32" s="2"/>
      <c r="T32" s="7">
        <v>3408.1853538461542</v>
      </c>
      <c r="U32" s="2"/>
      <c r="V32" s="6">
        <f t="shared" si="18"/>
        <v>2.9732054033378297E-3</v>
      </c>
      <c r="W32" s="2"/>
      <c r="X32" s="7">
        <f t="shared" si="19"/>
        <v>287.99464615384568</v>
      </c>
      <c r="Y32" s="2"/>
      <c r="Z32" s="6">
        <f t="shared" si="20"/>
        <v>8.4500875467011294E-2</v>
      </c>
    </row>
    <row r="33" spans="1:26" s="24" customFormat="1" hidden="1" outlineLevel="2" x14ac:dyDescent="0.25">
      <c r="A33" s="26"/>
      <c r="B33" s="11" t="str">
        <f>CONCATENATE("          ", "6119", " - ", "SICK LEAVE")</f>
        <v xml:space="preserve">          6119 - SICK LEAVE</v>
      </c>
      <c r="C33" s="11"/>
      <c r="D33" s="7"/>
      <c r="E33" s="2"/>
      <c r="F33" s="6">
        <f t="shared" si="13"/>
        <v>0</v>
      </c>
      <c r="G33" s="2"/>
      <c r="H33" s="7">
        <v>527.37544615384593</v>
      </c>
      <c r="I33" s="2"/>
      <c r="J33" s="6">
        <f t="shared" si="14"/>
        <v>7.5339349450549422E-3</v>
      </c>
      <c r="K33" s="2"/>
      <c r="L33" s="7">
        <f t="shared" si="15"/>
        <v>-527.37544615384593</v>
      </c>
      <c r="M33" s="2"/>
      <c r="N33" s="6">
        <f t="shared" si="16"/>
        <v>-1</v>
      </c>
      <c r="O33" s="11"/>
      <c r="P33" s="7">
        <v>508.77</v>
      </c>
      <c r="Q33" s="2"/>
      <c r="R33" s="6">
        <f t="shared" si="17"/>
        <v>7.0531073181911411E-4</v>
      </c>
      <c r="S33" s="2"/>
      <c r="T33" s="7">
        <v>9108.0967938461563</v>
      </c>
      <c r="U33" s="2"/>
      <c r="V33" s="6">
        <f t="shared" si="18"/>
        <v>7.9456484287238564E-3</v>
      </c>
      <c r="W33" s="2"/>
      <c r="X33" s="7">
        <f t="shared" si="19"/>
        <v>-8599.3267938461559</v>
      </c>
      <c r="Y33" s="2"/>
      <c r="Z33" s="6">
        <f t="shared" si="20"/>
        <v>-0.94414090983928189</v>
      </c>
    </row>
    <row r="34" spans="1:26" s="24" customFormat="1" hidden="1" outlineLevel="2" x14ac:dyDescent="0.25">
      <c r="A34" s="26"/>
      <c r="B34" s="11" t="str">
        <f>CONCATENATE("          ", "6156", " - ", "EMPLOYEE MEALS")</f>
        <v xml:space="preserve">          6156 - EMPLOYEE MEALS</v>
      </c>
      <c r="C34" s="11"/>
      <c r="D34" s="7"/>
      <c r="E34" s="2"/>
      <c r="F34" s="6">
        <f t="shared" si="13"/>
        <v>0</v>
      </c>
      <c r="G34" s="2"/>
      <c r="H34" s="7"/>
      <c r="I34" s="2"/>
      <c r="J34" s="6">
        <f t="shared" si="14"/>
        <v>0</v>
      </c>
      <c r="K34" s="2"/>
      <c r="L34" s="7">
        <f t="shared" si="15"/>
        <v>0</v>
      </c>
      <c r="M34" s="2"/>
      <c r="N34" s="6">
        <f t="shared" si="16"/>
        <v>0</v>
      </c>
      <c r="O34" s="11"/>
      <c r="P34" s="7">
        <v>2556.33</v>
      </c>
      <c r="Q34" s="2"/>
      <c r="R34" s="6">
        <f t="shared" si="17"/>
        <v>3.5438547537613384E-3</v>
      </c>
      <c r="S34" s="2"/>
      <c r="T34" s="7"/>
      <c r="U34" s="2"/>
      <c r="V34" s="6">
        <f t="shared" si="18"/>
        <v>0</v>
      </c>
      <c r="W34" s="2"/>
      <c r="X34" s="7">
        <f t="shared" si="19"/>
        <v>2556.33</v>
      </c>
      <c r="Y34" s="2"/>
      <c r="Z34" s="6">
        <f t="shared" si="20"/>
        <v>0</v>
      </c>
    </row>
    <row r="35" spans="1:26" s="27" customFormat="1" outlineLevel="1" collapsed="1" x14ac:dyDescent="0.25">
      <c r="A35" s="25"/>
      <c r="B35" s="12" t="str">
        <f>CONCATENATE("     ","*Payroll                                          ")</f>
        <v xml:space="preserve">     *Payroll                                          </v>
      </c>
      <c r="C35" s="12"/>
      <c r="D35" s="1">
        <f>SUM(OSRRefD22_1x_0)</f>
        <v>0</v>
      </c>
      <c r="E35" s="1"/>
      <c r="F35" s="5">
        <f t="shared" ref="F35:F45" si="21">IF(D$12=0,0,D35/D$12)</f>
        <v>0</v>
      </c>
      <c r="G35" s="1"/>
      <c r="H35" s="1">
        <f>SUM(OSRRefH22_1x_0)</f>
        <v>17011.150646153852</v>
      </c>
      <c r="I35" s="1"/>
      <c r="J35" s="5">
        <f t="shared" ref="J35:J45" si="22">IF(H$12=0,0,H35/H$12)</f>
        <v>0.24301643780219789</v>
      </c>
      <c r="K35" s="1"/>
      <c r="L35" s="1">
        <f t="shared" ref="L35:L45" si="23">+D35-H35</f>
        <v>-17011.150646153852</v>
      </c>
      <c r="M35" s="1"/>
      <c r="N35" s="5">
        <f t="shared" ref="N35:N45" si="24">IF(H35=0,0,L35/H35)</f>
        <v>-1</v>
      </c>
      <c r="O35" s="12"/>
      <c r="P35" s="1">
        <f>SUM(OSRRefP22_1x_0)</f>
        <v>247791.51</v>
      </c>
      <c r="Q35" s="1"/>
      <c r="R35" s="5">
        <f t="shared" ref="R35:R45" si="25">IF(P$12=0,0,P35/P$12)</f>
        <v>0.34351477338809944</v>
      </c>
      <c r="S35" s="1"/>
      <c r="T35" s="1">
        <f>SUM(OSRRefT22_1x_0)</f>
        <v>296786.85575384618</v>
      </c>
      <c r="U35" s="1"/>
      <c r="V35" s="5">
        <f t="shared" ref="V35:V45" si="26">IF(T$12=0,0,T35/T$12)</f>
        <v>0.25890853681745285</v>
      </c>
      <c r="W35" s="1"/>
      <c r="X35" s="1">
        <f t="shared" ref="X35:X45" si="27">+P35-T35</f>
        <v>-48995.345753846166</v>
      </c>
      <c r="Y35" s="1"/>
      <c r="Z35" s="5">
        <f t="shared" ref="Z35:Z45" si="28">IF(T35=0,0,X35/T35)</f>
        <v>-0.16508596928727434</v>
      </c>
    </row>
    <row r="36" spans="1:26" s="24" customFormat="1" hidden="1" outlineLevel="2" x14ac:dyDescent="0.25">
      <c r="A36" s="26"/>
      <c r="B36" s="11" t="str">
        <f>CONCATENATE("          ", "6001", " - ", "ADMINISTRATIVE SALARIES")</f>
        <v xml:space="preserve">          6001 - ADMINISTRATIVE SALARIES</v>
      </c>
      <c r="C36" s="11"/>
      <c r="D36" s="7"/>
      <c r="E36" s="2"/>
      <c r="F36" s="6">
        <f t="shared" si="21"/>
        <v>0</v>
      </c>
      <c r="G36" s="2"/>
      <c r="H36" s="7">
        <v>0</v>
      </c>
      <c r="I36" s="2"/>
      <c r="J36" s="6">
        <f t="shared" si="22"/>
        <v>0</v>
      </c>
      <c r="K36" s="2"/>
      <c r="L36" s="7">
        <f t="shared" si="23"/>
        <v>0</v>
      </c>
      <c r="M36" s="2"/>
      <c r="N36" s="6">
        <f t="shared" si="24"/>
        <v>0</v>
      </c>
      <c r="O36" s="11"/>
      <c r="P36" s="7"/>
      <c r="Q36" s="2"/>
      <c r="R36" s="6">
        <f t="shared" si="25"/>
        <v>0</v>
      </c>
      <c r="S36" s="2"/>
      <c r="T36" s="7">
        <v>0</v>
      </c>
      <c r="U36" s="2"/>
      <c r="V36" s="6">
        <f t="shared" si="26"/>
        <v>0</v>
      </c>
      <c r="W36" s="2"/>
      <c r="X36" s="7">
        <f t="shared" si="27"/>
        <v>0</v>
      </c>
      <c r="Y36" s="2"/>
      <c r="Z36" s="6">
        <f t="shared" si="28"/>
        <v>0</v>
      </c>
    </row>
    <row r="37" spans="1:26" s="24" customFormat="1" hidden="1" outlineLevel="2" x14ac:dyDescent="0.25">
      <c r="A37" s="26"/>
      <c r="B37" s="11" t="str">
        <f>CONCATENATE("          ", "6002", " - ", "STAFF SALARIES")</f>
        <v xml:space="preserve">          6002 - STAFF SALARIES</v>
      </c>
      <c r="C37" s="11"/>
      <c r="D37" s="7"/>
      <c r="E37" s="2"/>
      <c r="F37" s="6">
        <f t="shared" si="21"/>
        <v>0</v>
      </c>
      <c r="G37" s="2"/>
      <c r="H37" s="7">
        <v>8899.1506461538502</v>
      </c>
      <c r="I37" s="2"/>
      <c r="J37" s="6">
        <f t="shared" si="22"/>
        <v>0.12713072351648358</v>
      </c>
      <c r="K37" s="2"/>
      <c r="L37" s="7">
        <f t="shared" si="23"/>
        <v>-8899.1506461538502</v>
      </c>
      <c r="M37" s="2"/>
      <c r="N37" s="6">
        <f t="shared" si="24"/>
        <v>-1</v>
      </c>
      <c r="O37" s="11"/>
      <c r="P37" s="7">
        <v>97485.84</v>
      </c>
      <c r="Q37" s="2"/>
      <c r="R37" s="6">
        <f t="shared" si="25"/>
        <v>0.13514517198813034</v>
      </c>
      <c r="S37" s="2"/>
      <c r="T37" s="7">
        <v>106789.80775384615</v>
      </c>
      <c r="U37" s="2"/>
      <c r="V37" s="6">
        <f t="shared" si="26"/>
        <v>9.3160435971251981E-2</v>
      </c>
      <c r="W37" s="2"/>
      <c r="X37" s="7">
        <f t="shared" si="27"/>
        <v>-9303.9677538461547</v>
      </c>
      <c r="Y37" s="2"/>
      <c r="Z37" s="6">
        <f t="shared" si="28"/>
        <v>-8.7124117455966321E-2</v>
      </c>
    </row>
    <row r="38" spans="1:26" s="24" customFormat="1" hidden="1" outlineLevel="2" x14ac:dyDescent="0.25">
      <c r="A38" s="26"/>
      <c r="B38" s="11" t="str">
        <f>CONCATENATE("          ", "6003", " - ", "STAFF HOURLY-9 MONTH")</f>
        <v xml:space="preserve">          6003 - STAFF HOURLY-9 MONTH</v>
      </c>
      <c r="C38" s="11"/>
      <c r="D38" s="7"/>
      <c r="E38" s="2"/>
      <c r="F38" s="6">
        <f t="shared" si="21"/>
        <v>0</v>
      </c>
      <c r="G38" s="2"/>
      <c r="H38" s="7">
        <v>0</v>
      </c>
      <c r="I38" s="2"/>
      <c r="J38" s="6">
        <f t="shared" si="22"/>
        <v>0</v>
      </c>
      <c r="K38" s="2"/>
      <c r="L38" s="7">
        <f t="shared" si="23"/>
        <v>0</v>
      </c>
      <c r="M38" s="2"/>
      <c r="N38" s="6">
        <f t="shared" si="24"/>
        <v>0</v>
      </c>
      <c r="O38" s="11"/>
      <c r="P38" s="7"/>
      <c r="Q38" s="2"/>
      <c r="R38" s="6">
        <f t="shared" si="25"/>
        <v>0</v>
      </c>
      <c r="S38" s="2"/>
      <c r="T38" s="7">
        <v>0</v>
      </c>
      <c r="U38" s="2"/>
      <c r="V38" s="6">
        <f t="shared" si="26"/>
        <v>0</v>
      </c>
      <c r="W38" s="2"/>
      <c r="X38" s="7">
        <f t="shared" si="27"/>
        <v>0</v>
      </c>
      <c r="Y38" s="2"/>
      <c r="Z38" s="6">
        <f t="shared" si="28"/>
        <v>0</v>
      </c>
    </row>
    <row r="39" spans="1:26" s="24" customFormat="1" hidden="1" outlineLevel="2" x14ac:dyDescent="0.25">
      <c r="A39" s="26"/>
      <c r="B39" s="11" t="str">
        <f>CONCATENATE("          ", "6004", " - ", "STAFF HOURLY")</f>
        <v xml:space="preserve">          6004 - STAFF HOURLY</v>
      </c>
      <c r="C39" s="11"/>
      <c r="D39" s="7"/>
      <c r="E39" s="2"/>
      <c r="F39" s="6">
        <f t="shared" si="21"/>
        <v>0</v>
      </c>
      <c r="G39" s="2"/>
      <c r="H39" s="7">
        <v>0</v>
      </c>
      <c r="I39" s="2"/>
      <c r="J39" s="6">
        <f t="shared" si="22"/>
        <v>0</v>
      </c>
      <c r="K39" s="2"/>
      <c r="L39" s="7">
        <f t="shared" si="23"/>
        <v>0</v>
      </c>
      <c r="M39" s="2"/>
      <c r="N39" s="6">
        <f t="shared" si="24"/>
        <v>0</v>
      </c>
      <c r="O39" s="11"/>
      <c r="P39" s="7"/>
      <c r="Q39" s="2"/>
      <c r="R39" s="6">
        <f t="shared" si="25"/>
        <v>0</v>
      </c>
      <c r="S39" s="2"/>
      <c r="T39" s="7">
        <v>0</v>
      </c>
      <c r="U39" s="2"/>
      <c r="V39" s="6">
        <f t="shared" si="26"/>
        <v>0</v>
      </c>
      <c r="W39" s="2"/>
      <c r="X39" s="7">
        <f t="shared" si="27"/>
        <v>0</v>
      </c>
      <c r="Y39" s="2"/>
      <c r="Z39" s="6">
        <f t="shared" si="28"/>
        <v>0</v>
      </c>
    </row>
    <row r="40" spans="1:26" s="24" customFormat="1" hidden="1" outlineLevel="2" x14ac:dyDescent="0.25">
      <c r="A40" s="26"/>
      <c r="B40" s="11" t="str">
        <f>CONCATENATE("          ", "6005", " - ", "TEMPORARY WAGES-HOURLY")</f>
        <v xml:space="preserve">          6005 - TEMPORARY WAGES-HOURLY</v>
      </c>
      <c r="C40" s="11"/>
      <c r="D40" s="7"/>
      <c r="E40" s="2"/>
      <c r="F40" s="6">
        <f t="shared" si="21"/>
        <v>0</v>
      </c>
      <c r="G40" s="2"/>
      <c r="H40" s="7">
        <v>0</v>
      </c>
      <c r="I40" s="2"/>
      <c r="J40" s="6">
        <f t="shared" si="22"/>
        <v>0</v>
      </c>
      <c r="K40" s="2"/>
      <c r="L40" s="7">
        <f t="shared" si="23"/>
        <v>0</v>
      </c>
      <c r="M40" s="2"/>
      <c r="N40" s="6">
        <f t="shared" si="24"/>
        <v>0</v>
      </c>
      <c r="O40" s="11"/>
      <c r="P40" s="7">
        <v>45.5</v>
      </c>
      <c r="Q40" s="2"/>
      <c r="R40" s="6">
        <f t="shared" si="25"/>
        <v>6.3076907635610771E-5</v>
      </c>
      <c r="S40" s="2"/>
      <c r="T40" s="7">
        <v>0</v>
      </c>
      <c r="U40" s="2"/>
      <c r="V40" s="6">
        <f t="shared" si="26"/>
        <v>0</v>
      </c>
      <c r="W40" s="2"/>
      <c r="X40" s="7">
        <f t="shared" si="27"/>
        <v>45.5</v>
      </c>
      <c r="Y40" s="2"/>
      <c r="Z40" s="6">
        <f t="shared" si="28"/>
        <v>0</v>
      </c>
    </row>
    <row r="41" spans="1:26" s="24" customFormat="1" hidden="1" outlineLevel="2" x14ac:dyDescent="0.25">
      <c r="A41" s="26"/>
      <c r="B41" s="11" t="str">
        <f>CONCATENATE("          ", "6006", " - ", "TEMPORARY PART TIME")</f>
        <v xml:space="preserve">          6006 - TEMPORARY PART TIME</v>
      </c>
      <c r="C41" s="11"/>
      <c r="D41" s="7"/>
      <c r="E41" s="2"/>
      <c r="F41" s="6">
        <f t="shared" si="21"/>
        <v>0</v>
      </c>
      <c r="G41" s="2"/>
      <c r="H41" s="7">
        <v>0</v>
      </c>
      <c r="I41" s="2"/>
      <c r="J41" s="6">
        <f t="shared" si="22"/>
        <v>0</v>
      </c>
      <c r="K41" s="2"/>
      <c r="L41" s="7">
        <f t="shared" si="23"/>
        <v>0</v>
      </c>
      <c r="M41" s="2"/>
      <c r="N41" s="6">
        <f t="shared" si="24"/>
        <v>0</v>
      </c>
      <c r="O41" s="11"/>
      <c r="P41" s="7"/>
      <c r="Q41" s="2"/>
      <c r="R41" s="6">
        <f t="shared" si="25"/>
        <v>0</v>
      </c>
      <c r="S41" s="2"/>
      <c r="T41" s="7">
        <v>0</v>
      </c>
      <c r="U41" s="2"/>
      <c r="V41" s="6">
        <f t="shared" si="26"/>
        <v>0</v>
      </c>
      <c r="W41" s="2"/>
      <c r="X41" s="7">
        <f t="shared" si="27"/>
        <v>0</v>
      </c>
      <c r="Y41" s="2"/>
      <c r="Z41" s="6">
        <f t="shared" si="28"/>
        <v>0</v>
      </c>
    </row>
    <row r="42" spans="1:26" s="24" customFormat="1" hidden="1" outlineLevel="2" x14ac:dyDescent="0.25">
      <c r="A42" s="26"/>
      <c r="B42" s="11" t="str">
        <f>CONCATENATE("          ", "6007", " - ", "STUDENT HOURLY")</f>
        <v xml:space="preserve">          6007 - STUDENT HOURLY</v>
      </c>
      <c r="C42" s="11"/>
      <c r="D42" s="7"/>
      <c r="E42" s="2"/>
      <c r="F42" s="6">
        <f t="shared" si="21"/>
        <v>0</v>
      </c>
      <c r="G42" s="2"/>
      <c r="H42" s="7">
        <v>0</v>
      </c>
      <c r="I42" s="2"/>
      <c r="J42" s="6">
        <f t="shared" si="22"/>
        <v>0</v>
      </c>
      <c r="K42" s="2"/>
      <c r="L42" s="7">
        <f t="shared" si="23"/>
        <v>0</v>
      </c>
      <c r="M42" s="2"/>
      <c r="N42" s="6">
        <f t="shared" si="24"/>
        <v>0</v>
      </c>
      <c r="O42" s="11"/>
      <c r="P42" s="7">
        <v>142995.32</v>
      </c>
      <c r="Q42" s="2"/>
      <c r="R42" s="6">
        <f t="shared" si="25"/>
        <v>0.19823522180141992</v>
      </c>
      <c r="S42" s="2"/>
      <c r="T42" s="7">
        <v>18800</v>
      </c>
      <c r="U42" s="2"/>
      <c r="V42" s="6">
        <f t="shared" si="26"/>
        <v>1.6400593212945999E-2</v>
      </c>
      <c r="W42" s="2"/>
      <c r="X42" s="7">
        <f t="shared" si="27"/>
        <v>124195.32</v>
      </c>
      <c r="Y42" s="2"/>
      <c r="Z42" s="6">
        <f t="shared" si="28"/>
        <v>6.606134042553192</v>
      </c>
    </row>
    <row r="43" spans="1:26" s="24" customFormat="1" hidden="1" outlineLevel="2" x14ac:dyDescent="0.25">
      <c r="A43" s="26"/>
      <c r="B43" s="11" t="str">
        <f>CONCATENATE("          ", "6008", " - ", "STUDENT HOURLY-FICA EXEMPT")</f>
        <v xml:space="preserve">          6008 - STUDENT HOURLY-FICA EXEMPT</v>
      </c>
      <c r="C43" s="11"/>
      <c r="D43" s="7"/>
      <c r="E43" s="2"/>
      <c r="F43" s="6">
        <f t="shared" si="21"/>
        <v>0</v>
      </c>
      <c r="G43" s="2"/>
      <c r="H43" s="7">
        <v>8112</v>
      </c>
      <c r="I43" s="2"/>
      <c r="J43" s="6">
        <f t="shared" si="22"/>
        <v>0.11588571428571429</v>
      </c>
      <c r="K43" s="2"/>
      <c r="L43" s="7">
        <f t="shared" si="23"/>
        <v>-8112</v>
      </c>
      <c r="M43" s="2"/>
      <c r="N43" s="6">
        <f t="shared" si="24"/>
        <v>-1</v>
      </c>
      <c r="O43" s="11"/>
      <c r="P43" s="7">
        <v>7264.85</v>
      </c>
      <c r="Q43" s="2"/>
      <c r="R43" s="6">
        <f t="shared" si="25"/>
        <v>1.007130269091356E-2</v>
      </c>
      <c r="S43" s="2"/>
      <c r="T43" s="7">
        <v>171197.04800000001</v>
      </c>
      <c r="U43" s="2"/>
      <c r="V43" s="6">
        <f t="shared" si="26"/>
        <v>0.14934750763325483</v>
      </c>
      <c r="W43" s="2"/>
      <c r="X43" s="7">
        <f t="shared" si="27"/>
        <v>-163932.198</v>
      </c>
      <c r="Y43" s="2"/>
      <c r="Z43" s="6">
        <f t="shared" si="28"/>
        <v>-0.95756439678796323</v>
      </c>
    </row>
    <row r="44" spans="1:26" s="24" customFormat="1" hidden="1" outlineLevel="2" x14ac:dyDescent="0.25">
      <c r="A44" s="26"/>
      <c r="B44" s="11" t="str">
        <f>CONCATENATE("          ", "6009", " - ", "TEMPORARY-SEASONAL")</f>
        <v xml:space="preserve">          6009 - TEMPORARY-SEASONAL</v>
      </c>
      <c r="C44" s="11"/>
      <c r="D44" s="7"/>
      <c r="E44" s="2"/>
      <c r="F44" s="6">
        <f t="shared" si="21"/>
        <v>0</v>
      </c>
      <c r="G44" s="2"/>
      <c r="H44" s="7">
        <v>0</v>
      </c>
      <c r="I44" s="2"/>
      <c r="J44" s="6">
        <f t="shared" si="22"/>
        <v>0</v>
      </c>
      <c r="K44" s="2"/>
      <c r="L44" s="7">
        <f t="shared" si="23"/>
        <v>0</v>
      </c>
      <c r="M44" s="2"/>
      <c r="N44" s="6">
        <f t="shared" si="24"/>
        <v>0</v>
      </c>
      <c r="O44" s="11"/>
      <c r="P44" s="7"/>
      <c r="Q44" s="2"/>
      <c r="R44" s="6">
        <f t="shared" si="25"/>
        <v>0</v>
      </c>
      <c r="S44" s="2"/>
      <c r="T44" s="7">
        <v>0</v>
      </c>
      <c r="U44" s="2"/>
      <c r="V44" s="6">
        <f t="shared" si="26"/>
        <v>0</v>
      </c>
      <c r="W44" s="2"/>
      <c r="X44" s="7">
        <f t="shared" si="27"/>
        <v>0</v>
      </c>
      <c r="Y44" s="2"/>
      <c r="Z44" s="6">
        <f t="shared" si="28"/>
        <v>0</v>
      </c>
    </row>
    <row r="45" spans="1:26" s="24" customFormat="1" hidden="1" outlineLevel="2" x14ac:dyDescent="0.25">
      <c r="A45" s="26"/>
      <c r="B45" s="11" t="str">
        <f>CONCATENATE("          ", "6010", " - ", "GRATUITY")</f>
        <v xml:space="preserve">          6010 - GRATUITY</v>
      </c>
      <c r="C45" s="11"/>
      <c r="D45" s="7"/>
      <c r="E45" s="2"/>
      <c r="F45" s="6">
        <f t="shared" si="21"/>
        <v>0</v>
      </c>
      <c r="G45" s="2"/>
      <c r="H45" s="7">
        <v>0</v>
      </c>
      <c r="I45" s="2"/>
      <c r="J45" s="6">
        <f t="shared" si="22"/>
        <v>0</v>
      </c>
      <c r="K45" s="2"/>
      <c r="L45" s="7">
        <f t="shared" si="23"/>
        <v>0</v>
      </c>
      <c r="M45" s="2"/>
      <c r="N45" s="6">
        <f t="shared" si="24"/>
        <v>0</v>
      </c>
      <c r="O45" s="11"/>
      <c r="P45" s="7"/>
      <c r="Q45" s="2"/>
      <c r="R45" s="6">
        <f t="shared" si="25"/>
        <v>0</v>
      </c>
      <c r="S45" s="2"/>
      <c r="T45" s="7">
        <v>0</v>
      </c>
      <c r="U45" s="2"/>
      <c r="V45" s="6">
        <f t="shared" si="26"/>
        <v>0</v>
      </c>
      <c r="W45" s="2"/>
      <c r="X45" s="7">
        <f t="shared" si="27"/>
        <v>0</v>
      </c>
      <c r="Y45" s="2"/>
      <c r="Z45" s="6">
        <f t="shared" si="28"/>
        <v>0</v>
      </c>
    </row>
    <row r="46" spans="1:26" s="27" customFormat="1" outlineLevel="1" collapsed="1" x14ac:dyDescent="0.25">
      <c r="A46" s="25"/>
      <c r="B46" s="12" t="str">
        <f>CONCATENATE("     ","Advertising/Promo                                 ")</f>
        <v xml:space="preserve">     Advertising/Promo                                 </v>
      </c>
      <c r="C46" s="12"/>
      <c r="D46" s="1">
        <f>SUM(OSRRefD22_2x_0)</f>
        <v>30.68</v>
      </c>
      <c r="E46" s="1"/>
      <c r="F46" s="5">
        <f t="shared" ref="F46:F55" si="29">IF(D$12=0,0,D46/D$12)</f>
        <v>0</v>
      </c>
      <c r="G46" s="1"/>
      <c r="H46" s="1">
        <f>SUM(OSRRefH22_2x_0)</f>
        <v>150</v>
      </c>
      <c r="I46" s="1"/>
      <c r="J46" s="5">
        <f t="shared" ref="J46:J55" si="30">IF(H$12=0,0,H46/H$12)</f>
        <v>2.142857142857143E-3</v>
      </c>
      <c r="K46" s="1"/>
      <c r="L46" s="1">
        <f t="shared" ref="L46:L55" si="31">+D46-H46</f>
        <v>-119.32</v>
      </c>
      <c r="M46" s="1"/>
      <c r="N46" s="5">
        <f t="shared" ref="N46:N55" si="32">IF(H46=0,0,L46/H46)</f>
        <v>-0.79546666666666666</v>
      </c>
      <c r="O46" s="12"/>
      <c r="P46" s="1">
        <f>SUM(OSRRefP22_2x_0)</f>
        <v>1426.98</v>
      </c>
      <c r="Q46" s="1"/>
      <c r="R46" s="5">
        <f t="shared" ref="R46:R55" si="33">IF(P$12=0,0,P46/P$12)</f>
        <v>1.9782304540189861E-3</v>
      </c>
      <c r="S46" s="1"/>
      <c r="T46" s="1">
        <f>SUM(OSRRefT22_2x_0)</f>
        <v>1650</v>
      </c>
      <c r="U46" s="1"/>
      <c r="V46" s="5">
        <f t="shared" ref="V46:V55" si="34">IF(T$12=0,0,T46/T$12)</f>
        <v>1.4394137660298351E-3</v>
      </c>
      <c r="W46" s="1"/>
      <c r="X46" s="1">
        <f t="shared" ref="X46:X55" si="35">+P46-T46</f>
        <v>-223.01999999999998</v>
      </c>
      <c r="Y46" s="1"/>
      <c r="Z46" s="5">
        <f t="shared" ref="Z46:Z55" si="36">IF(T46=0,0,X46/T46)</f>
        <v>-0.13516363636363635</v>
      </c>
    </row>
    <row r="47" spans="1:26" s="24" customFormat="1" hidden="1" outlineLevel="2" x14ac:dyDescent="0.25">
      <c r="A47" s="26"/>
      <c r="B47" s="11" t="str">
        <f>CONCATENATE("          ", "6362", " - ", "ADVERTISING EXPENSE")</f>
        <v xml:space="preserve">          6362 - ADVERTISING EXPENSE</v>
      </c>
      <c r="C47" s="11"/>
      <c r="D47" s="7">
        <v>30.68</v>
      </c>
      <c r="E47" s="2"/>
      <c r="F47" s="6">
        <f t="shared" si="29"/>
        <v>0</v>
      </c>
      <c r="G47" s="2"/>
      <c r="H47" s="7">
        <v>150</v>
      </c>
      <c r="I47" s="2"/>
      <c r="J47" s="6">
        <f t="shared" si="30"/>
        <v>2.142857142857143E-3</v>
      </c>
      <c r="K47" s="2"/>
      <c r="L47" s="7">
        <f t="shared" si="31"/>
        <v>-119.32</v>
      </c>
      <c r="M47" s="2"/>
      <c r="N47" s="6">
        <f t="shared" si="32"/>
        <v>-0.79546666666666666</v>
      </c>
      <c r="O47" s="11"/>
      <c r="P47" s="7">
        <v>1426.98</v>
      </c>
      <c r="Q47" s="2"/>
      <c r="R47" s="6">
        <f t="shared" si="33"/>
        <v>1.9782304540189861E-3</v>
      </c>
      <c r="S47" s="2"/>
      <c r="T47" s="7">
        <v>1650</v>
      </c>
      <c r="U47" s="2"/>
      <c r="V47" s="6">
        <f t="shared" si="34"/>
        <v>1.4394137660298351E-3</v>
      </c>
      <c r="W47" s="2"/>
      <c r="X47" s="7">
        <f t="shared" si="35"/>
        <v>-223.01999999999998</v>
      </c>
      <c r="Y47" s="2"/>
      <c r="Z47" s="6">
        <f t="shared" si="36"/>
        <v>-0.13516363636363635</v>
      </c>
    </row>
    <row r="48" spans="1:26" s="27" customFormat="1" outlineLevel="1" collapsed="1" x14ac:dyDescent="0.25">
      <c r="A48" s="25"/>
      <c r="B48" s="12" t="str">
        <f>CONCATENATE("     ","Bad Debts/Over/Short                              ")</f>
        <v xml:space="preserve">     Bad Debts/Over/Short                              </v>
      </c>
      <c r="C48" s="12"/>
      <c r="D48" s="1">
        <f>SUM(OSRRefD22_3x_0)</f>
        <v>0</v>
      </c>
      <c r="E48" s="1"/>
      <c r="F48" s="5">
        <f t="shared" si="29"/>
        <v>0</v>
      </c>
      <c r="G48" s="1"/>
      <c r="H48" s="1">
        <f>SUM(OSRRefH22_3x_0)</f>
        <v>20</v>
      </c>
      <c r="I48" s="1"/>
      <c r="J48" s="5">
        <f t="shared" si="30"/>
        <v>2.8571428571428574E-4</v>
      </c>
      <c r="K48" s="1"/>
      <c r="L48" s="1">
        <f t="shared" si="31"/>
        <v>-20</v>
      </c>
      <c r="M48" s="1"/>
      <c r="N48" s="5">
        <f t="shared" si="32"/>
        <v>-1</v>
      </c>
      <c r="O48" s="12"/>
      <c r="P48" s="1">
        <f>SUM(OSRRefP22_3x_0)</f>
        <v>195.92</v>
      </c>
      <c r="Q48" s="1"/>
      <c r="R48" s="5">
        <f t="shared" si="33"/>
        <v>2.7160500536195303E-4</v>
      </c>
      <c r="S48" s="1"/>
      <c r="T48" s="1">
        <f>SUM(OSRRefT22_3x_0)</f>
        <v>220</v>
      </c>
      <c r="U48" s="1"/>
      <c r="V48" s="5">
        <f t="shared" si="34"/>
        <v>1.9192183547064469E-4</v>
      </c>
      <c r="W48" s="1"/>
      <c r="X48" s="1">
        <f t="shared" si="35"/>
        <v>-24.080000000000013</v>
      </c>
      <c r="Y48" s="1"/>
      <c r="Z48" s="5">
        <f t="shared" si="36"/>
        <v>-0.10945454545454551</v>
      </c>
    </row>
    <row r="49" spans="1:26" s="24" customFormat="1" hidden="1" outlineLevel="2" x14ac:dyDescent="0.25">
      <c r="A49" s="26"/>
      <c r="B49" s="11" t="str">
        <f>CONCATENATE("          ", "6272", " - ", "CASH (OVER/SHORT)")</f>
        <v xml:space="preserve">          6272 - CASH (OVER/SHORT)</v>
      </c>
      <c r="C49" s="11"/>
      <c r="D49" s="7"/>
      <c r="E49" s="2"/>
      <c r="F49" s="6">
        <f t="shared" si="29"/>
        <v>0</v>
      </c>
      <c r="G49" s="2"/>
      <c r="H49" s="7">
        <v>20</v>
      </c>
      <c r="I49" s="2"/>
      <c r="J49" s="6">
        <f t="shared" si="30"/>
        <v>2.8571428571428574E-4</v>
      </c>
      <c r="K49" s="2"/>
      <c r="L49" s="7">
        <f t="shared" si="31"/>
        <v>-20</v>
      </c>
      <c r="M49" s="2"/>
      <c r="N49" s="6">
        <f t="shared" si="32"/>
        <v>-1</v>
      </c>
      <c r="O49" s="11"/>
      <c r="P49" s="7">
        <v>195.92</v>
      </c>
      <c r="Q49" s="2"/>
      <c r="R49" s="6">
        <f t="shared" si="33"/>
        <v>2.7160500536195303E-4</v>
      </c>
      <c r="S49" s="2"/>
      <c r="T49" s="7">
        <v>220</v>
      </c>
      <c r="U49" s="2"/>
      <c r="V49" s="6">
        <f t="shared" si="34"/>
        <v>1.9192183547064469E-4</v>
      </c>
      <c r="W49" s="2"/>
      <c r="X49" s="7">
        <f t="shared" si="35"/>
        <v>-24.080000000000013</v>
      </c>
      <c r="Y49" s="2"/>
      <c r="Z49" s="6">
        <f t="shared" si="36"/>
        <v>-0.10945454545454551</v>
      </c>
    </row>
    <row r="50" spans="1:26" s="27" customFormat="1" outlineLevel="1" collapsed="1" x14ac:dyDescent="0.25">
      <c r="A50" s="25"/>
      <c r="B50" s="12" t="str">
        <f>CONCATENATE("     ","Bank/card Fees                                    ")</f>
        <v xml:space="preserve">     Bank/card Fees                                    </v>
      </c>
      <c r="C50" s="12"/>
      <c r="D50" s="1">
        <f>SUM(OSRRefD22_4x_0)</f>
        <v>0</v>
      </c>
      <c r="E50" s="1"/>
      <c r="F50" s="5">
        <f t="shared" si="29"/>
        <v>0</v>
      </c>
      <c r="G50" s="1"/>
      <c r="H50" s="1">
        <f>SUM(OSRRefH22_4x_0)</f>
        <v>0</v>
      </c>
      <c r="I50" s="1"/>
      <c r="J50" s="5">
        <f t="shared" si="30"/>
        <v>0</v>
      </c>
      <c r="K50" s="1"/>
      <c r="L50" s="1">
        <f t="shared" si="31"/>
        <v>0</v>
      </c>
      <c r="M50" s="1"/>
      <c r="N50" s="5">
        <f t="shared" si="32"/>
        <v>0</v>
      </c>
      <c r="O50" s="12"/>
      <c r="P50" s="1">
        <f>SUM(OSRRefP22_4x_0)</f>
        <v>25022.129999999997</v>
      </c>
      <c r="Q50" s="1"/>
      <c r="R50" s="5">
        <f t="shared" si="33"/>
        <v>3.4688320502335064E-2</v>
      </c>
      <c r="S50" s="1"/>
      <c r="T50" s="1">
        <f>SUM(OSRRefT22_4x_0)</f>
        <v>0</v>
      </c>
      <c r="U50" s="1"/>
      <c r="V50" s="5">
        <f t="shared" si="34"/>
        <v>0</v>
      </c>
      <c r="W50" s="1"/>
      <c r="X50" s="1">
        <f t="shared" si="35"/>
        <v>25022.129999999997</v>
      </c>
      <c r="Y50" s="1"/>
      <c r="Z50" s="5">
        <f t="shared" si="36"/>
        <v>0</v>
      </c>
    </row>
    <row r="51" spans="1:26" s="24" customFormat="1" hidden="1" outlineLevel="2" x14ac:dyDescent="0.25">
      <c r="A51" s="26"/>
      <c r="B51" s="11" t="str">
        <f>CONCATENATE("          ", "6381", " - ", "BANK/CREDIT CARD FEES")</f>
        <v xml:space="preserve">          6381 - BANK/CREDIT CARD FEES</v>
      </c>
      <c r="C51" s="11"/>
      <c r="D51" s="7"/>
      <c r="E51" s="2"/>
      <c r="F51" s="6">
        <f t="shared" si="29"/>
        <v>0</v>
      </c>
      <c r="G51" s="2"/>
      <c r="H51" s="7"/>
      <c r="I51" s="2"/>
      <c r="J51" s="6">
        <f t="shared" si="30"/>
        <v>0</v>
      </c>
      <c r="K51" s="2"/>
      <c r="L51" s="7">
        <f t="shared" si="31"/>
        <v>0</v>
      </c>
      <c r="M51" s="2"/>
      <c r="N51" s="6">
        <f t="shared" si="32"/>
        <v>0</v>
      </c>
      <c r="O51" s="11"/>
      <c r="P51" s="7">
        <v>25022.129999999997</v>
      </c>
      <c r="Q51" s="2"/>
      <c r="R51" s="6">
        <f t="shared" si="33"/>
        <v>3.4688320502335064E-2</v>
      </c>
      <c r="S51" s="2"/>
      <c r="T51" s="7"/>
      <c r="U51" s="2"/>
      <c r="V51" s="6">
        <f t="shared" si="34"/>
        <v>0</v>
      </c>
      <c r="W51" s="2"/>
      <c r="X51" s="7">
        <f t="shared" si="35"/>
        <v>25022.129999999997</v>
      </c>
      <c r="Y51" s="2"/>
      <c r="Z51" s="6">
        <f t="shared" si="36"/>
        <v>0</v>
      </c>
    </row>
    <row r="52" spans="1:26" s="27" customFormat="1" outlineLevel="1" collapsed="1" x14ac:dyDescent="0.25">
      <c r="A52" s="25"/>
      <c r="B52" s="12" t="str">
        <f>CONCATENATE("     ","Depreciation                                      ")</f>
        <v xml:space="preserve">     Depreciation                                      </v>
      </c>
      <c r="C52" s="12"/>
      <c r="D52" s="1">
        <f>SUM(OSRRefD22_5x_0)</f>
        <v>5330.0599999999995</v>
      </c>
      <c r="E52" s="1"/>
      <c r="F52" s="5">
        <f t="shared" si="29"/>
        <v>0</v>
      </c>
      <c r="G52" s="1"/>
      <c r="H52" s="1">
        <f>SUM(OSRRefH22_5x_0)</f>
        <v>6318</v>
      </c>
      <c r="I52" s="1"/>
      <c r="J52" s="5">
        <f t="shared" si="30"/>
        <v>9.0257142857142855E-2</v>
      </c>
      <c r="K52" s="1"/>
      <c r="L52" s="1">
        <f t="shared" si="31"/>
        <v>-987.94000000000051</v>
      </c>
      <c r="M52" s="1"/>
      <c r="N52" s="5">
        <f t="shared" si="32"/>
        <v>-0.15636910414688202</v>
      </c>
      <c r="O52" s="12"/>
      <c r="P52" s="1">
        <f>SUM(OSRRefP22_5x_0)</f>
        <v>61279.76</v>
      </c>
      <c r="Q52" s="1"/>
      <c r="R52" s="5">
        <f t="shared" si="33"/>
        <v>8.4952478273679036E-2</v>
      </c>
      <c r="S52" s="1"/>
      <c r="T52" s="1">
        <f>SUM(OSRRefT22_5x_0)</f>
        <v>68164</v>
      </c>
      <c r="U52" s="1"/>
      <c r="V52" s="5">
        <f t="shared" si="34"/>
        <v>5.9464363604641017E-2</v>
      </c>
      <c r="W52" s="1"/>
      <c r="X52" s="1">
        <f t="shared" si="35"/>
        <v>-6884.239999999998</v>
      </c>
      <c r="Y52" s="1"/>
      <c r="Z52" s="5">
        <f t="shared" si="36"/>
        <v>-0.10099524675781935</v>
      </c>
    </row>
    <row r="53" spans="1:26" s="24" customFormat="1" hidden="1" outlineLevel="2" x14ac:dyDescent="0.25">
      <c r="A53" s="26"/>
      <c r="B53" s="11" t="str">
        <f>CONCATENATE("          ", "6321", " - ", "BUILDING DEPRECIATION")</f>
        <v xml:space="preserve">          6321 - BUILDING DEPRECIATION</v>
      </c>
      <c r="C53" s="11"/>
      <c r="D53" s="7">
        <v>4626.5</v>
      </c>
      <c r="E53" s="2"/>
      <c r="F53" s="6">
        <f t="shared" si="29"/>
        <v>0</v>
      </c>
      <c r="G53" s="2"/>
      <c r="H53" s="7">
        <v>5165</v>
      </c>
      <c r="I53" s="2"/>
      <c r="J53" s="6">
        <f t="shared" si="30"/>
        <v>7.3785714285714288E-2</v>
      </c>
      <c r="K53" s="2"/>
      <c r="L53" s="7">
        <f t="shared" si="31"/>
        <v>-538.5</v>
      </c>
      <c r="M53" s="2"/>
      <c r="N53" s="6">
        <f t="shared" si="32"/>
        <v>-0.1042594385285576</v>
      </c>
      <c r="O53" s="11"/>
      <c r="P53" s="7">
        <v>50891.5</v>
      </c>
      <c r="Q53" s="2"/>
      <c r="R53" s="6">
        <f t="shared" si="33"/>
        <v>7.0551174614015069E-2</v>
      </c>
      <c r="S53" s="2"/>
      <c r="T53" s="7">
        <v>56815</v>
      </c>
      <c r="U53" s="2"/>
      <c r="V53" s="6">
        <f t="shared" si="34"/>
        <v>4.9563814010293993E-2</v>
      </c>
      <c r="W53" s="2"/>
      <c r="X53" s="7">
        <f t="shared" si="35"/>
        <v>-5923.5</v>
      </c>
      <c r="Y53" s="2"/>
      <c r="Z53" s="6">
        <f t="shared" si="36"/>
        <v>-0.1042594385285576</v>
      </c>
    </row>
    <row r="54" spans="1:26" s="24" customFormat="1" hidden="1" outlineLevel="2" x14ac:dyDescent="0.25">
      <c r="A54" s="26"/>
      <c r="B54" s="11" t="str">
        <f>CONCATENATE("          ", "6322", " - ", "EQUIPMENT DEPRECIATION EXPENSE")</f>
        <v xml:space="preserve">          6322 - EQUIPMENT DEPRECIATION EXPENSE</v>
      </c>
      <c r="C54" s="11"/>
      <c r="D54" s="7">
        <v>703.56</v>
      </c>
      <c r="E54" s="2"/>
      <c r="F54" s="6">
        <f t="shared" si="29"/>
        <v>0</v>
      </c>
      <c r="G54" s="2"/>
      <c r="H54" s="7">
        <v>486</v>
      </c>
      <c r="I54" s="2"/>
      <c r="J54" s="6">
        <f t="shared" si="30"/>
        <v>6.942857142857143E-3</v>
      </c>
      <c r="K54" s="2"/>
      <c r="L54" s="7">
        <f t="shared" si="31"/>
        <v>217.55999999999995</v>
      </c>
      <c r="M54" s="2"/>
      <c r="N54" s="6">
        <f t="shared" si="32"/>
        <v>0.44765432098765423</v>
      </c>
      <c r="O54" s="11"/>
      <c r="P54" s="7">
        <v>10388.26</v>
      </c>
      <c r="Q54" s="2"/>
      <c r="R54" s="6">
        <f t="shared" si="33"/>
        <v>1.4401303659663956E-2</v>
      </c>
      <c r="S54" s="2"/>
      <c r="T54" s="7">
        <v>5346</v>
      </c>
      <c r="U54" s="2"/>
      <c r="V54" s="6">
        <f t="shared" si="34"/>
        <v>4.6637006019366661E-3</v>
      </c>
      <c r="W54" s="2"/>
      <c r="X54" s="7">
        <f t="shared" si="35"/>
        <v>5042.26</v>
      </c>
      <c r="Y54" s="2"/>
      <c r="Z54" s="6">
        <f t="shared" si="36"/>
        <v>0.9431836887392443</v>
      </c>
    </row>
    <row r="55" spans="1:26" s="24" customFormat="1" hidden="1" outlineLevel="2" x14ac:dyDescent="0.25">
      <c r="A55" s="26"/>
      <c r="B55" s="11" t="str">
        <f>CONCATENATE("          ", "6324", " - ", "FURNITURE + FIXT DEPRECIATION")</f>
        <v xml:space="preserve">          6324 - FURNITURE + FIXT DEPRECIATION</v>
      </c>
      <c r="C55" s="11"/>
      <c r="D55" s="7"/>
      <c r="E55" s="2"/>
      <c r="F55" s="6">
        <f t="shared" si="29"/>
        <v>0</v>
      </c>
      <c r="G55" s="2"/>
      <c r="H55" s="7">
        <v>667</v>
      </c>
      <c r="I55" s="2"/>
      <c r="J55" s="6">
        <f t="shared" si="30"/>
        <v>9.5285714285714279E-3</v>
      </c>
      <c r="K55" s="2"/>
      <c r="L55" s="7">
        <f t="shared" si="31"/>
        <v>-667</v>
      </c>
      <c r="M55" s="2"/>
      <c r="N55" s="6">
        <f t="shared" si="32"/>
        <v>-1</v>
      </c>
      <c r="O55" s="11"/>
      <c r="P55" s="7"/>
      <c r="Q55" s="2"/>
      <c r="R55" s="6">
        <f t="shared" si="33"/>
        <v>0</v>
      </c>
      <c r="S55" s="2"/>
      <c r="T55" s="7">
        <v>6003</v>
      </c>
      <c r="U55" s="2"/>
      <c r="V55" s="6">
        <f t="shared" si="34"/>
        <v>5.2368489924103636E-3</v>
      </c>
      <c r="W55" s="2"/>
      <c r="X55" s="7">
        <f t="shared" si="35"/>
        <v>-6003</v>
      </c>
      <c r="Y55" s="2"/>
      <c r="Z55" s="6">
        <f t="shared" si="36"/>
        <v>-1</v>
      </c>
    </row>
    <row r="56" spans="1:26" s="27" customFormat="1" outlineLevel="1" collapsed="1" x14ac:dyDescent="0.25">
      <c r="A56" s="25"/>
      <c r="B56" s="12" t="str">
        <f>CONCATENATE("     ","Donations                                         ")</f>
        <v xml:space="preserve">     Donations                                         </v>
      </c>
      <c r="C56" s="12"/>
      <c r="D56" s="1">
        <f>SUM(OSRRefD22_6x_0)</f>
        <v>0</v>
      </c>
      <c r="E56" s="1"/>
      <c r="F56" s="5">
        <f t="shared" ref="F56:F69" si="37">IF(D$12=0,0,D56/D$12)</f>
        <v>0</v>
      </c>
      <c r="G56" s="1"/>
      <c r="H56" s="1">
        <f>SUM(OSRRefH22_6x_0)</f>
        <v>0</v>
      </c>
      <c r="I56" s="1"/>
      <c r="J56" s="5">
        <f t="shared" ref="J56:J69" si="38">IF(H$12=0,0,H56/H$12)</f>
        <v>0</v>
      </c>
      <c r="K56" s="1"/>
      <c r="L56" s="1">
        <f t="shared" ref="L56:L69" si="39">+D56-H56</f>
        <v>0</v>
      </c>
      <c r="M56" s="1"/>
      <c r="N56" s="5">
        <f t="shared" ref="N56:N69" si="40">IF(H56=0,0,L56/H56)</f>
        <v>0</v>
      </c>
      <c r="O56" s="12"/>
      <c r="P56" s="1">
        <f>SUM(OSRRefP22_6x_0)</f>
        <v>0</v>
      </c>
      <c r="Q56" s="1"/>
      <c r="R56" s="5">
        <f t="shared" ref="R56:R69" si="41">IF(P$12=0,0,P56/P$12)</f>
        <v>0</v>
      </c>
      <c r="S56" s="1"/>
      <c r="T56" s="1">
        <f>SUM(OSRRefT22_6x_0)</f>
        <v>2000</v>
      </c>
      <c r="U56" s="1"/>
      <c r="V56" s="5">
        <f t="shared" ref="V56:V69" si="42">IF(T$12=0,0,T56/T$12)</f>
        <v>1.7447439588240425E-3</v>
      </c>
      <c r="W56" s="1"/>
      <c r="X56" s="1">
        <f t="shared" ref="X56:X69" si="43">+P56-T56</f>
        <v>-2000</v>
      </c>
      <c r="Y56" s="1"/>
      <c r="Z56" s="5">
        <f t="shared" ref="Z56:Z69" si="44">IF(T56=0,0,X56/T56)</f>
        <v>-1</v>
      </c>
    </row>
    <row r="57" spans="1:26" s="24" customFormat="1" hidden="1" outlineLevel="2" x14ac:dyDescent="0.25">
      <c r="A57" s="26"/>
      <c r="B57" s="11" t="str">
        <f>CONCATENATE("          ", "6399", " - ", "DONATION-ON CAMPUS")</f>
        <v xml:space="preserve">          6399 - DONATION-ON CAMPUS</v>
      </c>
      <c r="C57" s="11"/>
      <c r="D57" s="7"/>
      <c r="E57" s="2"/>
      <c r="F57" s="6">
        <f t="shared" si="37"/>
        <v>0</v>
      </c>
      <c r="G57" s="2"/>
      <c r="H57" s="7"/>
      <c r="I57" s="2"/>
      <c r="J57" s="6">
        <f t="shared" si="38"/>
        <v>0</v>
      </c>
      <c r="K57" s="2"/>
      <c r="L57" s="7">
        <f t="shared" si="39"/>
        <v>0</v>
      </c>
      <c r="M57" s="2"/>
      <c r="N57" s="6">
        <f t="shared" si="40"/>
        <v>0</v>
      </c>
      <c r="O57" s="11"/>
      <c r="P57" s="7"/>
      <c r="Q57" s="2"/>
      <c r="R57" s="6">
        <f t="shared" si="41"/>
        <v>0</v>
      </c>
      <c r="S57" s="2"/>
      <c r="T57" s="7">
        <v>2000</v>
      </c>
      <c r="U57" s="2"/>
      <c r="V57" s="6">
        <f t="shared" si="42"/>
        <v>1.7447439588240425E-3</v>
      </c>
      <c r="W57" s="2"/>
      <c r="X57" s="7">
        <f t="shared" si="43"/>
        <v>-2000</v>
      </c>
      <c r="Y57" s="2"/>
      <c r="Z57" s="6">
        <f t="shared" si="44"/>
        <v>-1</v>
      </c>
    </row>
    <row r="58" spans="1:26" s="27" customFormat="1" outlineLevel="1" collapsed="1" x14ac:dyDescent="0.25">
      <c r="A58" s="25"/>
      <c r="B58" s="12" t="str">
        <f>CONCATENATE("     ","Employees' Appreciation                           ")</f>
        <v xml:space="preserve">     Employees' Appreciation                           </v>
      </c>
      <c r="C58" s="12"/>
      <c r="D58" s="1">
        <f>SUM(OSRRefD22_7x_0)</f>
        <v>0</v>
      </c>
      <c r="E58" s="1"/>
      <c r="F58" s="5">
        <f t="shared" si="37"/>
        <v>0</v>
      </c>
      <c r="G58" s="1"/>
      <c r="H58" s="1">
        <f>SUM(OSRRefH22_7x_0)</f>
        <v>50</v>
      </c>
      <c r="I58" s="1"/>
      <c r="J58" s="5">
        <f t="shared" si="38"/>
        <v>7.1428571428571429E-4</v>
      </c>
      <c r="K58" s="1"/>
      <c r="L58" s="1">
        <f t="shared" si="39"/>
        <v>-50</v>
      </c>
      <c r="M58" s="1"/>
      <c r="N58" s="5">
        <f t="shared" si="40"/>
        <v>-1</v>
      </c>
      <c r="O58" s="12"/>
      <c r="P58" s="1">
        <f>SUM(OSRRefP22_7x_0)</f>
        <v>186.48</v>
      </c>
      <c r="Q58" s="1"/>
      <c r="R58" s="5">
        <f t="shared" si="41"/>
        <v>2.585182799096417E-4</v>
      </c>
      <c r="S58" s="1"/>
      <c r="T58" s="1">
        <f>SUM(OSRRefT22_7x_0)</f>
        <v>900</v>
      </c>
      <c r="U58" s="1"/>
      <c r="V58" s="5">
        <f t="shared" si="42"/>
        <v>7.851347814708192E-4</v>
      </c>
      <c r="W58" s="1"/>
      <c r="X58" s="1">
        <f t="shared" si="43"/>
        <v>-713.52</v>
      </c>
      <c r="Y58" s="1"/>
      <c r="Z58" s="5">
        <f t="shared" si="44"/>
        <v>-0.79279999999999995</v>
      </c>
    </row>
    <row r="59" spans="1:26" s="24" customFormat="1" hidden="1" outlineLevel="2" x14ac:dyDescent="0.25">
      <c r="A59" s="26"/>
      <c r="B59" s="11" t="str">
        <f>CONCATENATE("          ", "6277", " - ", "EMPLOYEE APPRECIATION")</f>
        <v xml:space="preserve">          6277 - EMPLOYEE APPRECIATION</v>
      </c>
      <c r="C59" s="11"/>
      <c r="D59" s="7"/>
      <c r="E59" s="2"/>
      <c r="F59" s="6">
        <f t="shared" si="37"/>
        <v>0</v>
      </c>
      <c r="G59" s="2"/>
      <c r="H59" s="7">
        <v>50</v>
      </c>
      <c r="I59" s="2"/>
      <c r="J59" s="6">
        <f t="shared" si="38"/>
        <v>7.1428571428571429E-4</v>
      </c>
      <c r="K59" s="2"/>
      <c r="L59" s="7">
        <f t="shared" si="39"/>
        <v>-50</v>
      </c>
      <c r="M59" s="2"/>
      <c r="N59" s="6">
        <f t="shared" si="40"/>
        <v>-1</v>
      </c>
      <c r="O59" s="11"/>
      <c r="P59" s="7">
        <v>186.48</v>
      </c>
      <c r="Q59" s="2"/>
      <c r="R59" s="6">
        <f t="shared" si="41"/>
        <v>2.585182799096417E-4</v>
      </c>
      <c r="S59" s="2"/>
      <c r="T59" s="7">
        <v>900</v>
      </c>
      <c r="U59" s="2"/>
      <c r="V59" s="6">
        <f t="shared" si="42"/>
        <v>7.851347814708192E-4</v>
      </c>
      <c r="W59" s="2"/>
      <c r="X59" s="7">
        <f t="shared" si="43"/>
        <v>-713.52</v>
      </c>
      <c r="Y59" s="2"/>
      <c r="Z59" s="6">
        <f t="shared" si="44"/>
        <v>-0.79279999999999995</v>
      </c>
    </row>
    <row r="60" spans="1:26" s="27" customFormat="1" outlineLevel="1" collapsed="1" x14ac:dyDescent="0.25">
      <c r="A60" s="25"/>
      <c r="B60" s="12" t="str">
        <f>CONCATENATE("     ","Equipment Rental                                  ")</f>
        <v xml:space="preserve">     Equipment Rental                                  </v>
      </c>
      <c r="C60" s="12"/>
      <c r="D60" s="1">
        <f>SUM(OSRRefD22_8x_0)</f>
        <v>240.32</v>
      </c>
      <c r="E60" s="1"/>
      <c r="F60" s="5">
        <f t="shared" si="37"/>
        <v>0</v>
      </c>
      <c r="G60" s="1"/>
      <c r="H60" s="1">
        <f>SUM(OSRRefH22_8x_0)</f>
        <v>115</v>
      </c>
      <c r="I60" s="1"/>
      <c r="J60" s="5">
        <f t="shared" si="38"/>
        <v>1.642857142857143E-3</v>
      </c>
      <c r="K60" s="1"/>
      <c r="L60" s="1">
        <f t="shared" si="39"/>
        <v>125.32</v>
      </c>
      <c r="M60" s="1"/>
      <c r="N60" s="5">
        <f t="shared" si="40"/>
        <v>1.0897391304347825</v>
      </c>
      <c r="O60" s="12"/>
      <c r="P60" s="1">
        <f>SUM(OSRRefP22_8x_0)</f>
        <v>3521.32</v>
      </c>
      <c r="Q60" s="1"/>
      <c r="R60" s="5">
        <f t="shared" si="41"/>
        <v>4.8816258548445924E-3</v>
      </c>
      <c r="S60" s="1"/>
      <c r="T60" s="1">
        <f>SUM(OSRRefT22_8x_0)</f>
        <v>1265</v>
      </c>
      <c r="U60" s="1"/>
      <c r="V60" s="5">
        <f t="shared" si="42"/>
        <v>1.1035505539562069E-3</v>
      </c>
      <c r="W60" s="1"/>
      <c r="X60" s="1">
        <f t="shared" si="43"/>
        <v>2256.3200000000002</v>
      </c>
      <c r="Y60" s="1"/>
      <c r="Z60" s="5">
        <f t="shared" si="44"/>
        <v>1.7836521739130435</v>
      </c>
    </row>
    <row r="61" spans="1:26" s="24" customFormat="1" hidden="1" outlineLevel="2" x14ac:dyDescent="0.25">
      <c r="A61" s="26"/>
      <c r="B61" s="11" t="str">
        <f>CONCATENATE("          ", "6351", " - ", "EQUIPMENT RENTAL")</f>
        <v xml:space="preserve">          6351 - EQUIPMENT RENTAL</v>
      </c>
      <c r="C61" s="11"/>
      <c r="D61" s="7">
        <v>240.32</v>
      </c>
      <c r="E61" s="2"/>
      <c r="F61" s="6">
        <f t="shared" si="37"/>
        <v>0</v>
      </c>
      <c r="G61" s="2"/>
      <c r="H61" s="7">
        <v>115</v>
      </c>
      <c r="I61" s="2"/>
      <c r="J61" s="6">
        <f t="shared" si="38"/>
        <v>1.642857142857143E-3</v>
      </c>
      <c r="K61" s="2"/>
      <c r="L61" s="7">
        <f t="shared" si="39"/>
        <v>125.32</v>
      </c>
      <c r="M61" s="2"/>
      <c r="N61" s="6">
        <f t="shared" si="40"/>
        <v>1.0897391304347825</v>
      </c>
      <c r="O61" s="11"/>
      <c r="P61" s="7">
        <v>3521.32</v>
      </c>
      <c r="Q61" s="2"/>
      <c r="R61" s="6">
        <f t="shared" si="41"/>
        <v>4.8816258548445924E-3</v>
      </c>
      <c r="S61" s="2"/>
      <c r="T61" s="7">
        <v>1265</v>
      </c>
      <c r="U61" s="2"/>
      <c r="V61" s="6">
        <f t="shared" si="42"/>
        <v>1.1035505539562069E-3</v>
      </c>
      <c r="W61" s="2"/>
      <c r="X61" s="7">
        <f t="shared" si="43"/>
        <v>2256.3200000000002</v>
      </c>
      <c r="Y61" s="2"/>
      <c r="Z61" s="6">
        <f t="shared" si="44"/>
        <v>1.7836521739130435</v>
      </c>
    </row>
    <row r="62" spans="1:26" s="27" customFormat="1" outlineLevel="1" collapsed="1" x14ac:dyDescent="0.25">
      <c r="A62" s="25"/>
      <c r="B62" s="12" t="str">
        <f>CONCATENATE("     ","General                                           ")</f>
        <v xml:space="preserve">     General                                           </v>
      </c>
      <c r="C62" s="12"/>
      <c r="D62" s="1">
        <f>SUM(OSRRefD22_9x_0)</f>
        <v>0</v>
      </c>
      <c r="E62" s="1"/>
      <c r="F62" s="5">
        <f t="shared" si="37"/>
        <v>0</v>
      </c>
      <c r="G62" s="1"/>
      <c r="H62" s="1">
        <f>SUM(OSRRefH22_9x_0)</f>
        <v>1000</v>
      </c>
      <c r="I62" s="1"/>
      <c r="J62" s="5">
        <f t="shared" si="38"/>
        <v>1.4285714285714285E-2</v>
      </c>
      <c r="K62" s="1"/>
      <c r="L62" s="1">
        <f t="shared" si="39"/>
        <v>-1000</v>
      </c>
      <c r="M62" s="1"/>
      <c r="N62" s="5">
        <f t="shared" si="40"/>
        <v>-1</v>
      </c>
      <c r="O62" s="12"/>
      <c r="P62" s="1">
        <f>SUM(OSRRefP22_9x_0)</f>
        <v>9308.4599999999991</v>
      </c>
      <c r="Q62" s="1"/>
      <c r="R62" s="5">
        <f t="shared" si="41"/>
        <v>1.2904370805489614E-2</v>
      </c>
      <c r="S62" s="1"/>
      <c r="T62" s="1">
        <f>SUM(OSRRefT22_9x_0)</f>
        <v>11000</v>
      </c>
      <c r="U62" s="1"/>
      <c r="V62" s="5">
        <f t="shared" si="42"/>
        <v>9.5960917735322341E-3</v>
      </c>
      <c r="W62" s="1"/>
      <c r="X62" s="1">
        <f t="shared" si="43"/>
        <v>-1691.5400000000009</v>
      </c>
      <c r="Y62" s="1"/>
      <c r="Z62" s="5">
        <f t="shared" si="44"/>
        <v>-0.15377636363636371</v>
      </c>
    </row>
    <row r="63" spans="1:26" s="24" customFormat="1" hidden="1" outlineLevel="2" x14ac:dyDescent="0.25">
      <c r="A63" s="26"/>
      <c r="B63" s="11" t="str">
        <f>CONCATENATE("          ", "6279", " - ", "GENERAL EXPENSE")</f>
        <v xml:space="preserve">          6279 - GENERAL EXPENSE</v>
      </c>
      <c r="C63" s="11"/>
      <c r="D63" s="7"/>
      <c r="E63" s="2"/>
      <c r="F63" s="6">
        <f t="shared" si="37"/>
        <v>0</v>
      </c>
      <c r="G63" s="2"/>
      <c r="H63" s="7">
        <v>1000</v>
      </c>
      <c r="I63" s="2"/>
      <c r="J63" s="6">
        <f t="shared" si="38"/>
        <v>1.4285714285714285E-2</v>
      </c>
      <c r="K63" s="2"/>
      <c r="L63" s="7">
        <f t="shared" si="39"/>
        <v>-1000</v>
      </c>
      <c r="M63" s="2"/>
      <c r="N63" s="6">
        <f t="shared" si="40"/>
        <v>-1</v>
      </c>
      <c r="O63" s="11"/>
      <c r="P63" s="7">
        <v>9308.4599999999991</v>
      </c>
      <c r="Q63" s="2"/>
      <c r="R63" s="6">
        <f t="shared" si="41"/>
        <v>1.2904370805489614E-2</v>
      </c>
      <c r="S63" s="2"/>
      <c r="T63" s="7">
        <v>11000</v>
      </c>
      <c r="U63" s="2"/>
      <c r="V63" s="6">
        <f t="shared" si="42"/>
        <v>9.5960917735322341E-3</v>
      </c>
      <c r="W63" s="2"/>
      <c r="X63" s="7">
        <f t="shared" si="43"/>
        <v>-1691.5400000000009</v>
      </c>
      <c r="Y63" s="2"/>
      <c r="Z63" s="6">
        <f t="shared" si="44"/>
        <v>-0.15377636363636371</v>
      </c>
    </row>
    <row r="64" spans="1:26" s="27" customFormat="1" outlineLevel="1" collapsed="1" x14ac:dyDescent="0.25">
      <c r="A64" s="25"/>
      <c r="B64" s="12" t="str">
        <f>CONCATENATE("     ","Rent                                              ")</f>
        <v xml:space="preserve">     Rent                                              </v>
      </c>
      <c r="C64" s="12"/>
      <c r="D64" s="1">
        <f>SUM(OSRRefD22_10x_0)</f>
        <v>1850</v>
      </c>
      <c r="E64" s="1"/>
      <c r="F64" s="5">
        <f t="shared" si="37"/>
        <v>0</v>
      </c>
      <c r="G64" s="1"/>
      <c r="H64" s="1">
        <f>SUM(OSRRefH22_10x_0)</f>
        <v>1850</v>
      </c>
      <c r="I64" s="1"/>
      <c r="J64" s="5">
        <f t="shared" si="38"/>
        <v>2.642857142857143E-2</v>
      </c>
      <c r="K64" s="1"/>
      <c r="L64" s="1">
        <f t="shared" si="39"/>
        <v>0</v>
      </c>
      <c r="M64" s="1"/>
      <c r="N64" s="5">
        <f t="shared" si="40"/>
        <v>0</v>
      </c>
      <c r="O64" s="12"/>
      <c r="P64" s="1">
        <f>SUM(OSRRefP22_10x_0)</f>
        <v>20350</v>
      </c>
      <c r="Q64" s="1"/>
      <c r="R64" s="5">
        <f t="shared" si="41"/>
        <v>2.821132022823471E-2</v>
      </c>
      <c r="S64" s="1"/>
      <c r="T64" s="1">
        <f>SUM(OSRRefT22_10x_0)</f>
        <v>20350</v>
      </c>
      <c r="U64" s="1"/>
      <c r="V64" s="5">
        <f t="shared" si="42"/>
        <v>1.7752769781034634E-2</v>
      </c>
      <c r="W64" s="1"/>
      <c r="X64" s="1">
        <f t="shared" si="43"/>
        <v>0</v>
      </c>
      <c r="Y64" s="1"/>
      <c r="Z64" s="5">
        <f t="shared" si="44"/>
        <v>0</v>
      </c>
    </row>
    <row r="65" spans="1:26" s="24" customFormat="1" hidden="1" outlineLevel="2" x14ac:dyDescent="0.25">
      <c r="A65" s="26"/>
      <c r="B65" s="11" t="str">
        <f>CONCATENATE("          ", "6273", " - ", "RENT")</f>
        <v xml:space="preserve">          6273 - RENT</v>
      </c>
      <c r="C65" s="11"/>
      <c r="D65" s="7">
        <v>1850</v>
      </c>
      <c r="E65" s="2"/>
      <c r="F65" s="6">
        <f t="shared" si="37"/>
        <v>0</v>
      </c>
      <c r="G65" s="2"/>
      <c r="H65" s="7">
        <v>1850</v>
      </c>
      <c r="I65" s="2"/>
      <c r="J65" s="6">
        <f t="shared" si="38"/>
        <v>2.642857142857143E-2</v>
      </c>
      <c r="K65" s="2"/>
      <c r="L65" s="7">
        <f t="shared" si="39"/>
        <v>0</v>
      </c>
      <c r="M65" s="2"/>
      <c r="N65" s="6">
        <f t="shared" si="40"/>
        <v>0</v>
      </c>
      <c r="O65" s="11"/>
      <c r="P65" s="7">
        <v>20350</v>
      </c>
      <c r="Q65" s="2"/>
      <c r="R65" s="6">
        <f t="shared" si="41"/>
        <v>2.821132022823471E-2</v>
      </c>
      <c r="S65" s="2"/>
      <c r="T65" s="7">
        <v>20350</v>
      </c>
      <c r="U65" s="2"/>
      <c r="V65" s="6">
        <f t="shared" si="42"/>
        <v>1.7752769781034634E-2</v>
      </c>
      <c r="W65" s="2"/>
      <c r="X65" s="7">
        <f t="shared" si="43"/>
        <v>0</v>
      </c>
      <c r="Y65" s="2"/>
      <c r="Z65" s="6">
        <f t="shared" si="44"/>
        <v>0</v>
      </c>
    </row>
    <row r="66" spans="1:26" s="27" customFormat="1" outlineLevel="1" collapsed="1" x14ac:dyDescent="0.25">
      <c r="A66" s="25"/>
      <c r="B66" s="12" t="str">
        <f>CONCATENATE("     ","Repair and Maintenance                            ")</f>
        <v xml:space="preserve">     Repair and Maintenance                            </v>
      </c>
      <c r="C66" s="12"/>
      <c r="D66" s="1">
        <f>SUM(OSRRefD22_11x_0)</f>
        <v>1799</v>
      </c>
      <c r="E66" s="1"/>
      <c r="F66" s="5">
        <f t="shared" si="37"/>
        <v>0</v>
      </c>
      <c r="G66" s="1"/>
      <c r="H66" s="1">
        <f>SUM(OSRRefH22_11x_0)</f>
        <v>1300</v>
      </c>
      <c r="I66" s="1"/>
      <c r="J66" s="5">
        <f t="shared" si="38"/>
        <v>1.8571428571428572E-2</v>
      </c>
      <c r="K66" s="1"/>
      <c r="L66" s="1">
        <f t="shared" si="39"/>
        <v>499</v>
      </c>
      <c r="M66" s="1"/>
      <c r="N66" s="5">
        <f t="shared" si="40"/>
        <v>0.38384615384615384</v>
      </c>
      <c r="O66" s="12"/>
      <c r="P66" s="1">
        <f>SUM(OSRRefP22_11x_0)</f>
        <v>29214.12</v>
      </c>
      <c r="Q66" s="1"/>
      <c r="R66" s="5">
        <f t="shared" si="41"/>
        <v>4.0499699975728561E-2</v>
      </c>
      <c r="S66" s="1"/>
      <c r="T66" s="1">
        <f>SUM(OSRRefT22_11x_0)</f>
        <v>13000</v>
      </c>
      <c r="U66" s="1"/>
      <c r="V66" s="5">
        <f t="shared" si="42"/>
        <v>1.1340835732356277E-2</v>
      </c>
      <c r="W66" s="1"/>
      <c r="X66" s="1">
        <f t="shared" si="43"/>
        <v>16214.119999999999</v>
      </c>
      <c r="Y66" s="1"/>
      <c r="Z66" s="5">
        <f t="shared" si="44"/>
        <v>1.2472399999999999</v>
      </c>
    </row>
    <row r="67" spans="1:26" s="24" customFormat="1" hidden="1" outlineLevel="2" x14ac:dyDescent="0.25">
      <c r="A67" s="26"/>
      <c r="B67" s="11" t="str">
        <f>CONCATENATE("          ", "6372", " - ", "COMPUTER HARDWARE MAINTENANCE")</f>
        <v xml:space="preserve">          6372 - COMPUTER HARDWARE MAINTENANCE</v>
      </c>
      <c r="C67" s="11"/>
      <c r="D67" s="7"/>
      <c r="E67" s="2"/>
      <c r="F67" s="6">
        <f t="shared" si="37"/>
        <v>0</v>
      </c>
      <c r="G67" s="2"/>
      <c r="H67" s="7"/>
      <c r="I67" s="2"/>
      <c r="J67" s="6">
        <f t="shared" si="38"/>
        <v>0</v>
      </c>
      <c r="K67" s="2"/>
      <c r="L67" s="7">
        <f t="shared" si="39"/>
        <v>0</v>
      </c>
      <c r="M67" s="2"/>
      <c r="N67" s="6">
        <f t="shared" si="40"/>
        <v>0</v>
      </c>
      <c r="O67" s="11"/>
      <c r="P67" s="7"/>
      <c r="Q67" s="2"/>
      <c r="R67" s="6">
        <f t="shared" si="41"/>
        <v>0</v>
      </c>
      <c r="S67" s="2"/>
      <c r="T67" s="7">
        <v>200</v>
      </c>
      <c r="U67" s="2"/>
      <c r="V67" s="6">
        <f t="shared" si="42"/>
        <v>1.7447439588240426E-4</v>
      </c>
      <c r="W67" s="2"/>
      <c r="X67" s="7">
        <f t="shared" si="43"/>
        <v>-200</v>
      </c>
      <c r="Y67" s="2"/>
      <c r="Z67" s="6">
        <f t="shared" si="44"/>
        <v>-1</v>
      </c>
    </row>
    <row r="68" spans="1:26" s="24" customFormat="1" hidden="1" outlineLevel="2" x14ac:dyDescent="0.25">
      <c r="A68" s="26"/>
      <c r="B68" s="11" t="str">
        <f>CONCATENATE("          ", "6373", " - ", "MAINTENANCE CONTRACTS")</f>
        <v xml:space="preserve">          6373 - MAINTENANCE CONTRACTS</v>
      </c>
      <c r="C68" s="11"/>
      <c r="D68" s="7">
        <v>1799</v>
      </c>
      <c r="E68" s="2"/>
      <c r="F68" s="6">
        <f t="shared" si="37"/>
        <v>0</v>
      </c>
      <c r="G68" s="2"/>
      <c r="H68" s="7">
        <v>1000</v>
      </c>
      <c r="I68" s="2"/>
      <c r="J68" s="6">
        <f t="shared" si="38"/>
        <v>1.4285714285714285E-2</v>
      </c>
      <c r="K68" s="2"/>
      <c r="L68" s="7">
        <f t="shared" si="39"/>
        <v>799</v>
      </c>
      <c r="M68" s="2"/>
      <c r="N68" s="6">
        <f t="shared" si="40"/>
        <v>0.79900000000000004</v>
      </c>
      <c r="O68" s="11"/>
      <c r="P68" s="7">
        <v>19986.759999999998</v>
      </c>
      <c r="Q68" s="2"/>
      <c r="R68" s="6">
        <f t="shared" si="41"/>
        <v>2.7707758559453184E-2</v>
      </c>
      <c r="S68" s="2"/>
      <c r="T68" s="7">
        <v>11000</v>
      </c>
      <c r="U68" s="2"/>
      <c r="V68" s="6">
        <f t="shared" si="42"/>
        <v>9.5960917735322341E-3</v>
      </c>
      <c r="W68" s="2"/>
      <c r="X68" s="7">
        <f t="shared" si="43"/>
        <v>8986.7599999999984</v>
      </c>
      <c r="Y68" s="2"/>
      <c r="Z68" s="6">
        <f t="shared" si="44"/>
        <v>0.81697818181818171</v>
      </c>
    </row>
    <row r="69" spans="1:26" s="24" customFormat="1" hidden="1" outlineLevel="2" x14ac:dyDescent="0.25">
      <c r="A69" s="26"/>
      <c r="B69" s="11" t="str">
        <f>CONCATENATE("          ", "6375", " - ", "OUTSIDE REPAIRS &amp; MAINTENANCE")</f>
        <v xml:space="preserve">          6375 - OUTSIDE REPAIRS &amp; MAINTENANCE</v>
      </c>
      <c r="C69" s="11"/>
      <c r="D69" s="7"/>
      <c r="E69" s="2"/>
      <c r="F69" s="6">
        <f t="shared" si="37"/>
        <v>0</v>
      </c>
      <c r="G69" s="2"/>
      <c r="H69" s="7">
        <v>300</v>
      </c>
      <c r="I69" s="2"/>
      <c r="J69" s="6">
        <f t="shared" si="38"/>
        <v>4.2857142857142859E-3</v>
      </c>
      <c r="K69" s="2"/>
      <c r="L69" s="7">
        <f t="shared" si="39"/>
        <v>-300</v>
      </c>
      <c r="M69" s="2"/>
      <c r="N69" s="6">
        <f t="shared" si="40"/>
        <v>-1</v>
      </c>
      <c r="O69" s="11"/>
      <c r="P69" s="7">
        <v>9227.36</v>
      </c>
      <c r="Q69" s="2"/>
      <c r="R69" s="6">
        <f t="shared" si="41"/>
        <v>1.2791941416275373E-2</v>
      </c>
      <c r="S69" s="2"/>
      <c r="T69" s="7">
        <v>1800</v>
      </c>
      <c r="U69" s="2"/>
      <c r="V69" s="6">
        <f t="shared" si="42"/>
        <v>1.5702695629416384E-3</v>
      </c>
      <c r="W69" s="2"/>
      <c r="X69" s="7">
        <f t="shared" si="43"/>
        <v>7427.3600000000006</v>
      </c>
      <c r="Y69" s="2"/>
      <c r="Z69" s="6">
        <f t="shared" si="44"/>
        <v>4.1263111111111117</v>
      </c>
    </row>
    <row r="70" spans="1:26" s="27" customFormat="1" outlineLevel="1" collapsed="1" x14ac:dyDescent="0.25">
      <c r="A70" s="25"/>
      <c r="B70" s="12" t="str">
        <f>CONCATENATE("     ","Royalty &amp; Commissions                             ")</f>
        <v xml:space="preserve">     Royalty &amp; Commissions                             </v>
      </c>
      <c r="C70" s="12"/>
      <c r="D70" s="1">
        <f>SUM(OSRRefD22_12x_0)</f>
        <v>0</v>
      </c>
      <c r="E70" s="1"/>
      <c r="F70" s="5">
        <f t="shared" ref="F70:F75" si="45">IF(D$12=0,0,D70/D$12)</f>
        <v>0</v>
      </c>
      <c r="G70" s="1"/>
      <c r="H70" s="1">
        <f>SUM(OSRRefH22_12x_0)</f>
        <v>5600</v>
      </c>
      <c r="I70" s="1"/>
      <c r="J70" s="5">
        <f t="shared" ref="J70:J75" si="46">IF(H$12=0,0,H70/H$12)</f>
        <v>0.08</v>
      </c>
      <c r="K70" s="1"/>
      <c r="L70" s="1">
        <f t="shared" ref="L70:L75" si="47">+D70-H70</f>
        <v>-5600</v>
      </c>
      <c r="M70" s="1"/>
      <c r="N70" s="5">
        <f t="shared" ref="N70:N75" si="48">IF(H70=0,0,L70/H70)</f>
        <v>-1</v>
      </c>
      <c r="O70" s="12"/>
      <c r="P70" s="1">
        <f>SUM(OSRRefP22_12x_0)</f>
        <v>60535.320000000007</v>
      </c>
      <c r="Q70" s="1"/>
      <c r="R70" s="5">
        <f t="shared" ref="R70:R75" si="49">IF(P$12=0,0,P70/P$12)</f>
        <v>8.3920456886420705E-2</v>
      </c>
      <c r="S70" s="1"/>
      <c r="T70" s="1">
        <f>SUM(OSRRefT22_12x_0)</f>
        <v>91704</v>
      </c>
      <c r="U70" s="1"/>
      <c r="V70" s="5">
        <f t="shared" ref="V70:V75" si="50">IF(T$12=0,0,T70/T$12)</f>
        <v>0.08</v>
      </c>
      <c r="W70" s="1"/>
      <c r="X70" s="1">
        <f t="shared" ref="X70:X75" si="51">+P70-T70</f>
        <v>-31168.679999999993</v>
      </c>
      <c r="Y70" s="1"/>
      <c r="Z70" s="5">
        <f t="shared" ref="Z70:Z75" si="52">IF(T70=0,0,X70/T70)</f>
        <v>-0.33988353834074841</v>
      </c>
    </row>
    <row r="71" spans="1:26" s="24" customFormat="1" hidden="1" outlineLevel="2" x14ac:dyDescent="0.25">
      <c r="A71" s="26"/>
      <c r="B71" s="11" t="str">
        <f>CONCATENATE("          ", "6259", " - ", "ROYALTY &amp; COMMISSIONS")</f>
        <v xml:space="preserve">          6259 - ROYALTY &amp; COMMISSIONS</v>
      </c>
      <c r="C71" s="11"/>
      <c r="D71" s="7"/>
      <c r="E71" s="2"/>
      <c r="F71" s="6">
        <f t="shared" si="45"/>
        <v>0</v>
      </c>
      <c r="G71" s="2"/>
      <c r="H71" s="7">
        <v>5600</v>
      </c>
      <c r="I71" s="2"/>
      <c r="J71" s="6">
        <f t="shared" si="46"/>
        <v>0.08</v>
      </c>
      <c r="K71" s="2"/>
      <c r="L71" s="7">
        <f t="shared" si="47"/>
        <v>-5600</v>
      </c>
      <c r="M71" s="2"/>
      <c r="N71" s="6">
        <f t="shared" si="48"/>
        <v>-1</v>
      </c>
      <c r="O71" s="11"/>
      <c r="P71" s="7">
        <v>60535.320000000007</v>
      </c>
      <c r="Q71" s="2"/>
      <c r="R71" s="6">
        <f t="shared" si="49"/>
        <v>8.3920456886420705E-2</v>
      </c>
      <c r="S71" s="2"/>
      <c r="T71" s="7">
        <v>91704</v>
      </c>
      <c r="U71" s="2"/>
      <c r="V71" s="6">
        <f t="shared" si="50"/>
        <v>0.08</v>
      </c>
      <c r="W71" s="2"/>
      <c r="X71" s="7">
        <f t="shared" si="51"/>
        <v>-31168.679999999993</v>
      </c>
      <c r="Y71" s="2"/>
      <c r="Z71" s="6">
        <f t="shared" si="52"/>
        <v>-0.33988353834074841</v>
      </c>
    </row>
    <row r="72" spans="1:26" s="27" customFormat="1" outlineLevel="1" collapsed="1" x14ac:dyDescent="0.25">
      <c r="A72" s="25"/>
      <c r="B72" s="12" t="str">
        <f>CONCATENATE("     ","Services                                          ")</f>
        <v xml:space="preserve">     Services                                          </v>
      </c>
      <c r="C72" s="12"/>
      <c r="D72" s="1">
        <f>SUM(OSRRefD22_13x_0)</f>
        <v>115</v>
      </c>
      <c r="E72" s="1"/>
      <c r="F72" s="5">
        <f t="shared" si="45"/>
        <v>0</v>
      </c>
      <c r="G72" s="1"/>
      <c r="H72" s="1">
        <f>SUM(OSRRefH22_13x_0)</f>
        <v>360</v>
      </c>
      <c r="I72" s="1"/>
      <c r="J72" s="5">
        <f t="shared" si="46"/>
        <v>5.1428571428571426E-3</v>
      </c>
      <c r="K72" s="1"/>
      <c r="L72" s="1">
        <f t="shared" si="47"/>
        <v>-245</v>
      </c>
      <c r="M72" s="1"/>
      <c r="N72" s="5">
        <f t="shared" si="48"/>
        <v>-0.68055555555555558</v>
      </c>
      <c r="O72" s="12"/>
      <c r="P72" s="1">
        <f>SUM(OSRRefP22_13x_0)</f>
        <v>3908.39</v>
      </c>
      <c r="Q72" s="1"/>
      <c r="R72" s="5">
        <f t="shared" si="49"/>
        <v>5.4182231875592258E-3</v>
      </c>
      <c r="S72" s="1"/>
      <c r="T72" s="1">
        <f>SUM(OSRRefT22_13x_0)</f>
        <v>3960</v>
      </c>
      <c r="U72" s="1"/>
      <c r="V72" s="5">
        <f t="shared" si="50"/>
        <v>3.4545930384716041E-3</v>
      </c>
      <c r="W72" s="1"/>
      <c r="X72" s="1">
        <f t="shared" si="51"/>
        <v>-51.610000000000127</v>
      </c>
      <c r="Y72" s="1"/>
      <c r="Z72" s="5">
        <f t="shared" si="52"/>
        <v>-1.3032828282828314E-2</v>
      </c>
    </row>
    <row r="73" spans="1:26" s="24" customFormat="1" hidden="1" outlineLevel="2" x14ac:dyDescent="0.25">
      <c r="A73" s="26"/>
      <c r="B73" s="11" t="str">
        <f>CONCATENATE("          ", "6282", " - ", "JANITORIAL/EXTERMINATOR EXPENS")</f>
        <v xml:space="preserve">          6282 - JANITORIAL/EXTERMINATOR EXPENS</v>
      </c>
      <c r="C73" s="11"/>
      <c r="D73" s="7"/>
      <c r="E73" s="2"/>
      <c r="F73" s="6">
        <f t="shared" si="45"/>
        <v>0</v>
      </c>
      <c r="G73" s="2"/>
      <c r="H73" s="7">
        <v>100</v>
      </c>
      <c r="I73" s="2"/>
      <c r="J73" s="6">
        <f t="shared" si="46"/>
        <v>1.4285714285714286E-3</v>
      </c>
      <c r="K73" s="2"/>
      <c r="L73" s="7">
        <f t="shared" si="47"/>
        <v>-100</v>
      </c>
      <c r="M73" s="2"/>
      <c r="N73" s="6">
        <f t="shared" si="48"/>
        <v>-1</v>
      </c>
      <c r="O73" s="11"/>
      <c r="P73" s="7">
        <v>872.64</v>
      </c>
      <c r="Q73" s="2"/>
      <c r="R73" s="6">
        <f t="shared" si="49"/>
        <v>1.2097457731678985E-3</v>
      </c>
      <c r="S73" s="2"/>
      <c r="T73" s="7">
        <v>1100</v>
      </c>
      <c r="U73" s="2"/>
      <c r="V73" s="6">
        <f t="shared" si="50"/>
        <v>9.5960917735322341E-4</v>
      </c>
      <c r="W73" s="2"/>
      <c r="X73" s="7">
        <f t="shared" si="51"/>
        <v>-227.36</v>
      </c>
      <c r="Y73" s="2"/>
      <c r="Z73" s="6">
        <f t="shared" si="52"/>
        <v>-0.20669090909090909</v>
      </c>
    </row>
    <row r="74" spans="1:26" s="24" customFormat="1" hidden="1" outlineLevel="2" x14ac:dyDescent="0.25">
      <c r="A74" s="26"/>
      <c r="B74" s="11" t="str">
        <f>CONCATENATE("          ", "6284", " - ", "TRASH REMOVAL EXPENSE")</f>
        <v xml:space="preserve">          6284 - TRASH REMOVAL EXPENSE</v>
      </c>
      <c r="C74" s="11"/>
      <c r="D74" s="7">
        <v>115</v>
      </c>
      <c r="E74" s="2"/>
      <c r="F74" s="6">
        <f t="shared" si="45"/>
        <v>0</v>
      </c>
      <c r="G74" s="2"/>
      <c r="H74" s="7">
        <v>40</v>
      </c>
      <c r="I74" s="2"/>
      <c r="J74" s="6">
        <f t="shared" si="46"/>
        <v>5.7142857142857147E-4</v>
      </c>
      <c r="K74" s="2"/>
      <c r="L74" s="7">
        <f t="shared" si="47"/>
        <v>75</v>
      </c>
      <c r="M74" s="2"/>
      <c r="N74" s="6">
        <f t="shared" si="48"/>
        <v>1.875</v>
      </c>
      <c r="O74" s="11"/>
      <c r="P74" s="7">
        <v>1169</v>
      </c>
      <c r="Q74" s="2"/>
      <c r="R74" s="6">
        <f t="shared" si="49"/>
        <v>1.6205913192533846E-3</v>
      </c>
      <c r="S74" s="2"/>
      <c r="T74" s="7">
        <v>440</v>
      </c>
      <c r="U74" s="2"/>
      <c r="V74" s="6">
        <f t="shared" si="50"/>
        <v>3.8384367094128937E-4</v>
      </c>
      <c r="W74" s="2"/>
      <c r="X74" s="7">
        <f t="shared" si="51"/>
        <v>729</v>
      </c>
      <c r="Y74" s="2"/>
      <c r="Z74" s="6">
        <f t="shared" si="52"/>
        <v>1.6568181818181817</v>
      </c>
    </row>
    <row r="75" spans="1:26" s="24" customFormat="1" hidden="1" outlineLevel="2" x14ac:dyDescent="0.25">
      <c r="A75" s="26"/>
      <c r="B75" s="11" t="str">
        <f>CONCATENATE("          ", "6286", " - ", "LAUNDRY EXPENSE")</f>
        <v xml:space="preserve">          6286 - LAUNDRY EXPENSE</v>
      </c>
      <c r="C75" s="11"/>
      <c r="D75" s="7"/>
      <c r="E75" s="2"/>
      <c r="F75" s="6">
        <f t="shared" si="45"/>
        <v>0</v>
      </c>
      <c r="G75" s="2"/>
      <c r="H75" s="7">
        <v>220</v>
      </c>
      <c r="I75" s="2"/>
      <c r="J75" s="6">
        <f t="shared" si="46"/>
        <v>3.142857142857143E-3</v>
      </c>
      <c r="K75" s="2"/>
      <c r="L75" s="7">
        <f t="shared" si="47"/>
        <v>-220</v>
      </c>
      <c r="M75" s="2"/>
      <c r="N75" s="6">
        <f t="shared" si="48"/>
        <v>-1</v>
      </c>
      <c r="O75" s="11"/>
      <c r="P75" s="7">
        <v>1866.75</v>
      </c>
      <c r="Q75" s="2"/>
      <c r="R75" s="6">
        <f t="shared" si="49"/>
        <v>2.5878860951379433E-3</v>
      </c>
      <c r="S75" s="2"/>
      <c r="T75" s="7">
        <v>2420</v>
      </c>
      <c r="U75" s="2"/>
      <c r="V75" s="6">
        <f t="shared" si="50"/>
        <v>2.1111401901770916E-3</v>
      </c>
      <c r="W75" s="2"/>
      <c r="X75" s="7">
        <f t="shared" si="51"/>
        <v>-553.25</v>
      </c>
      <c r="Y75" s="2"/>
      <c r="Z75" s="6">
        <f t="shared" si="52"/>
        <v>-0.22861570247933885</v>
      </c>
    </row>
    <row r="76" spans="1:26" s="27" customFormat="1" outlineLevel="1" collapsed="1" x14ac:dyDescent="0.25">
      <c r="A76" s="25"/>
      <c r="B76" s="12" t="str">
        <f>CONCATENATE("     ","Subscriptions &amp; Dues                              ")</f>
        <v xml:space="preserve">     Subscriptions &amp; Dues                              </v>
      </c>
      <c r="C76" s="12"/>
      <c r="D76" s="1">
        <f>SUM(OSRRefD22_14x_0)</f>
        <v>0</v>
      </c>
      <c r="E76" s="1"/>
      <c r="F76" s="5">
        <f t="shared" ref="F76:F78" si="53">IF(D$12=0,0,D76/D$12)</f>
        <v>0</v>
      </c>
      <c r="G76" s="1"/>
      <c r="H76" s="1">
        <f>SUM(OSRRefH22_14x_0)</f>
        <v>0</v>
      </c>
      <c r="I76" s="1"/>
      <c r="J76" s="5">
        <f t="shared" ref="J76:J78" si="54">IF(H$12=0,0,H76/H$12)</f>
        <v>0</v>
      </c>
      <c r="K76" s="1"/>
      <c r="L76" s="1">
        <f t="shared" ref="L76:L78" si="55">+D76-H76</f>
        <v>0</v>
      </c>
      <c r="M76" s="1"/>
      <c r="N76" s="5">
        <f t="shared" ref="N76:N78" si="56">IF(H76=0,0,L76/H76)</f>
        <v>0</v>
      </c>
      <c r="O76" s="12"/>
      <c r="P76" s="1">
        <f>SUM(OSRRefP22_14x_0)</f>
        <v>1101.72</v>
      </c>
      <c r="Q76" s="1"/>
      <c r="R76" s="5">
        <f t="shared" ref="R76:R78" si="57">IF(P$12=0,0,P76/P$12)</f>
        <v>1.5273206742924198E-3</v>
      </c>
      <c r="S76" s="1"/>
      <c r="T76" s="1">
        <f>SUM(OSRRefT22_14x_0)</f>
        <v>0</v>
      </c>
      <c r="U76" s="1"/>
      <c r="V76" s="5">
        <f t="shared" ref="V76:V78" si="58">IF(T$12=0,0,T76/T$12)</f>
        <v>0</v>
      </c>
      <c r="W76" s="1"/>
      <c r="X76" s="1">
        <f t="shared" ref="X76:X78" si="59">+P76-T76</f>
        <v>1101.72</v>
      </c>
      <c r="Y76" s="1"/>
      <c r="Z76" s="5">
        <f t="shared" ref="Z76:Z78" si="60">IF(T76=0,0,X76/T76)</f>
        <v>0</v>
      </c>
    </row>
    <row r="77" spans="1:26" s="24" customFormat="1" hidden="1" outlineLevel="2" x14ac:dyDescent="0.25">
      <c r="A77" s="26"/>
      <c r="B77" s="11" t="str">
        <f>CONCATENATE("          ", "6258", " - ", "MEMBERSHIP DUES")</f>
        <v xml:space="preserve">          6258 - MEMBERSHIP DUES</v>
      </c>
      <c r="C77" s="11"/>
      <c r="D77" s="7"/>
      <c r="E77" s="2"/>
      <c r="F77" s="6">
        <f t="shared" si="53"/>
        <v>0</v>
      </c>
      <c r="G77" s="2"/>
      <c r="H77" s="7"/>
      <c r="I77" s="2"/>
      <c r="J77" s="6">
        <f t="shared" si="54"/>
        <v>0</v>
      </c>
      <c r="K77" s="2"/>
      <c r="L77" s="7">
        <f t="shared" si="55"/>
        <v>0</v>
      </c>
      <c r="M77" s="2"/>
      <c r="N77" s="6">
        <f t="shared" si="56"/>
        <v>0</v>
      </c>
      <c r="O77" s="11"/>
      <c r="P77" s="7">
        <v>979</v>
      </c>
      <c r="Q77" s="2"/>
      <c r="R77" s="6">
        <f t="shared" si="57"/>
        <v>1.3571932434123725E-3</v>
      </c>
      <c r="S77" s="2"/>
      <c r="T77" s="7"/>
      <c r="U77" s="2"/>
      <c r="V77" s="6">
        <f t="shared" si="58"/>
        <v>0</v>
      </c>
      <c r="W77" s="2"/>
      <c r="X77" s="7">
        <f t="shared" si="59"/>
        <v>979</v>
      </c>
      <c r="Y77" s="2"/>
      <c r="Z77" s="6">
        <f t="shared" si="60"/>
        <v>0</v>
      </c>
    </row>
    <row r="78" spans="1:26" s="24" customFormat="1" hidden="1" outlineLevel="2" x14ac:dyDescent="0.25">
      <c r="A78" s="26"/>
      <c r="B78" s="11" t="str">
        <f>CONCATENATE("          ", "6275", " - ", "SUBSCRIPTIONS")</f>
        <v xml:space="preserve">          6275 - SUBSCRIPTIONS</v>
      </c>
      <c r="C78" s="11"/>
      <c r="D78" s="7"/>
      <c r="E78" s="2"/>
      <c r="F78" s="6">
        <f t="shared" si="53"/>
        <v>0</v>
      </c>
      <c r="G78" s="2"/>
      <c r="H78" s="7"/>
      <c r="I78" s="2"/>
      <c r="J78" s="6">
        <f t="shared" si="54"/>
        <v>0</v>
      </c>
      <c r="K78" s="2"/>
      <c r="L78" s="7">
        <f t="shared" si="55"/>
        <v>0</v>
      </c>
      <c r="M78" s="2"/>
      <c r="N78" s="6">
        <f t="shared" si="56"/>
        <v>0</v>
      </c>
      <c r="O78" s="11"/>
      <c r="P78" s="7">
        <v>122.72</v>
      </c>
      <c r="Q78" s="2"/>
      <c r="R78" s="6">
        <f t="shared" si="57"/>
        <v>1.7012743088004736E-4</v>
      </c>
      <c r="S78" s="2"/>
      <c r="T78" s="7"/>
      <c r="U78" s="2"/>
      <c r="V78" s="6">
        <f t="shared" si="58"/>
        <v>0</v>
      </c>
      <c r="W78" s="2"/>
      <c r="X78" s="7">
        <f t="shared" si="59"/>
        <v>122.72</v>
      </c>
      <c r="Y78" s="2"/>
      <c r="Z78" s="6">
        <f t="shared" si="60"/>
        <v>0</v>
      </c>
    </row>
    <row r="79" spans="1:26" s="27" customFormat="1" outlineLevel="1" collapsed="1" x14ac:dyDescent="0.25">
      <c r="A79" s="25"/>
      <c r="B79" s="12" t="str">
        <f>CONCATENATE("     ","Supplies                                          ")</f>
        <v xml:space="preserve">     Supplies                                          </v>
      </c>
      <c r="C79" s="12"/>
      <c r="D79" s="1">
        <f>SUM(OSRRefD22_15x_0)</f>
        <v>0</v>
      </c>
      <c r="E79" s="1"/>
      <c r="F79" s="5">
        <f t="shared" ref="F79:F88" si="61">IF(D$12=0,0,D79/D$12)</f>
        <v>0</v>
      </c>
      <c r="G79" s="1"/>
      <c r="H79" s="1">
        <f>SUM(OSRRefH22_15x_0)</f>
        <v>400</v>
      </c>
      <c r="I79" s="1"/>
      <c r="J79" s="5">
        <f t="shared" ref="J79:J88" si="62">IF(H$12=0,0,H79/H$12)</f>
        <v>5.7142857142857143E-3</v>
      </c>
      <c r="K79" s="1"/>
      <c r="L79" s="1">
        <f t="shared" ref="L79:L88" si="63">+D79-H79</f>
        <v>-400</v>
      </c>
      <c r="M79" s="1"/>
      <c r="N79" s="5">
        <f t="shared" ref="N79:N88" si="64">IF(H79=0,0,L79/H79)</f>
        <v>-1</v>
      </c>
      <c r="O79" s="12"/>
      <c r="P79" s="1">
        <f>SUM(OSRRefP22_15x_0)</f>
        <v>11997.33</v>
      </c>
      <c r="Q79" s="1"/>
      <c r="R79" s="5">
        <f t="shared" ref="R79:R88" si="65">IF(P$12=0,0,P79/P$12)</f>
        <v>1.6631966511734993E-2</v>
      </c>
      <c r="S79" s="1"/>
      <c r="T79" s="1">
        <f>SUM(OSRRefT22_15x_0)</f>
        <v>11750</v>
      </c>
      <c r="U79" s="1"/>
      <c r="V79" s="5">
        <f t="shared" ref="V79:V88" si="66">IF(T$12=0,0,T79/T$12)</f>
        <v>1.0250370758091249E-2</v>
      </c>
      <c r="W79" s="1"/>
      <c r="X79" s="1">
        <f t="shared" ref="X79:X88" si="67">+P79-T79</f>
        <v>247.32999999999993</v>
      </c>
      <c r="Y79" s="1"/>
      <c r="Z79" s="5">
        <f t="shared" ref="Z79:Z88" si="68">IF(T79=0,0,X79/T79)</f>
        <v>2.1049361702127654E-2</v>
      </c>
    </row>
    <row r="80" spans="1:26" s="24" customFormat="1" hidden="1" outlineLevel="2" x14ac:dyDescent="0.25">
      <c r="A80" s="26"/>
      <c r="B80" s="11" t="str">
        <f>CONCATENATE("          ", "6237", " - ", "JANITORIAL SUPPLIES")</f>
        <v xml:space="preserve">          6237 - JANITORIAL SUPPLIES</v>
      </c>
      <c r="C80" s="11"/>
      <c r="D80" s="7"/>
      <c r="E80" s="2"/>
      <c r="F80" s="6">
        <f t="shared" si="61"/>
        <v>0</v>
      </c>
      <c r="G80" s="2"/>
      <c r="H80" s="7">
        <v>100</v>
      </c>
      <c r="I80" s="2"/>
      <c r="J80" s="6">
        <f t="shared" si="62"/>
        <v>1.4285714285714286E-3</v>
      </c>
      <c r="K80" s="2"/>
      <c r="L80" s="7">
        <f t="shared" si="63"/>
        <v>-100</v>
      </c>
      <c r="M80" s="2"/>
      <c r="N80" s="6">
        <f t="shared" si="64"/>
        <v>-1</v>
      </c>
      <c r="O80" s="11"/>
      <c r="P80" s="7">
        <v>2140.12</v>
      </c>
      <c r="Q80" s="2"/>
      <c r="R80" s="6">
        <f t="shared" si="65"/>
        <v>2.9668604740466665E-3</v>
      </c>
      <c r="S80" s="2"/>
      <c r="T80" s="7">
        <v>1100</v>
      </c>
      <c r="U80" s="2"/>
      <c r="V80" s="6">
        <f t="shared" si="66"/>
        <v>9.5960917735322341E-4</v>
      </c>
      <c r="W80" s="2"/>
      <c r="X80" s="7">
        <f t="shared" si="67"/>
        <v>1040.1199999999999</v>
      </c>
      <c r="Y80" s="2"/>
      <c r="Z80" s="6">
        <f t="shared" si="68"/>
        <v>0.94556363636363627</v>
      </c>
    </row>
    <row r="81" spans="1:26" s="24" customFormat="1" hidden="1" outlineLevel="2" x14ac:dyDescent="0.25">
      <c r="A81" s="26"/>
      <c r="B81" s="11" t="str">
        <f>CONCATENATE("          ", "6239", " - ", "KITCHEN SUPPLIES")</f>
        <v xml:space="preserve">          6239 - KITCHEN SUPPLIES</v>
      </c>
      <c r="C81" s="11"/>
      <c r="D81" s="7"/>
      <c r="E81" s="2"/>
      <c r="F81" s="6">
        <f t="shared" si="61"/>
        <v>0</v>
      </c>
      <c r="G81" s="2"/>
      <c r="H81" s="7"/>
      <c r="I81" s="2"/>
      <c r="J81" s="6">
        <f t="shared" si="62"/>
        <v>0</v>
      </c>
      <c r="K81" s="2"/>
      <c r="L81" s="7">
        <f t="shared" si="63"/>
        <v>0</v>
      </c>
      <c r="M81" s="2"/>
      <c r="N81" s="6">
        <f t="shared" si="64"/>
        <v>0</v>
      </c>
      <c r="O81" s="11"/>
      <c r="P81" s="7">
        <v>4435.24</v>
      </c>
      <c r="Q81" s="2"/>
      <c r="R81" s="6">
        <f t="shared" si="65"/>
        <v>6.1485983257531058E-3</v>
      </c>
      <c r="S81" s="2"/>
      <c r="T81" s="7">
        <v>4900</v>
      </c>
      <c r="U81" s="2"/>
      <c r="V81" s="6">
        <f t="shared" si="66"/>
        <v>4.2746226991189039E-3</v>
      </c>
      <c r="W81" s="2"/>
      <c r="X81" s="7">
        <f t="shared" si="67"/>
        <v>-464.76000000000022</v>
      </c>
      <c r="Y81" s="2"/>
      <c r="Z81" s="6">
        <f t="shared" si="68"/>
        <v>-9.4848979591836774E-2</v>
      </c>
    </row>
    <row r="82" spans="1:26" s="24" customFormat="1" hidden="1" outlineLevel="2" x14ac:dyDescent="0.25">
      <c r="A82" s="26"/>
      <c r="B82" s="11" t="str">
        <f>CONCATENATE("          ", "6241", " - ", "OFFICE EXPENSE")</f>
        <v xml:space="preserve">          6241 - OFFICE EXPENSE</v>
      </c>
      <c r="C82" s="11"/>
      <c r="D82" s="7"/>
      <c r="E82" s="2"/>
      <c r="F82" s="6">
        <f t="shared" si="61"/>
        <v>0</v>
      </c>
      <c r="G82" s="2"/>
      <c r="H82" s="7">
        <v>100</v>
      </c>
      <c r="I82" s="2"/>
      <c r="J82" s="6">
        <f t="shared" si="62"/>
        <v>1.4285714285714286E-3</v>
      </c>
      <c r="K82" s="2"/>
      <c r="L82" s="7">
        <f t="shared" si="63"/>
        <v>-100</v>
      </c>
      <c r="M82" s="2"/>
      <c r="N82" s="6">
        <f t="shared" si="64"/>
        <v>-1</v>
      </c>
      <c r="O82" s="11"/>
      <c r="P82" s="7">
        <v>1415.33</v>
      </c>
      <c r="Q82" s="2"/>
      <c r="R82" s="6">
        <f t="shared" si="65"/>
        <v>1.9620799930529448E-3</v>
      </c>
      <c r="S82" s="2"/>
      <c r="T82" s="7">
        <v>1100</v>
      </c>
      <c r="U82" s="2"/>
      <c r="V82" s="6">
        <f t="shared" si="66"/>
        <v>9.5960917735322341E-4</v>
      </c>
      <c r="W82" s="2"/>
      <c r="X82" s="7">
        <f t="shared" si="67"/>
        <v>315.32999999999993</v>
      </c>
      <c r="Y82" s="2"/>
      <c r="Z82" s="6">
        <f t="shared" si="68"/>
        <v>0.28666363636363629</v>
      </c>
    </row>
    <row r="83" spans="1:26" s="24" customFormat="1" hidden="1" outlineLevel="2" x14ac:dyDescent="0.25">
      <c r="A83" s="26"/>
      <c r="B83" s="11" t="str">
        <f>CONCATENATE("          ", "6243", " - ", "PAPER SUPPLIES")</f>
        <v xml:space="preserve">          6243 - PAPER SUPPLIES</v>
      </c>
      <c r="C83" s="11"/>
      <c r="D83" s="7"/>
      <c r="E83" s="2"/>
      <c r="F83" s="6">
        <f t="shared" si="61"/>
        <v>0</v>
      </c>
      <c r="G83" s="2"/>
      <c r="H83" s="7"/>
      <c r="I83" s="2"/>
      <c r="J83" s="6">
        <f t="shared" si="62"/>
        <v>0</v>
      </c>
      <c r="K83" s="2"/>
      <c r="L83" s="7">
        <f t="shared" si="63"/>
        <v>0</v>
      </c>
      <c r="M83" s="2"/>
      <c r="N83" s="6">
        <f t="shared" si="64"/>
        <v>0</v>
      </c>
      <c r="O83" s="11"/>
      <c r="P83" s="7">
        <v>5057.43</v>
      </c>
      <c r="Q83" s="2"/>
      <c r="R83" s="6">
        <f t="shared" si="65"/>
        <v>7.0111438457926816E-3</v>
      </c>
      <c r="S83" s="2"/>
      <c r="T83" s="7"/>
      <c r="U83" s="2"/>
      <c r="V83" s="6">
        <f t="shared" si="66"/>
        <v>0</v>
      </c>
      <c r="W83" s="2"/>
      <c r="X83" s="7">
        <f t="shared" si="67"/>
        <v>5057.43</v>
      </c>
      <c r="Y83" s="2"/>
      <c r="Z83" s="6">
        <f t="shared" si="68"/>
        <v>0</v>
      </c>
    </row>
    <row r="84" spans="1:26" s="24" customFormat="1" hidden="1" outlineLevel="2" x14ac:dyDescent="0.25">
      <c r="A84" s="26"/>
      <c r="B84" s="11" t="str">
        <f>CONCATENATE("          ", "6244", " - ", "SAFETY SUPPLY EXPENSE")</f>
        <v xml:space="preserve">          6244 - SAFETY SUPPLY EXPENSE</v>
      </c>
      <c r="C84" s="11"/>
      <c r="D84" s="7"/>
      <c r="E84" s="2"/>
      <c r="F84" s="6">
        <f t="shared" si="61"/>
        <v>0</v>
      </c>
      <c r="G84" s="2"/>
      <c r="H84" s="7">
        <v>50</v>
      </c>
      <c r="I84" s="2"/>
      <c r="J84" s="6">
        <f t="shared" si="62"/>
        <v>7.1428571428571429E-4</v>
      </c>
      <c r="K84" s="2"/>
      <c r="L84" s="7">
        <f t="shared" si="63"/>
        <v>-50</v>
      </c>
      <c r="M84" s="2"/>
      <c r="N84" s="6">
        <f t="shared" si="64"/>
        <v>-1</v>
      </c>
      <c r="O84" s="11"/>
      <c r="P84" s="7"/>
      <c r="Q84" s="2"/>
      <c r="R84" s="6">
        <f t="shared" si="65"/>
        <v>0</v>
      </c>
      <c r="S84" s="2"/>
      <c r="T84" s="7">
        <v>550</v>
      </c>
      <c r="U84" s="2"/>
      <c r="V84" s="6">
        <f t="shared" si="66"/>
        <v>4.798045886766117E-4</v>
      </c>
      <c r="W84" s="2"/>
      <c r="X84" s="7">
        <f t="shared" si="67"/>
        <v>-550</v>
      </c>
      <c r="Y84" s="2"/>
      <c r="Z84" s="6">
        <f t="shared" si="68"/>
        <v>-1</v>
      </c>
    </row>
    <row r="85" spans="1:26" s="24" customFormat="1" hidden="1" outlineLevel="2" x14ac:dyDescent="0.25">
      <c r="A85" s="26"/>
      <c r="B85" s="11" t="str">
        <f>CONCATENATE("          ", "6245", " - ", "PRINTING")</f>
        <v xml:space="preserve">          6245 - PRINTING</v>
      </c>
      <c r="C85" s="11"/>
      <c r="D85" s="7"/>
      <c r="E85" s="2"/>
      <c r="F85" s="6">
        <f t="shared" si="61"/>
        <v>0</v>
      </c>
      <c r="G85" s="2"/>
      <c r="H85" s="7">
        <v>50</v>
      </c>
      <c r="I85" s="2"/>
      <c r="J85" s="6">
        <f t="shared" si="62"/>
        <v>7.1428571428571429E-4</v>
      </c>
      <c r="K85" s="2"/>
      <c r="L85" s="7">
        <f t="shared" si="63"/>
        <v>-50</v>
      </c>
      <c r="M85" s="2"/>
      <c r="N85" s="6">
        <f t="shared" si="64"/>
        <v>-1</v>
      </c>
      <c r="O85" s="11"/>
      <c r="P85" s="7">
        <v>66.930000000000007</v>
      </c>
      <c r="Q85" s="2"/>
      <c r="R85" s="6">
        <f t="shared" si="65"/>
        <v>9.2785437979152295E-5</v>
      </c>
      <c r="S85" s="2"/>
      <c r="T85" s="7">
        <v>650</v>
      </c>
      <c r="U85" s="2"/>
      <c r="V85" s="6">
        <f t="shared" si="66"/>
        <v>5.6704178661781386E-4</v>
      </c>
      <c r="W85" s="2"/>
      <c r="X85" s="7">
        <f t="shared" si="67"/>
        <v>-583.06999999999994</v>
      </c>
      <c r="Y85" s="2"/>
      <c r="Z85" s="6">
        <f t="shared" si="68"/>
        <v>-0.89703076923076919</v>
      </c>
    </row>
    <row r="86" spans="1:26" s="24" customFormat="1" hidden="1" outlineLevel="2" x14ac:dyDescent="0.25">
      <c r="A86" s="26"/>
      <c r="B86" s="11" t="str">
        <f>CONCATENATE("          ", "6246", " - ", "REPLACEMENTS")</f>
        <v xml:space="preserve">          6246 - REPLACEMENTS</v>
      </c>
      <c r="C86" s="11"/>
      <c r="D86" s="7"/>
      <c r="E86" s="2"/>
      <c r="F86" s="6">
        <f t="shared" si="61"/>
        <v>0</v>
      </c>
      <c r="G86" s="2"/>
      <c r="H86" s="7"/>
      <c r="I86" s="2"/>
      <c r="J86" s="6">
        <f t="shared" si="62"/>
        <v>0</v>
      </c>
      <c r="K86" s="2"/>
      <c r="L86" s="7">
        <f t="shared" si="63"/>
        <v>0</v>
      </c>
      <c r="M86" s="2"/>
      <c r="N86" s="6">
        <f t="shared" si="64"/>
        <v>0</v>
      </c>
      <c r="O86" s="11"/>
      <c r="P86" s="7"/>
      <c r="Q86" s="2"/>
      <c r="R86" s="6">
        <f t="shared" si="65"/>
        <v>0</v>
      </c>
      <c r="S86" s="2"/>
      <c r="T86" s="7">
        <v>2400</v>
      </c>
      <c r="U86" s="2"/>
      <c r="V86" s="6">
        <f t="shared" si="66"/>
        <v>2.0936927505888509E-3</v>
      </c>
      <c r="W86" s="2"/>
      <c r="X86" s="7">
        <f t="shared" si="67"/>
        <v>-2400</v>
      </c>
      <c r="Y86" s="2"/>
      <c r="Z86" s="6">
        <f t="shared" si="68"/>
        <v>-1</v>
      </c>
    </row>
    <row r="87" spans="1:26" s="24" customFormat="1" hidden="1" outlineLevel="2" x14ac:dyDescent="0.25">
      <c r="A87" s="26"/>
      <c r="B87" s="11" t="str">
        <f>CONCATENATE("          ", "6247", " - ", "STORE SUPPLIES")</f>
        <v xml:space="preserve">          6247 - STORE SUPPLIES</v>
      </c>
      <c r="C87" s="11"/>
      <c r="D87" s="7"/>
      <c r="E87" s="2"/>
      <c r="F87" s="6">
        <f t="shared" si="61"/>
        <v>0</v>
      </c>
      <c r="G87" s="2"/>
      <c r="H87" s="7">
        <v>100</v>
      </c>
      <c r="I87" s="2"/>
      <c r="J87" s="6">
        <f t="shared" si="62"/>
        <v>1.4285714285714286E-3</v>
      </c>
      <c r="K87" s="2"/>
      <c r="L87" s="7">
        <f t="shared" si="63"/>
        <v>-100</v>
      </c>
      <c r="M87" s="2"/>
      <c r="N87" s="6">
        <f t="shared" si="64"/>
        <v>-1</v>
      </c>
      <c r="O87" s="11"/>
      <c r="P87" s="7">
        <v>-1251.8</v>
      </c>
      <c r="Q87" s="2"/>
      <c r="R87" s="6">
        <f t="shared" si="65"/>
        <v>-1.7353774280935729E-3</v>
      </c>
      <c r="S87" s="2"/>
      <c r="T87" s="7">
        <v>1050</v>
      </c>
      <c r="U87" s="2"/>
      <c r="V87" s="6">
        <f t="shared" si="66"/>
        <v>9.1599057838262238E-4</v>
      </c>
      <c r="W87" s="2"/>
      <c r="X87" s="7">
        <f t="shared" si="67"/>
        <v>-2301.8000000000002</v>
      </c>
      <c r="Y87" s="2"/>
      <c r="Z87" s="6">
        <f t="shared" si="68"/>
        <v>-2.1921904761904765</v>
      </c>
    </row>
    <row r="88" spans="1:26" s="24" customFormat="1" hidden="1" outlineLevel="2" x14ac:dyDescent="0.25">
      <c r="A88" s="26"/>
      <c r="B88" s="11" t="str">
        <f>CONCATENATE("          ", "6248", " - ", "UNIFORMS")</f>
        <v xml:space="preserve">          6248 - UNIFORMS</v>
      </c>
      <c r="C88" s="11"/>
      <c r="D88" s="7"/>
      <c r="E88" s="2"/>
      <c r="F88" s="6">
        <f t="shared" si="61"/>
        <v>0</v>
      </c>
      <c r="G88" s="2"/>
      <c r="H88" s="7"/>
      <c r="I88" s="2"/>
      <c r="J88" s="6">
        <f t="shared" si="62"/>
        <v>0</v>
      </c>
      <c r="K88" s="2"/>
      <c r="L88" s="7">
        <f t="shared" si="63"/>
        <v>0</v>
      </c>
      <c r="M88" s="2"/>
      <c r="N88" s="6">
        <f t="shared" si="64"/>
        <v>0</v>
      </c>
      <c r="O88" s="11"/>
      <c r="P88" s="7">
        <v>134.08000000000001</v>
      </c>
      <c r="Q88" s="2"/>
      <c r="R88" s="6">
        <f t="shared" si="65"/>
        <v>1.8587586320401524E-4</v>
      </c>
      <c r="S88" s="2"/>
      <c r="T88" s="7"/>
      <c r="U88" s="2"/>
      <c r="V88" s="6">
        <f t="shared" si="66"/>
        <v>0</v>
      </c>
      <c r="W88" s="2"/>
      <c r="X88" s="7">
        <f t="shared" si="67"/>
        <v>134.08000000000001</v>
      </c>
      <c r="Y88" s="2"/>
      <c r="Z88" s="6">
        <f t="shared" si="68"/>
        <v>0</v>
      </c>
    </row>
    <row r="89" spans="1:26" s="27" customFormat="1" outlineLevel="1" collapsed="1" x14ac:dyDescent="0.25">
      <c r="A89" s="25"/>
      <c r="B89" s="12" t="str">
        <f>CONCATENATE("     ","Telephone/Data Lines                              ")</f>
        <v xml:space="preserve">     Telephone/Data Lines                              </v>
      </c>
      <c r="C89" s="12"/>
      <c r="D89" s="1">
        <f>SUM(OSRRefD22_16x_0)</f>
        <v>23</v>
      </c>
      <c r="E89" s="1"/>
      <c r="F89" s="5">
        <f t="shared" ref="F89:F96" si="69">IF(D$12=0,0,D89/D$12)</f>
        <v>0</v>
      </c>
      <c r="G89" s="1"/>
      <c r="H89" s="1">
        <f>SUM(OSRRefH22_16x_0)</f>
        <v>50</v>
      </c>
      <c r="I89" s="1"/>
      <c r="J89" s="5">
        <f t="shared" ref="J89:J96" si="70">IF(H$12=0,0,H89/H$12)</f>
        <v>7.1428571428571429E-4</v>
      </c>
      <c r="K89" s="1"/>
      <c r="L89" s="1">
        <f t="shared" ref="L89:L96" si="71">+D89-H89</f>
        <v>-27</v>
      </c>
      <c r="M89" s="1"/>
      <c r="N89" s="5">
        <f t="shared" ref="N89:N96" si="72">IF(H89=0,0,L89/H89)</f>
        <v>-0.54</v>
      </c>
      <c r="O89" s="12"/>
      <c r="P89" s="1">
        <f>SUM(OSRRefP22_16x_0)</f>
        <v>1508.8</v>
      </c>
      <c r="Q89" s="1"/>
      <c r="R89" s="5">
        <f t="shared" ref="R89:R96" si="73">IF(P$12=0,0,P89/P$12)</f>
        <v>2.0916579833100998E-3</v>
      </c>
      <c r="S89" s="1"/>
      <c r="T89" s="1">
        <f>SUM(OSRRefT22_16x_0)</f>
        <v>550</v>
      </c>
      <c r="U89" s="1"/>
      <c r="V89" s="5">
        <f t="shared" ref="V89:V96" si="74">IF(T$12=0,0,T89/T$12)</f>
        <v>4.798045886766117E-4</v>
      </c>
      <c r="W89" s="1"/>
      <c r="X89" s="1">
        <f t="shared" ref="X89:X96" si="75">+P89-T89</f>
        <v>958.8</v>
      </c>
      <c r="Y89" s="1"/>
      <c r="Z89" s="5">
        <f t="shared" ref="Z89:Z96" si="76">IF(T89=0,0,X89/T89)</f>
        <v>1.7432727272727271</v>
      </c>
    </row>
    <row r="90" spans="1:26" s="24" customFormat="1" hidden="1" outlineLevel="2" x14ac:dyDescent="0.25">
      <c r="A90" s="26"/>
      <c r="B90" s="11" t="str">
        <f>CONCATENATE("          ", "6309", " - ", "TELEPHONE")</f>
        <v xml:space="preserve">          6309 - TELEPHONE</v>
      </c>
      <c r="C90" s="11"/>
      <c r="D90" s="7">
        <v>23</v>
      </c>
      <c r="E90" s="2"/>
      <c r="F90" s="6">
        <f t="shared" si="69"/>
        <v>0</v>
      </c>
      <c r="G90" s="2"/>
      <c r="H90" s="7">
        <v>50</v>
      </c>
      <c r="I90" s="2"/>
      <c r="J90" s="6">
        <f t="shared" si="70"/>
        <v>7.1428571428571429E-4</v>
      </c>
      <c r="K90" s="2"/>
      <c r="L90" s="7">
        <f t="shared" si="71"/>
        <v>-27</v>
      </c>
      <c r="M90" s="2"/>
      <c r="N90" s="6">
        <f t="shared" si="72"/>
        <v>-0.54</v>
      </c>
      <c r="O90" s="11"/>
      <c r="P90" s="7">
        <v>1508.8</v>
      </c>
      <c r="Q90" s="2"/>
      <c r="R90" s="6">
        <f t="shared" si="73"/>
        <v>2.0916579833100998E-3</v>
      </c>
      <c r="S90" s="2"/>
      <c r="T90" s="7">
        <v>550</v>
      </c>
      <c r="U90" s="2"/>
      <c r="V90" s="6">
        <f t="shared" si="74"/>
        <v>4.798045886766117E-4</v>
      </c>
      <c r="W90" s="2"/>
      <c r="X90" s="7">
        <f t="shared" si="75"/>
        <v>958.8</v>
      </c>
      <c r="Y90" s="2"/>
      <c r="Z90" s="6">
        <f t="shared" si="76"/>
        <v>1.7432727272727271</v>
      </c>
    </row>
    <row r="91" spans="1:26" s="27" customFormat="1" outlineLevel="1" collapsed="1" x14ac:dyDescent="0.25">
      <c r="A91" s="25"/>
      <c r="B91" s="12" t="str">
        <f>CONCATENATE("     ","Training                                          ")</f>
        <v xml:space="preserve">     Training                                          </v>
      </c>
      <c r="C91" s="12"/>
      <c r="D91" s="1">
        <f>SUM(OSRRefD22_17x_0)</f>
        <v>0</v>
      </c>
      <c r="E91" s="1"/>
      <c r="F91" s="5">
        <f t="shared" si="69"/>
        <v>0</v>
      </c>
      <c r="G91" s="1"/>
      <c r="H91" s="1">
        <f>SUM(OSRRefH22_17x_0)</f>
        <v>0</v>
      </c>
      <c r="I91" s="1"/>
      <c r="J91" s="5">
        <f t="shared" si="70"/>
        <v>0</v>
      </c>
      <c r="K91" s="1"/>
      <c r="L91" s="1">
        <f t="shared" si="71"/>
        <v>0</v>
      </c>
      <c r="M91" s="1"/>
      <c r="N91" s="5">
        <f t="shared" si="72"/>
        <v>0</v>
      </c>
      <c r="O91" s="12"/>
      <c r="P91" s="1">
        <f>SUM(OSRRefP22_17x_0)</f>
        <v>585.65</v>
      </c>
      <c r="Q91" s="1"/>
      <c r="R91" s="5">
        <f t="shared" si="73"/>
        <v>8.1188991113836147E-4</v>
      </c>
      <c r="S91" s="1"/>
      <c r="T91" s="1">
        <f>SUM(OSRRefT22_17x_0)</f>
        <v>1000</v>
      </c>
      <c r="U91" s="1"/>
      <c r="V91" s="5">
        <f t="shared" si="74"/>
        <v>8.7237197941202125E-4</v>
      </c>
      <c r="W91" s="1"/>
      <c r="X91" s="1">
        <f t="shared" si="75"/>
        <v>-414.35</v>
      </c>
      <c r="Y91" s="1"/>
      <c r="Z91" s="5">
        <f t="shared" si="76"/>
        <v>-0.41435</v>
      </c>
    </row>
    <row r="92" spans="1:26" s="24" customFormat="1" hidden="1" outlineLevel="2" x14ac:dyDescent="0.25">
      <c r="A92" s="26"/>
      <c r="B92" s="11" t="str">
        <f>CONCATENATE("          ", "6376", " - ", "TRAINING")</f>
        <v xml:space="preserve">          6376 - TRAINING</v>
      </c>
      <c r="C92" s="11"/>
      <c r="D92" s="7"/>
      <c r="E92" s="2"/>
      <c r="F92" s="6">
        <f t="shared" si="69"/>
        <v>0</v>
      </c>
      <c r="G92" s="2"/>
      <c r="H92" s="7"/>
      <c r="I92" s="2"/>
      <c r="J92" s="6">
        <f t="shared" si="70"/>
        <v>0</v>
      </c>
      <c r="K92" s="2"/>
      <c r="L92" s="7">
        <f t="shared" si="71"/>
        <v>0</v>
      </c>
      <c r="M92" s="2"/>
      <c r="N92" s="6">
        <f t="shared" si="72"/>
        <v>0</v>
      </c>
      <c r="O92" s="11"/>
      <c r="P92" s="7">
        <v>585.65</v>
      </c>
      <c r="Q92" s="2"/>
      <c r="R92" s="6">
        <f t="shared" si="73"/>
        <v>8.1188991113836147E-4</v>
      </c>
      <c r="S92" s="2"/>
      <c r="T92" s="7">
        <v>1000</v>
      </c>
      <c r="U92" s="2"/>
      <c r="V92" s="6">
        <f t="shared" si="74"/>
        <v>8.7237197941202125E-4</v>
      </c>
      <c r="W92" s="2"/>
      <c r="X92" s="7">
        <f t="shared" si="75"/>
        <v>-414.35</v>
      </c>
      <c r="Y92" s="2"/>
      <c r="Z92" s="6">
        <f t="shared" si="76"/>
        <v>-0.41435</v>
      </c>
    </row>
    <row r="93" spans="1:26" s="27" customFormat="1" outlineLevel="1" collapsed="1" x14ac:dyDescent="0.25">
      <c r="A93" s="25"/>
      <c r="B93" s="12" t="str">
        <f>CONCATENATE("     ","Travel                                            ")</f>
        <v xml:space="preserve">     Travel                                            </v>
      </c>
      <c r="C93" s="12"/>
      <c r="D93" s="1">
        <f>SUM(OSRRefD22_18x_0)</f>
        <v>0</v>
      </c>
      <c r="E93" s="1"/>
      <c r="F93" s="5">
        <f t="shared" si="69"/>
        <v>0</v>
      </c>
      <c r="G93" s="1"/>
      <c r="H93" s="1">
        <f>SUM(OSRRefH22_18x_0)</f>
        <v>0</v>
      </c>
      <c r="I93" s="1"/>
      <c r="J93" s="5">
        <f t="shared" si="70"/>
        <v>0</v>
      </c>
      <c r="K93" s="1"/>
      <c r="L93" s="1">
        <f t="shared" si="71"/>
        <v>0</v>
      </c>
      <c r="M93" s="1"/>
      <c r="N93" s="5">
        <f t="shared" si="72"/>
        <v>0</v>
      </c>
      <c r="O93" s="12"/>
      <c r="P93" s="1">
        <f>SUM(OSRRefP22_18x_0)</f>
        <v>0</v>
      </c>
      <c r="Q93" s="1"/>
      <c r="R93" s="5">
        <f t="shared" si="73"/>
        <v>0</v>
      </c>
      <c r="S93" s="1"/>
      <c r="T93" s="1">
        <f>SUM(OSRRefT22_18x_0)</f>
        <v>1000</v>
      </c>
      <c r="U93" s="1"/>
      <c r="V93" s="5">
        <f t="shared" si="74"/>
        <v>8.7237197941202125E-4</v>
      </c>
      <c r="W93" s="1"/>
      <c r="X93" s="1">
        <f t="shared" si="75"/>
        <v>-1000</v>
      </c>
      <c r="Y93" s="1"/>
      <c r="Z93" s="5">
        <f t="shared" si="76"/>
        <v>-1</v>
      </c>
    </row>
    <row r="94" spans="1:26" s="24" customFormat="1" hidden="1" outlineLevel="2" x14ac:dyDescent="0.25">
      <c r="A94" s="26"/>
      <c r="B94" s="11" t="str">
        <f>CONCATENATE("          ", "6292", " - ", "TRAVEL/CONFERENCE")</f>
        <v xml:space="preserve">          6292 - TRAVEL/CONFERENCE</v>
      </c>
      <c r="C94" s="11"/>
      <c r="D94" s="7"/>
      <c r="E94" s="2"/>
      <c r="F94" s="6">
        <f t="shared" si="69"/>
        <v>0</v>
      </c>
      <c r="G94" s="2"/>
      <c r="H94" s="7"/>
      <c r="I94" s="2"/>
      <c r="J94" s="6">
        <f t="shared" si="70"/>
        <v>0</v>
      </c>
      <c r="K94" s="2"/>
      <c r="L94" s="7">
        <f t="shared" si="71"/>
        <v>0</v>
      </c>
      <c r="M94" s="2"/>
      <c r="N94" s="6">
        <f t="shared" si="72"/>
        <v>0</v>
      </c>
      <c r="O94" s="11"/>
      <c r="P94" s="7"/>
      <c r="Q94" s="2"/>
      <c r="R94" s="6">
        <f t="shared" si="73"/>
        <v>0</v>
      </c>
      <c r="S94" s="2"/>
      <c r="T94" s="7">
        <v>1000</v>
      </c>
      <c r="U94" s="2"/>
      <c r="V94" s="6">
        <f t="shared" si="74"/>
        <v>8.7237197941202125E-4</v>
      </c>
      <c r="W94" s="2"/>
      <c r="X94" s="7">
        <f t="shared" si="75"/>
        <v>-1000</v>
      </c>
      <c r="Y94" s="2"/>
      <c r="Z94" s="6">
        <f t="shared" si="76"/>
        <v>-1</v>
      </c>
    </row>
    <row r="95" spans="1:26" s="27" customFormat="1" outlineLevel="1" collapsed="1" x14ac:dyDescent="0.25">
      <c r="A95" s="25"/>
      <c r="B95" s="12" t="str">
        <f>CONCATENATE("     ","Utilities                                         ")</f>
        <v xml:space="preserve">     Utilities                                         </v>
      </c>
      <c r="C95" s="12"/>
      <c r="D95" s="1">
        <f>SUM(OSRRefD22_19x_0)</f>
        <v>348</v>
      </c>
      <c r="E95" s="1"/>
      <c r="F95" s="5">
        <f t="shared" si="69"/>
        <v>0</v>
      </c>
      <c r="G95" s="1"/>
      <c r="H95" s="1">
        <f>SUM(OSRRefH22_19x_0)</f>
        <v>350</v>
      </c>
      <c r="I95" s="1"/>
      <c r="J95" s="5">
        <f t="shared" si="70"/>
        <v>5.0000000000000001E-3</v>
      </c>
      <c r="K95" s="1"/>
      <c r="L95" s="1">
        <f t="shared" si="71"/>
        <v>-2</v>
      </c>
      <c r="M95" s="1"/>
      <c r="N95" s="5">
        <f t="shared" si="72"/>
        <v>-5.7142857142857143E-3</v>
      </c>
      <c r="O95" s="12"/>
      <c r="P95" s="1">
        <f>SUM(OSRRefP22_19x_0)</f>
        <v>3824</v>
      </c>
      <c r="Q95" s="1"/>
      <c r="R95" s="5">
        <f t="shared" si="73"/>
        <v>5.3012328527159477E-3</v>
      </c>
      <c r="S95" s="1"/>
      <c r="T95" s="1">
        <f>SUM(OSRRefT22_19x_0)</f>
        <v>3850</v>
      </c>
      <c r="U95" s="1"/>
      <c r="V95" s="5">
        <f t="shared" si="74"/>
        <v>3.3586321207362819E-3</v>
      </c>
      <c r="W95" s="1"/>
      <c r="X95" s="1">
        <f t="shared" si="75"/>
        <v>-26</v>
      </c>
      <c r="Y95" s="1"/>
      <c r="Z95" s="5">
        <f t="shared" si="76"/>
        <v>-6.7532467532467532E-3</v>
      </c>
    </row>
    <row r="96" spans="1:26" s="24" customFormat="1" hidden="1" outlineLevel="2" x14ac:dyDescent="0.25">
      <c r="A96" s="26"/>
      <c r="B96" s="11" t="str">
        <f>CONCATENATE("          ", "6274", " - ", "UTILITIES")</f>
        <v xml:space="preserve">          6274 - UTILITIES</v>
      </c>
      <c r="C96" s="11"/>
      <c r="D96" s="7">
        <v>348</v>
      </c>
      <c r="E96" s="2"/>
      <c r="F96" s="6">
        <f t="shared" si="69"/>
        <v>0</v>
      </c>
      <c r="G96" s="2"/>
      <c r="H96" s="7">
        <v>350</v>
      </c>
      <c r="I96" s="2"/>
      <c r="J96" s="6">
        <f t="shared" si="70"/>
        <v>5.0000000000000001E-3</v>
      </c>
      <c r="K96" s="2"/>
      <c r="L96" s="7">
        <f t="shared" si="71"/>
        <v>-2</v>
      </c>
      <c r="M96" s="2"/>
      <c r="N96" s="6">
        <f t="shared" si="72"/>
        <v>-5.7142857142857143E-3</v>
      </c>
      <c r="O96" s="11"/>
      <c r="P96" s="7">
        <v>3824</v>
      </c>
      <c r="Q96" s="2"/>
      <c r="R96" s="6">
        <f t="shared" si="73"/>
        <v>5.3012328527159477E-3</v>
      </c>
      <c r="S96" s="2"/>
      <c r="T96" s="7">
        <v>3850</v>
      </c>
      <c r="U96" s="2"/>
      <c r="V96" s="6">
        <f t="shared" si="74"/>
        <v>3.3586321207362819E-3</v>
      </c>
      <c r="W96" s="2"/>
      <c r="X96" s="7">
        <f t="shared" si="75"/>
        <v>-26</v>
      </c>
      <c r="Y96" s="2"/>
      <c r="Z96" s="6">
        <f t="shared" si="76"/>
        <v>-6.7532467532467532E-3</v>
      </c>
    </row>
    <row r="97" spans="1:26" s="62" customFormat="1" x14ac:dyDescent="0.25">
      <c r="A97" s="36"/>
      <c r="B97" s="36"/>
      <c r="C97" s="36"/>
      <c r="D97" s="1"/>
      <c r="E97" s="1"/>
      <c r="F97" s="5"/>
      <c r="G97" s="1"/>
      <c r="H97" s="1"/>
      <c r="I97" s="1"/>
      <c r="J97" s="5"/>
      <c r="K97" s="1"/>
      <c r="L97" s="1"/>
      <c r="M97" s="1"/>
      <c r="N97" s="5"/>
      <c r="O97" s="36"/>
      <c r="P97" s="1"/>
      <c r="Q97" s="1"/>
      <c r="R97" s="5"/>
      <c r="S97" s="1"/>
      <c r="T97" s="1"/>
      <c r="U97" s="1"/>
      <c r="V97" s="5"/>
      <c r="W97" s="1"/>
      <c r="X97" s="1"/>
      <c r="Y97" s="1"/>
      <c r="Z97" s="5"/>
    </row>
    <row r="98" spans="1:26" s="23" customFormat="1" x14ac:dyDescent="0.25">
      <c r="A98" s="10"/>
      <c r="B98" s="28" t="s">
        <v>0</v>
      </c>
      <c r="C98" s="10"/>
      <c r="D98" s="4">
        <f>SUM(0)</f>
        <v>0</v>
      </c>
      <c r="E98" s="4"/>
      <c r="F98" s="13">
        <f>IF(D$12=0,0,D98/D$12)</f>
        <v>0</v>
      </c>
      <c r="G98" s="4"/>
      <c r="H98" s="4">
        <f>SUM(0)</f>
        <v>0</v>
      </c>
      <c r="I98" s="4"/>
      <c r="J98" s="13">
        <f>IF(H$12=0,0,H98/H$12)</f>
        <v>0</v>
      </c>
      <c r="K98" s="4"/>
      <c r="L98" s="4">
        <f>+D98-H98</f>
        <v>0</v>
      </c>
      <c r="M98" s="4"/>
      <c r="N98" s="13">
        <f>IF(H98=0,0,L98/H98)</f>
        <v>0</v>
      </c>
      <c r="O98" s="10"/>
      <c r="P98" s="4">
        <f>SUM(0)</f>
        <v>0</v>
      </c>
      <c r="Q98" s="4"/>
      <c r="R98" s="13">
        <f>IF(P$12=0,0,P98/P$12)</f>
        <v>0</v>
      </c>
      <c r="S98" s="4"/>
      <c r="T98" s="4">
        <f>SUM(0)</f>
        <v>0</v>
      </c>
      <c r="U98" s="4"/>
      <c r="V98" s="13">
        <f>IF(T$12=0,0,T98/T$12)</f>
        <v>0</v>
      </c>
      <c r="W98" s="4"/>
      <c r="X98" s="4">
        <f>+P98-T98</f>
        <v>0</v>
      </c>
      <c r="Y98" s="4"/>
      <c r="Z98" s="13">
        <f>IF(T98=0,0,X98/T98)</f>
        <v>0</v>
      </c>
    </row>
    <row r="99" spans="1:26" x14ac:dyDescent="0.25">
      <c r="A99" s="9"/>
      <c r="B99" s="10"/>
      <c r="C99" s="10"/>
      <c r="D99" s="3"/>
      <c r="E99" s="3"/>
      <c r="F99" s="8"/>
      <c r="G99" s="3"/>
      <c r="H99" s="3"/>
      <c r="I99" s="3"/>
      <c r="J99" s="8"/>
      <c r="K99" s="3"/>
      <c r="L99" s="3"/>
      <c r="M99" s="3"/>
      <c r="N99" s="8"/>
      <c r="O99" s="10"/>
      <c r="P99" s="3"/>
      <c r="Q99" s="3"/>
      <c r="R99" s="8"/>
      <c r="S99" s="3"/>
      <c r="T99" s="3"/>
      <c r="U99" s="3"/>
      <c r="V99" s="8"/>
      <c r="W99" s="3"/>
      <c r="X99" s="3"/>
      <c r="Y99" s="3"/>
      <c r="Z99" s="8"/>
    </row>
    <row r="100" spans="1:26" s="23" customFormat="1" x14ac:dyDescent="0.25">
      <c r="A100" s="10"/>
      <c r="B100" s="29" t="s">
        <v>3</v>
      </c>
      <c r="C100" s="29"/>
      <c r="D100" s="20">
        <f>+D22-D24+D98</f>
        <v>-16634.059999999998</v>
      </c>
      <c r="E100" s="14"/>
      <c r="F100" s="22">
        <f>IF(D$12=0,0,D100/D$12)</f>
        <v>0</v>
      </c>
      <c r="G100" s="14"/>
      <c r="H100" s="20">
        <f>+H22-H24+H98</f>
        <v>621.97933039999771</v>
      </c>
      <c r="I100" s="14"/>
      <c r="J100" s="22">
        <f>IF(H$12=0,0,H100/H$12)</f>
        <v>8.8854190057142523E-3</v>
      </c>
      <c r="K100" s="16"/>
      <c r="L100" s="20">
        <f>+D100-H100</f>
        <v>-17256.039330399995</v>
      </c>
      <c r="M100" s="16"/>
      <c r="N100" s="22">
        <f>IF(H100=0,0,L100/H100)</f>
        <v>-27.743750454380145</v>
      </c>
      <c r="O100" s="28"/>
      <c r="P100" s="20">
        <f>+P22-P24+P98</f>
        <v>-99131.359999999986</v>
      </c>
      <c r="Q100" s="14"/>
      <c r="R100" s="22">
        <f>IF(P$12=0,0,P100/P$12)</f>
        <v>-0.13742636568159297</v>
      </c>
      <c r="S100" s="14"/>
      <c r="T100" s="20">
        <f>+T22-T24+T98</f>
        <v>166759.51233759988</v>
      </c>
      <c r="U100" s="14"/>
      <c r="V100" s="22">
        <f>IF(T$12=0,0,T100/T$12)</f>
        <v>0.14547632586373541</v>
      </c>
      <c r="W100" s="16"/>
      <c r="X100" s="20">
        <f>+P100-T100</f>
        <v>-265890.87233759987</v>
      </c>
      <c r="Y100" s="16"/>
      <c r="Z100" s="22">
        <f>IF(T100=0,0,X100/T100)</f>
        <v>-1.5944570034440457</v>
      </c>
    </row>
    <row r="101" spans="1:26" x14ac:dyDescent="0.25">
      <c r="A101" s="9"/>
      <c r="B101" s="10"/>
      <c r="C101" s="9"/>
      <c r="D101" s="3"/>
      <c r="E101" s="3"/>
      <c r="F101" s="8"/>
      <c r="G101" s="3"/>
      <c r="H101" s="3"/>
      <c r="I101" s="3"/>
      <c r="J101" s="8"/>
      <c r="K101" s="3"/>
      <c r="L101" s="3"/>
      <c r="M101" s="3"/>
      <c r="N101" s="8"/>
      <c r="P101" s="3"/>
      <c r="Q101" s="3"/>
      <c r="R101" s="8"/>
      <c r="S101" s="3"/>
      <c r="T101" s="3"/>
      <c r="U101" s="3"/>
      <c r="V101" s="8"/>
      <c r="W101" s="3"/>
      <c r="X101" s="3"/>
      <c r="Y101" s="3"/>
      <c r="Z101" s="8"/>
    </row>
    <row r="102" spans="1:26" s="23" customFormat="1" x14ac:dyDescent="0.25">
      <c r="A102" s="52"/>
      <c r="B102" s="10" t="s">
        <v>14</v>
      </c>
      <c r="C102" s="10"/>
      <c r="D102" s="4">
        <v>3514.94</v>
      </c>
      <c r="E102" s="4"/>
      <c r="F102" s="13">
        <f>IF(D$12=0,0,D102/D$12)</f>
        <v>0</v>
      </c>
      <c r="G102" s="4"/>
      <c r="H102" s="4">
        <v>7014</v>
      </c>
      <c r="I102" s="4"/>
      <c r="J102" s="13">
        <f>IF(H$12=0,0,H102/H$12)</f>
        <v>0.1002</v>
      </c>
      <c r="K102" s="4"/>
      <c r="L102" s="4">
        <f>+D102-H102</f>
        <v>-3499.06</v>
      </c>
      <c r="M102" s="4"/>
      <c r="N102" s="13">
        <f>IF(H102=0,0,L102/H102)</f>
        <v>-0.49886797832905616</v>
      </c>
      <c r="O102" s="10"/>
      <c r="P102" s="4">
        <v>85418.12</v>
      </c>
      <c r="Q102" s="4"/>
      <c r="R102" s="13">
        <f>IF(P$12=0,0,P102/P$12)</f>
        <v>0.11841562342082455</v>
      </c>
      <c r="S102" s="4"/>
      <c r="T102" s="4">
        <v>132771</v>
      </c>
      <c r="U102" s="4"/>
      <c r="V102" s="13">
        <f>IF(T$12=0,0,T102/T$12)</f>
        <v>0.11582570007851348</v>
      </c>
      <c r="W102" s="4"/>
      <c r="X102" s="4">
        <f>+P102-T102</f>
        <v>-47352.880000000005</v>
      </c>
      <c r="Y102" s="4"/>
      <c r="Z102" s="13">
        <f>IF(T102=0,0,X102/T102)</f>
        <v>-0.35665077464205291</v>
      </c>
    </row>
    <row r="103" spans="1:26" x14ac:dyDescent="0.25">
      <c r="A103" s="9"/>
      <c r="B103" s="10"/>
      <c r="C103" s="10"/>
      <c r="D103" s="3"/>
      <c r="E103" s="3"/>
      <c r="F103" s="8"/>
      <c r="G103" s="3"/>
      <c r="H103" s="3"/>
      <c r="I103" s="3"/>
      <c r="J103" s="8"/>
      <c r="K103" s="3"/>
      <c r="L103" s="3"/>
      <c r="M103" s="3"/>
      <c r="N103" s="8"/>
      <c r="O103" s="10"/>
      <c r="P103" s="3"/>
      <c r="Q103" s="3"/>
      <c r="R103" s="8"/>
      <c r="S103" s="3"/>
      <c r="T103" s="3"/>
      <c r="U103" s="3"/>
      <c r="V103" s="8"/>
      <c r="W103" s="3"/>
      <c r="X103" s="3"/>
      <c r="Y103" s="3"/>
      <c r="Z103" s="8"/>
    </row>
    <row r="104" spans="1:26" s="23" customFormat="1" ht="15.75" thickBot="1" x14ac:dyDescent="0.3">
      <c r="A104" s="10"/>
      <c r="B104" s="29" t="s">
        <v>4</v>
      </c>
      <c r="C104" s="29"/>
      <c r="D104" s="35">
        <f>+D100-D102</f>
        <v>-20148.999999999996</v>
      </c>
      <c r="E104" s="14"/>
      <c r="F104" s="32">
        <f>IF(D$12=0,0,D104/D$12)</f>
        <v>0</v>
      </c>
      <c r="G104" s="14"/>
      <c r="H104" s="35">
        <f>+H100-H102</f>
        <v>-6392.0206696000023</v>
      </c>
      <c r="I104" s="14"/>
      <c r="J104" s="32">
        <f>IF(H$12=0,0,H104/H$12)</f>
        <v>-9.1314580994285743E-2</v>
      </c>
      <c r="K104" s="16"/>
      <c r="L104" s="35">
        <f>D104-H104</f>
        <v>-13756.979330399994</v>
      </c>
      <c r="M104" s="16"/>
      <c r="N104" s="32">
        <f>IF(H104=0,0,L104/H104)</f>
        <v>2.1522113337066031</v>
      </c>
      <c r="O104" s="28"/>
      <c r="P104" s="35">
        <f>+P100-P102</f>
        <v>-184549.47999999998</v>
      </c>
      <c r="Q104" s="14"/>
      <c r="R104" s="32">
        <f>IF(P$12=0,0,P104/P$12)</f>
        <v>-0.25584198910241751</v>
      </c>
      <c r="S104" s="14"/>
      <c r="T104" s="35">
        <f>+T100-T102</f>
        <v>33988.512337599881</v>
      </c>
      <c r="U104" s="14"/>
      <c r="V104" s="32">
        <f>IF(T$12=0,0,T104/T$12)</f>
        <v>2.9650625785221915E-2</v>
      </c>
      <c r="W104" s="16"/>
      <c r="X104" s="35">
        <f>P104-T104</f>
        <v>-218537.99233759986</v>
      </c>
      <c r="Y104" s="16"/>
      <c r="Z104" s="32">
        <f>IF(T104=0,0,X104/T104)</f>
        <v>-6.429760448674938</v>
      </c>
    </row>
    <row r="105" spans="1:26" ht="15.75" thickTop="1" x14ac:dyDescent="0.25">
      <c r="A105" s="9"/>
      <c r="B105" s="9"/>
      <c r="C105" s="9"/>
      <c r="D105" s="3"/>
      <c r="E105" s="3"/>
      <c r="F105" s="8"/>
      <c r="G105" s="3"/>
      <c r="H105" s="3"/>
      <c r="I105" s="3"/>
      <c r="J105" s="8"/>
      <c r="K105" s="3"/>
      <c r="L105" s="3"/>
      <c r="M105" s="3"/>
      <c r="N105" s="8"/>
      <c r="P105" s="3"/>
      <c r="Q105" s="3"/>
      <c r="R105" s="8"/>
      <c r="S105" s="3"/>
      <c r="T105" s="3"/>
      <c r="U105" s="3"/>
      <c r="V105" s="8"/>
      <c r="W105" s="3"/>
      <c r="X105" s="3"/>
      <c r="Y105" s="3"/>
      <c r="Z105" s="8"/>
    </row>
    <row r="106" spans="1:26" x14ac:dyDescent="0.25">
      <c r="A106" s="9"/>
      <c r="B106" s="9"/>
      <c r="C106" s="9"/>
      <c r="D106" s="3"/>
      <c r="E106" s="3"/>
      <c r="F106" s="8"/>
      <c r="G106" s="3"/>
      <c r="H106" s="3"/>
      <c r="I106" s="3"/>
      <c r="J106" s="8"/>
      <c r="K106" s="3"/>
      <c r="L106" s="3"/>
      <c r="M106" s="3"/>
      <c r="N106" s="8"/>
      <c r="P106" s="3"/>
      <c r="Q106" s="3"/>
      <c r="R106" s="8"/>
      <c r="S106" s="3"/>
      <c r="T106" s="3"/>
      <c r="U106" s="3"/>
      <c r="V106" s="8"/>
      <c r="W106" s="3"/>
      <c r="X106" s="3"/>
      <c r="Y106" s="3"/>
      <c r="Z106" s="8"/>
    </row>
    <row r="107" spans="1:26" s="23" customFormat="1" ht="15.75" thickBot="1" x14ac:dyDescent="0.3">
      <c r="A107" s="10"/>
      <c r="B107" s="29" t="s">
        <v>5</v>
      </c>
      <c r="C107" s="29"/>
      <c r="D107" s="34">
        <f>SUM(D104:D106)</f>
        <v>-20148.999999999996</v>
      </c>
      <c r="E107" s="14"/>
      <c r="F107" s="31">
        <f>IF(D$12=0,0,D107/D$12)</f>
        <v>0</v>
      </c>
      <c r="G107" s="14"/>
      <c r="H107" s="34">
        <f>SUM(H104:H106)</f>
        <v>-6392.0206696000023</v>
      </c>
      <c r="I107" s="14"/>
      <c r="J107" s="31">
        <f>IF(H$12=0,0,H107/H$12)</f>
        <v>-9.1314580994285743E-2</v>
      </c>
      <c r="K107" s="16"/>
      <c r="L107" s="34">
        <f>+D107-H107</f>
        <v>-13756.979330399994</v>
      </c>
      <c r="M107" s="16"/>
      <c r="N107" s="31">
        <f>IF(H107=0,0,L107/H107)</f>
        <v>2.1522113337066031</v>
      </c>
      <c r="O107" s="28"/>
      <c r="P107" s="34">
        <f>SUM(P104:P106)</f>
        <v>-184549.47999999998</v>
      </c>
      <c r="Q107" s="14"/>
      <c r="R107" s="31">
        <f>IF(P$12=0,0,P107/P$12)</f>
        <v>-0.25584198910241751</v>
      </c>
      <c r="S107" s="14"/>
      <c r="T107" s="34">
        <f>SUM(T104:T106)</f>
        <v>33988.512337599881</v>
      </c>
      <c r="U107" s="14"/>
      <c r="V107" s="31">
        <f>IF(T$12=0,0,T107/T$12)</f>
        <v>2.9650625785221915E-2</v>
      </c>
      <c r="W107" s="16"/>
      <c r="X107" s="34">
        <f>+P107-T107</f>
        <v>-218537.99233759986</v>
      </c>
      <c r="Y107" s="16"/>
      <c r="Z107" s="31">
        <f>IF(T107=0,0,X107/T107)</f>
        <v>-6.429760448674938</v>
      </c>
    </row>
    <row r="108" spans="1:26" ht="15.75" thickTop="1" x14ac:dyDescent="0.25">
      <c r="A108" s="9"/>
      <c r="C108" s="9"/>
      <c r="D108" s="18"/>
      <c r="E108" s="18"/>
      <c r="G108" s="18"/>
      <c r="H108" s="18"/>
      <c r="I108" s="18"/>
      <c r="J108" s="42"/>
      <c r="K108" s="18"/>
      <c r="L108" s="18"/>
      <c r="M108" s="18"/>
      <c r="P108" s="18"/>
      <c r="Q108" s="18"/>
      <c r="R108" s="42"/>
      <c r="S108" s="18"/>
      <c r="T108" s="18"/>
      <c r="U108" s="18"/>
      <c r="V108" s="42"/>
      <c r="W108" s="18"/>
      <c r="X108" s="18"/>
    </row>
    <row r="109" spans="1:26" x14ac:dyDescent="0.25">
      <c r="A109" s="9"/>
      <c r="B109" s="59">
        <v>43992.37200239583</v>
      </c>
      <c r="D109" s="18"/>
      <c r="E109" s="18"/>
      <c r="G109" s="18"/>
      <c r="H109" s="18"/>
      <c r="I109" s="18"/>
      <c r="J109" s="42"/>
      <c r="K109" s="18"/>
      <c r="L109" s="18"/>
      <c r="M109" s="18"/>
      <c r="P109" s="18"/>
      <c r="Q109" s="18"/>
      <c r="R109" s="42"/>
      <c r="S109" s="18"/>
      <c r="T109" s="18"/>
      <c r="U109" s="18"/>
      <c r="V109" s="42"/>
      <c r="W109" s="18"/>
      <c r="X109" s="18"/>
    </row>
    <row r="110" spans="1:26" x14ac:dyDescent="0.25">
      <c r="A110" s="9"/>
      <c r="B110" s="56" t="s">
        <v>314</v>
      </c>
      <c r="D110" s="18"/>
      <c r="E110" s="18"/>
      <c r="G110" s="18"/>
      <c r="H110" s="18"/>
      <c r="I110" s="18"/>
      <c r="J110" s="42"/>
      <c r="K110" s="18"/>
      <c r="L110" s="18"/>
      <c r="M110" s="18"/>
      <c r="P110" s="18"/>
      <c r="Q110" s="18"/>
      <c r="R110" s="42"/>
      <c r="S110" s="18"/>
      <c r="T110" s="18"/>
      <c r="U110" s="18"/>
      <c r="V110" s="42"/>
      <c r="W110" s="18"/>
      <c r="X110" s="18"/>
    </row>
    <row r="111" spans="1:26" x14ac:dyDescent="0.25">
      <c r="A111" s="9"/>
      <c r="B111" s="54"/>
      <c r="D111" s="18"/>
      <c r="E111" s="18"/>
      <c r="G111" s="18"/>
      <c r="H111" s="18"/>
      <c r="I111" s="18"/>
      <c r="J111" s="42"/>
      <c r="K111" s="18"/>
      <c r="L111" s="18"/>
      <c r="M111" s="18"/>
      <c r="P111" s="18"/>
      <c r="Q111" s="18"/>
      <c r="R111" s="42"/>
      <c r="S111" s="18"/>
      <c r="T111" s="18"/>
      <c r="U111" s="18"/>
      <c r="V111" s="42"/>
      <c r="W111" s="18"/>
      <c r="X111" s="18"/>
    </row>
    <row r="112" spans="1:26" x14ac:dyDescent="0.25">
      <c r="D112" s="18"/>
      <c r="E112" s="18"/>
      <c r="G112" s="18"/>
      <c r="H112" s="18"/>
      <c r="I112" s="18"/>
      <c r="J112" s="42"/>
      <c r="K112" s="18"/>
      <c r="L112" s="18"/>
      <c r="M112" s="18"/>
      <c r="P112" s="18"/>
      <c r="Q112" s="18"/>
      <c r="R112" s="42"/>
      <c r="S112" s="18"/>
      <c r="T112" s="18"/>
      <c r="U112" s="18"/>
      <c r="V112" s="42"/>
      <c r="W112" s="18"/>
      <c r="X112" s="18"/>
    </row>
  </sheetData>
  <pageMargins left="0.25" right="0.25" top="0.75" bottom="0.75" header="0.3" footer="0.3"/>
  <pageSetup scale="55" fitToWidth="2" orientation="landscape"/>
  <drawing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100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63" t="s">
        <v>13</v>
      </c>
    </row>
    <row r="3" spans="1:26" x14ac:dyDescent="0.25">
      <c r="D3" s="63" t="s">
        <v>296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61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63" t="str">
        <f>CONCATENATE("Period ",RIGHT(202011,2),", ",2020)</f>
        <v>Period 11, 2020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61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4">
        <v>43981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61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51"/>
      <c r="C6" s="51"/>
      <c r="D6" s="23" t="str">
        <f>CONCATENATE("Department ","406", " - ", "OPA! Greek")</f>
        <v>Department 406 - OPA! Greek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57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5" t="s">
        <v>294</v>
      </c>
      <c r="E9" s="15"/>
      <c r="F9" s="38"/>
      <c r="G9" s="15"/>
      <c r="H9" s="15"/>
      <c r="I9" s="15"/>
      <c r="J9" s="46"/>
      <c r="K9" s="15"/>
      <c r="L9" s="15"/>
      <c r="M9" s="15"/>
      <c r="N9" s="38"/>
      <c r="P9" s="15" t="s">
        <v>295</v>
      </c>
      <c r="Q9" s="15"/>
      <c r="R9" s="38"/>
      <c r="S9" s="15"/>
      <c r="T9" s="15"/>
      <c r="U9" s="15"/>
      <c r="V9" s="46"/>
      <c r="W9" s="15"/>
      <c r="X9" s="15"/>
      <c r="Y9" s="15"/>
      <c r="Z9" s="38"/>
    </row>
    <row r="10" spans="1:26" x14ac:dyDescent="0.25">
      <c r="A10" s="10"/>
      <c r="B10" s="55"/>
      <c r="C10" s="10"/>
      <c r="D10" s="43" t="s">
        <v>10</v>
      </c>
      <c r="E10" s="33"/>
      <c r="F10" s="40" t="s">
        <v>15</v>
      </c>
      <c r="G10" s="33"/>
      <c r="H10" s="47" t="s">
        <v>11</v>
      </c>
      <c r="I10" s="33"/>
      <c r="J10" s="45" t="s">
        <v>16</v>
      </c>
      <c r="K10" s="10"/>
      <c r="L10" s="43" t="s">
        <v>12</v>
      </c>
      <c r="M10" s="10"/>
      <c r="N10" s="40" t="s">
        <v>17</v>
      </c>
      <c r="O10" s="10"/>
      <c r="P10" s="53" t="s">
        <v>10</v>
      </c>
      <c r="Q10" s="33"/>
      <c r="R10" s="40" t="s">
        <v>15</v>
      </c>
      <c r="S10" s="33"/>
      <c r="T10" s="47" t="s">
        <v>11</v>
      </c>
      <c r="U10" s="33"/>
      <c r="V10" s="45" t="s">
        <v>16</v>
      </c>
      <c r="W10" s="10"/>
      <c r="X10" s="43" t="s">
        <v>12</v>
      </c>
      <c r="Y10" s="10"/>
      <c r="Z10" s="40" t="s">
        <v>17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0</v>
      </c>
      <c r="E12" s="4"/>
      <c r="F12" s="13"/>
      <c r="G12" s="4"/>
      <c r="H12" s="4">
        <f>SUM(OSRRefH13x_0)</f>
        <v>23000</v>
      </c>
      <c r="I12" s="4"/>
      <c r="J12" s="13"/>
      <c r="K12" s="4"/>
      <c r="L12" s="4">
        <f t="shared" ref="L12:L16" si="0">+D12-H12</f>
        <v>-23000</v>
      </c>
      <c r="M12" s="4"/>
      <c r="N12" s="13">
        <f t="shared" ref="N12:N16" si="1">IF(H12=0,0,L12/H12)</f>
        <v>-1</v>
      </c>
      <c r="O12" s="10"/>
      <c r="P12" s="4">
        <f>SUM(OSRRefP13x_0)</f>
        <v>189965.58000000002</v>
      </c>
      <c r="Q12" s="4"/>
      <c r="R12" s="13"/>
      <c r="S12" s="4"/>
      <c r="T12" s="4">
        <f>SUM(OSRRefT13x_0)</f>
        <v>402000</v>
      </c>
      <c r="U12" s="4"/>
      <c r="V12" s="13"/>
      <c r="W12" s="4"/>
      <c r="X12" s="4">
        <f t="shared" ref="X12:X16" si="2">+P12-T12</f>
        <v>-212034.41999999998</v>
      </c>
      <c r="Y12" s="4"/>
      <c r="Z12" s="13">
        <f t="shared" ref="Z12:Z16" si="3">IF(T12=0,0,X12/T12)</f>
        <v>-0.5274488059701492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 t="shared" ref="D13:D16" si="4">0</f>
        <v>0</v>
      </c>
      <c r="E13" s="2"/>
      <c r="F13" s="19"/>
      <c r="G13" s="2"/>
      <c r="H13" s="2">
        <v>3000</v>
      </c>
      <c r="I13" s="2"/>
      <c r="J13" s="19"/>
      <c r="K13" s="2"/>
      <c r="L13" s="2">
        <f t="shared" si="0"/>
        <v>-3000</v>
      </c>
      <c r="M13" s="2"/>
      <c r="N13" s="19">
        <f t="shared" si="1"/>
        <v>-1</v>
      </c>
      <c r="O13" s="11"/>
      <c r="P13" s="2">
        <f>0</f>
        <v>0</v>
      </c>
      <c r="Q13" s="2"/>
      <c r="R13" s="19"/>
      <c r="S13" s="2"/>
      <c r="T13" s="2">
        <v>60000</v>
      </c>
      <c r="U13" s="2"/>
      <c r="V13" s="19"/>
      <c r="W13" s="2"/>
      <c r="X13" s="2">
        <f t="shared" si="2"/>
        <v>-60000</v>
      </c>
      <c r="Y13" s="2"/>
      <c r="Z13" s="19">
        <f t="shared" si="3"/>
        <v>-1</v>
      </c>
    </row>
    <row r="14" spans="1:26" s="24" customFormat="1" hidden="1" outlineLevel="1" x14ac:dyDescent="0.25">
      <c r="A14" s="44"/>
      <c r="B14" s="11" t="str">
        <f>CONCATENATE("          ", "4051", " - ", "TAXABLE SALES-FOOD")</f>
        <v xml:space="preserve">          4051 - TAXABLE SALES-FOOD</v>
      </c>
      <c r="C14" s="11"/>
      <c r="D14" s="2">
        <f t="shared" si="4"/>
        <v>0</v>
      </c>
      <c r="E14" s="2"/>
      <c r="F14" s="19"/>
      <c r="G14" s="2"/>
      <c r="H14" s="2"/>
      <c r="I14" s="2"/>
      <c r="J14" s="19"/>
      <c r="K14" s="2"/>
      <c r="L14" s="2">
        <f t="shared" si="0"/>
        <v>0</v>
      </c>
      <c r="M14" s="2"/>
      <c r="N14" s="19">
        <f t="shared" si="1"/>
        <v>0</v>
      </c>
      <c r="O14" s="11"/>
      <c r="P14" s="2">
        <f>--43841.85</f>
        <v>43841.85</v>
      </c>
      <c r="Q14" s="2"/>
      <c r="R14" s="19"/>
      <c r="S14" s="2"/>
      <c r="T14" s="2"/>
      <c r="U14" s="2"/>
      <c r="V14" s="19"/>
      <c r="W14" s="2"/>
      <c r="X14" s="2">
        <f t="shared" si="2"/>
        <v>43841.85</v>
      </c>
      <c r="Y14" s="2"/>
      <c r="Z14" s="19">
        <f t="shared" si="3"/>
        <v>0</v>
      </c>
    </row>
    <row r="15" spans="1:26" s="24" customFormat="1" hidden="1" outlineLevel="1" x14ac:dyDescent="0.25">
      <c r="A15" s="44"/>
      <c r="B15" s="11" t="str">
        <f>CONCATENATE("          ", "4100", " - ", "NON-TAXABLE SALES")</f>
        <v xml:space="preserve">          4100 - NON-TAXABLE SALES</v>
      </c>
      <c r="C15" s="11"/>
      <c r="D15" s="2">
        <f t="shared" si="4"/>
        <v>0</v>
      </c>
      <c r="E15" s="2"/>
      <c r="F15" s="19"/>
      <c r="G15" s="2"/>
      <c r="H15" s="2">
        <v>20000</v>
      </c>
      <c r="I15" s="2"/>
      <c r="J15" s="19"/>
      <c r="K15" s="2"/>
      <c r="L15" s="2">
        <f t="shared" si="0"/>
        <v>-20000</v>
      </c>
      <c r="M15" s="2"/>
      <c r="N15" s="19">
        <f t="shared" si="1"/>
        <v>-1</v>
      </c>
      <c r="O15" s="11"/>
      <c r="P15" s="2">
        <f>0</f>
        <v>0</v>
      </c>
      <c r="Q15" s="2"/>
      <c r="R15" s="19"/>
      <c r="S15" s="2"/>
      <c r="T15" s="2">
        <v>342000</v>
      </c>
      <c r="U15" s="2"/>
      <c r="V15" s="19"/>
      <c r="W15" s="2"/>
      <c r="X15" s="2">
        <f t="shared" si="2"/>
        <v>-342000</v>
      </c>
      <c r="Y15" s="2"/>
      <c r="Z15" s="19">
        <f t="shared" si="3"/>
        <v>-1</v>
      </c>
    </row>
    <row r="16" spans="1:26" s="24" customFormat="1" hidden="1" outlineLevel="1" x14ac:dyDescent="0.25">
      <c r="A16" s="44"/>
      <c r="B16" s="11" t="str">
        <f>CONCATENATE("          ", "4151", " - ", "NON-TAXABLE SALES-FOOD")</f>
        <v xml:space="preserve">          4151 - NON-TAXABLE SALES-FOOD</v>
      </c>
      <c r="C16" s="11"/>
      <c r="D16" s="2">
        <f t="shared" si="4"/>
        <v>0</v>
      </c>
      <c r="E16" s="2"/>
      <c r="F16" s="19"/>
      <c r="G16" s="2"/>
      <c r="H16" s="2"/>
      <c r="I16" s="2"/>
      <c r="J16" s="19"/>
      <c r="K16" s="2"/>
      <c r="L16" s="2">
        <f t="shared" si="0"/>
        <v>0</v>
      </c>
      <c r="M16" s="2"/>
      <c r="N16" s="19">
        <f t="shared" si="1"/>
        <v>0</v>
      </c>
      <c r="O16" s="11"/>
      <c r="P16" s="2">
        <f>--146123.73</f>
        <v>146123.73000000001</v>
      </c>
      <c r="Q16" s="2"/>
      <c r="R16" s="19"/>
      <c r="S16" s="2"/>
      <c r="T16" s="2"/>
      <c r="U16" s="2"/>
      <c r="V16" s="19"/>
      <c r="W16" s="2"/>
      <c r="X16" s="2">
        <f t="shared" si="2"/>
        <v>146123.73000000001</v>
      </c>
      <c r="Y16" s="2"/>
      <c r="Z16" s="19">
        <f t="shared" si="3"/>
        <v>0</v>
      </c>
    </row>
    <row r="17" spans="1:26" x14ac:dyDescent="0.25">
      <c r="A17" s="9"/>
      <c r="B17" s="10"/>
      <c r="C17" s="9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collapsed="1" x14ac:dyDescent="0.25">
      <c r="A18" s="10"/>
      <c r="B18" s="28" t="s">
        <v>8</v>
      </c>
      <c r="C18" s="10"/>
      <c r="D18" s="4">
        <f>SUM(OSRRefD16x_0)</f>
        <v>0</v>
      </c>
      <c r="E18" s="4"/>
      <c r="F18" s="13">
        <f t="shared" ref="F18:F21" si="5">IF(D$12=0,0,D18/D$12)</f>
        <v>0</v>
      </c>
      <c r="G18" s="4"/>
      <c r="H18" s="4">
        <f>SUM(OSRRefH16x_0)</f>
        <v>7360</v>
      </c>
      <c r="I18" s="4"/>
      <c r="J18" s="13">
        <f t="shared" ref="J18:J21" si="6">IF(H$12=0,0,H18/H$12)</f>
        <v>0.32</v>
      </c>
      <c r="K18" s="4"/>
      <c r="L18" s="4">
        <f t="shared" ref="L18:L21" si="7">+D18-H18</f>
        <v>-7360</v>
      </c>
      <c r="M18" s="4"/>
      <c r="N18" s="13">
        <f t="shared" ref="N18:N21" si="8">IF(H18=0,0,L18/H18)</f>
        <v>-1</v>
      </c>
      <c r="O18" s="10"/>
      <c r="P18" s="4">
        <f>SUM(OSRRefP16x_0)</f>
        <v>71171.56</v>
      </c>
      <c r="Q18" s="4"/>
      <c r="R18" s="13">
        <f t="shared" ref="R18:R21" si="9">IF(P$12=0,0,P18/P$12)</f>
        <v>0.37465502961115371</v>
      </c>
      <c r="S18" s="4"/>
      <c r="T18" s="4">
        <f>SUM(OSRRefT16x_0)</f>
        <v>128640</v>
      </c>
      <c r="U18" s="4"/>
      <c r="V18" s="13">
        <f t="shared" ref="V18:V21" si="10">IF(T$12=0,0,T18/T$12)</f>
        <v>0.32</v>
      </c>
      <c r="W18" s="4"/>
      <c r="X18" s="4">
        <f t="shared" ref="X18:X21" si="11">+P18-T18</f>
        <v>-57468.44</v>
      </c>
      <c r="Y18" s="4"/>
      <c r="Z18" s="13">
        <f t="shared" ref="Z18:Z21" si="12">IF(T18=0,0,X18/T18)</f>
        <v>-0.44673849502487561</v>
      </c>
    </row>
    <row r="19" spans="1:26" s="24" customFormat="1" hidden="1" outlineLevel="1" x14ac:dyDescent="0.25">
      <c r="A19" s="44"/>
      <c r="B19" s="11" t="str">
        <f>CONCATENATE("          ", "5000", " - ", "PURCHASES @ COST")</f>
        <v xml:space="preserve">          5000 - PURCHASES @ COST</v>
      </c>
      <c r="C19" s="11"/>
      <c r="D19" s="2"/>
      <c r="E19" s="2"/>
      <c r="F19" s="19">
        <f t="shared" si="5"/>
        <v>0</v>
      </c>
      <c r="G19" s="2"/>
      <c r="H19" s="2">
        <v>7360</v>
      </c>
      <c r="I19" s="2"/>
      <c r="J19" s="19">
        <f t="shared" si="6"/>
        <v>0.32</v>
      </c>
      <c r="K19" s="2"/>
      <c r="L19" s="2">
        <f t="shared" si="7"/>
        <v>-7360</v>
      </c>
      <c r="M19" s="2"/>
      <c r="N19" s="19">
        <f t="shared" si="8"/>
        <v>-1</v>
      </c>
      <c r="O19" s="11"/>
      <c r="P19" s="2"/>
      <c r="Q19" s="2"/>
      <c r="R19" s="19">
        <f t="shared" si="9"/>
        <v>0</v>
      </c>
      <c r="S19" s="2"/>
      <c r="T19" s="2">
        <v>128640</v>
      </c>
      <c r="U19" s="2"/>
      <c r="V19" s="19">
        <f t="shared" si="10"/>
        <v>0.32</v>
      </c>
      <c r="W19" s="2"/>
      <c r="X19" s="2">
        <f t="shared" si="11"/>
        <v>-128640</v>
      </c>
      <c r="Y19" s="2"/>
      <c r="Z19" s="19">
        <f t="shared" si="12"/>
        <v>-1</v>
      </c>
    </row>
    <row r="20" spans="1:26" s="24" customFormat="1" hidden="1" outlineLevel="1" x14ac:dyDescent="0.25">
      <c r="A20" s="44"/>
      <c r="B20" s="11" t="str">
        <f>CONCATENATE("          ", "5053", " - ", "PURCHASES @ COST-FOOD")</f>
        <v xml:space="preserve">          5053 - PURCHASES @ COST-FOOD</v>
      </c>
      <c r="C20" s="11"/>
      <c r="D20" s="2"/>
      <c r="E20" s="2"/>
      <c r="F20" s="19">
        <f t="shared" si="5"/>
        <v>0</v>
      </c>
      <c r="G20" s="2"/>
      <c r="H20" s="2"/>
      <c r="I20" s="2"/>
      <c r="J20" s="19">
        <f t="shared" si="6"/>
        <v>0</v>
      </c>
      <c r="K20" s="2"/>
      <c r="L20" s="2">
        <f t="shared" si="7"/>
        <v>0</v>
      </c>
      <c r="M20" s="2"/>
      <c r="N20" s="19">
        <f t="shared" si="8"/>
        <v>0</v>
      </c>
      <c r="O20" s="11"/>
      <c r="P20" s="2">
        <v>69616.179999999993</v>
      </c>
      <c r="Q20" s="2"/>
      <c r="R20" s="19">
        <f t="shared" si="9"/>
        <v>0.36646733581946783</v>
      </c>
      <c r="S20" s="2"/>
      <c r="T20" s="2"/>
      <c r="U20" s="2"/>
      <c r="V20" s="19">
        <f t="shared" si="10"/>
        <v>0</v>
      </c>
      <c r="W20" s="2"/>
      <c r="X20" s="2">
        <f t="shared" si="11"/>
        <v>69616.179999999993</v>
      </c>
      <c r="Y20" s="2"/>
      <c r="Z20" s="19">
        <f t="shared" si="12"/>
        <v>0</v>
      </c>
    </row>
    <row r="21" spans="1:26" s="24" customFormat="1" hidden="1" outlineLevel="1" x14ac:dyDescent="0.25">
      <c r="A21" s="44"/>
      <c r="B21" s="11" t="str">
        <f>CONCATENATE("          ", "5059", " - ", "PURCHASES @ COST-FOOD")</f>
        <v xml:space="preserve">          5059 - PURCHASES @ COST-FOOD</v>
      </c>
      <c r="C21" s="11"/>
      <c r="D21" s="2"/>
      <c r="E21" s="2"/>
      <c r="F21" s="19">
        <f t="shared" si="5"/>
        <v>0</v>
      </c>
      <c r="G21" s="2"/>
      <c r="H21" s="2"/>
      <c r="I21" s="2"/>
      <c r="J21" s="19">
        <f t="shared" si="6"/>
        <v>0</v>
      </c>
      <c r="K21" s="2"/>
      <c r="L21" s="2">
        <f t="shared" si="7"/>
        <v>0</v>
      </c>
      <c r="M21" s="2"/>
      <c r="N21" s="19">
        <f t="shared" si="8"/>
        <v>0</v>
      </c>
      <c r="O21" s="11"/>
      <c r="P21" s="2">
        <v>1555.38</v>
      </c>
      <c r="Q21" s="2"/>
      <c r="R21" s="19">
        <f t="shared" si="9"/>
        <v>8.1876937916858412E-3</v>
      </c>
      <c r="S21" s="2"/>
      <c r="T21" s="2"/>
      <c r="U21" s="2"/>
      <c r="V21" s="19">
        <f t="shared" si="10"/>
        <v>0</v>
      </c>
      <c r="W21" s="2"/>
      <c r="X21" s="2">
        <f t="shared" si="11"/>
        <v>1555.38</v>
      </c>
      <c r="Y21" s="2"/>
      <c r="Z21" s="19">
        <f t="shared" si="12"/>
        <v>0</v>
      </c>
    </row>
    <row r="22" spans="1:26" x14ac:dyDescent="0.25">
      <c r="A22" s="9"/>
      <c r="B22" s="10"/>
      <c r="C22" s="10"/>
      <c r="D22" s="3"/>
      <c r="E22" s="3"/>
      <c r="F22" s="8"/>
      <c r="G22" s="3"/>
      <c r="H22" s="3"/>
      <c r="I22" s="3"/>
      <c r="J22" s="8"/>
      <c r="K22" s="3"/>
      <c r="L22" s="3"/>
      <c r="M22" s="3"/>
      <c r="N22" s="8"/>
      <c r="O22" s="10"/>
      <c r="P22" s="3"/>
      <c r="Q22" s="3"/>
      <c r="R22" s="8"/>
      <c r="S22" s="3"/>
      <c r="T22" s="3"/>
      <c r="U22" s="3"/>
      <c r="V22" s="8"/>
      <c r="W22" s="3"/>
      <c r="X22" s="3"/>
      <c r="Y22" s="3"/>
      <c r="Z22" s="8"/>
    </row>
    <row r="23" spans="1:26" s="23" customFormat="1" x14ac:dyDescent="0.25">
      <c r="A23" s="10"/>
      <c r="B23" s="29" t="s">
        <v>6</v>
      </c>
      <c r="C23" s="29"/>
      <c r="D23" s="20">
        <f>D12-D18</f>
        <v>0</v>
      </c>
      <c r="E23" s="14"/>
      <c r="F23" s="22">
        <f>IF(D$12=0,0,D23/D$12)</f>
        <v>0</v>
      </c>
      <c r="G23" s="14"/>
      <c r="H23" s="20">
        <f>H12-H18</f>
        <v>15640</v>
      </c>
      <c r="I23" s="14"/>
      <c r="J23" s="22">
        <f>IF(H$12=0,0,H23/H$12)</f>
        <v>0.68</v>
      </c>
      <c r="K23" s="16"/>
      <c r="L23" s="20">
        <f>+D23-H23</f>
        <v>-15640</v>
      </c>
      <c r="M23" s="16"/>
      <c r="N23" s="22">
        <f>IF(H23=0,0,L23/H23)</f>
        <v>-1</v>
      </c>
      <c r="O23" s="28"/>
      <c r="P23" s="20">
        <f>P12-P18</f>
        <v>118794.02000000002</v>
      </c>
      <c r="Q23" s="14"/>
      <c r="R23" s="22">
        <f>IF(P$12=0,0,P23/P$12)</f>
        <v>0.62534497038884629</v>
      </c>
      <c r="S23" s="14"/>
      <c r="T23" s="20">
        <f>T12-T18</f>
        <v>273360</v>
      </c>
      <c r="U23" s="14"/>
      <c r="V23" s="22">
        <f>IF(T$12=0,0,T23/T$12)</f>
        <v>0.68</v>
      </c>
      <c r="W23" s="16"/>
      <c r="X23" s="20">
        <f>+P23-T23</f>
        <v>-154565.97999999998</v>
      </c>
      <c r="Y23" s="16"/>
      <c r="Z23" s="22">
        <f>IF(T23=0,0,X23/T23)</f>
        <v>-0.56543012876792498</v>
      </c>
    </row>
    <row r="24" spans="1:26" x14ac:dyDescent="0.25">
      <c r="A24" s="9"/>
      <c r="B24" s="10"/>
      <c r="C24" s="9"/>
      <c r="D24" s="1"/>
      <c r="E24" s="1"/>
      <c r="F24" s="5"/>
      <c r="G24" s="1"/>
      <c r="H24" s="1"/>
      <c r="I24" s="1"/>
      <c r="J24" s="5"/>
      <c r="K24" s="1"/>
      <c r="L24" s="1"/>
      <c r="M24" s="1"/>
      <c r="N24" s="5"/>
      <c r="O24" s="36"/>
      <c r="P24" s="1"/>
      <c r="Q24" s="1"/>
      <c r="R24" s="5"/>
      <c r="S24" s="1"/>
      <c r="T24" s="1"/>
      <c r="U24" s="1"/>
      <c r="V24" s="5"/>
      <c r="W24" s="1"/>
      <c r="X24" s="1"/>
      <c r="Y24" s="1"/>
      <c r="Z24" s="5"/>
    </row>
    <row r="25" spans="1:26" s="23" customFormat="1" x14ac:dyDescent="0.25">
      <c r="A25" s="10"/>
      <c r="B25" s="28" t="s">
        <v>9</v>
      </c>
      <c r="C25" s="10"/>
      <c r="D25" s="21">
        <f>SUM(OSRRefD22x_0)</f>
        <v>865.31999999999994</v>
      </c>
      <c r="E25" s="21"/>
      <c r="F25" s="30">
        <f t="shared" ref="F25:F35" si="13">IF(D$12=0,0,D25/D$12)</f>
        <v>0</v>
      </c>
      <c r="G25" s="21"/>
      <c r="H25" s="21">
        <f>SUM(OSRRefH22x_0)</f>
        <v>15297.861418399998</v>
      </c>
      <c r="I25" s="21"/>
      <c r="J25" s="30">
        <f t="shared" ref="J25:J35" si="14">IF(H$12=0,0,H25/H$12)</f>
        <v>0.6651244094956521</v>
      </c>
      <c r="K25" s="4"/>
      <c r="L25" s="21">
        <f t="shared" ref="L25:L35" si="15">+D25-H25</f>
        <v>-14432.541418399998</v>
      </c>
      <c r="M25" s="4"/>
      <c r="N25" s="30">
        <f t="shared" ref="N25:N35" si="16">IF(H25=0,0,L25/H25)</f>
        <v>-0.94343523082519176</v>
      </c>
      <c r="O25" s="10"/>
      <c r="P25" s="21">
        <f>SUM(OSRRefP22x_0)</f>
        <v>185605.2600000001</v>
      </c>
      <c r="Q25" s="21"/>
      <c r="R25" s="30">
        <f t="shared" ref="R25:R35" si="17">IF(P$12=0,0,P25/P$12)</f>
        <v>0.97704678921307786</v>
      </c>
      <c r="S25" s="21"/>
      <c r="T25" s="21">
        <f>SUM(OSRRefT22x_0)</f>
        <v>200819.1245872</v>
      </c>
      <c r="U25" s="21"/>
      <c r="V25" s="30">
        <f t="shared" ref="V25:V35" si="18">IF(T$12=0,0,T25/T$12)</f>
        <v>0.49955006116218903</v>
      </c>
      <c r="W25" s="4"/>
      <c r="X25" s="21">
        <f t="shared" ref="X25:X35" si="19">+P25-T25</f>
        <v>-15213.864587199903</v>
      </c>
      <c r="Y25" s="4"/>
      <c r="Z25" s="30">
        <f t="shared" ref="Z25:Z35" si="20">IF(T25=0,0,X25/T25)</f>
        <v>-7.575904246407425E-2</v>
      </c>
    </row>
    <row r="26" spans="1:26" s="27" customFormat="1" outlineLevel="1" collapsed="1" x14ac:dyDescent="0.25">
      <c r="A26" s="25"/>
      <c r="B26" s="12" t="str">
        <f>CONCATENATE("     ","*Benefits                                         ")</f>
        <v xml:space="preserve">     *Benefits                                         </v>
      </c>
      <c r="C26" s="12"/>
      <c r="D26" s="1">
        <f>SUM(OSRRefD22_0x_0)</f>
        <v>660.8</v>
      </c>
      <c r="E26" s="1"/>
      <c r="F26" s="5">
        <f t="shared" si="13"/>
        <v>0</v>
      </c>
      <c r="G26" s="1"/>
      <c r="H26" s="1">
        <f>SUM(OSRRefH22_0x_0)</f>
        <v>1966.242956861538</v>
      </c>
      <c r="I26" s="1"/>
      <c r="J26" s="5">
        <f t="shared" si="14"/>
        <v>8.5488824211371217E-2</v>
      </c>
      <c r="K26" s="1"/>
      <c r="L26" s="1">
        <f t="shared" si="15"/>
        <v>-1305.4429568615381</v>
      </c>
      <c r="M26" s="1"/>
      <c r="N26" s="5">
        <f t="shared" si="16"/>
        <v>-0.66392759465760509</v>
      </c>
      <c r="O26" s="12"/>
      <c r="P26" s="1">
        <f>SUM(OSRRefP22_0x_0)</f>
        <v>20759.5</v>
      </c>
      <c r="Q26" s="1"/>
      <c r="R26" s="5">
        <f t="shared" si="17"/>
        <v>0.1092803233090963</v>
      </c>
      <c r="S26" s="1"/>
      <c r="T26" s="1">
        <f>SUM(OSRRefT22_0x_0)</f>
        <v>24905.223048738459</v>
      </c>
      <c r="U26" s="1"/>
      <c r="V26" s="5">
        <f t="shared" si="18"/>
        <v>6.195329116601607E-2</v>
      </c>
      <c r="W26" s="1"/>
      <c r="X26" s="1">
        <f t="shared" si="19"/>
        <v>-4145.7230487384586</v>
      </c>
      <c r="Y26" s="1"/>
      <c r="Z26" s="5">
        <f t="shared" si="20"/>
        <v>-0.16645998474398144</v>
      </c>
    </row>
    <row r="27" spans="1:26" s="24" customFormat="1" hidden="1" outlineLevel="2" x14ac:dyDescent="0.25">
      <c r="A27" s="26"/>
      <c r="B27" s="11" t="str">
        <f>CONCATENATE("          ", "6111", " - ", "F.I.C.A.")</f>
        <v xml:space="preserve">          6111 - F.I.C.A.</v>
      </c>
      <c r="C27" s="11"/>
      <c r="D27" s="7"/>
      <c r="E27" s="2"/>
      <c r="F27" s="6">
        <f t="shared" si="13"/>
        <v>0</v>
      </c>
      <c r="G27" s="2"/>
      <c r="H27" s="7">
        <v>469.82026024615402</v>
      </c>
      <c r="I27" s="2"/>
      <c r="J27" s="6">
        <f t="shared" si="14"/>
        <v>2.0426967836789305E-2</v>
      </c>
      <c r="K27" s="2"/>
      <c r="L27" s="7">
        <f t="shared" si="15"/>
        <v>-469.82026024615402</v>
      </c>
      <c r="M27" s="2"/>
      <c r="N27" s="6">
        <f t="shared" si="16"/>
        <v>-1</v>
      </c>
      <c r="O27" s="11"/>
      <c r="P27" s="7">
        <v>6831.57</v>
      </c>
      <c r="Q27" s="2"/>
      <c r="R27" s="6">
        <f t="shared" si="17"/>
        <v>3.5962146405680434E-2</v>
      </c>
      <c r="S27" s="2"/>
      <c r="T27" s="7">
        <v>6169.9164173538456</v>
      </c>
      <c r="U27" s="2"/>
      <c r="V27" s="6">
        <f t="shared" si="18"/>
        <v>1.5348050789437427E-2</v>
      </c>
      <c r="W27" s="2"/>
      <c r="X27" s="7">
        <f t="shared" si="19"/>
        <v>661.65358264615406</v>
      </c>
      <c r="Y27" s="2"/>
      <c r="Z27" s="6">
        <f t="shared" si="20"/>
        <v>0.10723866222646888</v>
      </c>
    </row>
    <row r="28" spans="1:26" s="24" customFormat="1" hidden="1" outlineLevel="2" x14ac:dyDescent="0.25">
      <c r="A28" s="26"/>
      <c r="B28" s="11" t="str">
        <f>CONCATENATE("          ", "6112", " - ", "COMPENSATION INSURANCE")</f>
        <v xml:space="preserve">          6112 - COMPENSATION INSURANCE</v>
      </c>
      <c r="C28" s="11"/>
      <c r="D28" s="7"/>
      <c r="E28" s="2"/>
      <c r="F28" s="6">
        <f t="shared" si="13"/>
        <v>0</v>
      </c>
      <c r="G28" s="2"/>
      <c r="H28" s="7">
        <v>348.821073230769</v>
      </c>
      <c r="I28" s="2"/>
      <c r="J28" s="6">
        <f t="shared" si="14"/>
        <v>1.5166133618729087E-2</v>
      </c>
      <c r="K28" s="2"/>
      <c r="L28" s="7">
        <f t="shared" si="15"/>
        <v>-348.821073230769</v>
      </c>
      <c r="M28" s="2"/>
      <c r="N28" s="6">
        <f t="shared" si="16"/>
        <v>-1</v>
      </c>
      <c r="O28" s="11"/>
      <c r="P28" s="7">
        <v>4016.54</v>
      </c>
      <c r="Q28" s="2"/>
      <c r="R28" s="6">
        <f t="shared" si="17"/>
        <v>2.1143514525105021E-2</v>
      </c>
      <c r="S28" s="2"/>
      <c r="T28" s="7">
        <v>4690.2715027692302</v>
      </c>
      <c r="U28" s="2"/>
      <c r="V28" s="6">
        <f t="shared" si="18"/>
        <v>1.1667342046689627E-2</v>
      </c>
      <c r="W28" s="2"/>
      <c r="X28" s="7">
        <f t="shared" si="19"/>
        <v>-673.73150276923025</v>
      </c>
      <c r="Y28" s="2"/>
      <c r="Z28" s="6">
        <f t="shared" si="20"/>
        <v>-0.14364445690861299</v>
      </c>
    </row>
    <row r="29" spans="1:26" s="24" customFormat="1" hidden="1" outlineLevel="2" x14ac:dyDescent="0.25">
      <c r="A29" s="26"/>
      <c r="B29" s="11" t="str">
        <f>CONCATENATE("          ", "6113", " - ", "GROUP INSURANCE")</f>
        <v xml:space="preserve">          6113 - GROUP INSURANCE</v>
      </c>
      <c r="C29" s="11"/>
      <c r="D29" s="7">
        <v>660.8</v>
      </c>
      <c r="E29" s="2"/>
      <c r="F29" s="6">
        <f t="shared" si="13"/>
        <v>0</v>
      </c>
      <c r="G29" s="2"/>
      <c r="H29" s="7">
        <v>0</v>
      </c>
      <c r="I29" s="2"/>
      <c r="J29" s="6">
        <f t="shared" si="14"/>
        <v>0</v>
      </c>
      <c r="K29" s="2"/>
      <c r="L29" s="7">
        <f t="shared" si="15"/>
        <v>660.8</v>
      </c>
      <c r="M29" s="2"/>
      <c r="N29" s="6">
        <f t="shared" si="16"/>
        <v>0</v>
      </c>
      <c r="O29" s="11"/>
      <c r="P29" s="7">
        <v>1603.52</v>
      </c>
      <c r="Q29" s="2"/>
      <c r="R29" s="6">
        <f t="shared" si="17"/>
        <v>8.4411081207448196E-3</v>
      </c>
      <c r="S29" s="2"/>
      <c r="T29" s="7">
        <v>0</v>
      </c>
      <c r="U29" s="2"/>
      <c r="V29" s="6">
        <f t="shared" si="18"/>
        <v>0</v>
      </c>
      <c r="W29" s="2"/>
      <c r="X29" s="7">
        <f t="shared" si="19"/>
        <v>1603.52</v>
      </c>
      <c r="Y29" s="2"/>
      <c r="Z29" s="6">
        <f t="shared" si="20"/>
        <v>0</v>
      </c>
    </row>
    <row r="30" spans="1:26" s="24" customFormat="1" hidden="1" outlineLevel="2" x14ac:dyDescent="0.25">
      <c r="A30" s="26"/>
      <c r="B30" s="11" t="str">
        <f>CONCATENATE("          ", "6114", " - ", "STATE UNEMPLOYMENT INSURANCE")</f>
        <v xml:space="preserve">          6114 - STATE UNEMPLOYMENT INSURANCE</v>
      </c>
      <c r="C30" s="11"/>
      <c r="D30" s="7"/>
      <c r="E30" s="2"/>
      <c r="F30" s="6">
        <f t="shared" si="13"/>
        <v>0</v>
      </c>
      <c r="G30" s="2"/>
      <c r="H30" s="7">
        <v>23.374607999999998</v>
      </c>
      <c r="I30" s="2"/>
      <c r="J30" s="6">
        <f t="shared" si="14"/>
        <v>1.0162873043478261E-3</v>
      </c>
      <c r="K30" s="2"/>
      <c r="L30" s="7">
        <f t="shared" si="15"/>
        <v>-23.374607999999998</v>
      </c>
      <c r="M30" s="2"/>
      <c r="N30" s="6">
        <f t="shared" si="16"/>
        <v>-1</v>
      </c>
      <c r="O30" s="11"/>
      <c r="P30" s="7">
        <v>319.64</v>
      </c>
      <c r="Q30" s="2"/>
      <c r="R30" s="6">
        <f t="shared" si="17"/>
        <v>1.6826206094809383E-3</v>
      </c>
      <c r="S30" s="2"/>
      <c r="T30" s="7">
        <v>314.29654399999998</v>
      </c>
      <c r="U30" s="2"/>
      <c r="V30" s="6">
        <f t="shared" si="18"/>
        <v>7.8183219900497503E-4</v>
      </c>
      <c r="W30" s="2"/>
      <c r="X30" s="7">
        <f t="shared" si="19"/>
        <v>5.3434560000000033</v>
      </c>
      <c r="Y30" s="2"/>
      <c r="Z30" s="6">
        <f t="shared" si="20"/>
        <v>1.7001319619982851E-2</v>
      </c>
    </row>
    <row r="31" spans="1:26" s="24" customFormat="1" hidden="1" outlineLevel="2" x14ac:dyDescent="0.25">
      <c r="A31" s="26"/>
      <c r="B31" s="11" t="str">
        <f>CONCATENATE("          ", "6115", " - ", "P.E.R.S.")</f>
        <v xml:space="preserve">          6115 - P.E.R.S.</v>
      </c>
      <c r="C31" s="11"/>
      <c r="D31" s="7"/>
      <c r="E31" s="2"/>
      <c r="F31" s="6">
        <f t="shared" si="13"/>
        <v>0</v>
      </c>
      <c r="G31" s="2"/>
      <c r="H31" s="7">
        <v>388.38923076923101</v>
      </c>
      <c r="I31" s="2"/>
      <c r="J31" s="6">
        <f t="shared" si="14"/>
        <v>1.688648829431439E-2</v>
      </c>
      <c r="K31" s="2"/>
      <c r="L31" s="7">
        <f t="shared" si="15"/>
        <v>-388.38923076923101</v>
      </c>
      <c r="M31" s="2"/>
      <c r="N31" s="6">
        <f t="shared" si="16"/>
        <v>-1</v>
      </c>
      <c r="O31" s="11"/>
      <c r="P31" s="7">
        <v>2839.06</v>
      </c>
      <c r="Q31" s="2"/>
      <c r="R31" s="6">
        <f t="shared" si="17"/>
        <v>1.4945128480643702E-2</v>
      </c>
      <c r="S31" s="2"/>
      <c r="T31" s="7">
        <v>4660.6707692307727</v>
      </c>
      <c r="U31" s="2"/>
      <c r="V31" s="6">
        <f t="shared" si="18"/>
        <v>1.1593708381171077E-2</v>
      </c>
      <c r="W31" s="2"/>
      <c r="X31" s="7">
        <f t="shared" si="19"/>
        <v>-1821.6107692307728</v>
      </c>
      <c r="Y31" s="2"/>
      <c r="Z31" s="6">
        <f t="shared" si="20"/>
        <v>-0.39084733924070403</v>
      </c>
    </row>
    <row r="32" spans="1:26" s="24" customFormat="1" hidden="1" outlineLevel="2" x14ac:dyDescent="0.25">
      <c r="A32" s="26"/>
      <c r="B32" s="11" t="str">
        <f>CONCATENATE("          ", "6116", " - ", "EDUCATIONAL BENEFITS")</f>
        <v xml:space="preserve">          6116 - EDUCATIONAL BENEFITS</v>
      </c>
      <c r="C32" s="11"/>
      <c r="D32" s="7"/>
      <c r="E32" s="2"/>
      <c r="F32" s="6">
        <f t="shared" si="13"/>
        <v>0</v>
      </c>
      <c r="G32" s="2"/>
      <c r="H32" s="7">
        <v>0</v>
      </c>
      <c r="I32" s="2"/>
      <c r="J32" s="6">
        <f t="shared" si="14"/>
        <v>0</v>
      </c>
      <c r="K32" s="2"/>
      <c r="L32" s="7">
        <f t="shared" si="15"/>
        <v>0</v>
      </c>
      <c r="M32" s="2"/>
      <c r="N32" s="6">
        <f t="shared" si="16"/>
        <v>0</v>
      </c>
      <c r="O32" s="11"/>
      <c r="P32" s="7"/>
      <c r="Q32" s="2"/>
      <c r="R32" s="6">
        <f t="shared" si="17"/>
        <v>0</v>
      </c>
      <c r="S32" s="2"/>
      <c r="T32" s="7">
        <v>0</v>
      </c>
      <c r="U32" s="2"/>
      <c r="V32" s="6">
        <f t="shared" si="18"/>
        <v>0</v>
      </c>
      <c r="W32" s="2"/>
      <c r="X32" s="7">
        <f t="shared" si="19"/>
        <v>0</v>
      </c>
      <c r="Y32" s="2"/>
      <c r="Z32" s="6">
        <f t="shared" si="20"/>
        <v>0</v>
      </c>
    </row>
    <row r="33" spans="1:26" s="24" customFormat="1" hidden="1" outlineLevel="2" x14ac:dyDescent="0.25">
      <c r="A33" s="26"/>
      <c r="B33" s="11" t="str">
        <f>CONCATENATE("          ", "6118", " - ", "VACATION")</f>
        <v xml:space="preserve">          6118 - VACATION</v>
      </c>
      <c r="C33" s="11"/>
      <c r="D33" s="7"/>
      <c r="E33" s="2"/>
      <c r="F33" s="6">
        <f t="shared" si="13"/>
        <v>0</v>
      </c>
      <c r="G33" s="2"/>
      <c r="H33" s="7">
        <v>225.80769230769201</v>
      </c>
      <c r="I33" s="2"/>
      <c r="J33" s="6">
        <f t="shared" si="14"/>
        <v>9.8177257525083484E-3</v>
      </c>
      <c r="K33" s="2"/>
      <c r="L33" s="7">
        <f t="shared" si="15"/>
        <v>-225.80769230769201</v>
      </c>
      <c r="M33" s="2"/>
      <c r="N33" s="6">
        <f t="shared" si="16"/>
        <v>-1</v>
      </c>
      <c r="O33" s="11"/>
      <c r="P33" s="7">
        <v>1634.87</v>
      </c>
      <c r="Q33" s="2"/>
      <c r="R33" s="6">
        <f t="shared" si="17"/>
        <v>8.6061380172134331E-3</v>
      </c>
      <c r="S33" s="2"/>
      <c r="T33" s="7">
        <v>2709.692307692304</v>
      </c>
      <c r="U33" s="2"/>
      <c r="V33" s="6">
        <f t="shared" si="18"/>
        <v>6.7405281285878209E-3</v>
      </c>
      <c r="W33" s="2"/>
      <c r="X33" s="7">
        <f t="shared" si="19"/>
        <v>-1074.8223076923041</v>
      </c>
      <c r="Y33" s="2"/>
      <c r="Z33" s="6">
        <f t="shared" si="20"/>
        <v>-0.39665843411116708</v>
      </c>
    </row>
    <row r="34" spans="1:26" s="24" customFormat="1" hidden="1" outlineLevel="2" x14ac:dyDescent="0.25">
      <c r="A34" s="26"/>
      <c r="B34" s="11" t="str">
        <f>CONCATENATE("          ", "6119", " - ", "SICK LEAVE")</f>
        <v xml:space="preserve">          6119 - SICK LEAVE</v>
      </c>
      <c r="C34" s="11"/>
      <c r="D34" s="7"/>
      <c r="E34" s="2"/>
      <c r="F34" s="6">
        <f t="shared" si="13"/>
        <v>0</v>
      </c>
      <c r="G34" s="2"/>
      <c r="H34" s="7">
        <v>360.03009230769197</v>
      </c>
      <c r="I34" s="2"/>
      <c r="J34" s="6">
        <f t="shared" si="14"/>
        <v>1.5653482274247479E-2</v>
      </c>
      <c r="K34" s="2"/>
      <c r="L34" s="7">
        <f t="shared" si="15"/>
        <v>-360.03009230769197</v>
      </c>
      <c r="M34" s="2"/>
      <c r="N34" s="6">
        <f t="shared" si="16"/>
        <v>-1</v>
      </c>
      <c r="O34" s="11"/>
      <c r="P34" s="7">
        <v>1996.53</v>
      </c>
      <c r="Q34" s="2"/>
      <c r="R34" s="6">
        <f t="shared" si="17"/>
        <v>1.0509956593189144E-2</v>
      </c>
      <c r="S34" s="2"/>
      <c r="T34" s="7">
        <v>4710.3755076923044</v>
      </c>
      <c r="U34" s="2"/>
      <c r="V34" s="6">
        <f t="shared" si="18"/>
        <v>1.1717352009184837E-2</v>
      </c>
      <c r="W34" s="2"/>
      <c r="X34" s="7">
        <f t="shared" si="19"/>
        <v>-2713.8455076923046</v>
      </c>
      <c r="Y34" s="2"/>
      <c r="Z34" s="6">
        <f t="shared" si="20"/>
        <v>-0.5761420725928208</v>
      </c>
    </row>
    <row r="35" spans="1:26" s="24" customFormat="1" hidden="1" outlineLevel="2" x14ac:dyDescent="0.25">
      <c r="A35" s="26"/>
      <c r="B35" s="11" t="str">
        <f>CONCATENATE("          ", "6156", " - ", "EMPLOYEE MEALS")</f>
        <v xml:space="preserve">          6156 - EMPLOYEE MEALS</v>
      </c>
      <c r="C35" s="11"/>
      <c r="D35" s="7"/>
      <c r="E35" s="2"/>
      <c r="F35" s="6">
        <f t="shared" si="13"/>
        <v>0</v>
      </c>
      <c r="G35" s="2"/>
      <c r="H35" s="7">
        <v>150</v>
      </c>
      <c r="I35" s="2"/>
      <c r="J35" s="6">
        <f t="shared" si="14"/>
        <v>6.5217391304347823E-3</v>
      </c>
      <c r="K35" s="2"/>
      <c r="L35" s="7">
        <f t="shared" si="15"/>
        <v>-150</v>
      </c>
      <c r="M35" s="2"/>
      <c r="N35" s="6">
        <f t="shared" si="16"/>
        <v>-1</v>
      </c>
      <c r="O35" s="11"/>
      <c r="P35" s="7">
        <v>1517.77</v>
      </c>
      <c r="Q35" s="2"/>
      <c r="R35" s="6">
        <f t="shared" si="17"/>
        <v>7.9897105570388063E-3</v>
      </c>
      <c r="S35" s="2"/>
      <c r="T35" s="7">
        <v>1650</v>
      </c>
      <c r="U35" s="2"/>
      <c r="V35" s="6">
        <f t="shared" si="18"/>
        <v>4.1044776119402984E-3</v>
      </c>
      <c r="W35" s="2"/>
      <c r="X35" s="7">
        <f t="shared" si="19"/>
        <v>-132.23000000000002</v>
      </c>
      <c r="Y35" s="2"/>
      <c r="Z35" s="6">
        <f t="shared" si="20"/>
        <v>-8.0139393939393955E-2</v>
      </c>
    </row>
    <row r="36" spans="1:26" s="27" customFormat="1" outlineLevel="1" collapsed="1" x14ac:dyDescent="0.25">
      <c r="A36" s="25"/>
      <c r="B36" s="12" t="str">
        <f>CONCATENATE("     ","*Payroll                                          ")</f>
        <v xml:space="preserve">     *Payroll                                          </v>
      </c>
      <c r="C36" s="12"/>
      <c r="D36" s="1">
        <f>SUM(OSRRefD22_1x_0)</f>
        <v>0</v>
      </c>
      <c r="E36" s="1"/>
      <c r="F36" s="5">
        <f t="shared" ref="F36:F46" si="21">IF(D$12=0,0,D36/D$12)</f>
        <v>0</v>
      </c>
      <c r="G36" s="1"/>
      <c r="H36" s="1">
        <f>SUM(OSRRefH22_1x_0)</f>
        <v>8538.6184615384591</v>
      </c>
      <c r="I36" s="1"/>
      <c r="J36" s="5">
        <f t="shared" ref="J36:J46" si="22">IF(H$12=0,0,H36/H$12)</f>
        <v>0.37124428093645473</v>
      </c>
      <c r="K36" s="1"/>
      <c r="L36" s="1">
        <f t="shared" ref="L36:L46" si="23">+D36-H36</f>
        <v>-8538.6184615384591</v>
      </c>
      <c r="M36" s="1"/>
      <c r="N36" s="5">
        <f t="shared" ref="N36:N46" si="24">IF(H36=0,0,L36/H36)</f>
        <v>-1</v>
      </c>
      <c r="O36" s="12"/>
      <c r="P36" s="1">
        <f>SUM(OSRRefP22_1x_0)</f>
        <v>112168.78</v>
      </c>
      <c r="Q36" s="1"/>
      <c r="R36" s="5">
        <f t="shared" ref="R36:R46" si="25">IF(P$12=0,0,P36/P$12)</f>
        <v>0.59046896811517113</v>
      </c>
      <c r="S36" s="1"/>
      <c r="T36" s="1">
        <f>SUM(OSRRefT22_1x_0)</f>
        <v>115463.90153846153</v>
      </c>
      <c r="U36" s="1"/>
      <c r="V36" s="5">
        <f t="shared" ref="V36:V46" si="26">IF(T$12=0,0,T36/T$12)</f>
        <v>0.28722363566781478</v>
      </c>
      <c r="W36" s="1"/>
      <c r="X36" s="1">
        <f t="shared" ref="X36:X46" si="27">+P36-T36</f>
        <v>-3295.1215384615352</v>
      </c>
      <c r="Y36" s="1"/>
      <c r="Z36" s="5">
        <f t="shared" ref="Z36:Z46" si="28">IF(T36=0,0,X36/T36)</f>
        <v>-2.8538110132749289E-2</v>
      </c>
    </row>
    <row r="37" spans="1:26" s="24" customFormat="1" hidden="1" outlineLevel="2" x14ac:dyDescent="0.25">
      <c r="A37" s="26"/>
      <c r="B37" s="11" t="str">
        <f>CONCATENATE("          ", "6001", " - ", "ADMINISTRATIVE SALARIES")</f>
        <v xml:space="preserve">          6001 - ADMINISTRATIVE SALARIES</v>
      </c>
      <c r="C37" s="11"/>
      <c r="D37" s="7"/>
      <c r="E37" s="2"/>
      <c r="F37" s="6">
        <f t="shared" si="21"/>
        <v>0</v>
      </c>
      <c r="G37" s="2"/>
      <c r="H37" s="7">
        <v>4064.5384615384596</v>
      </c>
      <c r="I37" s="2"/>
      <c r="J37" s="6">
        <f t="shared" si="22"/>
        <v>0.17671906354515041</v>
      </c>
      <c r="K37" s="2"/>
      <c r="L37" s="7">
        <f t="shared" si="23"/>
        <v>-4064.5384615384596</v>
      </c>
      <c r="M37" s="2"/>
      <c r="N37" s="6">
        <f t="shared" si="24"/>
        <v>-1</v>
      </c>
      <c r="O37" s="11"/>
      <c r="P37" s="7"/>
      <c r="Q37" s="2"/>
      <c r="R37" s="6">
        <f t="shared" si="25"/>
        <v>0</v>
      </c>
      <c r="S37" s="2"/>
      <c r="T37" s="7">
        <v>48774.461538461539</v>
      </c>
      <c r="U37" s="2"/>
      <c r="V37" s="6">
        <f t="shared" si="26"/>
        <v>0.12132950631458095</v>
      </c>
      <c r="W37" s="2"/>
      <c r="X37" s="7">
        <f t="shared" si="27"/>
        <v>-48774.461538461539</v>
      </c>
      <c r="Y37" s="2"/>
      <c r="Z37" s="6">
        <f t="shared" si="28"/>
        <v>-1</v>
      </c>
    </row>
    <row r="38" spans="1:26" s="24" customFormat="1" hidden="1" outlineLevel="2" x14ac:dyDescent="0.25">
      <c r="A38" s="26"/>
      <c r="B38" s="11" t="str">
        <f>CONCATENATE("          ", "6002", " - ", "STAFF SALARIES")</f>
        <v xml:space="preserve">          6002 - STAFF SALARIES</v>
      </c>
      <c r="C38" s="11"/>
      <c r="D38" s="7"/>
      <c r="E38" s="2"/>
      <c r="F38" s="6">
        <f t="shared" si="21"/>
        <v>0</v>
      </c>
      <c r="G38" s="2"/>
      <c r="H38" s="7">
        <v>0</v>
      </c>
      <c r="I38" s="2"/>
      <c r="J38" s="6">
        <f t="shared" si="22"/>
        <v>0</v>
      </c>
      <c r="K38" s="2"/>
      <c r="L38" s="7">
        <f t="shared" si="23"/>
        <v>0</v>
      </c>
      <c r="M38" s="2"/>
      <c r="N38" s="6">
        <f t="shared" si="24"/>
        <v>0</v>
      </c>
      <c r="O38" s="11"/>
      <c r="P38" s="7">
        <v>37546.44</v>
      </c>
      <c r="Q38" s="2"/>
      <c r="R38" s="6">
        <f t="shared" si="25"/>
        <v>0.19764864771818136</v>
      </c>
      <c r="S38" s="2"/>
      <c r="T38" s="7">
        <v>0</v>
      </c>
      <c r="U38" s="2"/>
      <c r="V38" s="6">
        <f t="shared" si="26"/>
        <v>0</v>
      </c>
      <c r="W38" s="2"/>
      <c r="X38" s="7">
        <f t="shared" si="27"/>
        <v>37546.44</v>
      </c>
      <c r="Y38" s="2"/>
      <c r="Z38" s="6">
        <f t="shared" si="28"/>
        <v>0</v>
      </c>
    </row>
    <row r="39" spans="1:26" s="24" customFormat="1" hidden="1" outlineLevel="2" x14ac:dyDescent="0.25">
      <c r="A39" s="26"/>
      <c r="B39" s="11" t="str">
        <f>CONCATENATE("          ", "6003", " - ", "STAFF HOURLY-9 MONTH")</f>
        <v xml:space="preserve">          6003 - STAFF HOURLY-9 MONTH</v>
      </c>
      <c r="C39" s="11"/>
      <c r="D39" s="7"/>
      <c r="E39" s="2"/>
      <c r="F39" s="6">
        <f t="shared" si="21"/>
        <v>0</v>
      </c>
      <c r="G39" s="2"/>
      <c r="H39" s="7">
        <v>0</v>
      </c>
      <c r="I39" s="2"/>
      <c r="J39" s="6">
        <f t="shared" si="22"/>
        <v>0</v>
      </c>
      <c r="K39" s="2"/>
      <c r="L39" s="7">
        <f t="shared" si="23"/>
        <v>0</v>
      </c>
      <c r="M39" s="2"/>
      <c r="N39" s="6">
        <f t="shared" si="24"/>
        <v>0</v>
      </c>
      <c r="O39" s="11"/>
      <c r="P39" s="7"/>
      <c r="Q39" s="2"/>
      <c r="R39" s="6">
        <f t="shared" si="25"/>
        <v>0</v>
      </c>
      <c r="S39" s="2"/>
      <c r="T39" s="7">
        <v>0</v>
      </c>
      <c r="U39" s="2"/>
      <c r="V39" s="6">
        <f t="shared" si="26"/>
        <v>0</v>
      </c>
      <c r="W39" s="2"/>
      <c r="X39" s="7">
        <f t="shared" si="27"/>
        <v>0</v>
      </c>
      <c r="Y39" s="2"/>
      <c r="Z39" s="6">
        <f t="shared" si="28"/>
        <v>0</v>
      </c>
    </row>
    <row r="40" spans="1:26" s="24" customFormat="1" hidden="1" outlineLevel="2" x14ac:dyDescent="0.25">
      <c r="A40" s="26"/>
      <c r="B40" s="11" t="str">
        <f>CONCATENATE("          ", "6004", " - ", "STAFF HOURLY")</f>
        <v xml:space="preserve">          6004 - STAFF HOURLY</v>
      </c>
      <c r="C40" s="11"/>
      <c r="D40" s="7"/>
      <c r="E40" s="2"/>
      <c r="F40" s="6">
        <f t="shared" si="21"/>
        <v>0</v>
      </c>
      <c r="G40" s="2"/>
      <c r="H40" s="7">
        <v>1622.88</v>
      </c>
      <c r="I40" s="2"/>
      <c r="J40" s="6">
        <f t="shared" si="22"/>
        <v>7.0560000000000012E-2</v>
      </c>
      <c r="K40" s="2"/>
      <c r="L40" s="7">
        <f t="shared" si="23"/>
        <v>-1622.88</v>
      </c>
      <c r="M40" s="2"/>
      <c r="N40" s="6">
        <f t="shared" si="24"/>
        <v>-1</v>
      </c>
      <c r="O40" s="11"/>
      <c r="P40" s="7">
        <v>2484.31</v>
      </c>
      <c r="Q40" s="2"/>
      <c r="R40" s="6">
        <f t="shared" si="25"/>
        <v>1.3077684915340978E-2</v>
      </c>
      <c r="S40" s="2"/>
      <c r="T40" s="7">
        <v>26427.040000000001</v>
      </c>
      <c r="U40" s="2"/>
      <c r="V40" s="6">
        <f t="shared" si="26"/>
        <v>6.5738905472636819E-2</v>
      </c>
      <c r="W40" s="2"/>
      <c r="X40" s="7">
        <f t="shared" si="27"/>
        <v>-23942.73</v>
      </c>
      <c r="Y40" s="2"/>
      <c r="Z40" s="6">
        <f t="shared" si="28"/>
        <v>-0.90599363379326625</v>
      </c>
    </row>
    <row r="41" spans="1:26" s="24" customFormat="1" hidden="1" outlineLevel="2" x14ac:dyDescent="0.25">
      <c r="A41" s="26"/>
      <c r="B41" s="11" t="str">
        <f>CONCATENATE("          ", "6005", " - ", "TEMPORARY WAGES-HOURLY")</f>
        <v xml:space="preserve">          6005 - TEMPORARY WAGES-HOURLY</v>
      </c>
      <c r="C41" s="11"/>
      <c r="D41" s="7"/>
      <c r="E41" s="2"/>
      <c r="F41" s="6">
        <f t="shared" si="21"/>
        <v>0</v>
      </c>
      <c r="G41" s="2"/>
      <c r="H41" s="7">
        <v>0</v>
      </c>
      <c r="I41" s="2"/>
      <c r="J41" s="6">
        <f t="shared" si="22"/>
        <v>0</v>
      </c>
      <c r="K41" s="2"/>
      <c r="L41" s="7">
        <f t="shared" si="23"/>
        <v>0</v>
      </c>
      <c r="M41" s="2"/>
      <c r="N41" s="6">
        <f t="shared" si="24"/>
        <v>0</v>
      </c>
      <c r="O41" s="11"/>
      <c r="P41" s="7">
        <v>40119.120000000003</v>
      </c>
      <c r="Q41" s="2"/>
      <c r="R41" s="6">
        <f t="shared" si="25"/>
        <v>0.21119152216943721</v>
      </c>
      <c r="S41" s="2"/>
      <c r="T41" s="7">
        <v>0</v>
      </c>
      <c r="U41" s="2"/>
      <c r="V41" s="6">
        <f t="shared" si="26"/>
        <v>0</v>
      </c>
      <c r="W41" s="2"/>
      <c r="X41" s="7">
        <f t="shared" si="27"/>
        <v>40119.120000000003</v>
      </c>
      <c r="Y41" s="2"/>
      <c r="Z41" s="6">
        <f t="shared" si="28"/>
        <v>0</v>
      </c>
    </row>
    <row r="42" spans="1:26" s="24" customFormat="1" hidden="1" outlineLevel="2" x14ac:dyDescent="0.25">
      <c r="A42" s="26"/>
      <c r="B42" s="11" t="str">
        <f>CONCATENATE("          ", "6006", " - ", "TEMPORARY PART TIME")</f>
        <v xml:space="preserve">          6006 - TEMPORARY PART TIME</v>
      </c>
      <c r="C42" s="11"/>
      <c r="D42" s="7"/>
      <c r="E42" s="2"/>
      <c r="F42" s="6">
        <f t="shared" si="21"/>
        <v>0</v>
      </c>
      <c r="G42" s="2"/>
      <c r="H42" s="7">
        <v>0</v>
      </c>
      <c r="I42" s="2"/>
      <c r="J42" s="6">
        <f t="shared" si="22"/>
        <v>0</v>
      </c>
      <c r="K42" s="2"/>
      <c r="L42" s="7">
        <f t="shared" si="23"/>
        <v>0</v>
      </c>
      <c r="M42" s="2"/>
      <c r="N42" s="6">
        <f t="shared" si="24"/>
        <v>0</v>
      </c>
      <c r="O42" s="11"/>
      <c r="P42" s="7">
        <v>1294.4100000000001</v>
      </c>
      <c r="Q42" s="2"/>
      <c r="R42" s="6">
        <f t="shared" si="25"/>
        <v>6.8139186056758285E-3</v>
      </c>
      <c r="S42" s="2"/>
      <c r="T42" s="7">
        <v>0</v>
      </c>
      <c r="U42" s="2"/>
      <c r="V42" s="6">
        <f t="shared" si="26"/>
        <v>0</v>
      </c>
      <c r="W42" s="2"/>
      <c r="X42" s="7">
        <f t="shared" si="27"/>
        <v>1294.4100000000001</v>
      </c>
      <c r="Y42" s="2"/>
      <c r="Z42" s="6">
        <f t="shared" si="28"/>
        <v>0</v>
      </c>
    </row>
    <row r="43" spans="1:26" s="24" customFormat="1" hidden="1" outlineLevel="2" x14ac:dyDescent="0.25">
      <c r="A43" s="26"/>
      <c r="B43" s="11" t="str">
        <f>CONCATENATE("          ", "6007", " - ", "STUDENT HOURLY")</f>
        <v xml:space="preserve">          6007 - STUDENT HOURLY</v>
      </c>
      <c r="C43" s="11"/>
      <c r="D43" s="7"/>
      <c r="E43" s="2"/>
      <c r="F43" s="6">
        <f t="shared" si="21"/>
        <v>0</v>
      </c>
      <c r="G43" s="2"/>
      <c r="H43" s="7">
        <v>0</v>
      </c>
      <c r="I43" s="2"/>
      <c r="J43" s="6">
        <f t="shared" si="22"/>
        <v>0</v>
      </c>
      <c r="K43" s="2"/>
      <c r="L43" s="7">
        <f t="shared" si="23"/>
        <v>0</v>
      </c>
      <c r="M43" s="2"/>
      <c r="N43" s="6">
        <f t="shared" si="24"/>
        <v>0</v>
      </c>
      <c r="O43" s="11"/>
      <c r="P43" s="7">
        <v>28126.86</v>
      </c>
      <c r="Q43" s="2"/>
      <c r="R43" s="6">
        <f t="shared" si="25"/>
        <v>0.14806292803148866</v>
      </c>
      <c r="S43" s="2"/>
      <c r="T43" s="7">
        <v>0</v>
      </c>
      <c r="U43" s="2"/>
      <c r="V43" s="6">
        <f t="shared" si="26"/>
        <v>0</v>
      </c>
      <c r="W43" s="2"/>
      <c r="X43" s="7">
        <f t="shared" si="27"/>
        <v>28126.86</v>
      </c>
      <c r="Y43" s="2"/>
      <c r="Z43" s="6">
        <f t="shared" si="28"/>
        <v>0</v>
      </c>
    </row>
    <row r="44" spans="1:26" s="24" customFormat="1" hidden="1" outlineLevel="2" x14ac:dyDescent="0.25">
      <c r="A44" s="26"/>
      <c r="B44" s="11" t="str">
        <f>CONCATENATE("          ", "6008", " - ", "STUDENT HOURLY-FICA EXEMPT")</f>
        <v xml:space="preserve">          6008 - STUDENT HOURLY-FICA EXEMPT</v>
      </c>
      <c r="C44" s="11"/>
      <c r="D44" s="7"/>
      <c r="E44" s="2"/>
      <c r="F44" s="6">
        <f t="shared" si="21"/>
        <v>0</v>
      </c>
      <c r="G44" s="2"/>
      <c r="H44" s="7">
        <v>2851.2</v>
      </c>
      <c r="I44" s="2"/>
      <c r="J44" s="6">
        <f t="shared" si="22"/>
        <v>0.12396521739130434</v>
      </c>
      <c r="K44" s="2"/>
      <c r="L44" s="7">
        <f t="shared" si="23"/>
        <v>-2851.2</v>
      </c>
      <c r="M44" s="2"/>
      <c r="N44" s="6">
        <f t="shared" si="24"/>
        <v>-1</v>
      </c>
      <c r="O44" s="11"/>
      <c r="P44" s="7">
        <v>2597.64</v>
      </c>
      <c r="Q44" s="2"/>
      <c r="R44" s="6">
        <f t="shared" si="25"/>
        <v>1.367426667504713E-2</v>
      </c>
      <c r="S44" s="2"/>
      <c r="T44" s="7">
        <v>40262.400000000001</v>
      </c>
      <c r="U44" s="2"/>
      <c r="V44" s="6">
        <f t="shared" si="26"/>
        <v>0.10015522388059701</v>
      </c>
      <c r="W44" s="2"/>
      <c r="X44" s="7">
        <f t="shared" si="27"/>
        <v>-37664.76</v>
      </c>
      <c r="Y44" s="2"/>
      <c r="Z44" s="6">
        <f t="shared" si="28"/>
        <v>-0.93548223652837392</v>
      </c>
    </row>
    <row r="45" spans="1:26" s="24" customFormat="1" hidden="1" outlineLevel="2" x14ac:dyDescent="0.25">
      <c r="A45" s="26"/>
      <c r="B45" s="11" t="str">
        <f>CONCATENATE("          ", "6009", " - ", "TEMPORARY-SEASONAL")</f>
        <v xml:space="preserve">          6009 - TEMPORARY-SEASONAL</v>
      </c>
      <c r="C45" s="11"/>
      <c r="D45" s="7"/>
      <c r="E45" s="2"/>
      <c r="F45" s="6">
        <f t="shared" si="21"/>
        <v>0</v>
      </c>
      <c r="G45" s="2"/>
      <c r="H45" s="7">
        <v>0</v>
      </c>
      <c r="I45" s="2"/>
      <c r="J45" s="6">
        <f t="shared" si="22"/>
        <v>0</v>
      </c>
      <c r="K45" s="2"/>
      <c r="L45" s="7">
        <f t="shared" si="23"/>
        <v>0</v>
      </c>
      <c r="M45" s="2"/>
      <c r="N45" s="6">
        <f t="shared" si="24"/>
        <v>0</v>
      </c>
      <c r="O45" s="11"/>
      <c r="P45" s="7"/>
      <c r="Q45" s="2"/>
      <c r="R45" s="6">
        <f t="shared" si="25"/>
        <v>0</v>
      </c>
      <c r="S45" s="2"/>
      <c r="T45" s="7">
        <v>0</v>
      </c>
      <c r="U45" s="2"/>
      <c r="V45" s="6">
        <f t="shared" si="26"/>
        <v>0</v>
      </c>
      <c r="W45" s="2"/>
      <c r="X45" s="7">
        <f t="shared" si="27"/>
        <v>0</v>
      </c>
      <c r="Y45" s="2"/>
      <c r="Z45" s="6">
        <f t="shared" si="28"/>
        <v>0</v>
      </c>
    </row>
    <row r="46" spans="1:26" s="24" customFormat="1" hidden="1" outlineLevel="2" x14ac:dyDescent="0.25">
      <c r="A46" s="26"/>
      <c r="B46" s="11" t="str">
        <f>CONCATENATE("          ", "6010", " - ", "GRATUITY")</f>
        <v xml:space="preserve">          6010 - GRATUITY</v>
      </c>
      <c r="C46" s="11"/>
      <c r="D46" s="7"/>
      <c r="E46" s="2"/>
      <c r="F46" s="6">
        <f t="shared" si="21"/>
        <v>0</v>
      </c>
      <c r="G46" s="2"/>
      <c r="H46" s="7">
        <v>0</v>
      </c>
      <c r="I46" s="2"/>
      <c r="J46" s="6">
        <f t="shared" si="22"/>
        <v>0</v>
      </c>
      <c r="K46" s="2"/>
      <c r="L46" s="7">
        <f t="shared" si="23"/>
        <v>0</v>
      </c>
      <c r="M46" s="2"/>
      <c r="N46" s="6">
        <f t="shared" si="24"/>
        <v>0</v>
      </c>
      <c r="O46" s="11"/>
      <c r="P46" s="7"/>
      <c r="Q46" s="2"/>
      <c r="R46" s="6">
        <f t="shared" si="25"/>
        <v>0</v>
      </c>
      <c r="S46" s="2"/>
      <c r="T46" s="7">
        <v>0</v>
      </c>
      <c r="U46" s="2"/>
      <c r="V46" s="6">
        <f t="shared" si="26"/>
        <v>0</v>
      </c>
      <c r="W46" s="2"/>
      <c r="X46" s="7">
        <f t="shared" si="27"/>
        <v>0</v>
      </c>
      <c r="Y46" s="2"/>
      <c r="Z46" s="6">
        <f t="shared" si="28"/>
        <v>0</v>
      </c>
    </row>
    <row r="47" spans="1:26" s="27" customFormat="1" outlineLevel="1" collapsed="1" x14ac:dyDescent="0.25">
      <c r="A47" s="25"/>
      <c r="B47" s="12" t="str">
        <f>CONCATENATE("     ","Advertising/Promo                                 ")</f>
        <v xml:space="preserve">     Advertising/Promo                                 </v>
      </c>
      <c r="C47" s="12"/>
      <c r="D47" s="1">
        <f>SUM(OSRRefD22_2x_0)</f>
        <v>0</v>
      </c>
      <c r="E47" s="1"/>
      <c r="F47" s="5">
        <f t="shared" ref="F47:F55" si="29">IF(D$12=0,0,D47/D$12)</f>
        <v>0</v>
      </c>
      <c r="G47" s="1"/>
      <c r="H47" s="1">
        <f>SUM(OSRRefH22_2x_0)</f>
        <v>200</v>
      </c>
      <c r="I47" s="1"/>
      <c r="J47" s="5">
        <f t="shared" ref="J47:J55" si="30">IF(H$12=0,0,H47/H$12)</f>
        <v>8.6956521739130436E-3</v>
      </c>
      <c r="K47" s="1"/>
      <c r="L47" s="1">
        <f t="shared" ref="L47:L55" si="31">+D47-H47</f>
        <v>-200</v>
      </c>
      <c r="M47" s="1"/>
      <c r="N47" s="5">
        <f t="shared" ref="N47:N55" si="32">IF(H47=0,0,L47/H47)</f>
        <v>-1</v>
      </c>
      <c r="O47" s="12"/>
      <c r="P47" s="1">
        <f>SUM(OSRRefP22_2x_0)</f>
        <v>3228.7</v>
      </c>
      <c r="Q47" s="1"/>
      <c r="R47" s="5">
        <f t="shared" ref="R47:R55" si="33">IF(P$12=0,0,P47/P$12)</f>
        <v>1.6996236897231592E-2</v>
      </c>
      <c r="S47" s="1"/>
      <c r="T47" s="1">
        <f>SUM(OSRRefT22_2x_0)</f>
        <v>2000</v>
      </c>
      <c r="U47" s="1"/>
      <c r="V47" s="5">
        <f t="shared" ref="V47:V55" si="34">IF(T$12=0,0,T47/T$12)</f>
        <v>4.9751243781094526E-3</v>
      </c>
      <c r="W47" s="1"/>
      <c r="X47" s="1">
        <f t="shared" ref="X47:X55" si="35">+P47-T47</f>
        <v>1228.6999999999998</v>
      </c>
      <c r="Y47" s="1"/>
      <c r="Z47" s="5">
        <f t="shared" ref="Z47:Z55" si="36">IF(T47=0,0,X47/T47)</f>
        <v>0.61434999999999995</v>
      </c>
    </row>
    <row r="48" spans="1:26" s="24" customFormat="1" hidden="1" outlineLevel="2" x14ac:dyDescent="0.25">
      <c r="A48" s="26"/>
      <c r="B48" s="11" t="str">
        <f>CONCATENATE("          ", "6362", " - ", "ADVERTISING EXPENSE")</f>
        <v xml:space="preserve">          6362 - ADVERTISING EXPENSE</v>
      </c>
      <c r="C48" s="11"/>
      <c r="D48" s="7"/>
      <c r="E48" s="2"/>
      <c r="F48" s="6">
        <f t="shared" si="29"/>
        <v>0</v>
      </c>
      <c r="G48" s="2"/>
      <c r="H48" s="7">
        <v>200</v>
      </c>
      <c r="I48" s="2"/>
      <c r="J48" s="6">
        <f t="shared" si="30"/>
        <v>8.6956521739130436E-3</v>
      </c>
      <c r="K48" s="2"/>
      <c r="L48" s="7">
        <f t="shared" si="31"/>
        <v>-200</v>
      </c>
      <c r="M48" s="2"/>
      <c r="N48" s="6">
        <f t="shared" si="32"/>
        <v>-1</v>
      </c>
      <c r="O48" s="11"/>
      <c r="P48" s="7">
        <v>3228.7</v>
      </c>
      <c r="Q48" s="2"/>
      <c r="R48" s="6">
        <f t="shared" si="33"/>
        <v>1.6996236897231592E-2</v>
      </c>
      <c r="S48" s="2"/>
      <c r="T48" s="7">
        <v>2000</v>
      </c>
      <c r="U48" s="2"/>
      <c r="V48" s="6">
        <f t="shared" si="34"/>
        <v>4.9751243781094526E-3</v>
      </c>
      <c r="W48" s="2"/>
      <c r="X48" s="7">
        <f t="shared" si="35"/>
        <v>1228.6999999999998</v>
      </c>
      <c r="Y48" s="2"/>
      <c r="Z48" s="6">
        <f t="shared" si="36"/>
        <v>0.61434999999999995</v>
      </c>
    </row>
    <row r="49" spans="1:26" s="27" customFormat="1" outlineLevel="1" collapsed="1" x14ac:dyDescent="0.25">
      <c r="A49" s="25"/>
      <c r="B49" s="12" t="str">
        <f>CONCATENATE("     ","Bad Debts/Over/Short                              ")</f>
        <v xml:space="preserve">     Bad Debts/Over/Short                              </v>
      </c>
      <c r="C49" s="12"/>
      <c r="D49" s="1">
        <f>SUM(OSRRefD22_3x_0)</f>
        <v>0</v>
      </c>
      <c r="E49" s="1"/>
      <c r="F49" s="5">
        <f t="shared" si="29"/>
        <v>0</v>
      </c>
      <c r="G49" s="1"/>
      <c r="H49" s="1">
        <f>SUM(OSRRefH22_3x_0)</f>
        <v>25</v>
      </c>
      <c r="I49" s="1"/>
      <c r="J49" s="5">
        <f t="shared" si="30"/>
        <v>1.0869565217391304E-3</v>
      </c>
      <c r="K49" s="1"/>
      <c r="L49" s="1">
        <f t="shared" si="31"/>
        <v>-25</v>
      </c>
      <c r="M49" s="1"/>
      <c r="N49" s="5">
        <f t="shared" si="32"/>
        <v>-1</v>
      </c>
      <c r="O49" s="12"/>
      <c r="P49" s="1">
        <f>SUM(OSRRefP22_3x_0)</f>
        <v>-42.37</v>
      </c>
      <c r="Q49" s="1"/>
      <c r="R49" s="5">
        <f t="shared" si="33"/>
        <v>-2.2304040553030709E-4</v>
      </c>
      <c r="S49" s="1"/>
      <c r="T49" s="1">
        <f>SUM(OSRRefT22_3x_0)</f>
        <v>250</v>
      </c>
      <c r="U49" s="1"/>
      <c r="V49" s="5">
        <f t="shared" si="34"/>
        <v>6.2189054726368158E-4</v>
      </c>
      <c r="W49" s="1"/>
      <c r="X49" s="1">
        <f t="shared" si="35"/>
        <v>-292.37</v>
      </c>
      <c r="Y49" s="1"/>
      <c r="Z49" s="5">
        <f t="shared" si="36"/>
        <v>-1.1694800000000001</v>
      </c>
    </row>
    <row r="50" spans="1:26" s="24" customFormat="1" hidden="1" outlineLevel="2" x14ac:dyDescent="0.25">
      <c r="A50" s="26"/>
      <c r="B50" s="11" t="str">
        <f>CONCATENATE("          ", "6272", " - ", "CASH (OVER/SHORT)")</f>
        <v xml:space="preserve">          6272 - CASH (OVER/SHORT)</v>
      </c>
      <c r="C50" s="11"/>
      <c r="D50" s="7"/>
      <c r="E50" s="2"/>
      <c r="F50" s="6">
        <f t="shared" si="29"/>
        <v>0</v>
      </c>
      <c r="G50" s="2"/>
      <c r="H50" s="7">
        <v>25</v>
      </c>
      <c r="I50" s="2"/>
      <c r="J50" s="6">
        <f t="shared" si="30"/>
        <v>1.0869565217391304E-3</v>
      </c>
      <c r="K50" s="2"/>
      <c r="L50" s="7">
        <f t="shared" si="31"/>
        <v>-25</v>
      </c>
      <c r="M50" s="2"/>
      <c r="N50" s="6">
        <f t="shared" si="32"/>
        <v>-1</v>
      </c>
      <c r="O50" s="11"/>
      <c r="P50" s="7">
        <v>-42.37</v>
      </c>
      <c r="Q50" s="2"/>
      <c r="R50" s="6">
        <f t="shared" si="33"/>
        <v>-2.2304040553030709E-4</v>
      </c>
      <c r="S50" s="2"/>
      <c r="T50" s="7">
        <v>250</v>
      </c>
      <c r="U50" s="2"/>
      <c r="V50" s="6">
        <f t="shared" si="34"/>
        <v>6.2189054726368158E-4</v>
      </c>
      <c r="W50" s="2"/>
      <c r="X50" s="7">
        <f t="shared" si="35"/>
        <v>-292.37</v>
      </c>
      <c r="Y50" s="2"/>
      <c r="Z50" s="6">
        <f t="shared" si="36"/>
        <v>-1.1694800000000001</v>
      </c>
    </row>
    <row r="51" spans="1:26" s="27" customFormat="1" outlineLevel="1" collapsed="1" x14ac:dyDescent="0.25">
      <c r="A51" s="25"/>
      <c r="B51" s="12" t="str">
        <f>CONCATENATE("     ","Bank/card Fees                                    ")</f>
        <v xml:space="preserve">     Bank/card Fees                                    </v>
      </c>
      <c r="C51" s="12"/>
      <c r="D51" s="1">
        <f>SUM(OSRRefD22_4x_0)</f>
        <v>0</v>
      </c>
      <c r="E51" s="1"/>
      <c r="F51" s="5">
        <f t="shared" si="29"/>
        <v>0</v>
      </c>
      <c r="G51" s="1"/>
      <c r="H51" s="1">
        <f>SUM(OSRRefH22_4x_0)</f>
        <v>360</v>
      </c>
      <c r="I51" s="1"/>
      <c r="J51" s="5">
        <f t="shared" si="30"/>
        <v>1.5652173913043479E-2</v>
      </c>
      <c r="K51" s="1"/>
      <c r="L51" s="1">
        <f t="shared" si="31"/>
        <v>-360</v>
      </c>
      <c r="M51" s="1"/>
      <c r="N51" s="5">
        <f t="shared" si="32"/>
        <v>-1</v>
      </c>
      <c r="O51" s="12"/>
      <c r="P51" s="1">
        <f>SUM(OSRRefP22_4x_0)</f>
        <v>7084.51</v>
      </c>
      <c r="Q51" s="1"/>
      <c r="R51" s="5">
        <f t="shared" si="33"/>
        <v>3.7293650776103755E-2</v>
      </c>
      <c r="S51" s="1"/>
      <c r="T51" s="1">
        <f>SUM(OSRRefT22_4x_0)</f>
        <v>9062</v>
      </c>
      <c r="U51" s="1"/>
      <c r="V51" s="5">
        <f t="shared" si="34"/>
        <v>2.2542288557213932E-2</v>
      </c>
      <c r="W51" s="1"/>
      <c r="X51" s="1">
        <f t="shared" si="35"/>
        <v>-1977.4899999999998</v>
      </c>
      <c r="Y51" s="1"/>
      <c r="Z51" s="5">
        <f t="shared" si="36"/>
        <v>-0.21821783270801146</v>
      </c>
    </row>
    <row r="52" spans="1:26" s="24" customFormat="1" hidden="1" outlineLevel="2" x14ac:dyDescent="0.25">
      <c r="A52" s="26"/>
      <c r="B52" s="11" t="str">
        <f>CONCATENATE("          ", "6381", " - ", "BANK/CREDIT CARD FEES")</f>
        <v xml:space="preserve">          6381 - BANK/CREDIT CARD FEES</v>
      </c>
      <c r="C52" s="11"/>
      <c r="D52" s="7"/>
      <c r="E52" s="2"/>
      <c r="F52" s="6">
        <f t="shared" si="29"/>
        <v>0</v>
      </c>
      <c r="G52" s="2"/>
      <c r="H52" s="7">
        <v>360</v>
      </c>
      <c r="I52" s="2"/>
      <c r="J52" s="6">
        <f t="shared" si="30"/>
        <v>1.5652173913043479E-2</v>
      </c>
      <c r="K52" s="2"/>
      <c r="L52" s="7">
        <f t="shared" si="31"/>
        <v>-360</v>
      </c>
      <c r="M52" s="2"/>
      <c r="N52" s="6">
        <f t="shared" si="32"/>
        <v>-1</v>
      </c>
      <c r="O52" s="11"/>
      <c r="P52" s="7">
        <v>7084.51</v>
      </c>
      <c r="Q52" s="2"/>
      <c r="R52" s="6">
        <f t="shared" si="33"/>
        <v>3.7293650776103755E-2</v>
      </c>
      <c r="S52" s="2"/>
      <c r="T52" s="7">
        <v>9062</v>
      </c>
      <c r="U52" s="2"/>
      <c r="V52" s="6">
        <f t="shared" si="34"/>
        <v>2.2542288557213932E-2</v>
      </c>
      <c r="W52" s="2"/>
      <c r="X52" s="7">
        <f t="shared" si="35"/>
        <v>-1977.4899999999998</v>
      </c>
      <c r="Y52" s="2"/>
      <c r="Z52" s="6">
        <f t="shared" si="36"/>
        <v>-0.21821783270801146</v>
      </c>
    </row>
    <row r="53" spans="1:26" s="27" customFormat="1" outlineLevel="1" collapsed="1" x14ac:dyDescent="0.25">
      <c r="A53" s="25"/>
      <c r="B53" s="12" t="str">
        <f>CONCATENATE("     ","Depreciation                                      ")</f>
        <v xml:space="preserve">     Depreciation                                      </v>
      </c>
      <c r="C53" s="12"/>
      <c r="D53" s="1">
        <f>SUM(OSRRefD22_5x_0)</f>
        <v>119.55</v>
      </c>
      <c r="E53" s="1"/>
      <c r="F53" s="5">
        <f t="shared" si="29"/>
        <v>0</v>
      </c>
      <c r="G53" s="1"/>
      <c r="H53" s="1">
        <f>SUM(OSRRefH22_5x_0)</f>
        <v>2906</v>
      </c>
      <c r="I53" s="1"/>
      <c r="J53" s="5">
        <f t="shared" si="30"/>
        <v>0.12634782608695652</v>
      </c>
      <c r="K53" s="1"/>
      <c r="L53" s="1">
        <f t="shared" si="31"/>
        <v>-2786.45</v>
      </c>
      <c r="M53" s="1"/>
      <c r="N53" s="5">
        <f t="shared" si="32"/>
        <v>-0.95886097728836883</v>
      </c>
      <c r="O53" s="12"/>
      <c r="P53" s="1">
        <f>SUM(OSRRefP22_5x_0)</f>
        <v>25216.95</v>
      </c>
      <c r="Q53" s="1"/>
      <c r="R53" s="5">
        <f t="shared" si="33"/>
        <v>0.1327448372489374</v>
      </c>
      <c r="S53" s="1"/>
      <c r="T53" s="1">
        <f>SUM(OSRRefT22_5x_0)</f>
        <v>31216</v>
      </c>
      <c r="U53" s="1"/>
      <c r="V53" s="5">
        <f t="shared" si="34"/>
        <v>7.7651741293532334E-2</v>
      </c>
      <c r="W53" s="1"/>
      <c r="X53" s="1">
        <f t="shared" si="35"/>
        <v>-5999.0499999999993</v>
      </c>
      <c r="Y53" s="1"/>
      <c r="Z53" s="5">
        <f t="shared" si="36"/>
        <v>-0.19217869041517169</v>
      </c>
    </row>
    <row r="54" spans="1:26" s="24" customFormat="1" hidden="1" outlineLevel="2" x14ac:dyDescent="0.25">
      <c r="A54" s="26"/>
      <c r="B54" s="11" t="str">
        <f>CONCATENATE("          ", "6322", " - ", "EQUIPMENT DEPRECIATION EXPENSE")</f>
        <v xml:space="preserve">          6322 - EQUIPMENT DEPRECIATION EXPENSE</v>
      </c>
      <c r="C54" s="11"/>
      <c r="D54" s="7">
        <v>119.55</v>
      </c>
      <c r="E54" s="2"/>
      <c r="F54" s="6">
        <f t="shared" si="29"/>
        <v>0</v>
      </c>
      <c r="G54" s="2"/>
      <c r="H54" s="7">
        <v>2656</v>
      </c>
      <c r="I54" s="2"/>
      <c r="J54" s="6">
        <f t="shared" si="30"/>
        <v>0.11547826086956521</v>
      </c>
      <c r="K54" s="2"/>
      <c r="L54" s="7">
        <f t="shared" si="31"/>
        <v>-2536.4499999999998</v>
      </c>
      <c r="M54" s="2"/>
      <c r="N54" s="6">
        <f t="shared" si="32"/>
        <v>-0.954988704819277</v>
      </c>
      <c r="O54" s="11"/>
      <c r="P54" s="7">
        <v>25216.95</v>
      </c>
      <c r="Q54" s="2"/>
      <c r="R54" s="6">
        <f t="shared" si="33"/>
        <v>0.1327448372489374</v>
      </c>
      <c r="S54" s="2"/>
      <c r="T54" s="7">
        <v>29216</v>
      </c>
      <c r="U54" s="2"/>
      <c r="V54" s="6">
        <f t="shared" si="34"/>
        <v>7.267661691542289E-2</v>
      </c>
      <c r="W54" s="2"/>
      <c r="X54" s="7">
        <f t="shared" si="35"/>
        <v>-3999.0499999999993</v>
      </c>
      <c r="Y54" s="2"/>
      <c r="Z54" s="6">
        <f t="shared" si="36"/>
        <v>-0.13687876506024094</v>
      </c>
    </row>
    <row r="55" spans="1:26" s="24" customFormat="1" hidden="1" outlineLevel="2" x14ac:dyDescent="0.25">
      <c r="A55" s="26"/>
      <c r="B55" s="11" t="str">
        <f>CONCATENATE("          ", "6324", " - ", "FURNITURE + FIXT DEPRECIATION")</f>
        <v xml:space="preserve">          6324 - FURNITURE + FIXT DEPRECIATION</v>
      </c>
      <c r="C55" s="11"/>
      <c r="D55" s="7"/>
      <c r="E55" s="2"/>
      <c r="F55" s="6">
        <f t="shared" si="29"/>
        <v>0</v>
      </c>
      <c r="G55" s="2"/>
      <c r="H55" s="7">
        <v>250</v>
      </c>
      <c r="I55" s="2"/>
      <c r="J55" s="6">
        <f t="shared" si="30"/>
        <v>1.0869565217391304E-2</v>
      </c>
      <c r="K55" s="2"/>
      <c r="L55" s="7">
        <f t="shared" si="31"/>
        <v>-250</v>
      </c>
      <c r="M55" s="2"/>
      <c r="N55" s="6">
        <f t="shared" si="32"/>
        <v>-1</v>
      </c>
      <c r="O55" s="11"/>
      <c r="P55" s="7"/>
      <c r="Q55" s="2"/>
      <c r="R55" s="6">
        <f t="shared" si="33"/>
        <v>0</v>
      </c>
      <c r="S55" s="2"/>
      <c r="T55" s="7">
        <v>2000</v>
      </c>
      <c r="U55" s="2"/>
      <c r="V55" s="6">
        <f t="shared" si="34"/>
        <v>4.9751243781094526E-3</v>
      </c>
      <c r="W55" s="2"/>
      <c r="X55" s="7">
        <f t="shared" si="35"/>
        <v>-2000</v>
      </c>
      <c r="Y55" s="2"/>
      <c r="Z55" s="6">
        <f t="shared" si="36"/>
        <v>-1</v>
      </c>
    </row>
    <row r="56" spans="1:26" s="27" customFormat="1" outlineLevel="1" collapsed="1" x14ac:dyDescent="0.25">
      <c r="A56" s="25"/>
      <c r="B56" s="12" t="str">
        <f>CONCATENATE("     ","Employees' Appreciation                           ")</f>
        <v xml:space="preserve">     Employees' Appreciation                           </v>
      </c>
      <c r="C56" s="12"/>
      <c r="D56" s="1">
        <f>SUM(OSRRefD22_6x_0)</f>
        <v>0</v>
      </c>
      <c r="E56" s="1"/>
      <c r="F56" s="5">
        <f t="shared" ref="F56:F65" si="37">IF(D$12=0,0,D56/D$12)</f>
        <v>0</v>
      </c>
      <c r="G56" s="1"/>
      <c r="H56" s="1">
        <f>SUM(OSRRefH22_6x_0)</f>
        <v>300</v>
      </c>
      <c r="I56" s="1"/>
      <c r="J56" s="5">
        <f t="shared" ref="J56:J65" si="38">IF(H$12=0,0,H56/H$12)</f>
        <v>1.3043478260869565E-2</v>
      </c>
      <c r="K56" s="1"/>
      <c r="L56" s="1">
        <f t="shared" ref="L56:L65" si="39">+D56-H56</f>
        <v>-300</v>
      </c>
      <c r="M56" s="1"/>
      <c r="N56" s="5">
        <f t="shared" ref="N56:N65" si="40">IF(H56=0,0,L56/H56)</f>
        <v>-1</v>
      </c>
      <c r="O56" s="12"/>
      <c r="P56" s="1">
        <f>SUM(OSRRefP22_6x_0)</f>
        <v>107.51</v>
      </c>
      <c r="Q56" s="1"/>
      <c r="R56" s="5">
        <f t="shared" ref="R56:R65" si="41">IF(P$12=0,0,P56/P$12)</f>
        <v>5.6594463060097517E-4</v>
      </c>
      <c r="S56" s="1"/>
      <c r="T56" s="1">
        <f>SUM(OSRRefT22_6x_0)</f>
        <v>600</v>
      </c>
      <c r="U56" s="1"/>
      <c r="V56" s="5">
        <f t="shared" ref="V56:V65" si="42">IF(T$12=0,0,T56/T$12)</f>
        <v>1.4925373134328358E-3</v>
      </c>
      <c r="W56" s="1"/>
      <c r="X56" s="1">
        <f t="shared" ref="X56:X65" si="43">+P56-T56</f>
        <v>-492.49</v>
      </c>
      <c r="Y56" s="1"/>
      <c r="Z56" s="5">
        <f t="shared" ref="Z56:Z65" si="44">IF(T56=0,0,X56/T56)</f>
        <v>-0.82081666666666664</v>
      </c>
    </row>
    <row r="57" spans="1:26" s="24" customFormat="1" hidden="1" outlineLevel="2" x14ac:dyDescent="0.25">
      <c r="A57" s="26"/>
      <c r="B57" s="11" t="str">
        <f>CONCATENATE("          ", "6277", " - ", "EMPLOYEE APPRECIATION")</f>
        <v xml:space="preserve">          6277 - EMPLOYEE APPRECIATION</v>
      </c>
      <c r="C57" s="11"/>
      <c r="D57" s="7"/>
      <c r="E57" s="2"/>
      <c r="F57" s="6">
        <f t="shared" si="37"/>
        <v>0</v>
      </c>
      <c r="G57" s="2"/>
      <c r="H57" s="7">
        <v>300</v>
      </c>
      <c r="I57" s="2"/>
      <c r="J57" s="6">
        <f t="shared" si="38"/>
        <v>1.3043478260869565E-2</v>
      </c>
      <c r="K57" s="2"/>
      <c r="L57" s="7">
        <f t="shared" si="39"/>
        <v>-300</v>
      </c>
      <c r="M57" s="2"/>
      <c r="N57" s="6">
        <f t="shared" si="40"/>
        <v>-1</v>
      </c>
      <c r="O57" s="11"/>
      <c r="P57" s="7">
        <v>107.51</v>
      </c>
      <c r="Q57" s="2"/>
      <c r="R57" s="6">
        <f t="shared" si="41"/>
        <v>5.6594463060097517E-4</v>
      </c>
      <c r="S57" s="2"/>
      <c r="T57" s="7">
        <v>600</v>
      </c>
      <c r="U57" s="2"/>
      <c r="V57" s="6">
        <f t="shared" si="42"/>
        <v>1.4925373134328358E-3</v>
      </c>
      <c r="W57" s="2"/>
      <c r="X57" s="7">
        <f t="shared" si="43"/>
        <v>-492.49</v>
      </c>
      <c r="Y57" s="2"/>
      <c r="Z57" s="6">
        <f t="shared" si="44"/>
        <v>-0.82081666666666664</v>
      </c>
    </row>
    <row r="58" spans="1:26" s="27" customFormat="1" outlineLevel="1" collapsed="1" x14ac:dyDescent="0.25">
      <c r="A58" s="25"/>
      <c r="B58" s="12" t="str">
        <f>CONCATENATE("     ","Equipment Rental                                  ")</f>
        <v xml:space="preserve">     Equipment Rental                                  </v>
      </c>
      <c r="C58" s="12"/>
      <c r="D58" s="1">
        <f>SUM(OSRRefD22_7x_0)</f>
        <v>64.02</v>
      </c>
      <c r="E58" s="1"/>
      <c r="F58" s="5">
        <f t="shared" si="37"/>
        <v>0</v>
      </c>
      <c r="G58" s="1"/>
      <c r="H58" s="1">
        <f>SUM(OSRRefH22_7x_0)</f>
        <v>0</v>
      </c>
      <c r="I58" s="1"/>
      <c r="J58" s="5">
        <f t="shared" si="38"/>
        <v>0</v>
      </c>
      <c r="K58" s="1"/>
      <c r="L58" s="1">
        <f t="shared" si="39"/>
        <v>64.02</v>
      </c>
      <c r="M58" s="1"/>
      <c r="N58" s="5">
        <f t="shared" si="40"/>
        <v>0</v>
      </c>
      <c r="O58" s="12"/>
      <c r="P58" s="1">
        <f>SUM(OSRRefP22_7x_0)</f>
        <v>1648.76</v>
      </c>
      <c r="Q58" s="1"/>
      <c r="R58" s="5">
        <f t="shared" si="41"/>
        <v>8.6792565263665127E-3</v>
      </c>
      <c r="S58" s="1"/>
      <c r="T58" s="1">
        <f>SUM(OSRRefT22_7x_0)</f>
        <v>0</v>
      </c>
      <c r="U58" s="1"/>
      <c r="V58" s="5">
        <f t="shared" si="42"/>
        <v>0</v>
      </c>
      <c r="W58" s="1"/>
      <c r="X58" s="1">
        <f t="shared" si="43"/>
        <v>1648.76</v>
      </c>
      <c r="Y58" s="1"/>
      <c r="Z58" s="5">
        <f t="shared" si="44"/>
        <v>0</v>
      </c>
    </row>
    <row r="59" spans="1:26" s="24" customFormat="1" hidden="1" outlineLevel="2" x14ac:dyDescent="0.25">
      <c r="A59" s="26"/>
      <c r="B59" s="11" t="str">
        <f>CONCATENATE("          ", "6351", " - ", "EQUIPMENT RENTAL")</f>
        <v xml:space="preserve">          6351 - EQUIPMENT RENTAL</v>
      </c>
      <c r="C59" s="11"/>
      <c r="D59" s="7">
        <v>64.02</v>
      </c>
      <c r="E59" s="2"/>
      <c r="F59" s="6">
        <f t="shared" si="37"/>
        <v>0</v>
      </c>
      <c r="G59" s="2"/>
      <c r="H59" s="7"/>
      <c r="I59" s="2"/>
      <c r="J59" s="6">
        <f t="shared" si="38"/>
        <v>0</v>
      </c>
      <c r="K59" s="2"/>
      <c r="L59" s="7">
        <f t="shared" si="39"/>
        <v>64.02</v>
      </c>
      <c r="M59" s="2"/>
      <c r="N59" s="6">
        <f t="shared" si="40"/>
        <v>0</v>
      </c>
      <c r="O59" s="11"/>
      <c r="P59" s="7">
        <v>1648.76</v>
      </c>
      <c r="Q59" s="2"/>
      <c r="R59" s="6">
        <f t="shared" si="41"/>
        <v>8.6792565263665127E-3</v>
      </c>
      <c r="S59" s="2"/>
      <c r="T59" s="7"/>
      <c r="U59" s="2"/>
      <c r="V59" s="6">
        <f t="shared" si="42"/>
        <v>0</v>
      </c>
      <c r="W59" s="2"/>
      <c r="X59" s="7">
        <f t="shared" si="43"/>
        <v>1648.76</v>
      </c>
      <c r="Y59" s="2"/>
      <c r="Z59" s="6">
        <f t="shared" si="44"/>
        <v>0</v>
      </c>
    </row>
    <row r="60" spans="1:26" s="27" customFormat="1" outlineLevel="1" collapsed="1" x14ac:dyDescent="0.25">
      <c r="A60" s="25"/>
      <c r="B60" s="12" t="str">
        <f>CONCATENATE("     ","General                                           ")</f>
        <v xml:space="preserve">     General                                           </v>
      </c>
      <c r="C60" s="12"/>
      <c r="D60" s="1">
        <f>SUM(OSRRefD22_8x_0)</f>
        <v>0</v>
      </c>
      <c r="E60" s="1"/>
      <c r="F60" s="5">
        <f t="shared" si="37"/>
        <v>0</v>
      </c>
      <c r="G60" s="1"/>
      <c r="H60" s="1">
        <f>SUM(OSRRefH22_8x_0)</f>
        <v>0</v>
      </c>
      <c r="I60" s="1"/>
      <c r="J60" s="5">
        <f t="shared" si="38"/>
        <v>0</v>
      </c>
      <c r="K60" s="1"/>
      <c r="L60" s="1">
        <f t="shared" si="39"/>
        <v>0</v>
      </c>
      <c r="M60" s="1"/>
      <c r="N60" s="5">
        <f t="shared" si="40"/>
        <v>0</v>
      </c>
      <c r="O60" s="12"/>
      <c r="P60" s="1">
        <f>SUM(OSRRefP22_8x_0)</f>
        <v>768.15</v>
      </c>
      <c r="Q60" s="1"/>
      <c r="R60" s="5">
        <f t="shared" si="41"/>
        <v>4.0436272718457726E-3</v>
      </c>
      <c r="S60" s="1"/>
      <c r="T60" s="1">
        <f>SUM(OSRRefT22_8x_0)</f>
        <v>0</v>
      </c>
      <c r="U60" s="1"/>
      <c r="V60" s="5">
        <f t="shared" si="42"/>
        <v>0</v>
      </c>
      <c r="W60" s="1"/>
      <c r="X60" s="1">
        <f t="shared" si="43"/>
        <v>768.15</v>
      </c>
      <c r="Y60" s="1"/>
      <c r="Z60" s="5">
        <f t="shared" si="44"/>
        <v>0</v>
      </c>
    </row>
    <row r="61" spans="1:26" s="24" customFormat="1" hidden="1" outlineLevel="2" x14ac:dyDescent="0.25">
      <c r="A61" s="26"/>
      <c r="B61" s="11" t="str">
        <f>CONCATENATE("          ", "6279", " - ", "GENERAL EXPENSE")</f>
        <v xml:space="preserve">          6279 - GENERAL EXPENSE</v>
      </c>
      <c r="C61" s="11"/>
      <c r="D61" s="7"/>
      <c r="E61" s="2"/>
      <c r="F61" s="6">
        <f t="shared" si="37"/>
        <v>0</v>
      </c>
      <c r="G61" s="2"/>
      <c r="H61" s="7"/>
      <c r="I61" s="2"/>
      <c r="J61" s="6">
        <f t="shared" si="38"/>
        <v>0</v>
      </c>
      <c r="K61" s="2"/>
      <c r="L61" s="7">
        <f t="shared" si="39"/>
        <v>0</v>
      </c>
      <c r="M61" s="2"/>
      <c r="N61" s="6">
        <f t="shared" si="40"/>
        <v>0</v>
      </c>
      <c r="O61" s="11"/>
      <c r="P61" s="7">
        <v>768.15</v>
      </c>
      <c r="Q61" s="2"/>
      <c r="R61" s="6">
        <f t="shared" si="41"/>
        <v>4.0436272718457726E-3</v>
      </c>
      <c r="S61" s="2"/>
      <c r="T61" s="7"/>
      <c r="U61" s="2"/>
      <c r="V61" s="6">
        <f t="shared" si="42"/>
        <v>0</v>
      </c>
      <c r="W61" s="2"/>
      <c r="X61" s="7">
        <f t="shared" si="43"/>
        <v>768.15</v>
      </c>
      <c r="Y61" s="2"/>
      <c r="Z61" s="6">
        <f t="shared" si="44"/>
        <v>0</v>
      </c>
    </row>
    <row r="62" spans="1:26" s="27" customFormat="1" outlineLevel="1" collapsed="1" x14ac:dyDescent="0.25">
      <c r="A62" s="25"/>
      <c r="B62" s="12" t="str">
        <f>CONCATENATE("     ","Repair and Maintenance                            ")</f>
        <v xml:space="preserve">     Repair and Maintenance                            </v>
      </c>
      <c r="C62" s="12"/>
      <c r="D62" s="1">
        <f>SUM(OSRRefD22_9x_0)</f>
        <v>0</v>
      </c>
      <c r="E62" s="1"/>
      <c r="F62" s="5">
        <f t="shared" si="37"/>
        <v>0</v>
      </c>
      <c r="G62" s="1"/>
      <c r="H62" s="1">
        <f>SUM(OSRRefH22_9x_0)</f>
        <v>50</v>
      </c>
      <c r="I62" s="1"/>
      <c r="J62" s="5">
        <f t="shared" si="38"/>
        <v>2.1739130434782609E-3</v>
      </c>
      <c r="K62" s="1"/>
      <c r="L62" s="1">
        <f t="shared" si="39"/>
        <v>-50</v>
      </c>
      <c r="M62" s="1"/>
      <c r="N62" s="5">
        <f t="shared" si="40"/>
        <v>-1</v>
      </c>
      <c r="O62" s="12"/>
      <c r="P62" s="1">
        <f>SUM(OSRRefP22_9x_0)</f>
        <v>5494.59</v>
      </c>
      <c r="Q62" s="1"/>
      <c r="R62" s="5">
        <f t="shared" si="41"/>
        <v>2.8924134572168282E-2</v>
      </c>
      <c r="S62" s="1"/>
      <c r="T62" s="1">
        <f>SUM(OSRRefT22_9x_0)</f>
        <v>1350</v>
      </c>
      <c r="U62" s="1"/>
      <c r="V62" s="5">
        <f t="shared" si="42"/>
        <v>3.3582089552238806E-3</v>
      </c>
      <c r="W62" s="1"/>
      <c r="X62" s="1">
        <f t="shared" si="43"/>
        <v>4144.59</v>
      </c>
      <c r="Y62" s="1"/>
      <c r="Z62" s="5">
        <f t="shared" si="44"/>
        <v>3.0700666666666669</v>
      </c>
    </row>
    <row r="63" spans="1:26" s="24" customFormat="1" hidden="1" outlineLevel="2" x14ac:dyDescent="0.25">
      <c r="A63" s="26"/>
      <c r="B63" s="11" t="str">
        <f>CONCATENATE("          ", "6371", " - ", "COMPUTER SOFTWARE MAINTENANCE")</f>
        <v xml:space="preserve">          6371 - COMPUTER SOFTWARE MAINTENANCE</v>
      </c>
      <c r="C63" s="11"/>
      <c r="D63" s="7"/>
      <c r="E63" s="2"/>
      <c r="F63" s="6">
        <f t="shared" si="37"/>
        <v>0</v>
      </c>
      <c r="G63" s="2"/>
      <c r="H63" s="7">
        <v>50</v>
      </c>
      <c r="I63" s="2"/>
      <c r="J63" s="6">
        <f t="shared" si="38"/>
        <v>2.1739130434782609E-3</v>
      </c>
      <c r="K63" s="2"/>
      <c r="L63" s="7">
        <f t="shared" si="39"/>
        <v>-50</v>
      </c>
      <c r="M63" s="2"/>
      <c r="N63" s="6">
        <f t="shared" si="40"/>
        <v>-1</v>
      </c>
      <c r="O63" s="11"/>
      <c r="P63" s="7">
        <v>2186.54</v>
      </c>
      <c r="Q63" s="2"/>
      <c r="R63" s="6">
        <f t="shared" si="41"/>
        <v>1.1510190425023312E-2</v>
      </c>
      <c r="S63" s="2"/>
      <c r="T63" s="7">
        <v>550</v>
      </c>
      <c r="U63" s="2"/>
      <c r="V63" s="6">
        <f t="shared" si="42"/>
        <v>1.3681592039800996E-3</v>
      </c>
      <c r="W63" s="2"/>
      <c r="X63" s="7">
        <f t="shared" si="43"/>
        <v>1636.54</v>
      </c>
      <c r="Y63" s="2"/>
      <c r="Z63" s="6">
        <f t="shared" si="44"/>
        <v>2.9755272727272728</v>
      </c>
    </row>
    <row r="64" spans="1:26" s="24" customFormat="1" hidden="1" outlineLevel="2" x14ac:dyDescent="0.25">
      <c r="A64" s="26"/>
      <c r="B64" s="11" t="str">
        <f>CONCATENATE("          ", "6373", " - ", "MAINTENANCE CONTRACTS")</f>
        <v xml:space="preserve">          6373 - MAINTENANCE CONTRACTS</v>
      </c>
      <c r="C64" s="11"/>
      <c r="D64" s="7"/>
      <c r="E64" s="2"/>
      <c r="F64" s="6">
        <f t="shared" si="37"/>
        <v>0</v>
      </c>
      <c r="G64" s="2"/>
      <c r="H64" s="7"/>
      <c r="I64" s="2"/>
      <c r="J64" s="6">
        <f t="shared" si="38"/>
        <v>0</v>
      </c>
      <c r="K64" s="2"/>
      <c r="L64" s="7">
        <f t="shared" si="39"/>
        <v>0</v>
      </c>
      <c r="M64" s="2"/>
      <c r="N64" s="6">
        <f t="shared" si="40"/>
        <v>0</v>
      </c>
      <c r="O64" s="11"/>
      <c r="P64" s="7">
        <v>909.57</v>
      </c>
      <c r="Q64" s="2"/>
      <c r="R64" s="6">
        <f t="shared" si="41"/>
        <v>4.7880779244324151E-3</v>
      </c>
      <c r="S64" s="2"/>
      <c r="T64" s="7"/>
      <c r="U64" s="2"/>
      <c r="V64" s="6">
        <f t="shared" si="42"/>
        <v>0</v>
      </c>
      <c r="W64" s="2"/>
      <c r="X64" s="7">
        <f t="shared" si="43"/>
        <v>909.57</v>
      </c>
      <c r="Y64" s="2"/>
      <c r="Z64" s="6">
        <f t="shared" si="44"/>
        <v>0</v>
      </c>
    </row>
    <row r="65" spans="1:26" s="24" customFormat="1" hidden="1" outlineLevel="2" x14ac:dyDescent="0.25">
      <c r="A65" s="26"/>
      <c r="B65" s="11" t="str">
        <f>CONCATENATE("          ", "6375", " - ", "OUTSIDE REPAIRS &amp; MAINTENANCE")</f>
        <v xml:space="preserve">          6375 - OUTSIDE REPAIRS &amp; MAINTENANCE</v>
      </c>
      <c r="C65" s="11"/>
      <c r="D65" s="7"/>
      <c r="E65" s="2"/>
      <c r="F65" s="6">
        <f t="shared" si="37"/>
        <v>0</v>
      </c>
      <c r="G65" s="2"/>
      <c r="H65" s="7"/>
      <c r="I65" s="2"/>
      <c r="J65" s="6">
        <f t="shared" si="38"/>
        <v>0</v>
      </c>
      <c r="K65" s="2"/>
      <c r="L65" s="7">
        <f t="shared" si="39"/>
        <v>0</v>
      </c>
      <c r="M65" s="2"/>
      <c r="N65" s="6">
        <f t="shared" si="40"/>
        <v>0</v>
      </c>
      <c r="O65" s="11"/>
      <c r="P65" s="7">
        <v>2398.48</v>
      </c>
      <c r="Q65" s="2"/>
      <c r="R65" s="6">
        <f t="shared" si="41"/>
        <v>1.2625866222712556E-2</v>
      </c>
      <c r="S65" s="2"/>
      <c r="T65" s="7">
        <v>800</v>
      </c>
      <c r="U65" s="2"/>
      <c r="V65" s="6">
        <f t="shared" si="42"/>
        <v>1.990049751243781E-3</v>
      </c>
      <c r="W65" s="2"/>
      <c r="X65" s="7">
        <f t="shared" si="43"/>
        <v>1598.48</v>
      </c>
      <c r="Y65" s="2"/>
      <c r="Z65" s="6">
        <f t="shared" si="44"/>
        <v>1.9981</v>
      </c>
    </row>
    <row r="66" spans="1:26" s="27" customFormat="1" outlineLevel="1" collapsed="1" x14ac:dyDescent="0.25">
      <c r="A66" s="25"/>
      <c r="B66" s="12" t="str">
        <f>CONCATENATE("     ","Services                                          ")</f>
        <v xml:space="preserve">     Services                                          </v>
      </c>
      <c r="C66" s="12"/>
      <c r="D66" s="1">
        <f>SUM(OSRRefD22_10x_0)</f>
        <v>0</v>
      </c>
      <c r="E66" s="1"/>
      <c r="F66" s="5">
        <f t="shared" ref="F66:F69" si="45">IF(D$12=0,0,D66/D$12)</f>
        <v>0</v>
      </c>
      <c r="G66" s="1"/>
      <c r="H66" s="1">
        <f>SUM(OSRRefH22_10x_0)</f>
        <v>546</v>
      </c>
      <c r="I66" s="1"/>
      <c r="J66" s="5">
        <f t="shared" ref="J66:J69" si="46">IF(H$12=0,0,H66/H$12)</f>
        <v>2.373913043478261E-2</v>
      </c>
      <c r="K66" s="1"/>
      <c r="L66" s="1">
        <f t="shared" ref="L66:L69" si="47">+D66-H66</f>
        <v>-546</v>
      </c>
      <c r="M66" s="1"/>
      <c r="N66" s="5">
        <f t="shared" ref="N66:N69" si="48">IF(H66=0,0,L66/H66)</f>
        <v>-1</v>
      </c>
      <c r="O66" s="12"/>
      <c r="P66" s="1">
        <f>SUM(OSRRefP22_10x_0)</f>
        <v>1739.62</v>
      </c>
      <c r="Q66" s="1"/>
      <c r="R66" s="5">
        <f t="shared" ref="R66:R69" si="49">IF(P$12=0,0,P66/P$12)</f>
        <v>9.1575536999913346E-3</v>
      </c>
      <c r="S66" s="1"/>
      <c r="T66" s="1">
        <f>SUM(OSRRefT22_10x_0)</f>
        <v>6006</v>
      </c>
      <c r="U66" s="1"/>
      <c r="V66" s="5">
        <f t="shared" ref="V66:V69" si="50">IF(T$12=0,0,T66/T$12)</f>
        <v>1.4940298507462686E-2</v>
      </c>
      <c r="W66" s="1"/>
      <c r="X66" s="1">
        <f t="shared" ref="X66:X69" si="51">+P66-T66</f>
        <v>-4266.38</v>
      </c>
      <c r="Y66" s="1"/>
      <c r="Z66" s="5">
        <f t="shared" ref="Z66:Z69" si="52">IF(T66=0,0,X66/T66)</f>
        <v>-0.71035298035298033</v>
      </c>
    </row>
    <row r="67" spans="1:26" s="24" customFormat="1" hidden="1" outlineLevel="2" x14ac:dyDescent="0.25">
      <c r="A67" s="26"/>
      <c r="B67" s="11" t="str">
        <f>CONCATENATE("          ", "6282", " - ", "JANITORIAL/EXTERMINATOR EXPENS")</f>
        <v xml:space="preserve">          6282 - JANITORIAL/EXTERMINATOR EXPENS</v>
      </c>
      <c r="C67" s="11"/>
      <c r="D67" s="7"/>
      <c r="E67" s="2"/>
      <c r="F67" s="6">
        <f t="shared" si="45"/>
        <v>0</v>
      </c>
      <c r="G67" s="2"/>
      <c r="H67" s="7">
        <v>50</v>
      </c>
      <c r="I67" s="2"/>
      <c r="J67" s="6">
        <f t="shared" si="46"/>
        <v>2.1739130434782609E-3</v>
      </c>
      <c r="K67" s="2"/>
      <c r="L67" s="7">
        <f t="shared" si="47"/>
        <v>-50</v>
      </c>
      <c r="M67" s="2"/>
      <c r="N67" s="6">
        <f t="shared" si="48"/>
        <v>-1</v>
      </c>
      <c r="O67" s="11"/>
      <c r="P67" s="7"/>
      <c r="Q67" s="2"/>
      <c r="R67" s="6">
        <f t="shared" si="49"/>
        <v>0</v>
      </c>
      <c r="S67" s="2"/>
      <c r="T67" s="7">
        <v>550</v>
      </c>
      <c r="U67" s="2"/>
      <c r="V67" s="6">
        <f t="shared" si="50"/>
        <v>1.3681592039800996E-3</v>
      </c>
      <c r="W67" s="2"/>
      <c r="X67" s="7">
        <f t="shared" si="51"/>
        <v>-550</v>
      </c>
      <c r="Y67" s="2"/>
      <c r="Z67" s="6">
        <f t="shared" si="52"/>
        <v>-1</v>
      </c>
    </row>
    <row r="68" spans="1:26" s="24" customFormat="1" hidden="1" outlineLevel="2" x14ac:dyDescent="0.25">
      <c r="A68" s="26"/>
      <c r="B68" s="11" t="str">
        <f>CONCATENATE("          ", "6285", " - ", "JANITORIAL SERVICES")</f>
        <v xml:space="preserve">          6285 - JANITORIAL SERVICES</v>
      </c>
      <c r="C68" s="11"/>
      <c r="D68" s="7"/>
      <c r="E68" s="2"/>
      <c r="F68" s="6">
        <f t="shared" si="45"/>
        <v>0</v>
      </c>
      <c r="G68" s="2"/>
      <c r="H68" s="7">
        <v>396</v>
      </c>
      <c r="I68" s="2"/>
      <c r="J68" s="6">
        <f t="shared" si="46"/>
        <v>1.7217391304347827E-2</v>
      </c>
      <c r="K68" s="2"/>
      <c r="L68" s="7">
        <f t="shared" si="47"/>
        <v>-396</v>
      </c>
      <c r="M68" s="2"/>
      <c r="N68" s="6">
        <f t="shared" si="48"/>
        <v>-1</v>
      </c>
      <c r="O68" s="11"/>
      <c r="P68" s="7">
        <v>1305.25</v>
      </c>
      <c r="Q68" s="2"/>
      <c r="R68" s="6">
        <f t="shared" si="49"/>
        <v>6.8709815746621043E-3</v>
      </c>
      <c r="S68" s="2"/>
      <c r="T68" s="7">
        <v>4356</v>
      </c>
      <c r="U68" s="2"/>
      <c r="V68" s="6">
        <f t="shared" si="50"/>
        <v>1.0835820895522388E-2</v>
      </c>
      <c r="W68" s="2"/>
      <c r="X68" s="7">
        <f t="shared" si="51"/>
        <v>-3050.75</v>
      </c>
      <c r="Y68" s="2"/>
      <c r="Z68" s="6">
        <f t="shared" si="52"/>
        <v>-0.7003558310376492</v>
      </c>
    </row>
    <row r="69" spans="1:26" s="24" customFormat="1" hidden="1" outlineLevel="2" x14ac:dyDescent="0.25">
      <c r="A69" s="26"/>
      <c r="B69" s="11" t="str">
        <f>CONCATENATE("          ", "6286", " - ", "LAUNDRY EXPENSE")</f>
        <v xml:space="preserve">          6286 - LAUNDRY EXPENSE</v>
      </c>
      <c r="C69" s="11"/>
      <c r="D69" s="7"/>
      <c r="E69" s="2"/>
      <c r="F69" s="6">
        <f t="shared" si="45"/>
        <v>0</v>
      </c>
      <c r="G69" s="2"/>
      <c r="H69" s="7">
        <v>100</v>
      </c>
      <c r="I69" s="2"/>
      <c r="J69" s="6">
        <f t="shared" si="46"/>
        <v>4.3478260869565218E-3</v>
      </c>
      <c r="K69" s="2"/>
      <c r="L69" s="7">
        <f t="shared" si="47"/>
        <v>-100</v>
      </c>
      <c r="M69" s="2"/>
      <c r="N69" s="6">
        <f t="shared" si="48"/>
        <v>-1</v>
      </c>
      <c r="O69" s="11"/>
      <c r="P69" s="7">
        <v>434.37</v>
      </c>
      <c r="Q69" s="2"/>
      <c r="R69" s="6">
        <f t="shared" si="49"/>
        <v>2.2865721253292307E-3</v>
      </c>
      <c r="S69" s="2"/>
      <c r="T69" s="7">
        <v>1100</v>
      </c>
      <c r="U69" s="2"/>
      <c r="V69" s="6">
        <f t="shared" si="50"/>
        <v>2.7363184079601992E-3</v>
      </c>
      <c r="W69" s="2"/>
      <c r="X69" s="7">
        <f t="shared" si="51"/>
        <v>-665.63</v>
      </c>
      <c r="Y69" s="2"/>
      <c r="Z69" s="6">
        <f t="shared" si="52"/>
        <v>-0.60511818181818178</v>
      </c>
    </row>
    <row r="70" spans="1:26" s="27" customFormat="1" outlineLevel="1" collapsed="1" x14ac:dyDescent="0.25">
      <c r="A70" s="25"/>
      <c r="B70" s="12" t="str">
        <f>CONCATENATE("     ","Supplies                                          ")</f>
        <v xml:space="preserve">     Supplies                                          </v>
      </c>
      <c r="C70" s="12"/>
      <c r="D70" s="1">
        <f>SUM(OSRRefD22_11x_0)</f>
        <v>-65.05</v>
      </c>
      <c r="E70" s="1"/>
      <c r="F70" s="5">
        <f t="shared" ref="F70:F76" si="53">IF(D$12=0,0,D70/D$12)</f>
        <v>0</v>
      </c>
      <c r="G70" s="1"/>
      <c r="H70" s="1">
        <f>SUM(OSRRefH22_11x_0)</f>
        <v>311</v>
      </c>
      <c r="I70" s="1"/>
      <c r="J70" s="5">
        <f t="shared" ref="J70:J76" si="54">IF(H$12=0,0,H70/H$12)</f>
        <v>1.3521739130434782E-2</v>
      </c>
      <c r="K70" s="1"/>
      <c r="L70" s="1">
        <f t="shared" ref="L70:L76" si="55">+D70-H70</f>
        <v>-376.05</v>
      </c>
      <c r="M70" s="1"/>
      <c r="N70" s="5">
        <f t="shared" ref="N70:N76" si="56">IF(H70=0,0,L70/H70)</f>
        <v>-1.2091639871382638</v>
      </c>
      <c r="O70" s="12"/>
      <c r="P70" s="1">
        <f>SUM(OSRRefP22_11x_0)</f>
        <v>6296.61</v>
      </c>
      <c r="Q70" s="1"/>
      <c r="R70" s="5">
        <f t="shared" ref="R70:R76" si="57">IF(P$12=0,0,P70/P$12)</f>
        <v>3.3146057301538516E-2</v>
      </c>
      <c r="S70" s="1"/>
      <c r="T70" s="1">
        <f>SUM(OSRRefT22_11x_0)</f>
        <v>4921</v>
      </c>
      <c r="U70" s="1"/>
      <c r="V70" s="5">
        <f t="shared" ref="V70:V76" si="58">IF(T$12=0,0,T70/T$12)</f>
        <v>1.2241293532338309E-2</v>
      </c>
      <c r="W70" s="1"/>
      <c r="X70" s="1">
        <f t="shared" ref="X70:X76" si="59">+P70-T70</f>
        <v>1375.6099999999997</v>
      </c>
      <c r="Y70" s="1"/>
      <c r="Z70" s="5">
        <f t="shared" ref="Z70:Z76" si="60">IF(T70=0,0,X70/T70)</f>
        <v>0.27953871164397476</v>
      </c>
    </row>
    <row r="71" spans="1:26" s="24" customFormat="1" hidden="1" outlineLevel="2" x14ac:dyDescent="0.25">
      <c r="A71" s="26"/>
      <c r="B71" s="11" t="str">
        <f>CONCATENATE("          ", "6237", " - ", "JANITORIAL SUPPLIES")</f>
        <v xml:space="preserve">          6237 - JANITORIAL SUPPLIES</v>
      </c>
      <c r="C71" s="11"/>
      <c r="D71" s="7"/>
      <c r="E71" s="2"/>
      <c r="F71" s="6">
        <f t="shared" si="53"/>
        <v>0</v>
      </c>
      <c r="G71" s="2"/>
      <c r="H71" s="7">
        <v>11</v>
      </c>
      <c r="I71" s="2"/>
      <c r="J71" s="6">
        <f t="shared" si="54"/>
        <v>4.782608695652174E-4</v>
      </c>
      <c r="K71" s="2"/>
      <c r="L71" s="7">
        <f t="shared" si="55"/>
        <v>-11</v>
      </c>
      <c r="M71" s="2"/>
      <c r="N71" s="6">
        <f t="shared" si="56"/>
        <v>-1</v>
      </c>
      <c r="O71" s="11"/>
      <c r="P71" s="7">
        <v>10.95</v>
      </c>
      <c r="Q71" s="2"/>
      <c r="R71" s="6">
        <f t="shared" si="57"/>
        <v>5.7642021254587271E-5</v>
      </c>
      <c r="S71" s="2"/>
      <c r="T71" s="7">
        <v>121</v>
      </c>
      <c r="U71" s="2"/>
      <c r="V71" s="6">
        <f t="shared" si="58"/>
        <v>3.0099502487562188E-4</v>
      </c>
      <c r="W71" s="2"/>
      <c r="X71" s="7">
        <f t="shared" si="59"/>
        <v>-110.05</v>
      </c>
      <c r="Y71" s="2"/>
      <c r="Z71" s="6">
        <f t="shared" si="60"/>
        <v>-0.90950413223140492</v>
      </c>
    </row>
    <row r="72" spans="1:26" s="24" customFormat="1" hidden="1" outlineLevel="2" x14ac:dyDescent="0.25">
      <c r="A72" s="26"/>
      <c r="B72" s="11" t="str">
        <f>CONCATENATE("          ", "6239", " - ", "KITCHEN SUPPLIES")</f>
        <v xml:space="preserve">          6239 - KITCHEN SUPPLIES</v>
      </c>
      <c r="C72" s="11"/>
      <c r="D72" s="7"/>
      <c r="E72" s="2"/>
      <c r="F72" s="6">
        <f t="shared" si="53"/>
        <v>0</v>
      </c>
      <c r="G72" s="2"/>
      <c r="H72" s="7"/>
      <c r="I72" s="2"/>
      <c r="J72" s="6">
        <f t="shared" si="54"/>
        <v>0</v>
      </c>
      <c r="K72" s="2"/>
      <c r="L72" s="7">
        <f t="shared" si="55"/>
        <v>0</v>
      </c>
      <c r="M72" s="2"/>
      <c r="N72" s="6">
        <f t="shared" si="56"/>
        <v>0</v>
      </c>
      <c r="O72" s="11"/>
      <c r="P72" s="7">
        <v>2898.22</v>
      </c>
      <c r="Q72" s="2"/>
      <c r="R72" s="6">
        <f t="shared" si="57"/>
        <v>1.5256553318764375E-2</v>
      </c>
      <c r="S72" s="2"/>
      <c r="T72" s="7">
        <v>300</v>
      </c>
      <c r="U72" s="2"/>
      <c r="V72" s="6">
        <f t="shared" si="58"/>
        <v>7.4626865671641792E-4</v>
      </c>
      <c r="W72" s="2"/>
      <c r="X72" s="7">
        <f t="shared" si="59"/>
        <v>2598.2199999999998</v>
      </c>
      <c r="Y72" s="2"/>
      <c r="Z72" s="6">
        <f t="shared" si="60"/>
        <v>8.660733333333333</v>
      </c>
    </row>
    <row r="73" spans="1:26" s="24" customFormat="1" hidden="1" outlineLevel="2" x14ac:dyDescent="0.25">
      <c r="A73" s="26"/>
      <c r="B73" s="11" t="str">
        <f>CONCATENATE("          ", "6241", " - ", "OFFICE EXPENSE")</f>
        <v xml:space="preserve">          6241 - OFFICE EXPENSE</v>
      </c>
      <c r="C73" s="11"/>
      <c r="D73" s="7">
        <v>-65.05</v>
      </c>
      <c r="E73" s="2"/>
      <c r="F73" s="6">
        <f t="shared" si="53"/>
        <v>0</v>
      </c>
      <c r="G73" s="2"/>
      <c r="H73" s="7"/>
      <c r="I73" s="2"/>
      <c r="J73" s="6">
        <f t="shared" si="54"/>
        <v>0</v>
      </c>
      <c r="K73" s="2"/>
      <c r="L73" s="7">
        <f t="shared" si="55"/>
        <v>-65.05</v>
      </c>
      <c r="M73" s="2"/>
      <c r="N73" s="6">
        <f t="shared" si="56"/>
        <v>0</v>
      </c>
      <c r="O73" s="11"/>
      <c r="P73" s="7">
        <v>788.91</v>
      </c>
      <c r="Q73" s="2"/>
      <c r="R73" s="6">
        <f t="shared" si="57"/>
        <v>4.1529102272106341E-3</v>
      </c>
      <c r="S73" s="2"/>
      <c r="T73" s="7"/>
      <c r="U73" s="2"/>
      <c r="V73" s="6">
        <f t="shared" si="58"/>
        <v>0</v>
      </c>
      <c r="W73" s="2"/>
      <c r="X73" s="7">
        <f t="shared" si="59"/>
        <v>788.91</v>
      </c>
      <c r="Y73" s="2"/>
      <c r="Z73" s="6">
        <f t="shared" si="60"/>
        <v>0</v>
      </c>
    </row>
    <row r="74" spans="1:26" s="24" customFormat="1" hidden="1" outlineLevel="2" x14ac:dyDescent="0.25">
      <c r="A74" s="26"/>
      <c r="B74" s="11" t="str">
        <f>CONCATENATE("          ", "6243", " - ", "PAPER SUPPLIES")</f>
        <v xml:space="preserve">          6243 - PAPER SUPPLIES</v>
      </c>
      <c r="C74" s="11"/>
      <c r="D74" s="7"/>
      <c r="E74" s="2"/>
      <c r="F74" s="6">
        <f t="shared" si="53"/>
        <v>0</v>
      </c>
      <c r="G74" s="2"/>
      <c r="H74" s="7">
        <v>300</v>
      </c>
      <c r="I74" s="2"/>
      <c r="J74" s="6">
        <f t="shared" si="54"/>
        <v>1.3043478260869565E-2</v>
      </c>
      <c r="K74" s="2"/>
      <c r="L74" s="7">
        <f t="shared" si="55"/>
        <v>-300</v>
      </c>
      <c r="M74" s="2"/>
      <c r="N74" s="6">
        <f t="shared" si="56"/>
        <v>-1</v>
      </c>
      <c r="O74" s="11"/>
      <c r="P74" s="7">
        <v>1858.86</v>
      </c>
      <c r="Q74" s="2"/>
      <c r="R74" s="6">
        <f t="shared" si="57"/>
        <v>9.7852463588403733E-3</v>
      </c>
      <c r="S74" s="2"/>
      <c r="T74" s="7">
        <v>3900</v>
      </c>
      <c r="U74" s="2"/>
      <c r="V74" s="6">
        <f t="shared" si="58"/>
        <v>9.7014925373134324E-3</v>
      </c>
      <c r="W74" s="2"/>
      <c r="X74" s="7">
        <f t="shared" si="59"/>
        <v>-2041.14</v>
      </c>
      <c r="Y74" s="2"/>
      <c r="Z74" s="6">
        <f t="shared" si="60"/>
        <v>-0.52336923076923081</v>
      </c>
    </row>
    <row r="75" spans="1:26" s="24" customFormat="1" hidden="1" outlineLevel="2" x14ac:dyDescent="0.25">
      <c r="A75" s="26"/>
      <c r="B75" s="11" t="str">
        <f>CONCATENATE("          ", "6247", " - ", "STORE SUPPLIES")</f>
        <v xml:space="preserve">          6247 - STORE SUPPLIES</v>
      </c>
      <c r="C75" s="11"/>
      <c r="D75" s="7"/>
      <c r="E75" s="2"/>
      <c r="F75" s="6">
        <f t="shared" si="53"/>
        <v>0</v>
      </c>
      <c r="G75" s="2"/>
      <c r="H75" s="7"/>
      <c r="I75" s="2"/>
      <c r="J75" s="6">
        <f t="shared" si="54"/>
        <v>0</v>
      </c>
      <c r="K75" s="2"/>
      <c r="L75" s="7">
        <f t="shared" si="55"/>
        <v>0</v>
      </c>
      <c r="M75" s="2"/>
      <c r="N75" s="6">
        <f t="shared" si="56"/>
        <v>0</v>
      </c>
      <c r="O75" s="11"/>
      <c r="P75" s="7">
        <v>102.64</v>
      </c>
      <c r="Q75" s="2"/>
      <c r="R75" s="6">
        <f t="shared" si="57"/>
        <v>5.4030840744939159E-4</v>
      </c>
      <c r="S75" s="2"/>
      <c r="T75" s="7"/>
      <c r="U75" s="2"/>
      <c r="V75" s="6">
        <f t="shared" si="58"/>
        <v>0</v>
      </c>
      <c r="W75" s="2"/>
      <c r="X75" s="7">
        <f t="shared" si="59"/>
        <v>102.64</v>
      </c>
      <c r="Y75" s="2"/>
      <c r="Z75" s="6">
        <f t="shared" si="60"/>
        <v>0</v>
      </c>
    </row>
    <row r="76" spans="1:26" s="24" customFormat="1" hidden="1" outlineLevel="2" x14ac:dyDescent="0.25">
      <c r="A76" s="26"/>
      <c r="B76" s="11" t="str">
        <f>CONCATENATE("          ", "6248", " - ", "UNIFORMS")</f>
        <v xml:space="preserve">          6248 - UNIFORMS</v>
      </c>
      <c r="C76" s="11"/>
      <c r="D76" s="7"/>
      <c r="E76" s="2"/>
      <c r="F76" s="6">
        <f t="shared" si="53"/>
        <v>0</v>
      </c>
      <c r="G76" s="2"/>
      <c r="H76" s="7"/>
      <c r="I76" s="2"/>
      <c r="J76" s="6">
        <f t="shared" si="54"/>
        <v>0</v>
      </c>
      <c r="K76" s="2"/>
      <c r="L76" s="7">
        <f t="shared" si="55"/>
        <v>0</v>
      </c>
      <c r="M76" s="2"/>
      <c r="N76" s="6">
        <f t="shared" si="56"/>
        <v>0</v>
      </c>
      <c r="O76" s="11"/>
      <c r="P76" s="7">
        <v>637.03</v>
      </c>
      <c r="Q76" s="2"/>
      <c r="R76" s="6">
        <f t="shared" si="57"/>
        <v>3.3533969680191534E-3</v>
      </c>
      <c r="S76" s="2"/>
      <c r="T76" s="7">
        <v>600</v>
      </c>
      <c r="U76" s="2"/>
      <c r="V76" s="6">
        <f t="shared" si="58"/>
        <v>1.4925373134328358E-3</v>
      </c>
      <c r="W76" s="2"/>
      <c r="X76" s="7">
        <f t="shared" si="59"/>
        <v>37.029999999999973</v>
      </c>
      <c r="Y76" s="2"/>
      <c r="Z76" s="6">
        <f t="shared" si="60"/>
        <v>6.1716666666666621E-2</v>
      </c>
    </row>
    <row r="77" spans="1:26" s="27" customFormat="1" outlineLevel="1" collapsed="1" x14ac:dyDescent="0.25">
      <c r="A77" s="25"/>
      <c r="B77" s="12" t="str">
        <f>CONCATENATE("     ","Telephone/Data Lines                              ")</f>
        <v xml:space="preserve">     Telephone/Data Lines                              </v>
      </c>
      <c r="C77" s="12"/>
      <c r="D77" s="1">
        <f>SUM(OSRRefD22_12x_0)</f>
        <v>86</v>
      </c>
      <c r="E77" s="1"/>
      <c r="F77" s="5">
        <f t="shared" ref="F77:F79" si="61">IF(D$12=0,0,D77/D$12)</f>
        <v>0</v>
      </c>
      <c r="G77" s="1"/>
      <c r="H77" s="1">
        <f>SUM(OSRRefH22_12x_0)</f>
        <v>95</v>
      </c>
      <c r="I77" s="1"/>
      <c r="J77" s="5">
        <f t="shared" ref="J77:J79" si="62">IF(H$12=0,0,H77/H$12)</f>
        <v>4.1304347826086954E-3</v>
      </c>
      <c r="K77" s="1"/>
      <c r="L77" s="1">
        <f t="shared" ref="L77:L79" si="63">+D77-H77</f>
        <v>-9</v>
      </c>
      <c r="M77" s="1"/>
      <c r="N77" s="5">
        <f t="shared" ref="N77:N79" si="64">IF(H77=0,0,L77/H77)</f>
        <v>-9.4736842105263161E-2</v>
      </c>
      <c r="O77" s="12"/>
      <c r="P77" s="1">
        <f>SUM(OSRRefP22_12x_0)</f>
        <v>951.5</v>
      </c>
      <c r="Q77" s="1"/>
      <c r="R77" s="5">
        <f t="shared" ref="R77:R79" si="65">IF(P$12=0,0,P77/P$12)</f>
        <v>5.0088021208894787E-3</v>
      </c>
      <c r="S77" s="1"/>
      <c r="T77" s="1">
        <f>SUM(OSRRefT22_12x_0)</f>
        <v>1045</v>
      </c>
      <c r="U77" s="1"/>
      <c r="V77" s="5">
        <f t="shared" ref="V77:V79" si="66">IF(T$12=0,0,T77/T$12)</f>
        <v>2.599502487562189E-3</v>
      </c>
      <c r="W77" s="1"/>
      <c r="X77" s="1">
        <f t="shared" ref="X77:X79" si="67">+P77-T77</f>
        <v>-93.5</v>
      </c>
      <c r="Y77" s="1"/>
      <c r="Z77" s="5">
        <f t="shared" ref="Z77:Z79" si="68">IF(T77=0,0,X77/T77)</f>
        <v>-8.9473684210526316E-2</v>
      </c>
    </row>
    <row r="78" spans="1:26" s="24" customFormat="1" hidden="1" outlineLevel="2" x14ac:dyDescent="0.25">
      <c r="A78" s="26"/>
      <c r="B78" s="11" t="str">
        <f>CONCATENATE("          ", "6303", " - ", "DATA PHONE LINES")</f>
        <v xml:space="preserve">          6303 - DATA PHONE LINES</v>
      </c>
      <c r="C78" s="11"/>
      <c r="D78" s="7"/>
      <c r="E78" s="2"/>
      <c r="F78" s="6">
        <f t="shared" si="61"/>
        <v>0</v>
      </c>
      <c r="G78" s="2"/>
      <c r="H78" s="7">
        <v>50</v>
      </c>
      <c r="I78" s="2"/>
      <c r="J78" s="6">
        <f t="shared" si="62"/>
        <v>2.1739130434782609E-3</v>
      </c>
      <c r="K78" s="2"/>
      <c r="L78" s="7">
        <f t="shared" si="63"/>
        <v>-50</v>
      </c>
      <c r="M78" s="2"/>
      <c r="N78" s="6">
        <f t="shared" si="64"/>
        <v>-1</v>
      </c>
      <c r="O78" s="11"/>
      <c r="P78" s="7"/>
      <c r="Q78" s="2"/>
      <c r="R78" s="6">
        <f t="shared" si="65"/>
        <v>0</v>
      </c>
      <c r="S78" s="2"/>
      <c r="T78" s="7">
        <v>550</v>
      </c>
      <c r="U78" s="2"/>
      <c r="V78" s="6">
        <f t="shared" si="66"/>
        <v>1.3681592039800996E-3</v>
      </c>
      <c r="W78" s="2"/>
      <c r="X78" s="7">
        <f t="shared" si="67"/>
        <v>-550</v>
      </c>
      <c r="Y78" s="2"/>
      <c r="Z78" s="6">
        <f t="shared" si="68"/>
        <v>-1</v>
      </c>
    </row>
    <row r="79" spans="1:26" s="24" customFormat="1" hidden="1" outlineLevel="2" x14ac:dyDescent="0.25">
      <c r="A79" s="26"/>
      <c r="B79" s="11" t="str">
        <f>CONCATENATE("          ", "6309", " - ", "TELEPHONE")</f>
        <v xml:space="preserve">          6309 - TELEPHONE</v>
      </c>
      <c r="C79" s="11"/>
      <c r="D79" s="7">
        <v>86</v>
      </c>
      <c r="E79" s="2"/>
      <c r="F79" s="6">
        <f t="shared" si="61"/>
        <v>0</v>
      </c>
      <c r="G79" s="2"/>
      <c r="H79" s="7">
        <v>45</v>
      </c>
      <c r="I79" s="2"/>
      <c r="J79" s="6">
        <f t="shared" si="62"/>
        <v>1.9565217391304349E-3</v>
      </c>
      <c r="K79" s="2"/>
      <c r="L79" s="7">
        <f t="shared" si="63"/>
        <v>41</v>
      </c>
      <c r="M79" s="2"/>
      <c r="N79" s="6">
        <f t="shared" si="64"/>
        <v>0.91111111111111109</v>
      </c>
      <c r="O79" s="11"/>
      <c r="P79" s="7">
        <v>951.5</v>
      </c>
      <c r="Q79" s="2"/>
      <c r="R79" s="6">
        <f t="shared" si="65"/>
        <v>5.0088021208894787E-3</v>
      </c>
      <c r="S79" s="2"/>
      <c r="T79" s="7">
        <v>495</v>
      </c>
      <c r="U79" s="2"/>
      <c r="V79" s="6">
        <f t="shared" si="66"/>
        <v>1.2313432835820896E-3</v>
      </c>
      <c r="W79" s="2"/>
      <c r="X79" s="7">
        <f t="shared" si="67"/>
        <v>456.5</v>
      </c>
      <c r="Y79" s="2"/>
      <c r="Z79" s="6">
        <f t="shared" si="68"/>
        <v>0.92222222222222228</v>
      </c>
    </row>
    <row r="80" spans="1:26" s="27" customFormat="1" outlineLevel="1" collapsed="1" x14ac:dyDescent="0.25">
      <c r="A80" s="25"/>
      <c r="B80" s="12" t="str">
        <f>CONCATENATE("     ","Training                                          ")</f>
        <v xml:space="preserve">     Training                                          </v>
      </c>
      <c r="C80" s="12"/>
      <c r="D80" s="1">
        <f>SUM(OSRRefD22_13x_0)</f>
        <v>0</v>
      </c>
      <c r="E80" s="1"/>
      <c r="F80" s="5">
        <f t="shared" ref="F80:F84" si="69">IF(D$12=0,0,D80/D$12)</f>
        <v>0</v>
      </c>
      <c r="G80" s="1"/>
      <c r="H80" s="1">
        <f>SUM(OSRRefH22_13x_0)</f>
        <v>0</v>
      </c>
      <c r="I80" s="1"/>
      <c r="J80" s="5">
        <f t="shared" ref="J80:J84" si="70">IF(H$12=0,0,H80/H$12)</f>
        <v>0</v>
      </c>
      <c r="K80" s="1"/>
      <c r="L80" s="1">
        <f t="shared" ref="L80:L84" si="71">+D80-H80</f>
        <v>0</v>
      </c>
      <c r="M80" s="1"/>
      <c r="N80" s="5">
        <f t="shared" ref="N80:N84" si="72">IF(H80=0,0,L80/H80)</f>
        <v>0</v>
      </c>
      <c r="O80" s="12"/>
      <c r="P80" s="1">
        <f>SUM(OSRRefP22_13x_0)</f>
        <v>170.95</v>
      </c>
      <c r="Q80" s="1"/>
      <c r="R80" s="5">
        <f t="shared" ref="R80:R84" si="73">IF(P$12=0,0,P80/P$12)</f>
        <v>8.9989986607047435E-4</v>
      </c>
      <c r="S80" s="1"/>
      <c r="T80" s="1">
        <f>SUM(OSRRefT22_13x_0)</f>
        <v>2000</v>
      </c>
      <c r="U80" s="1"/>
      <c r="V80" s="5">
        <f t="shared" ref="V80:V84" si="74">IF(T$12=0,0,T80/T$12)</f>
        <v>4.9751243781094526E-3</v>
      </c>
      <c r="W80" s="1"/>
      <c r="X80" s="1">
        <f t="shared" ref="X80:X84" si="75">+P80-T80</f>
        <v>-1829.05</v>
      </c>
      <c r="Y80" s="1"/>
      <c r="Z80" s="5">
        <f t="shared" ref="Z80:Z84" si="76">IF(T80=0,0,X80/T80)</f>
        <v>-0.91452500000000003</v>
      </c>
    </row>
    <row r="81" spans="1:26" s="24" customFormat="1" hidden="1" outlineLevel="2" x14ac:dyDescent="0.25">
      <c r="A81" s="26"/>
      <c r="B81" s="11" t="str">
        <f>CONCATENATE("          ", "6376", " - ", "TRAINING")</f>
        <v xml:space="preserve">          6376 - TRAINING</v>
      </c>
      <c r="C81" s="11"/>
      <c r="D81" s="7"/>
      <c r="E81" s="2"/>
      <c r="F81" s="6">
        <f t="shared" si="69"/>
        <v>0</v>
      </c>
      <c r="G81" s="2"/>
      <c r="H81" s="7"/>
      <c r="I81" s="2"/>
      <c r="J81" s="6">
        <f t="shared" si="70"/>
        <v>0</v>
      </c>
      <c r="K81" s="2"/>
      <c r="L81" s="7">
        <f t="shared" si="71"/>
        <v>0</v>
      </c>
      <c r="M81" s="2"/>
      <c r="N81" s="6">
        <f t="shared" si="72"/>
        <v>0</v>
      </c>
      <c r="O81" s="11"/>
      <c r="P81" s="7">
        <v>170.95</v>
      </c>
      <c r="Q81" s="2"/>
      <c r="R81" s="6">
        <f t="shared" si="73"/>
        <v>8.9989986607047435E-4</v>
      </c>
      <c r="S81" s="2"/>
      <c r="T81" s="7">
        <v>2000</v>
      </c>
      <c r="U81" s="2"/>
      <c r="V81" s="6">
        <f t="shared" si="74"/>
        <v>4.9751243781094526E-3</v>
      </c>
      <c r="W81" s="2"/>
      <c r="X81" s="7">
        <f t="shared" si="75"/>
        <v>-1829.05</v>
      </c>
      <c r="Y81" s="2"/>
      <c r="Z81" s="6">
        <f t="shared" si="76"/>
        <v>-0.91452500000000003</v>
      </c>
    </row>
    <row r="82" spans="1:26" s="27" customFormat="1" outlineLevel="1" collapsed="1" x14ac:dyDescent="0.25">
      <c r="A82" s="25"/>
      <c r="B82" s="12" t="str">
        <f>CONCATENATE("     ","Travel                                            ")</f>
        <v xml:space="preserve">     Travel                                            </v>
      </c>
      <c r="C82" s="12"/>
      <c r="D82" s="1">
        <f>SUM(OSRRefD22_14x_0)</f>
        <v>0</v>
      </c>
      <c r="E82" s="1"/>
      <c r="F82" s="5">
        <f t="shared" si="69"/>
        <v>0</v>
      </c>
      <c r="G82" s="1"/>
      <c r="H82" s="1">
        <f>SUM(OSRRefH22_14x_0)</f>
        <v>0</v>
      </c>
      <c r="I82" s="1"/>
      <c r="J82" s="5">
        <f t="shared" si="70"/>
        <v>0</v>
      </c>
      <c r="K82" s="1"/>
      <c r="L82" s="1">
        <f t="shared" si="71"/>
        <v>0</v>
      </c>
      <c r="M82" s="1"/>
      <c r="N82" s="5">
        <f t="shared" si="72"/>
        <v>0</v>
      </c>
      <c r="O82" s="12"/>
      <c r="P82" s="1">
        <f>SUM(OSRRefP22_14x_0)</f>
        <v>11.5</v>
      </c>
      <c r="Q82" s="1"/>
      <c r="R82" s="5">
        <f t="shared" si="73"/>
        <v>6.0537282596141888E-5</v>
      </c>
      <c r="S82" s="1"/>
      <c r="T82" s="1">
        <f>SUM(OSRRefT22_14x_0)</f>
        <v>2000</v>
      </c>
      <c r="U82" s="1"/>
      <c r="V82" s="5">
        <f t="shared" si="74"/>
        <v>4.9751243781094526E-3</v>
      </c>
      <c r="W82" s="1"/>
      <c r="X82" s="1">
        <f t="shared" si="75"/>
        <v>-1988.5</v>
      </c>
      <c r="Y82" s="1"/>
      <c r="Z82" s="5">
        <f t="shared" si="76"/>
        <v>-0.99424999999999997</v>
      </c>
    </row>
    <row r="83" spans="1:26" s="24" customFormat="1" hidden="1" outlineLevel="2" x14ac:dyDescent="0.25">
      <c r="A83" s="26"/>
      <c r="B83" s="11" t="str">
        <f>CONCATENATE("          ", "6292", " - ", "TRAVEL/CONFERENCE")</f>
        <v xml:space="preserve">          6292 - TRAVEL/CONFERENCE</v>
      </c>
      <c r="C83" s="11"/>
      <c r="D83" s="7"/>
      <c r="E83" s="2"/>
      <c r="F83" s="6">
        <f t="shared" si="69"/>
        <v>0</v>
      </c>
      <c r="G83" s="2"/>
      <c r="H83" s="7"/>
      <c r="I83" s="2"/>
      <c r="J83" s="6">
        <f t="shared" si="70"/>
        <v>0</v>
      </c>
      <c r="K83" s="2"/>
      <c r="L83" s="7">
        <f t="shared" si="71"/>
        <v>0</v>
      </c>
      <c r="M83" s="2"/>
      <c r="N83" s="6">
        <f t="shared" si="72"/>
        <v>0</v>
      </c>
      <c r="O83" s="11"/>
      <c r="P83" s="7"/>
      <c r="Q83" s="2"/>
      <c r="R83" s="6">
        <f t="shared" si="73"/>
        <v>0</v>
      </c>
      <c r="S83" s="2"/>
      <c r="T83" s="7">
        <v>2000</v>
      </c>
      <c r="U83" s="2"/>
      <c r="V83" s="6">
        <f t="shared" si="74"/>
        <v>4.9751243781094526E-3</v>
      </c>
      <c r="W83" s="2"/>
      <c r="X83" s="7">
        <f t="shared" si="75"/>
        <v>-2000</v>
      </c>
      <c r="Y83" s="2"/>
      <c r="Z83" s="6">
        <f t="shared" si="76"/>
        <v>-1</v>
      </c>
    </row>
    <row r="84" spans="1:26" s="24" customFormat="1" hidden="1" outlineLevel="2" x14ac:dyDescent="0.25">
      <c r="A84" s="26"/>
      <c r="B84" s="11" t="str">
        <f>CONCATENATE("          ", "6294", " - ", "TRAVEL OPERATIONAL")</f>
        <v xml:space="preserve">          6294 - TRAVEL OPERATIONAL</v>
      </c>
      <c r="C84" s="11"/>
      <c r="D84" s="7"/>
      <c r="E84" s="2"/>
      <c r="F84" s="6">
        <f t="shared" si="69"/>
        <v>0</v>
      </c>
      <c r="G84" s="2"/>
      <c r="H84" s="7"/>
      <c r="I84" s="2"/>
      <c r="J84" s="6">
        <f t="shared" si="70"/>
        <v>0</v>
      </c>
      <c r="K84" s="2"/>
      <c r="L84" s="7">
        <f t="shared" si="71"/>
        <v>0</v>
      </c>
      <c r="M84" s="2"/>
      <c r="N84" s="6">
        <f t="shared" si="72"/>
        <v>0</v>
      </c>
      <c r="O84" s="11"/>
      <c r="P84" s="7">
        <v>11.5</v>
      </c>
      <c r="Q84" s="2"/>
      <c r="R84" s="6">
        <f t="shared" si="73"/>
        <v>6.0537282596141888E-5</v>
      </c>
      <c r="S84" s="2"/>
      <c r="T84" s="7"/>
      <c r="U84" s="2"/>
      <c r="V84" s="6">
        <f t="shared" si="74"/>
        <v>0</v>
      </c>
      <c r="W84" s="2"/>
      <c r="X84" s="7">
        <f t="shared" si="75"/>
        <v>11.5</v>
      </c>
      <c r="Y84" s="2"/>
      <c r="Z84" s="6">
        <f t="shared" si="76"/>
        <v>0</v>
      </c>
    </row>
    <row r="85" spans="1:26" s="62" customFormat="1" x14ac:dyDescent="0.25">
      <c r="A85" s="36"/>
      <c r="B85" s="36"/>
      <c r="C85" s="36"/>
      <c r="D85" s="1"/>
      <c r="E85" s="1"/>
      <c r="F85" s="5"/>
      <c r="G85" s="1"/>
      <c r="H85" s="1"/>
      <c r="I85" s="1"/>
      <c r="J85" s="5"/>
      <c r="K85" s="1"/>
      <c r="L85" s="1"/>
      <c r="M85" s="1"/>
      <c r="N85" s="5"/>
      <c r="O85" s="36"/>
      <c r="P85" s="1"/>
      <c r="Q85" s="1"/>
      <c r="R85" s="5"/>
      <c r="S85" s="1"/>
      <c r="T85" s="1"/>
      <c r="U85" s="1"/>
      <c r="V85" s="5"/>
      <c r="W85" s="1"/>
      <c r="X85" s="1"/>
      <c r="Y85" s="1"/>
      <c r="Z85" s="5"/>
    </row>
    <row r="86" spans="1:26" s="23" customFormat="1" x14ac:dyDescent="0.25">
      <c r="A86" s="10"/>
      <c r="B86" s="28" t="s">
        <v>0</v>
      </c>
      <c r="C86" s="10"/>
      <c r="D86" s="4">
        <f>SUM(0)</f>
        <v>0</v>
      </c>
      <c r="E86" s="4"/>
      <c r="F86" s="13">
        <f>IF(D$12=0,0,D86/D$12)</f>
        <v>0</v>
      </c>
      <c r="G86" s="4"/>
      <c r="H86" s="4">
        <f>SUM(0)</f>
        <v>0</v>
      </c>
      <c r="I86" s="4"/>
      <c r="J86" s="13">
        <f>IF(H$12=0,0,H86/H$12)</f>
        <v>0</v>
      </c>
      <c r="K86" s="4"/>
      <c r="L86" s="4">
        <f>+D86-H86</f>
        <v>0</v>
      </c>
      <c r="M86" s="4"/>
      <c r="N86" s="13">
        <f>IF(H86=0,0,L86/H86)</f>
        <v>0</v>
      </c>
      <c r="O86" s="10"/>
      <c r="P86" s="4">
        <f>SUM(0)</f>
        <v>0</v>
      </c>
      <c r="Q86" s="4"/>
      <c r="R86" s="13">
        <f>IF(P$12=0,0,P86/P$12)</f>
        <v>0</v>
      </c>
      <c r="S86" s="4"/>
      <c r="T86" s="4">
        <f>SUM(0)</f>
        <v>0</v>
      </c>
      <c r="U86" s="4"/>
      <c r="V86" s="13">
        <f>IF(T$12=0,0,T86/T$12)</f>
        <v>0</v>
      </c>
      <c r="W86" s="4"/>
      <c r="X86" s="4">
        <f>+P86-T86</f>
        <v>0</v>
      </c>
      <c r="Y86" s="4"/>
      <c r="Z86" s="13">
        <f>IF(T86=0,0,X86/T86)</f>
        <v>0</v>
      </c>
    </row>
    <row r="87" spans="1:26" x14ac:dyDescent="0.25">
      <c r="A87" s="9"/>
      <c r="B87" s="10"/>
      <c r="C87" s="10"/>
      <c r="D87" s="3"/>
      <c r="E87" s="3"/>
      <c r="F87" s="8"/>
      <c r="G87" s="3"/>
      <c r="H87" s="3"/>
      <c r="I87" s="3"/>
      <c r="J87" s="8"/>
      <c r="K87" s="3"/>
      <c r="L87" s="3"/>
      <c r="M87" s="3"/>
      <c r="N87" s="8"/>
      <c r="O87" s="10"/>
      <c r="P87" s="3"/>
      <c r="Q87" s="3"/>
      <c r="R87" s="8"/>
      <c r="S87" s="3"/>
      <c r="T87" s="3"/>
      <c r="U87" s="3"/>
      <c r="V87" s="8"/>
      <c r="W87" s="3"/>
      <c r="X87" s="3"/>
      <c r="Y87" s="3"/>
      <c r="Z87" s="8"/>
    </row>
    <row r="88" spans="1:26" s="23" customFormat="1" x14ac:dyDescent="0.25">
      <c r="A88" s="10"/>
      <c r="B88" s="29" t="s">
        <v>3</v>
      </c>
      <c r="C88" s="29"/>
      <c r="D88" s="20">
        <f>+D23-D25+D86</f>
        <v>-865.31999999999994</v>
      </c>
      <c r="E88" s="14"/>
      <c r="F88" s="22">
        <f>IF(D$12=0,0,D88/D$12)</f>
        <v>0</v>
      </c>
      <c r="G88" s="14"/>
      <c r="H88" s="20">
        <f>+H23-H25+H86</f>
        <v>342.138581600002</v>
      </c>
      <c r="I88" s="14"/>
      <c r="J88" s="22">
        <f>IF(H$12=0,0,H88/H$12)</f>
        <v>1.4875590504347913E-2</v>
      </c>
      <c r="K88" s="16"/>
      <c r="L88" s="20">
        <f>+D88-H88</f>
        <v>-1207.4585816000019</v>
      </c>
      <c r="M88" s="16"/>
      <c r="N88" s="22">
        <f>IF(H88=0,0,L88/H88)</f>
        <v>-3.5291506031075301</v>
      </c>
      <c r="O88" s="28"/>
      <c r="P88" s="20">
        <f>+P23-P25+P86</f>
        <v>-66811.240000000078</v>
      </c>
      <c r="Q88" s="14"/>
      <c r="R88" s="22">
        <f>IF(P$12=0,0,P88/P$12)</f>
        <v>-0.35170181882423157</v>
      </c>
      <c r="S88" s="14"/>
      <c r="T88" s="20">
        <f>+T23-T25+T86</f>
        <v>72540.8754128</v>
      </c>
      <c r="U88" s="14"/>
      <c r="V88" s="22">
        <f>IF(T$12=0,0,T88/T$12)</f>
        <v>0.18044993883781094</v>
      </c>
      <c r="W88" s="16"/>
      <c r="X88" s="20">
        <f>+P88-T88</f>
        <v>-139352.11541280008</v>
      </c>
      <c r="Y88" s="16"/>
      <c r="Z88" s="22">
        <f>IF(T88=0,0,X88/T88)</f>
        <v>-1.9210150776345758</v>
      </c>
    </row>
    <row r="89" spans="1:26" x14ac:dyDescent="0.25">
      <c r="A89" s="9"/>
      <c r="B89" s="10"/>
      <c r="C89" s="9"/>
      <c r="D89" s="3"/>
      <c r="E89" s="3"/>
      <c r="F89" s="8"/>
      <c r="G89" s="3"/>
      <c r="H89" s="3"/>
      <c r="I89" s="3"/>
      <c r="J89" s="8"/>
      <c r="K89" s="3"/>
      <c r="L89" s="3"/>
      <c r="M89" s="3"/>
      <c r="N89" s="8"/>
      <c r="P89" s="3"/>
      <c r="Q89" s="3"/>
      <c r="R89" s="8"/>
      <c r="S89" s="3"/>
      <c r="T89" s="3"/>
      <c r="U89" s="3"/>
      <c r="V89" s="8"/>
      <c r="W89" s="3"/>
      <c r="X89" s="3"/>
      <c r="Y89" s="3"/>
      <c r="Z89" s="8"/>
    </row>
    <row r="90" spans="1:26" s="23" customFormat="1" x14ac:dyDescent="0.25">
      <c r="A90" s="52"/>
      <c r="B90" s="10" t="s">
        <v>14</v>
      </c>
      <c r="C90" s="10"/>
      <c r="D90" s="4">
        <v>925.66</v>
      </c>
      <c r="E90" s="4"/>
      <c r="F90" s="13">
        <f>IF(D$12=0,0,D90/D$12)</f>
        <v>0</v>
      </c>
      <c r="G90" s="4"/>
      <c r="H90" s="4">
        <v>2279</v>
      </c>
      <c r="I90" s="4"/>
      <c r="J90" s="13">
        <f>IF(H$12=0,0,H90/H$12)</f>
        <v>9.9086956521739128E-2</v>
      </c>
      <c r="K90" s="4"/>
      <c r="L90" s="4">
        <f>+D90-H90</f>
        <v>-1353.3400000000001</v>
      </c>
      <c r="M90" s="4"/>
      <c r="N90" s="13">
        <f>IF(H90=0,0,L90/H90)</f>
        <v>-0.59383062746818782</v>
      </c>
      <c r="O90" s="10"/>
      <c r="P90" s="4">
        <v>22494.89</v>
      </c>
      <c r="Q90" s="4"/>
      <c r="R90" s="13">
        <f>IF(P$12=0,0,P90/P$12)</f>
        <v>0.11841560981731532</v>
      </c>
      <c r="S90" s="4"/>
      <c r="T90" s="4">
        <v>46562</v>
      </c>
      <c r="U90" s="4"/>
      <c r="V90" s="13">
        <f>IF(T$12=0,0,T90/T$12)</f>
        <v>0.11582587064676617</v>
      </c>
      <c r="W90" s="4"/>
      <c r="X90" s="4">
        <f>+P90-T90</f>
        <v>-24067.11</v>
      </c>
      <c r="Y90" s="4"/>
      <c r="Z90" s="13">
        <f>IF(T90=0,0,X90/T90)</f>
        <v>-0.5168830806236846</v>
      </c>
    </row>
    <row r="91" spans="1:26" x14ac:dyDescent="0.25">
      <c r="A91" s="9"/>
      <c r="B91" s="10"/>
      <c r="C91" s="10"/>
      <c r="D91" s="3"/>
      <c r="E91" s="3"/>
      <c r="F91" s="8"/>
      <c r="G91" s="3"/>
      <c r="H91" s="3"/>
      <c r="I91" s="3"/>
      <c r="J91" s="8"/>
      <c r="K91" s="3"/>
      <c r="L91" s="3"/>
      <c r="M91" s="3"/>
      <c r="N91" s="8"/>
      <c r="O91" s="10"/>
      <c r="P91" s="3"/>
      <c r="Q91" s="3"/>
      <c r="R91" s="8"/>
      <c r="S91" s="3"/>
      <c r="T91" s="3"/>
      <c r="U91" s="3"/>
      <c r="V91" s="8"/>
      <c r="W91" s="3"/>
      <c r="X91" s="3"/>
      <c r="Y91" s="3"/>
      <c r="Z91" s="8"/>
    </row>
    <row r="92" spans="1:26" s="23" customFormat="1" ht="15.75" thickBot="1" x14ac:dyDescent="0.3">
      <c r="A92" s="10"/>
      <c r="B92" s="29" t="s">
        <v>4</v>
      </c>
      <c r="C92" s="29"/>
      <c r="D92" s="35">
        <f>+D88-D90</f>
        <v>-1790.98</v>
      </c>
      <c r="E92" s="14"/>
      <c r="F92" s="32">
        <f>IF(D$12=0,0,D92/D$12)</f>
        <v>0</v>
      </c>
      <c r="G92" s="14"/>
      <c r="H92" s="35">
        <f>+H88-H90</f>
        <v>-1936.861418399998</v>
      </c>
      <c r="I92" s="14"/>
      <c r="J92" s="32">
        <f>IF(H$12=0,0,H92/H$12)</f>
        <v>-8.4211366017391223E-2</v>
      </c>
      <c r="K92" s="16"/>
      <c r="L92" s="35">
        <f>D92-H92</f>
        <v>145.88141839999798</v>
      </c>
      <c r="M92" s="16"/>
      <c r="N92" s="32">
        <f>IF(H92=0,0,L92/H92)</f>
        <v>-7.5318459552210851E-2</v>
      </c>
      <c r="O92" s="28"/>
      <c r="P92" s="35">
        <f>+P88-P90</f>
        <v>-89306.130000000077</v>
      </c>
      <c r="Q92" s="14"/>
      <c r="R92" s="32">
        <f>IF(P$12=0,0,P92/P$12)</f>
        <v>-0.47011742864154693</v>
      </c>
      <c r="S92" s="14"/>
      <c r="T92" s="35">
        <f>+T88-T90</f>
        <v>25978.8754128</v>
      </c>
      <c r="U92" s="14"/>
      <c r="V92" s="32">
        <f>IF(T$12=0,0,T92/T$12)</f>
        <v>6.462406819104477E-2</v>
      </c>
      <c r="W92" s="16"/>
      <c r="X92" s="35">
        <f>P92-T92</f>
        <v>-115285.00541280008</v>
      </c>
      <c r="Y92" s="16"/>
      <c r="Z92" s="32">
        <f>IF(T92=0,0,X92/T92)</f>
        <v>-4.4376441851673931</v>
      </c>
    </row>
    <row r="93" spans="1:26" ht="15.75" thickTop="1" x14ac:dyDescent="0.25">
      <c r="A93" s="9"/>
      <c r="B93" s="9"/>
      <c r="C93" s="9"/>
      <c r="D93" s="3"/>
      <c r="E93" s="3"/>
      <c r="F93" s="8"/>
      <c r="G93" s="3"/>
      <c r="H93" s="3"/>
      <c r="I93" s="3"/>
      <c r="J93" s="8"/>
      <c r="K93" s="3"/>
      <c r="L93" s="3"/>
      <c r="M93" s="3"/>
      <c r="N93" s="8"/>
      <c r="P93" s="3"/>
      <c r="Q93" s="3"/>
      <c r="R93" s="8"/>
      <c r="S93" s="3"/>
      <c r="T93" s="3"/>
      <c r="U93" s="3"/>
      <c r="V93" s="8"/>
      <c r="W93" s="3"/>
      <c r="X93" s="3"/>
      <c r="Y93" s="3"/>
      <c r="Z93" s="8"/>
    </row>
    <row r="94" spans="1:26" x14ac:dyDescent="0.25">
      <c r="A94" s="9"/>
      <c r="B94" s="9"/>
      <c r="C94" s="9"/>
      <c r="D94" s="3"/>
      <c r="E94" s="3"/>
      <c r="F94" s="8"/>
      <c r="G94" s="3"/>
      <c r="H94" s="3"/>
      <c r="I94" s="3"/>
      <c r="J94" s="8"/>
      <c r="K94" s="3"/>
      <c r="L94" s="3"/>
      <c r="M94" s="3"/>
      <c r="N94" s="8"/>
      <c r="P94" s="3"/>
      <c r="Q94" s="3"/>
      <c r="R94" s="8"/>
      <c r="S94" s="3"/>
      <c r="T94" s="3"/>
      <c r="U94" s="3"/>
      <c r="V94" s="8"/>
      <c r="W94" s="3"/>
      <c r="X94" s="3"/>
      <c r="Y94" s="3"/>
      <c r="Z94" s="8"/>
    </row>
    <row r="95" spans="1:26" s="23" customFormat="1" ht="15.75" thickBot="1" x14ac:dyDescent="0.3">
      <c r="A95" s="10"/>
      <c r="B95" s="29" t="s">
        <v>5</v>
      </c>
      <c r="C95" s="29"/>
      <c r="D95" s="34">
        <f>SUM(D92:D94)</f>
        <v>-1790.98</v>
      </c>
      <c r="E95" s="14"/>
      <c r="F95" s="31">
        <f>IF(D$12=0,0,D95/D$12)</f>
        <v>0</v>
      </c>
      <c r="G95" s="14"/>
      <c r="H95" s="34">
        <f>SUM(H92:H94)</f>
        <v>-1936.861418399998</v>
      </c>
      <c r="I95" s="14"/>
      <c r="J95" s="31">
        <f>IF(H$12=0,0,H95/H$12)</f>
        <v>-8.4211366017391223E-2</v>
      </c>
      <c r="K95" s="16"/>
      <c r="L95" s="34">
        <f>+D95-H95</f>
        <v>145.88141839999798</v>
      </c>
      <c r="M95" s="16"/>
      <c r="N95" s="31">
        <f>IF(H95=0,0,L95/H95)</f>
        <v>-7.5318459552210851E-2</v>
      </c>
      <c r="O95" s="28"/>
      <c r="P95" s="34">
        <f>SUM(P92:P94)</f>
        <v>-89306.130000000077</v>
      </c>
      <c r="Q95" s="14"/>
      <c r="R95" s="31">
        <f>IF(P$12=0,0,P95/P$12)</f>
        <v>-0.47011742864154693</v>
      </c>
      <c r="S95" s="14"/>
      <c r="T95" s="34">
        <f>SUM(T92:T94)</f>
        <v>25978.8754128</v>
      </c>
      <c r="U95" s="14"/>
      <c r="V95" s="31">
        <f>IF(T$12=0,0,T95/T$12)</f>
        <v>6.462406819104477E-2</v>
      </c>
      <c r="W95" s="16"/>
      <c r="X95" s="34">
        <f>+P95-T95</f>
        <v>-115285.00541280008</v>
      </c>
      <c r="Y95" s="16"/>
      <c r="Z95" s="31">
        <f>IF(T95=0,0,X95/T95)</f>
        <v>-4.4376441851673931</v>
      </c>
    </row>
    <row r="96" spans="1:26" ht="15.75" thickTop="1" x14ac:dyDescent="0.25">
      <c r="A96" s="9"/>
      <c r="C96" s="9"/>
      <c r="D96" s="18"/>
      <c r="E96" s="18"/>
      <c r="G96" s="18"/>
      <c r="H96" s="18"/>
      <c r="I96" s="18"/>
      <c r="J96" s="42"/>
      <c r="K96" s="18"/>
      <c r="L96" s="18"/>
      <c r="M96" s="18"/>
      <c r="P96" s="18"/>
      <c r="Q96" s="18"/>
      <c r="R96" s="42"/>
      <c r="S96" s="18"/>
      <c r="T96" s="18"/>
      <c r="U96" s="18"/>
      <c r="V96" s="42"/>
      <c r="W96" s="18"/>
      <c r="X96" s="18"/>
    </row>
    <row r="97" spans="1:24" x14ac:dyDescent="0.25">
      <c r="A97" s="9"/>
      <c r="B97" s="59">
        <v>43992.372016400463</v>
      </c>
      <c r="D97" s="18"/>
      <c r="E97" s="18"/>
      <c r="G97" s="18"/>
      <c r="H97" s="18"/>
      <c r="I97" s="18"/>
      <c r="J97" s="42"/>
      <c r="K97" s="18"/>
      <c r="L97" s="18"/>
      <c r="M97" s="18"/>
      <c r="P97" s="18"/>
      <c r="Q97" s="18"/>
      <c r="R97" s="42"/>
      <c r="S97" s="18"/>
      <c r="T97" s="18"/>
      <c r="U97" s="18"/>
      <c r="V97" s="42"/>
      <c r="W97" s="18"/>
      <c r="X97" s="18"/>
    </row>
    <row r="98" spans="1:24" x14ac:dyDescent="0.25">
      <c r="A98" s="9"/>
      <c r="B98" s="56" t="s">
        <v>314</v>
      </c>
      <c r="D98" s="18"/>
      <c r="E98" s="18"/>
      <c r="G98" s="18"/>
      <c r="H98" s="18"/>
      <c r="I98" s="18"/>
      <c r="J98" s="42"/>
      <c r="K98" s="18"/>
      <c r="L98" s="18"/>
      <c r="M98" s="18"/>
      <c r="P98" s="18"/>
      <c r="Q98" s="18"/>
      <c r="R98" s="42"/>
      <c r="S98" s="18"/>
      <c r="T98" s="18"/>
      <c r="U98" s="18"/>
      <c r="V98" s="42"/>
      <c r="W98" s="18"/>
      <c r="X98" s="18"/>
    </row>
    <row r="99" spans="1:24" x14ac:dyDescent="0.25">
      <c r="A99" s="9"/>
      <c r="B99" s="54"/>
      <c r="D99" s="18"/>
      <c r="E99" s="18"/>
      <c r="G99" s="18"/>
      <c r="H99" s="18"/>
      <c r="I99" s="18"/>
      <c r="J99" s="42"/>
      <c r="K99" s="18"/>
      <c r="L99" s="18"/>
      <c r="M99" s="18"/>
      <c r="P99" s="18"/>
      <c r="Q99" s="18"/>
      <c r="R99" s="42"/>
      <c r="S99" s="18"/>
      <c r="T99" s="18"/>
      <c r="U99" s="18"/>
      <c r="V99" s="42"/>
      <c r="W99" s="18"/>
      <c r="X99" s="18"/>
    </row>
    <row r="100" spans="1:24" x14ac:dyDescent="0.25">
      <c r="D100" s="18"/>
      <c r="E100" s="18"/>
      <c r="G100" s="18"/>
      <c r="H100" s="18"/>
      <c r="I100" s="18"/>
      <c r="J100" s="42"/>
      <c r="K100" s="18"/>
      <c r="L100" s="18"/>
      <c r="M100" s="18"/>
      <c r="P100" s="18"/>
      <c r="Q100" s="18"/>
      <c r="R100" s="42"/>
      <c r="S100" s="18"/>
      <c r="T100" s="18"/>
      <c r="U100" s="18"/>
      <c r="V100" s="42"/>
      <c r="W100" s="18"/>
      <c r="X100" s="18"/>
    </row>
  </sheetData>
  <pageMargins left="0.25" right="0.25" top="0.75" bottom="0.75" header="0.3" footer="0.3"/>
  <pageSetup scale="55" fitToWidth="2" orientation="landscape"/>
  <drawing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114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63" t="s">
        <v>13</v>
      </c>
    </row>
    <row r="3" spans="1:26" x14ac:dyDescent="0.25">
      <c r="D3" s="63" t="s">
        <v>296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61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63" t="str">
        <f>CONCATENATE("Period ",RIGHT(202011,2),", ",2020)</f>
        <v>Period 11, 2020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61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4">
        <v>43981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61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51"/>
      <c r="C6" s="51"/>
      <c r="D6" s="23" t="str">
        <f>CONCATENATE("Department ","411", " - ", "University Dining")</f>
        <v>Department 411 - University Dining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57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5" t="s">
        <v>294</v>
      </c>
      <c r="E9" s="15"/>
      <c r="F9" s="38"/>
      <c r="G9" s="15"/>
      <c r="H9" s="15"/>
      <c r="I9" s="15"/>
      <c r="J9" s="46"/>
      <c r="K9" s="15"/>
      <c r="L9" s="15"/>
      <c r="M9" s="15"/>
      <c r="N9" s="38"/>
      <c r="P9" s="15" t="s">
        <v>295</v>
      </c>
      <c r="Q9" s="15"/>
      <c r="R9" s="38"/>
      <c r="S9" s="15"/>
      <c r="T9" s="15"/>
      <c r="U9" s="15"/>
      <c r="V9" s="46"/>
      <c r="W9" s="15"/>
      <c r="X9" s="15"/>
      <c r="Y9" s="15"/>
      <c r="Z9" s="38"/>
    </row>
    <row r="10" spans="1:26" x14ac:dyDescent="0.25">
      <c r="A10" s="10"/>
      <c r="B10" s="55"/>
      <c r="C10" s="10"/>
      <c r="D10" s="43" t="s">
        <v>10</v>
      </c>
      <c r="E10" s="33"/>
      <c r="F10" s="40" t="s">
        <v>15</v>
      </c>
      <c r="G10" s="33"/>
      <c r="H10" s="47" t="s">
        <v>11</v>
      </c>
      <c r="I10" s="33"/>
      <c r="J10" s="45" t="s">
        <v>16</v>
      </c>
      <c r="K10" s="10"/>
      <c r="L10" s="43" t="s">
        <v>12</v>
      </c>
      <c r="M10" s="10"/>
      <c r="N10" s="40" t="s">
        <v>17</v>
      </c>
      <c r="O10" s="10"/>
      <c r="P10" s="53" t="s">
        <v>10</v>
      </c>
      <c r="Q10" s="33"/>
      <c r="R10" s="40" t="s">
        <v>15</v>
      </c>
      <c r="S10" s="33"/>
      <c r="T10" s="47" t="s">
        <v>11</v>
      </c>
      <c r="U10" s="33"/>
      <c r="V10" s="45" t="s">
        <v>16</v>
      </c>
      <c r="W10" s="10"/>
      <c r="X10" s="43" t="s">
        <v>12</v>
      </c>
      <c r="Y10" s="10"/>
      <c r="Z10" s="40" t="s">
        <v>17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x14ac:dyDescent="0.25">
      <c r="A12" s="10"/>
      <c r="B12" s="28" t="s">
        <v>7</v>
      </c>
      <c r="C12" s="10"/>
      <c r="D12" s="4">
        <f>SUM(0)</f>
        <v>0</v>
      </c>
      <c r="E12" s="4"/>
      <c r="F12" s="13"/>
      <c r="G12" s="4"/>
      <c r="H12" s="4">
        <f>SUM(0)</f>
        <v>0</v>
      </c>
      <c r="I12" s="4"/>
      <c r="J12" s="13"/>
      <c r="K12" s="4"/>
      <c r="L12" s="4">
        <f>+D12-H12</f>
        <v>0</v>
      </c>
      <c r="M12" s="4"/>
      <c r="N12" s="13">
        <f>IF(H12=0,0,L12/H12)</f>
        <v>0</v>
      </c>
      <c r="O12" s="10"/>
      <c r="P12" s="4">
        <f>SUM(0)</f>
        <v>0</v>
      </c>
      <c r="Q12" s="4"/>
      <c r="R12" s="13"/>
      <c r="S12" s="4"/>
      <c r="T12" s="4">
        <f>SUM(0)</f>
        <v>0</v>
      </c>
      <c r="U12" s="4"/>
      <c r="V12" s="13"/>
      <c r="W12" s="4"/>
      <c r="X12" s="4">
        <f>+P12-T12</f>
        <v>0</v>
      </c>
      <c r="Y12" s="4"/>
      <c r="Z12" s="13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8" t="s">
        <v>8</v>
      </c>
      <c r="C14" s="10"/>
      <c r="D14" s="4">
        <f>SUM(0)</f>
        <v>0</v>
      </c>
      <c r="E14" s="4"/>
      <c r="F14" s="13">
        <f>IF(D$12=0,0,D14/D$12)</f>
        <v>0</v>
      </c>
      <c r="G14" s="4"/>
      <c r="H14" s="4">
        <f>SUM(0)</f>
        <v>0</v>
      </c>
      <c r="I14" s="4"/>
      <c r="J14" s="13">
        <f>IF(H$12=0,0,H14/H$12)</f>
        <v>0</v>
      </c>
      <c r="K14" s="4"/>
      <c r="L14" s="4">
        <f>+D14-H14</f>
        <v>0</v>
      </c>
      <c r="M14" s="4"/>
      <c r="N14" s="13">
        <f>IF(H14=0,0,L14/H14)</f>
        <v>0</v>
      </c>
      <c r="O14" s="10"/>
      <c r="P14" s="4">
        <f>SUM(0)</f>
        <v>0</v>
      </c>
      <c r="Q14" s="4"/>
      <c r="R14" s="13">
        <f>IF(P$12=0,0,P14/P$12)</f>
        <v>0</v>
      </c>
      <c r="S14" s="4"/>
      <c r="T14" s="4">
        <f>SUM(0)</f>
        <v>0</v>
      </c>
      <c r="U14" s="4"/>
      <c r="V14" s="13">
        <f>IF(T$12=0,0,T14/T$12)</f>
        <v>0</v>
      </c>
      <c r="W14" s="4"/>
      <c r="X14" s="4">
        <f>+P14-T14</f>
        <v>0</v>
      </c>
      <c r="Y14" s="4"/>
      <c r="Z14" s="13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9" t="s">
        <v>6</v>
      </c>
      <c r="C16" s="29"/>
      <c r="D16" s="20">
        <f>D12-D14</f>
        <v>0</v>
      </c>
      <c r="E16" s="14"/>
      <c r="F16" s="22">
        <f>IF(D$12=0,0,D16/D$12)</f>
        <v>0</v>
      </c>
      <c r="G16" s="14"/>
      <c r="H16" s="20">
        <f>H12-H14</f>
        <v>0</v>
      </c>
      <c r="I16" s="14"/>
      <c r="J16" s="22">
        <f>IF(H$12=0,0,H16/H$12)</f>
        <v>0</v>
      </c>
      <c r="K16" s="16"/>
      <c r="L16" s="20">
        <f>+D16-H16</f>
        <v>0</v>
      </c>
      <c r="M16" s="16"/>
      <c r="N16" s="22">
        <f>IF(H16=0,0,L16/H16)</f>
        <v>0</v>
      </c>
      <c r="O16" s="28"/>
      <c r="P16" s="20">
        <f>P12-P14</f>
        <v>0</v>
      </c>
      <c r="Q16" s="14"/>
      <c r="R16" s="22">
        <f>IF(P$12=0,0,P16/P$12)</f>
        <v>0</v>
      </c>
      <c r="S16" s="14"/>
      <c r="T16" s="20">
        <f>T12-T14</f>
        <v>0</v>
      </c>
      <c r="U16" s="14"/>
      <c r="V16" s="22">
        <f>IF(T$12=0,0,T16/T$12)</f>
        <v>0</v>
      </c>
      <c r="W16" s="16"/>
      <c r="X16" s="20">
        <f>+P16-T16</f>
        <v>0</v>
      </c>
      <c r="Y16" s="16"/>
      <c r="Z16" s="22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8" t="s">
        <v>9</v>
      </c>
      <c r="C18" s="10"/>
      <c r="D18" s="21">
        <f>SUM(OSRRefD22x_0)</f>
        <v>41333.24</v>
      </c>
      <c r="E18" s="21"/>
      <c r="F18" s="30">
        <f t="shared" ref="F18:F29" si="0">IF(D$12=0,0,D18/D$12)</f>
        <v>0</v>
      </c>
      <c r="G18" s="21"/>
      <c r="H18" s="21">
        <f>SUM(OSRRefH22x_0)</f>
        <v>90459.684791457228</v>
      </c>
      <c r="I18" s="21"/>
      <c r="J18" s="30">
        <f t="shared" ref="J18:J29" si="1">IF(H$12=0,0,H18/H$12)</f>
        <v>0</v>
      </c>
      <c r="K18" s="4"/>
      <c r="L18" s="21">
        <f t="shared" ref="L18:L29" si="2">+D18-H18</f>
        <v>-49126.44479145723</v>
      </c>
      <c r="M18" s="4"/>
      <c r="N18" s="30">
        <f t="shared" ref="N18:N29" si="3">IF(H18=0,0,L18/H18)</f>
        <v>-0.5430755690196325</v>
      </c>
      <c r="O18" s="10"/>
      <c r="P18" s="21">
        <f>SUM(OSRRefP22x_0)</f>
        <v>971383.59</v>
      </c>
      <c r="Q18" s="21"/>
      <c r="R18" s="30">
        <f t="shared" ref="R18:R29" si="4">IF(P$12=0,0,P18/P$12)</f>
        <v>0</v>
      </c>
      <c r="S18" s="21"/>
      <c r="T18" s="21">
        <f>SUM(OSRRefT22x_0)</f>
        <v>1133517.8184644287</v>
      </c>
      <c r="U18" s="21"/>
      <c r="V18" s="30">
        <f t="shared" ref="V18:V29" si="5">IF(T$12=0,0,T18/T$12)</f>
        <v>0</v>
      </c>
      <c r="W18" s="4"/>
      <c r="X18" s="21">
        <f t="shared" ref="X18:X29" si="6">+P18-T18</f>
        <v>-162134.22846442868</v>
      </c>
      <c r="Y18" s="4"/>
      <c r="Z18" s="30">
        <f t="shared" ref="Z18:Z29" si="7">IF(T18=0,0,X18/T18)</f>
        <v>-0.14303632975445518</v>
      </c>
    </row>
    <row r="19" spans="1:26" s="27" customFormat="1" outlineLevel="1" collapsed="1" x14ac:dyDescent="0.25">
      <c r="A19" s="25"/>
      <c r="B19" s="12" t="str">
        <f>CONCATENATE("     ","*Benefits                                         ")</f>
        <v xml:space="preserve">     *Benefits                                         </v>
      </c>
      <c r="C19" s="12"/>
      <c r="D19" s="1">
        <f>SUM(OSRRefD22_0x_0)</f>
        <v>2582.0699999999997</v>
      </c>
      <c r="E19" s="1"/>
      <c r="F19" s="5">
        <f t="shared" si="0"/>
        <v>0</v>
      </c>
      <c r="G19" s="1"/>
      <c r="H19" s="1">
        <f>SUM(OSRRefH22_0x_0)</f>
        <v>8583.7701145341453</v>
      </c>
      <c r="I19" s="1"/>
      <c r="J19" s="5">
        <f t="shared" si="1"/>
        <v>0</v>
      </c>
      <c r="K19" s="1"/>
      <c r="L19" s="1">
        <f t="shared" si="2"/>
        <v>-6001.7001145341455</v>
      </c>
      <c r="M19" s="1"/>
      <c r="N19" s="5">
        <f t="shared" si="3"/>
        <v>-0.69919161795491158</v>
      </c>
      <c r="O19" s="12"/>
      <c r="P19" s="1">
        <f>SUM(OSRRefP22_0x_0)</f>
        <v>71672.309999999983</v>
      </c>
      <c r="Q19" s="1"/>
      <c r="R19" s="5">
        <f t="shared" si="4"/>
        <v>0</v>
      </c>
      <c r="S19" s="1"/>
      <c r="T19" s="1">
        <f>SUM(OSRRefT22_0x_0)</f>
        <v>102418.35294135181</v>
      </c>
      <c r="U19" s="1"/>
      <c r="V19" s="5">
        <f t="shared" si="5"/>
        <v>0</v>
      </c>
      <c r="W19" s="1"/>
      <c r="X19" s="1">
        <f t="shared" si="6"/>
        <v>-30746.042941351829</v>
      </c>
      <c r="Y19" s="1"/>
      <c r="Z19" s="5">
        <f t="shared" si="7"/>
        <v>-0.30020052127725627</v>
      </c>
    </row>
    <row r="20" spans="1:26" s="24" customFormat="1" hidden="1" outlineLevel="2" x14ac:dyDescent="0.25">
      <c r="A20" s="26"/>
      <c r="B20" s="11" t="str">
        <f>CONCATENATE("          ", "6111", " - ", "F.I.C.A.")</f>
        <v xml:space="preserve">          6111 - F.I.C.A.</v>
      </c>
      <c r="C20" s="11"/>
      <c r="D20" s="7">
        <v>318.24</v>
      </c>
      <c r="E20" s="2"/>
      <c r="F20" s="6">
        <f t="shared" si="0"/>
        <v>0</v>
      </c>
      <c r="G20" s="2"/>
      <c r="H20" s="7">
        <v>1421.5060187556901</v>
      </c>
      <c r="I20" s="2"/>
      <c r="J20" s="6">
        <f t="shared" si="1"/>
        <v>0</v>
      </c>
      <c r="K20" s="2"/>
      <c r="L20" s="7">
        <f t="shared" si="2"/>
        <v>-1103.2660187556901</v>
      </c>
      <c r="M20" s="2"/>
      <c r="N20" s="6">
        <f t="shared" si="3"/>
        <v>-0.77612476078112547</v>
      </c>
      <c r="O20" s="11"/>
      <c r="P20" s="7">
        <v>23645.42</v>
      </c>
      <c r="Q20" s="2"/>
      <c r="R20" s="6">
        <f t="shared" si="4"/>
        <v>0</v>
      </c>
      <c r="S20" s="2"/>
      <c r="T20" s="7">
        <v>17390.938648850311</v>
      </c>
      <c r="U20" s="2"/>
      <c r="V20" s="6">
        <f t="shared" si="5"/>
        <v>0</v>
      </c>
      <c r="W20" s="2"/>
      <c r="X20" s="7">
        <f t="shared" si="6"/>
        <v>6254.4813511496868</v>
      </c>
      <c r="Y20" s="2"/>
      <c r="Z20" s="6">
        <f t="shared" si="7"/>
        <v>0.35964024009498541</v>
      </c>
    </row>
    <row r="21" spans="1:26" s="24" customFormat="1" hidden="1" outlineLevel="2" x14ac:dyDescent="0.25">
      <c r="A21" s="26"/>
      <c r="B21" s="11" t="str">
        <f>CONCATENATE("          ", "6112", " - ", "COMPENSATION INSURANCE")</f>
        <v xml:space="preserve">          6112 - COMPENSATION INSURANCE</v>
      </c>
      <c r="C21" s="11"/>
      <c r="D21" s="7">
        <v>252.56</v>
      </c>
      <c r="E21" s="2"/>
      <c r="F21" s="6">
        <f t="shared" si="0"/>
        <v>0</v>
      </c>
      <c r="G21" s="2"/>
      <c r="H21" s="7">
        <v>1005.87036361846</v>
      </c>
      <c r="I21" s="2"/>
      <c r="J21" s="6">
        <f t="shared" si="1"/>
        <v>0</v>
      </c>
      <c r="K21" s="2"/>
      <c r="L21" s="7">
        <f t="shared" si="2"/>
        <v>-753.31036361846009</v>
      </c>
      <c r="M21" s="2"/>
      <c r="N21" s="6">
        <f t="shared" si="3"/>
        <v>-0.74891396631723484</v>
      </c>
      <c r="O21" s="11"/>
      <c r="P21" s="7">
        <v>8794.73</v>
      </c>
      <c r="Q21" s="2"/>
      <c r="R21" s="6">
        <f t="shared" si="4"/>
        <v>0</v>
      </c>
      <c r="S21" s="2"/>
      <c r="T21" s="7">
        <v>12658.011752141541</v>
      </c>
      <c r="U21" s="2"/>
      <c r="V21" s="6">
        <f t="shared" si="5"/>
        <v>0</v>
      </c>
      <c r="W21" s="2"/>
      <c r="X21" s="7">
        <f t="shared" si="6"/>
        <v>-3863.2817521415418</v>
      </c>
      <c r="Y21" s="2"/>
      <c r="Z21" s="6">
        <f t="shared" si="7"/>
        <v>-0.30520446874193602</v>
      </c>
    </row>
    <row r="22" spans="1:26" s="24" customFormat="1" hidden="1" outlineLevel="2" x14ac:dyDescent="0.25">
      <c r="A22" s="26"/>
      <c r="B22" s="11" t="str">
        <f>CONCATENATE("          ", "6113", " - ", "GROUP INSURANCE")</f>
        <v xml:space="preserve">          6113 - GROUP INSURANCE</v>
      </c>
      <c r="C22" s="11"/>
      <c r="D22" s="7">
        <v>734.13</v>
      </c>
      <c r="E22" s="2"/>
      <c r="F22" s="6">
        <f t="shared" si="0"/>
        <v>0</v>
      </c>
      <c r="G22" s="2"/>
      <c r="H22" s="7">
        <v>2600.76923076923</v>
      </c>
      <c r="I22" s="2"/>
      <c r="J22" s="6">
        <f t="shared" si="1"/>
        <v>0</v>
      </c>
      <c r="K22" s="2"/>
      <c r="L22" s="7">
        <f t="shared" si="2"/>
        <v>-1866.6392307692299</v>
      </c>
      <c r="M22" s="2"/>
      <c r="N22" s="6">
        <f t="shared" si="3"/>
        <v>-0.71772582076308777</v>
      </c>
      <c r="O22" s="11"/>
      <c r="P22" s="7">
        <v>33874.630000000005</v>
      </c>
      <c r="Q22" s="2"/>
      <c r="R22" s="6">
        <f t="shared" si="4"/>
        <v>0</v>
      </c>
      <c r="S22" s="2"/>
      <c r="T22" s="7">
        <v>29883.23076923077</v>
      </c>
      <c r="U22" s="2"/>
      <c r="V22" s="6">
        <f t="shared" si="5"/>
        <v>0</v>
      </c>
      <c r="W22" s="2"/>
      <c r="X22" s="7">
        <f t="shared" si="6"/>
        <v>3991.3992307692351</v>
      </c>
      <c r="Y22" s="2"/>
      <c r="Z22" s="6">
        <f t="shared" si="7"/>
        <v>0.13356652303066824</v>
      </c>
    </row>
    <row r="23" spans="1:26" s="24" customFormat="1" hidden="1" outlineLevel="2" x14ac:dyDescent="0.25">
      <c r="A23" s="26"/>
      <c r="B23" s="11" t="str">
        <f>CONCATENATE("          ", "6114", " - ", "STATE UNEMPLOYMENT INSURANCE")</f>
        <v xml:space="preserve">          6114 - STATE UNEMPLOYMENT INSURANCE</v>
      </c>
      <c r="C23" s="11"/>
      <c r="D23" s="7">
        <v>24.22</v>
      </c>
      <c r="E23" s="2"/>
      <c r="F23" s="6">
        <f t="shared" si="0"/>
        <v>0</v>
      </c>
      <c r="G23" s="2"/>
      <c r="H23" s="7">
        <v>67.403684159999997</v>
      </c>
      <c r="I23" s="2"/>
      <c r="J23" s="6">
        <f t="shared" si="1"/>
        <v>0</v>
      </c>
      <c r="K23" s="2"/>
      <c r="L23" s="7">
        <f t="shared" si="2"/>
        <v>-43.183684159999999</v>
      </c>
      <c r="M23" s="2"/>
      <c r="N23" s="6">
        <f t="shared" si="3"/>
        <v>-0.64067246023959767</v>
      </c>
      <c r="O23" s="11"/>
      <c r="P23" s="7">
        <v>823.94</v>
      </c>
      <c r="Q23" s="2"/>
      <c r="R23" s="6">
        <f t="shared" si="4"/>
        <v>0</v>
      </c>
      <c r="S23" s="2"/>
      <c r="T23" s="7">
        <v>848.21728236000001</v>
      </c>
      <c r="U23" s="2"/>
      <c r="V23" s="6">
        <f t="shared" si="5"/>
        <v>0</v>
      </c>
      <c r="W23" s="2"/>
      <c r="X23" s="7">
        <f t="shared" si="6"/>
        <v>-24.277282359999958</v>
      </c>
      <c r="Y23" s="2"/>
      <c r="Z23" s="6">
        <f t="shared" si="7"/>
        <v>-2.8621537034064115E-2</v>
      </c>
    </row>
    <row r="24" spans="1:26" s="24" customFormat="1" hidden="1" outlineLevel="2" x14ac:dyDescent="0.25">
      <c r="A24" s="26"/>
      <c r="B24" s="11" t="str">
        <f>CONCATENATE("          ", "6115", " - ", "P.E.R.S.")</f>
        <v xml:space="preserve">          6115 - P.E.R.S.</v>
      </c>
      <c r="C24" s="11"/>
      <c r="D24" s="7">
        <v>604.76</v>
      </c>
      <c r="E24" s="2"/>
      <c r="F24" s="6">
        <f t="shared" si="0"/>
        <v>0</v>
      </c>
      <c r="G24" s="2"/>
      <c r="H24" s="7">
        <v>1096.68853846154</v>
      </c>
      <c r="I24" s="2"/>
      <c r="J24" s="6">
        <f t="shared" si="1"/>
        <v>0</v>
      </c>
      <c r="K24" s="2"/>
      <c r="L24" s="7">
        <f t="shared" si="2"/>
        <v>-491.92853846154003</v>
      </c>
      <c r="M24" s="2"/>
      <c r="N24" s="6">
        <f t="shared" si="3"/>
        <v>-0.44855811035613513</v>
      </c>
      <c r="O24" s="11"/>
      <c r="P24" s="7">
        <v>16174.72</v>
      </c>
      <c r="Q24" s="2"/>
      <c r="R24" s="6">
        <f t="shared" si="4"/>
        <v>0</v>
      </c>
      <c r="S24" s="2"/>
      <c r="T24" s="7">
        <v>13160.262461538459</v>
      </c>
      <c r="U24" s="2"/>
      <c r="V24" s="6">
        <f t="shared" si="5"/>
        <v>0</v>
      </c>
      <c r="W24" s="2"/>
      <c r="X24" s="7">
        <f t="shared" si="6"/>
        <v>3014.45753846154</v>
      </c>
      <c r="Y24" s="2"/>
      <c r="Z24" s="6">
        <f t="shared" si="7"/>
        <v>0.22905755468566424</v>
      </c>
    </row>
    <row r="25" spans="1:26" s="24" customFormat="1" hidden="1" outlineLevel="2" x14ac:dyDescent="0.25">
      <c r="A25" s="26"/>
      <c r="B25" s="11" t="str">
        <f>CONCATENATE("          ", "6116", " - ", "EDUCATIONAL BENEFITS")</f>
        <v xml:space="preserve">          6116 - EDUCATIONAL BENEFITS</v>
      </c>
      <c r="C25" s="11"/>
      <c r="D25" s="7"/>
      <c r="E25" s="2"/>
      <c r="F25" s="6">
        <f t="shared" si="0"/>
        <v>0</v>
      </c>
      <c r="G25" s="2"/>
      <c r="H25" s="7">
        <v>0</v>
      </c>
      <c r="I25" s="2"/>
      <c r="J25" s="6">
        <f t="shared" si="1"/>
        <v>0</v>
      </c>
      <c r="K25" s="2"/>
      <c r="L25" s="7">
        <f t="shared" si="2"/>
        <v>0</v>
      </c>
      <c r="M25" s="2"/>
      <c r="N25" s="6">
        <f t="shared" si="3"/>
        <v>0</v>
      </c>
      <c r="O25" s="11"/>
      <c r="P25" s="7"/>
      <c r="Q25" s="2"/>
      <c r="R25" s="6">
        <f t="shared" si="4"/>
        <v>0</v>
      </c>
      <c r="S25" s="2"/>
      <c r="T25" s="7">
        <v>0</v>
      </c>
      <c r="U25" s="2"/>
      <c r="V25" s="6">
        <f t="shared" si="5"/>
        <v>0</v>
      </c>
      <c r="W25" s="2"/>
      <c r="X25" s="7">
        <f t="shared" si="6"/>
        <v>0</v>
      </c>
      <c r="Y25" s="2"/>
      <c r="Z25" s="6">
        <f t="shared" si="7"/>
        <v>0</v>
      </c>
    </row>
    <row r="26" spans="1:26" s="24" customFormat="1" hidden="1" outlineLevel="2" x14ac:dyDescent="0.25">
      <c r="A26" s="26"/>
      <c r="B26" s="11" t="str">
        <f>CONCATENATE("          ", "6117", " - ", "RETIREMENT STAFF HOURLY")</f>
        <v xml:space="preserve">          6117 - RETIREMENT STAFF HOURLY</v>
      </c>
      <c r="C26" s="11"/>
      <c r="D26" s="7"/>
      <c r="E26" s="2"/>
      <c r="F26" s="6">
        <f t="shared" si="0"/>
        <v>0</v>
      </c>
      <c r="G26" s="2"/>
      <c r="H26" s="7"/>
      <c r="I26" s="2"/>
      <c r="J26" s="6">
        <f t="shared" si="1"/>
        <v>0</v>
      </c>
      <c r="K26" s="2"/>
      <c r="L26" s="7">
        <f t="shared" si="2"/>
        <v>0</v>
      </c>
      <c r="M26" s="2"/>
      <c r="N26" s="6">
        <f t="shared" si="3"/>
        <v>0</v>
      </c>
      <c r="O26" s="11"/>
      <c r="P26" s="7">
        <v>588</v>
      </c>
      <c r="Q26" s="2"/>
      <c r="R26" s="6">
        <f t="shared" si="4"/>
        <v>0</v>
      </c>
      <c r="S26" s="2"/>
      <c r="T26" s="7"/>
      <c r="U26" s="2"/>
      <c r="V26" s="6">
        <f t="shared" si="5"/>
        <v>0</v>
      </c>
      <c r="W26" s="2"/>
      <c r="X26" s="7">
        <f t="shared" si="6"/>
        <v>588</v>
      </c>
      <c r="Y26" s="2"/>
      <c r="Z26" s="6">
        <f t="shared" si="7"/>
        <v>0</v>
      </c>
    </row>
    <row r="27" spans="1:26" s="24" customFormat="1" hidden="1" outlineLevel="2" x14ac:dyDescent="0.25">
      <c r="A27" s="26"/>
      <c r="B27" s="11" t="str">
        <f>CONCATENATE("          ", "6118", " - ", "VACATION")</f>
        <v xml:space="preserve">          6118 - VACATION</v>
      </c>
      <c r="C27" s="11"/>
      <c r="D27" s="7">
        <v>384.28</v>
      </c>
      <c r="E27" s="2"/>
      <c r="F27" s="6">
        <f t="shared" si="0"/>
        <v>0</v>
      </c>
      <c r="G27" s="2"/>
      <c r="H27" s="7">
        <v>1066.3193846153799</v>
      </c>
      <c r="I27" s="2"/>
      <c r="J27" s="6">
        <f t="shared" si="1"/>
        <v>0</v>
      </c>
      <c r="K27" s="2"/>
      <c r="L27" s="7">
        <f t="shared" si="2"/>
        <v>-682.03938461537996</v>
      </c>
      <c r="M27" s="2"/>
      <c r="N27" s="6">
        <f t="shared" si="3"/>
        <v>-0.63962016864336635</v>
      </c>
      <c r="O27" s="11"/>
      <c r="P27" s="7">
        <v>15943.489999999998</v>
      </c>
      <c r="Q27" s="2"/>
      <c r="R27" s="6">
        <f t="shared" si="4"/>
        <v>0</v>
      </c>
      <c r="S27" s="2"/>
      <c r="T27" s="7">
        <v>12795.832615384581</v>
      </c>
      <c r="U27" s="2"/>
      <c r="V27" s="6">
        <f t="shared" si="5"/>
        <v>0</v>
      </c>
      <c r="W27" s="2"/>
      <c r="X27" s="7">
        <f t="shared" si="6"/>
        <v>3147.657384615417</v>
      </c>
      <c r="Y27" s="2"/>
      <c r="Z27" s="6">
        <f t="shared" si="7"/>
        <v>0.24599082210804721</v>
      </c>
    </row>
    <row r="28" spans="1:26" s="24" customFormat="1" hidden="1" outlineLevel="2" x14ac:dyDescent="0.25">
      <c r="A28" s="26"/>
      <c r="B28" s="11" t="str">
        <f>CONCATENATE("          ", "6119", " - ", "SICK LEAVE")</f>
        <v xml:space="preserve">          6119 - SICK LEAVE</v>
      </c>
      <c r="C28" s="11"/>
      <c r="D28" s="7">
        <v>191.88</v>
      </c>
      <c r="E28" s="2"/>
      <c r="F28" s="6">
        <f t="shared" si="0"/>
        <v>0</v>
      </c>
      <c r="G28" s="2"/>
      <c r="H28" s="7">
        <v>650.21289415384592</v>
      </c>
      <c r="I28" s="2"/>
      <c r="J28" s="6">
        <f t="shared" si="1"/>
        <v>0</v>
      </c>
      <c r="K28" s="2"/>
      <c r="L28" s="7">
        <f t="shared" si="2"/>
        <v>-458.33289415384593</v>
      </c>
      <c r="M28" s="2"/>
      <c r="N28" s="6">
        <f t="shared" si="3"/>
        <v>-0.70489665504141852</v>
      </c>
      <c r="O28" s="11"/>
      <c r="P28" s="7">
        <v>-31748.79</v>
      </c>
      <c r="Q28" s="2"/>
      <c r="R28" s="6">
        <f t="shared" si="4"/>
        <v>0</v>
      </c>
      <c r="S28" s="2"/>
      <c r="T28" s="7">
        <v>8256.8594118461533</v>
      </c>
      <c r="U28" s="2"/>
      <c r="V28" s="6">
        <f t="shared" si="5"/>
        <v>0</v>
      </c>
      <c r="W28" s="2"/>
      <c r="X28" s="7">
        <f t="shared" si="6"/>
        <v>-40005.649411846156</v>
      </c>
      <c r="Y28" s="2"/>
      <c r="Z28" s="6">
        <f t="shared" si="7"/>
        <v>-4.8451411628069954</v>
      </c>
    </row>
    <row r="29" spans="1:26" s="24" customFormat="1" hidden="1" outlineLevel="2" x14ac:dyDescent="0.25">
      <c r="A29" s="26"/>
      <c r="B29" s="11" t="str">
        <f>CONCATENATE("          ", "6156", " - ", "EMPLOYEE MEALS")</f>
        <v xml:space="preserve">          6156 - EMPLOYEE MEALS</v>
      </c>
      <c r="C29" s="11"/>
      <c r="D29" s="7">
        <v>72</v>
      </c>
      <c r="E29" s="2"/>
      <c r="F29" s="6">
        <f t="shared" si="0"/>
        <v>0</v>
      </c>
      <c r="G29" s="2"/>
      <c r="H29" s="7">
        <v>675</v>
      </c>
      <c r="I29" s="2"/>
      <c r="J29" s="6">
        <f t="shared" si="1"/>
        <v>0</v>
      </c>
      <c r="K29" s="2"/>
      <c r="L29" s="7">
        <f t="shared" si="2"/>
        <v>-603</v>
      </c>
      <c r="M29" s="2"/>
      <c r="N29" s="6">
        <f t="shared" si="3"/>
        <v>-0.89333333333333331</v>
      </c>
      <c r="O29" s="11"/>
      <c r="P29" s="7">
        <v>3576.17</v>
      </c>
      <c r="Q29" s="2"/>
      <c r="R29" s="6">
        <f t="shared" si="4"/>
        <v>0</v>
      </c>
      <c r="S29" s="2"/>
      <c r="T29" s="7">
        <v>7425</v>
      </c>
      <c r="U29" s="2"/>
      <c r="V29" s="6">
        <f t="shared" si="5"/>
        <v>0</v>
      </c>
      <c r="W29" s="2"/>
      <c r="X29" s="7">
        <f t="shared" si="6"/>
        <v>-3848.83</v>
      </c>
      <c r="Y29" s="2"/>
      <c r="Z29" s="6">
        <f t="shared" si="7"/>
        <v>-0.5183609427609428</v>
      </c>
    </row>
    <row r="30" spans="1:26" s="27" customFormat="1" outlineLevel="1" collapsed="1" x14ac:dyDescent="0.25">
      <c r="A30" s="25"/>
      <c r="B30" s="12" t="str">
        <f>CONCATENATE("     ","*Payroll                                          ")</f>
        <v xml:space="preserve">     *Payroll                                          </v>
      </c>
      <c r="C30" s="12"/>
      <c r="D30" s="1">
        <f>SUM(OSRRefD22_1x_0)</f>
        <v>2652</v>
      </c>
      <c r="E30" s="1"/>
      <c r="F30" s="5">
        <f t="shared" ref="F30:F40" si="8">IF(D$12=0,0,D30/D$12)</f>
        <v>0</v>
      </c>
      <c r="G30" s="1"/>
      <c r="H30" s="1">
        <f>SUM(OSRRefH22_1x_0)</f>
        <v>24533.914676923079</v>
      </c>
      <c r="I30" s="1"/>
      <c r="J30" s="5">
        <f t="shared" ref="J30:J40" si="9">IF(H$12=0,0,H30/H$12)</f>
        <v>0</v>
      </c>
      <c r="K30" s="1"/>
      <c r="L30" s="1">
        <f t="shared" ref="L30:L40" si="10">+D30-H30</f>
        <v>-21881.914676923079</v>
      </c>
      <c r="M30" s="1"/>
      <c r="N30" s="5">
        <f t="shared" ref="N30:N40" si="11">IF(H30=0,0,L30/H30)</f>
        <v>-0.89190473534602666</v>
      </c>
      <c r="O30" s="12"/>
      <c r="P30" s="1">
        <f>SUM(OSRRefP22_1x_0)</f>
        <v>256205.05000000002</v>
      </c>
      <c r="Q30" s="1"/>
      <c r="R30" s="5">
        <f t="shared" ref="R30:R40" si="12">IF(P$12=0,0,P30/P$12)</f>
        <v>0</v>
      </c>
      <c r="S30" s="1"/>
      <c r="T30" s="1">
        <f>SUM(OSRRefT22_1x_0)</f>
        <v>309550.46552307694</v>
      </c>
      <c r="U30" s="1"/>
      <c r="V30" s="5">
        <f t="shared" ref="V30:V40" si="13">IF(T$12=0,0,T30/T$12)</f>
        <v>0</v>
      </c>
      <c r="W30" s="1"/>
      <c r="X30" s="1">
        <f t="shared" ref="X30:X40" si="14">+P30-T30</f>
        <v>-53345.415523076925</v>
      </c>
      <c r="Y30" s="1"/>
      <c r="Z30" s="5">
        <f t="shared" ref="Z30:Z40" si="15">IF(T30=0,0,X30/T30)</f>
        <v>-0.17233188595899571</v>
      </c>
    </row>
    <row r="31" spans="1:26" s="24" customFormat="1" hidden="1" outlineLevel="2" x14ac:dyDescent="0.25">
      <c r="A31" s="26"/>
      <c r="B31" s="11" t="str">
        <f>CONCATENATE("          ", "6001", " - ", "ADMINISTRATIVE SALARIES")</f>
        <v xml:space="preserve">          6001 - ADMINISTRATIVE SALARIES</v>
      </c>
      <c r="C31" s="11"/>
      <c r="D31" s="7"/>
      <c r="E31" s="2"/>
      <c r="F31" s="6">
        <f t="shared" si="8"/>
        <v>0</v>
      </c>
      <c r="G31" s="2"/>
      <c r="H31" s="7">
        <v>7915.1538461538503</v>
      </c>
      <c r="I31" s="2"/>
      <c r="J31" s="6">
        <f t="shared" si="9"/>
        <v>0</v>
      </c>
      <c r="K31" s="2"/>
      <c r="L31" s="7">
        <f t="shared" si="10"/>
        <v>-7915.1538461538503</v>
      </c>
      <c r="M31" s="2"/>
      <c r="N31" s="6">
        <f t="shared" si="11"/>
        <v>-1</v>
      </c>
      <c r="O31" s="11"/>
      <c r="P31" s="7">
        <v>67427.61</v>
      </c>
      <c r="Q31" s="2"/>
      <c r="R31" s="6">
        <f t="shared" si="12"/>
        <v>0</v>
      </c>
      <c r="S31" s="2"/>
      <c r="T31" s="7">
        <v>94981.8461538462</v>
      </c>
      <c r="U31" s="2"/>
      <c r="V31" s="6">
        <f t="shared" si="13"/>
        <v>0</v>
      </c>
      <c r="W31" s="2"/>
      <c r="X31" s="7">
        <f t="shared" si="14"/>
        <v>-27554.236153846199</v>
      </c>
      <c r="Y31" s="2"/>
      <c r="Z31" s="6">
        <f t="shared" si="15"/>
        <v>-0.29010002721167805</v>
      </c>
    </row>
    <row r="32" spans="1:26" s="24" customFormat="1" hidden="1" outlineLevel="2" x14ac:dyDescent="0.25">
      <c r="A32" s="26"/>
      <c r="B32" s="11" t="str">
        <f>CONCATENATE("          ", "6002", " - ", "STAFF SALARIES")</f>
        <v xml:space="preserve">          6002 - STAFF SALARIES</v>
      </c>
      <c r="C32" s="11"/>
      <c r="D32" s="7">
        <v>2652</v>
      </c>
      <c r="E32" s="2"/>
      <c r="F32" s="6">
        <f t="shared" si="8"/>
        <v>0</v>
      </c>
      <c r="G32" s="2"/>
      <c r="H32" s="7">
        <v>3561.8192307692298</v>
      </c>
      <c r="I32" s="2"/>
      <c r="J32" s="6">
        <f t="shared" si="9"/>
        <v>0</v>
      </c>
      <c r="K32" s="2"/>
      <c r="L32" s="7">
        <f t="shared" si="10"/>
        <v>-909.81923076922976</v>
      </c>
      <c r="M32" s="2"/>
      <c r="N32" s="6">
        <f t="shared" si="11"/>
        <v>-0.25543666643990248</v>
      </c>
      <c r="O32" s="11"/>
      <c r="P32" s="7">
        <v>52504.86</v>
      </c>
      <c r="Q32" s="2"/>
      <c r="R32" s="6">
        <f t="shared" si="12"/>
        <v>0</v>
      </c>
      <c r="S32" s="2"/>
      <c r="T32" s="7">
        <v>42741.830769230764</v>
      </c>
      <c r="U32" s="2"/>
      <c r="V32" s="6">
        <f t="shared" si="13"/>
        <v>0</v>
      </c>
      <c r="W32" s="2"/>
      <c r="X32" s="7">
        <f t="shared" si="14"/>
        <v>9763.0292307692362</v>
      </c>
      <c r="Y32" s="2"/>
      <c r="Z32" s="6">
        <f t="shared" si="15"/>
        <v>0.22841860198926017</v>
      </c>
    </row>
    <row r="33" spans="1:26" s="24" customFormat="1" hidden="1" outlineLevel="2" x14ac:dyDescent="0.25">
      <c r="A33" s="26"/>
      <c r="B33" s="11" t="str">
        <f>CONCATENATE("          ", "6003", " - ", "STAFF HOURLY-9 MONTH")</f>
        <v xml:space="preserve">          6003 - STAFF HOURLY-9 MONTH</v>
      </c>
      <c r="C33" s="11"/>
      <c r="D33" s="7"/>
      <c r="E33" s="2"/>
      <c r="F33" s="6">
        <f t="shared" si="8"/>
        <v>0</v>
      </c>
      <c r="G33" s="2"/>
      <c r="H33" s="7">
        <v>0</v>
      </c>
      <c r="I33" s="2"/>
      <c r="J33" s="6">
        <f t="shared" si="9"/>
        <v>0</v>
      </c>
      <c r="K33" s="2"/>
      <c r="L33" s="7">
        <f t="shared" si="10"/>
        <v>0</v>
      </c>
      <c r="M33" s="2"/>
      <c r="N33" s="6">
        <f t="shared" si="11"/>
        <v>0</v>
      </c>
      <c r="O33" s="11"/>
      <c r="P33" s="7"/>
      <c r="Q33" s="2"/>
      <c r="R33" s="6">
        <f t="shared" si="12"/>
        <v>0</v>
      </c>
      <c r="S33" s="2"/>
      <c r="T33" s="7">
        <v>0</v>
      </c>
      <c r="U33" s="2"/>
      <c r="V33" s="6">
        <f t="shared" si="13"/>
        <v>0</v>
      </c>
      <c r="W33" s="2"/>
      <c r="X33" s="7">
        <f t="shared" si="14"/>
        <v>0</v>
      </c>
      <c r="Y33" s="2"/>
      <c r="Z33" s="6">
        <f t="shared" si="15"/>
        <v>0</v>
      </c>
    </row>
    <row r="34" spans="1:26" s="24" customFormat="1" hidden="1" outlineLevel="2" x14ac:dyDescent="0.25">
      <c r="A34" s="26"/>
      <c r="B34" s="11" t="str">
        <f>CONCATENATE("          ", "6004", " - ", "STAFF HOURLY")</f>
        <v xml:space="preserve">          6004 - STAFF HOURLY</v>
      </c>
      <c r="C34" s="11"/>
      <c r="D34" s="7"/>
      <c r="E34" s="2"/>
      <c r="F34" s="6">
        <f t="shared" si="8"/>
        <v>0</v>
      </c>
      <c r="G34" s="2"/>
      <c r="H34" s="7">
        <v>5706.9416000000001</v>
      </c>
      <c r="I34" s="2"/>
      <c r="J34" s="6">
        <f t="shared" si="9"/>
        <v>0</v>
      </c>
      <c r="K34" s="2"/>
      <c r="L34" s="7">
        <f t="shared" si="10"/>
        <v>-5706.9416000000001</v>
      </c>
      <c r="M34" s="2"/>
      <c r="N34" s="6">
        <f t="shared" si="11"/>
        <v>-1</v>
      </c>
      <c r="O34" s="11"/>
      <c r="P34" s="7">
        <v>23599.230000000003</v>
      </c>
      <c r="Q34" s="2"/>
      <c r="R34" s="6">
        <f t="shared" si="12"/>
        <v>0</v>
      </c>
      <c r="S34" s="2"/>
      <c r="T34" s="7">
        <v>66028.7886</v>
      </c>
      <c r="U34" s="2"/>
      <c r="V34" s="6">
        <f t="shared" si="13"/>
        <v>0</v>
      </c>
      <c r="W34" s="2"/>
      <c r="X34" s="7">
        <f t="shared" si="14"/>
        <v>-42429.558599999997</v>
      </c>
      <c r="Y34" s="2"/>
      <c r="Z34" s="6">
        <f t="shared" si="15"/>
        <v>-0.64259180729540144</v>
      </c>
    </row>
    <row r="35" spans="1:26" s="24" customFormat="1" hidden="1" outlineLevel="2" x14ac:dyDescent="0.25">
      <c r="A35" s="26"/>
      <c r="B35" s="11" t="str">
        <f>CONCATENATE("          ", "6005", " - ", "TEMPORARY WAGES-HOURLY")</f>
        <v xml:space="preserve">          6005 - TEMPORARY WAGES-HOURLY</v>
      </c>
      <c r="C35" s="11"/>
      <c r="D35" s="7"/>
      <c r="E35" s="2"/>
      <c r="F35" s="6">
        <f t="shared" si="8"/>
        <v>0</v>
      </c>
      <c r="G35" s="2"/>
      <c r="H35" s="7">
        <v>5586</v>
      </c>
      <c r="I35" s="2"/>
      <c r="J35" s="6">
        <f t="shared" si="9"/>
        <v>0</v>
      </c>
      <c r="K35" s="2"/>
      <c r="L35" s="7">
        <f t="shared" si="10"/>
        <v>-5586</v>
      </c>
      <c r="M35" s="2"/>
      <c r="N35" s="6">
        <f t="shared" si="11"/>
        <v>-1</v>
      </c>
      <c r="O35" s="11"/>
      <c r="P35" s="7">
        <v>94654.75</v>
      </c>
      <c r="Q35" s="2"/>
      <c r="R35" s="6">
        <f t="shared" si="12"/>
        <v>0</v>
      </c>
      <c r="S35" s="2"/>
      <c r="T35" s="7">
        <v>86898</v>
      </c>
      <c r="U35" s="2"/>
      <c r="V35" s="6">
        <f t="shared" si="13"/>
        <v>0</v>
      </c>
      <c r="W35" s="2"/>
      <c r="X35" s="7">
        <f t="shared" si="14"/>
        <v>7756.75</v>
      </c>
      <c r="Y35" s="2"/>
      <c r="Z35" s="6">
        <f t="shared" si="15"/>
        <v>8.9262698796289897E-2</v>
      </c>
    </row>
    <row r="36" spans="1:26" s="24" customFormat="1" hidden="1" outlineLevel="2" x14ac:dyDescent="0.25">
      <c r="A36" s="26"/>
      <c r="B36" s="11" t="str">
        <f>CONCATENATE("          ", "6006", " - ", "TEMPORARY PART TIME")</f>
        <v xml:space="preserve">          6006 - TEMPORARY PART TIME</v>
      </c>
      <c r="C36" s="11"/>
      <c r="D36" s="7"/>
      <c r="E36" s="2"/>
      <c r="F36" s="6">
        <f t="shared" si="8"/>
        <v>0</v>
      </c>
      <c r="G36" s="2"/>
      <c r="H36" s="7">
        <v>0</v>
      </c>
      <c r="I36" s="2"/>
      <c r="J36" s="6">
        <f t="shared" si="9"/>
        <v>0</v>
      </c>
      <c r="K36" s="2"/>
      <c r="L36" s="7">
        <f t="shared" si="10"/>
        <v>0</v>
      </c>
      <c r="M36" s="2"/>
      <c r="N36" s="6">
        <f t="shared" si="11"/>
        <v>0</v>
      </c>
      <c r="O36" s="11"/>
      <c r="P36" s="7">
        <v>1236.8800000000001</v>
      </c>
      <c r="Q36" s="2"/>
      <c r="R36" s="6">
        <f t="shared" si="12"/>
        <v>0</v>
      </c>
      <c r="S36" s="2"/>
      <c r="T36" s="7">
        <v>0</v>
      </c>
      <c r="U36" s="2"/>
      <c r="V36" s="6">
        <f t="shared" si="13"/>
        <v>0</v>
      </c>
      <c r="W36" s="2"/>
      <c r="X36" s="7">
        <f t="shared" si="14"/>
        <v>1236.8800000000001</v>
      </c>
      <c r="Y36" s="2"/>
      <c r="Z36" s="6">
        <f t="shared" si="15"/>
        <v>0</v>
      </c>
    </row>
    <row r="37" spans="1:26" s="24" customFormat="1" hidden="1" outlineLevel="2" x14ac:dyDescent="0.25">
      <c r="A37" s="26"/>
      <c r="B37" s="11" t="str">
        <f>CONCATENATE("          ", "6007", " - ", "STUDENT HOURLY")</f>
        <v xml:space="preserve">          6007 - STUDENT HOURLY</v>
      </c>
      <c r="C37" s="11"/>
      <c r="D37" s="7"/>
      <c r="E37" s="2"/>
      <c r="F37" s="6">
        <f t="shared" si="8"/>
        <v>0</v>
      </c>
      <c r="G37" s="2"/>
      <c r="H37" s="7">
        <v>0</v>
      </c>
      <c r="I37" s="2"/>
      <c r="J37" s="6">
        <f t="shared" si="9"/>
        <v>0</v>
      </c>
      <c r="K37" s="2"/>
      <c r="L37" s="7">
        <f t="shared" si="10"/>
        <v>0</v>
      </c>
      <c r="M37" s="2"/>
      <c r="N37" s="6">
        <f t="shared" si="11"/>
        <v>0</v>
      </c>
      <c r="O37" s="11"/>
      <c r="P37" s="7">
        <v>16781.72</v>
      </c>
      <c r="Q37" s="2"/>
      <c r="R37" s="6">
        <f t="shared" si="12"/>
        <v>0</v>
      </c>
      <c r="S37" s="2"/>
      <c r="T37" s="7">
        <v>6804</v>
      </c>
      <c r="U37" s="2"/>
      <c r="V37" s="6">
        <f t="shared" si="13"/>
        <v>0</v>
      </c>
      <c r="W37" s="2"/>
      <c r="X37" s="7">
        <f t="shared" si="14"/>
        <v>9977.7200000000012</v>
      </c>
      <c r="Y37" s="2"/>
      <c r="Z37" s="6">
        <f t="shared" si="15"/>
        <v>1.4664491475602588</v>
      </c>
    </row>
    <row r="38" spans="1:26" s="24" customFormat="1" hidden="1" outlineLevel="2" x14ac:dyDescent="0.25">
      <c r="A38" s="26"/>
      <c r="B38" s="11" t="str">
        <f>CONCATENATE("          ", "6008", " - ", "STUDENT HOURLY-FICA EXEMPT")</f>
        <v xml:space="preserve">          6008 - STUDENT HOURLY-FICA EXEMPT</v>
      </c>
      <c r="C38" s="11"/>
      <c r="D38" s="7"/>
      <c r="E38" s="2"/>
      <c r="F38" s="6">
        <f t="shared" si="8"/>
        <v>0</v>
      </c>
      <c r="G38" s="2"/>
      <c r="H38" s="7">
        <v>1764</v>
      </c>
      <c r="I38" s="2"/>
      <c r="J38" s="6">
        <f t="shared" si="9"/>
        <v>0</v>
      </c>
      <c r="K38" s="2"/>
      <c r="L38" s="7">
        <f t="shared" si="10"/>
        <v>-1764</v>
      </c>
      <c r="M38" s="2"/>
      <c r="N38" s="6">
        <f t="shared" si="11"/>
        <v>-1</v>
      </c>
      <c r="O38" s="11"/>
      <c r="P38" s="7"/>
      <c r="Q38" s="2"/>
      <c r="R38" s="6">
        <f t="shared" si="12"/>
        <v>0</v>
      </c>
      <c r="S38" s="2"/>
      <c r="T38" s="7">
        <v>12096</v>
      </c>
      <c r="U38" s="2"/>
      <c r="V38" s="6">
        <f t="shared" si="13"/>
        <v>0</v>
      </c>
      <c r="W38" s="2"/>
      <c r="X38" s="7">
        <f t="shared" si="14"/>
        <v>-12096</v>
      </c>
      <c r="Y38" s="2"/>
      <c r="Z38" s="6">
        <f t="shared" si="15"/>
        <v>-1</v>
      </c>
    </row>
    <row r="39" spans="1:26" s="24" customFormat="1" hidden="1" outlineLevel="2" x14ac:dyDescent="0.25">
      <c r="A39" s="26"/>
      <c r="B39" s="11" t="str">
        <f>CONCATENATE("          ", "6009", " - ", "TEMPORARY-SEASONAL")</f>
        <v xml:space="preserve">          6009 - TEMPORARY-SEASONAL</v>
      </c>
      <c r="C39" s="11"/>
      <c r="D39" s="7"/>
      <c r="E39" s="2"/>
      <c r="F39" s="6">
        <f t="shared" si="8"/>
        <v>0</v>
      </c>
      <c r="G39" s="2"/>
      <c r="H39" s="7">
        <v>0</v>
      </c>
      <c r="I39" s="2"/>
      <c r="J39" s="6">
        <f t="shared" si="9"/>
        <v>0</v>
      </c>
      <c r="K39" s="2"/>
      <c r="L39" s="7">
        <f t="shared" si="10"/>
        <v>0</v>
      </c>
      <c r="M39" s="2"/>
      <c r="N39" s="6">
        <f t="shared" si="11"/>
        <v>0</v>
      </c>
      <c r="O39" s="11"/>
      <c r="P39" s="7"/>
      <c r="Q39" s="2"/>
      <c r="R39" s="6">
        <f t="shared" si="12"/>
        <v>0</v>
      </c>
      <c r="S39" s="2"/>
      <c r="T39" s="7">
        <v>0</v>
      </c>
      <c r="U39" s="2"/>
      <c r="V39" s="6">
        <f t="shared" si="13"/>
        <v>0</v>
      </c>
      <c r="W39" s="2"/>
      <c r="X39" s="7">
        <f t="shared" si="14"/>
        <v>0</v>
      </c>
      <c r="Y39" s="2"/>
      <c r="Z39" s="6">
        <f t="shared" si="15"/>
        <v>0</v>
      </c>
    </row>
    <row r="40" spans="1:26" s="24" customFormat="1" hidden="1" outlineLevel="2" x14ac:dyDescent="0.25">
      <c r="A40" s="26"/>
      <c r="B40" s="11" t="str">
        <f>CONCATENATE("          ", "6010", " - ", "GRATUITY")</f>
        <v xml:space="preserve">          6010 - GRATUITY</v>
      </c>
      <c r="C40" s="11"/>
      <c r="D40" s="7"/>
      <c r="E40" s="2"/>
      <c r="F40" s="6">
        <f t="shared" si="8"/>
        <v>0</v>
      </c>
      <c r="G40" s="2"/>
      <c r="H40" s="7">
        <v>0</v>
      </c>
      <c r="I40" s="2"/>
      <c r="J40" s="6">
        <f t="shared" si="9"/>
        <v>0</v>
      </c>
      <c r="K40" s="2"/>
      <c r="L40" s="7">
        <f t="shared" si="10"/>
        <v>0</v>
      </c>
      <c r="M40" s="2"/>
      <c r="N40" s="6">
        <f t="shared" si="11"/>
        <v>0</v>
      </c>
      <c r="O40" s="11"/>
      <c r="P40" s="7"/>
      <c r="Q40" s="2"/>
      <c r="R40" s="6">
        <f t="shared" si="12"/>
        <v>0</v>
      </c>
      <c r="S40" s="2"/>
      <c r="T40" s="7">
        <v>0</v>
      </c>
      <c r="U40" s="2"/>
      <c r="V40" s="6">
        <f t="shared" si="13"/>
        <v>0</v>
      </c>
      <c r="W40" s="2"/>
      <c r="X40" s="7">
        <f t="shared" si="14"/>
        <v>0</v>
      </c>
      <c r="Y40" s="2"/>
      <c r="Z40" s="6">
        <f t="shared" si="15"/>
        <v>0</v>
      </c>
    </row>
    <row r="41" spans="1:26" s="27" customFormat="1" outlineLevel="1" collapsed="1" x14ac:dyDescent="0.25">
      <c r="A41" s="25"/>
      <c r="B41" s="12" t="str">
        <f>CONCATENATE("     ","Advertising/Promo                                 ")</f>
        <v xml:space="preserve">     Advertising/Promo                                 </v>
      </c>
      <c r="C41" s="12"/>
      <c r="D41" s="1">
        <f>SUM(OSRRefD22_2x_0)</f>
        <v>0</v>
      </c>
      <c r="E41" s="1"/>
      <c r="F41" s="5">
        <f t="shared" ref="F41:F49" si="16">IF(D$12=0,0,D41/D$12)</f>
        <v>0</v>
      </c>
      <c r="G41" s="1"/>
      <c r="H41" s="1">
        <f>SUM(OSRRefH22_2x_0)</f>
        <v>0</v>
      </c>
      <c r="I41" s="1"/>
      <c r="J41" s="5">
        <f t="shared" ref="J41:J49" si="17">IF(H$12=0,0,H41/H$12)</f>
        <v>0</v>
      </c>
      <c r="K41" s="1"/>
      <c r="L41" s="1">
        <f t="shared" ref="L41:L49" si="18">+D41-H41</f>
        <v>0</v>
      </c>
      <c r="M41" s="1"/>
      <c r="N41" s="5">
        <f t="shared" ref="N41:N49" si="19">IF(H41=0,0,L41/H41)</f>
        <v>0</v>
      </c>
      <c r="O41" s="12"/>
      <c r="P41" s="1">
        <f>SUM(OSRRefP22_2x_0)</f>
        <v>3780.74</v>
      </c>
      <c r="Q41" s="1"/>
      <c r="R41" s="5">
        <f t="shared" ref="R41:R49" si="20">IF(P$12=0,0,P41/P$12)</f>
        <v>0</v>
      </c>
      <c r="S41" s="1"/>
      <c r="T41" s="1">
        <f>SUM(OSRRefT22_2x_0)</f>
        <v>2050</v>
      </c>
      <c r="U41" s="1"/>
      <c r="V41" s="5">
        <f t="shared" ref="V41:V49" si="21">IF(T$12=0,0,T41/T$12)</f>
        <v>0</v>
      </c>
      <c r="W41" s="1"/>
      <c r="X41" s="1">
        <f t="shared" ref="X41:X49" si="22">+P41-T41</f>
        <v>1730.7399999999998</v>
      </c>
      <c r="Y41" s="1"/>
      <c r="Z41" s="5">
        <f t="shared" ref="Z41:Z49" si="23">IF(T41=0,0,X41/T41)</f>
        <v>0.84426341463414623</v>
      </c>
    </row>
    <row r="42" spans="1:26" s="24" customFormat="1" hidden="1" outlineLevel="2" x14ac:dyDescent="0.25">
      <c r="A42" s="26"/>
      <c r="B42" s="11" t="str">
        <f>CONCATENATE("          ", "6362", " - ", "ADVERTISING EXPENSE")</f>
        <v xml:space="preserve">          6362 - ADVERTISING EXPENSE</v>
      </c>
      <c r="C42" s="11"/>
      <c r="D42" s="7"/>
      <c r="E42" s="2"/>
      <c r="F42" s="6">
        <f t="shared" si="16"/>
        <v>0</v>
      </c>
      <c r="G42" s="2"/>
      <c r="H42" s="7"/>
      <c r="I42" s="2"/>
      <c r="J42" s="6">
        <f t="shared" si="17"/>
        <v>0</v>
      </c>
      <c r="K42" s="2"/>
      <c r="L42" s="7">
        <f t="shared" si="18"/>
        <v>0</v>
      </c>
      <c r="M42" s="2"/>
      <c r="N42" s="6">
        <f t="shared" si="19"/>
        <v>0</v>
      </c>
      <c r="O42" s="11"/>
      <c r="P42" s="7">
        <v>3780.74</v>
      </c>
      <c r="Q42" s="2"/>
      <c r="R42" s="6">
        <f t="shared" si="20"/>
        <v>0</v>
      </c>
      <c r="S42" s="2"/>
      <c r="T42" s="7">
        <v>2050</v>
      </c>
      <c r="U42" s="2"/>
      <c r="V42" s="6">
        <f t="shared" si="21"/>
        <v>0</v>
      </c>
      <c r="W42" s="2"/>
      <c r="X42" s="7">
        <f t="shared" si="22"/>
        <v>1730.7399999999998</v>
      </c>
      <c r="Y42" s="2"/>
      <c r="Z42" s="6">
        <f t="shared" si="23"/>
        <v>0.84426341463414623</v>
      </c>
    </row>
    <row r="43" spans="1:26" s="27" customFormat="1" outlineLevel="1" collapsed="1" x14ac:dyDescent="0.25">
      <c r="A43" s="25"/>
      <c r="B43" s="12" t="str">
        <f>CONCATENATE("     ","Bank/card Fees                                    ")</f>
        <v xml:space="preserve">     Bank/card Fees                                    </v>
      </c>
      <c r="C43" s="12"/>
      <c r="D43" s="1">
        <f>SUM(OSRRefD22_3x_0)</f>
        <v>252.5</v>
      </c>
      <c r="E43" s="1"/>
      <c r="F43" s="5">
        <f t="shared" si="16"/>
        <v>0</v>
      </c>
      <c r="G43" s="1"/>
      <c r="H43" s="1">
        <f>SUM(OSRRefH22_3x_0)</f>
        <v>0</v>
      </c>
      <c r="I43" s="1"/>
      <c r="J43" s="5">
        <f t="shared" si="17"/>
        <v>0</v>
      </c>
      <c r="K43" s="1"/>
      <c r="L43" s="1">
        <f t="shared" si="18"/>
        <v>252.5</v>
      </c>
      <c r="M43" s="1"/>
      <c r="N43" s="5">
        <f t="shared" si="19"/>
        <v>0</v>
      </c>
      <c r="O43" s="12"/>
      <c r="P43" s="1">
        <f>SUM(OSRRefP22_3x_0)</f>
        <v>257.5</v>
      </c>
      <c r="Q43" s="1"/>
      <c r="R43" s="5">
        <f t="shared" si="20"/>
        <v>0</v>
      </c>
      <c r="S43" s="1"/>
      <c r="T43" s="1">
        <f>SUM(OSRRefT22_3x_0)</f>
        <v>0</v>
      </c>
      <c r="U43" s="1"/>
      <c r="V43" s="5">
        <f t="shared" si="21"/>
        <v>0</v>
      </c>
      <c r="W43" s="1"/>
      <c r="X43" s="1">
        <f t="shared" si="22"/>
        <v>257.5</v>
      </c>
      <c r="Y43" s="1"/>
      <c r="Z43" s="5">
        <f t="shared" si="23"/>
        <v>0</v>
      </c>
    </row>
    <row r="44" spans="1:26" s="24" customFormat="1" hidden="1" outlineLevel="2" x14ac:dyDescent="0.25">
      <c r="A44" s="26"/>
      <c r="B44" s="11" t="str">
        <f>CONCATENATE("          ", "6381", " - ", "BANK/CREDIT CARD FEES")</f>
        <v xml:space="preserve">          6381 - BANK/CREDIT CARD FEES</v>
      </c>
      <c r="C44" s="11"/>
      <c r="D44" s="7">
        <v>252.5</v>
      </c>
      <c r="E44" s="2"/>
      <c r="F44" s="6">
        <f t="shared" si="16"/>
        <v>0</v>
      </c>
      <c r="G44" s="2"/>
      <c r="H44" s="7"/>
      <c r="I44" s="2"/>
      <c r="J44" s="6">
        <f t="shared" si="17"/>
        <v>0</v>
      </c>
      <c r="K44" s="2"/>
      <c r="L44" s="7">
        <f t="shared" si="18"/>
        <v>252.5</v>
      </c>
      <c r="M44" s="2"/>
      <c r="N44" s="6">
        <f t="shared" si="19"/>
        <v>0</v>
      </c>
      <c r="O44" s="11"/>
      <c r="P44" s="7">
        <v>257.5</v>
      </c>
      <c r="Q44" s="2"/>
      <c r="R44" s="6">
        <f t="shared" si="20"/>
        <v>0</v>
      </c>
      <c r="S44" s="2"/>
      <c r="T44" s="7"/>
      <c r="U44" s="2"/>
      <c r="V44" s="6">
        <f t="shared" si="21"/>
        <v>0</v>
      </c>
      <c r="W44" s="2"/>
      <c r="X44" s="7">
        <f t="shared" si="22"/>
        <v>257.5</v>
      </c>
      <c r="Y44" s="2"/>
      <c r="Z44" s="6">
        <f t="shared" si="23"/>
        <v>0</v>
      </c>
    </row>
    <row r="45" spans="1:26" s="27" customFormat="1" outlineLevel="1" collapsed="1" x14ac:dyDescent="0.25">
      <c r="A45" s="25"/>
      <c r="B45" s="12" t="str">
        <f>CONCATENATE("     ","Depreciation                                      ")</f>
        <v xml:space="preserve">     Depreciation                                      </v>
      </c>
      <c r="C45" s="12"/>
      <c r="D45" s="1">
        <f>SUM(OSRRefD22_4x_0)</f>
        <v>7188.55</v>
      </c>
      <c r="E45" s="1"/>
      <c r="F45" s="5">
        <f t="shared" si="16"/>
        <v>0</v>
      </c>
      <c r="G45" s="1"/>
      <c r="H45" s="1">
        <f>SUM(OSRRefH22_4x_0)</f>
        <v>8207</v>
      </c>
      <c r="I45" s="1"/>
      <c r="J45" s="5">
        <f t="shared" si="17"/>
        <v>0</v>
      </c>
      <c r="K45" s="1"/>
      <c r="L45" s="1">
        <f t="shared" si="18"/>
        <v>-1018.4499999999998</v>
      </c>
      <c r="M45" s="1"/>
      <c r="N45" s="5">
        <f t="shared" si="19"/>
        <v>-0.1240952845132204</v>
      </c>
      <c r="O45" s="12"/>
      <c r="P45" s="1">
        <f>SUM(OSRRefP22_4x_0)</f>
        <v>78386.27</v>
      </c>
      <c r="Q45" s="1"/>
      <c r="R45" s="5">
        <f t="shared" si="20"/>
        <v>0</v>
      </c>
      <c r="S45" s="1"/>
      <c r="T45" s="1">
        <f>SUM(OSRRefT22_4x_0)</f>
        <v>81349</v>
      </c>
      <c r="U45" s="1"/>
      <c r="V45" s="5">
        <f t="shared" si="21"/>
        <v>0</v>
      </c>
      <c r="W45" s="1"/>
      <c r="X45" s="1">
        <f t="shared" si="22"/>
        <v>-2962.7299999999959</v>
      </c>
      <c r="Y45" s="1"/>
      <c r="Z45" s="5">
        <f t="shared" si="23"/>
        <v>-3.6419992870225765E-2</v>
      </c>
    </row>
    <row r="46" spans="1:26" s="24" customFormat="1" hidden="1" outlineLevel="2" x14ac:dyDescent="0.25">
      <c r="A46" s="26"/>
      <c r="B46" s="11" t="str">
        <f>CONCATENATE("          ", "6321", " - ", "BUILDING DEPRECIATION")</f>
        <v xml:space="preserve">          6321 - BUILDING DEPRECIATION</v>
      </c>
      <c r="C46" s="11"/>
      <c r="D46" s="7">
        <v>2266.9499999999998</v>
      </c>
      <c r="E46" s="2"/>
      <c r="F46" s="6">
        <f t="shared" si="16"/>
        <v>0</v>
      </c>
      <c r="G46" s="2"/>
      <c r="H46" s="7">
        <v>723</v>
      </c>
      <c r="I46" s="2"/>
      <c r="J46" s="6">
        <f t="shared" si="17"/>
        <v>0</v>
      </c>
      <c r="K46" s="2"/>
      <c r="L46" s="7">
        <f t="shared" si="18"/>
        <v>1543.9499999999998</v>
      </c>
      <c r="M46" s="2"/>
      <c r="N46" s="6">
        <f t="shared" si="19"/>
        <v>2.1354771784232365</v>
      </c>
      <c r="O46" s="11"/>
      <c r="P46" s="7">
        <v>24936.449999999997</v>
      </c>
      <c r="Q46" s="2"/>
      <c r="R46" s="6">
        <f t="shared" si="20"/>
        <v>0</v>
      </c>
      <c r="S46" s="2"/>
      <c r="T46" s="7">
        <v>8199</v>
      </c>
      <c r="U46" s="2"/>
      <c r="V46" s="6">
        <f t="shared" si="21"/>
        <v>0</v>
      </c>
      <c r="W46" s="2"/>
      <c r="X46" s="7">
        <f t="shared" si="22"/>
        <v>16737.449999999997</v>
      </c>
      <c r="Y46" s="2"/>
      <c r="Z46" s="6">
        <f t="shared" si="23"/>
        <v>2.0414013904134647</v>
      </c>
    </row>
    <row r="47" spans="1:26" s="24" customFormat="1" hidden="1" outlineLevel="2" x14ac:dyDescent="0.25">
      <c r="A47" s="26"/>
      <c r="B47" s="11" t="str">
        <f>CONCATENATE("          ", "6322", " - ", "EQUIPMENT DEPRECIATION EXPENSE")</f>
        <v xml:space="preserve">          6322 - EQUIPMENT DEPRECIATION EXPENSE</v>
      </c>
      <c r="C47" s="11"/>
      <c r="D47" s="7">
        <v>4921.6000000000004</v>
      </c>
      <c r="E47" s="2"/>
      <c r="F47" s="6">
        <f t="shared" si="16"/>
        <v>0</v>
      </c>
      <c r="G47" s="2"/>
      <c r="H47" s="7">
        <v>4902</v>
      </c>
      <c r="I47" s="2"/>
      <c r="J47" s="6">
        <f t="shared" si="17"/>
        <v>0</v>
      </c>
      <c r="K47" s="2"/>
      <c r="L47" s="7">
        <f t="shared" si="18"/>
        <v>19.600000000000364</v>
      </c>
      <c r="M47" s="2"/>
      <c r="N47" s="6">
        <f t="shared" si="19"/>
        <v>3.9983680130559699E-3</v>
      </c>
      <c r="O47" s="11"/>
      <c r="P47" s="7">
        <v>49207.340000000004</v>
      </c>
      <c r="Q47" s="2"/>
      <c r="R47" s="6">
        <f t="shared" si="20"/>
        <v>0</v>
      </c>
      <c r="S47" s="2"/>
      <c r="T47" s="7">
        <v>53922</v>
      </c>
      <c r="U47" s="2"/>
      <c r="V47" s="6">
        <f t="shared" si="21"/>
        <v>0</v>
      </c>
      <c r="W47" s="2"/>
      <c r="X47" s="7">
        <f t="shared" si="22"/>
        <v>-4714.6599999999962</v>
      </c>
      <c r="Y47" s="2"/>
      <c r="Z47" s="6">
        <f t="shared" si="23"/>
        <v>-8.743481324876666E-2</v>
      </c>
    </row>
    <row r="48" spans="1:26" s="24" customFormat="1" hidden="1" outlineLevel="2" x14ac:dyDescent="0.25">
      <c r="A48" s="26"/>
      <c r="B48" s="11" t="str">
        <f>CONCATENATE("          ", "6324", " - ", "FURNITURE + FIXT DEPRECIATION")</f>
        <v xml:space="preserve">          6324 - FURNITURE + FIXT DEPRECIATION</v>
      </c>
      <c r="C48" s="11"/>
      <c r="D48" s="7"/>
      <c r="E48" s="2"/>
      <c r="F48" s="6">
        <f t="shared" si="16"/>
        <v>0</v>
      </c>
      <c r="G48" s="2"/>
      <c r="H48" s="7">
        <v>1158</v>
      </c>
      <c r="I48" s="2"/>
      <c r="J48" s="6">
        <f t="shared" si="17"/>
        <v>0</v>
      </c>
      <c r="K48" s="2"/>
      <c r="L48" s="7">
        <f t="shared" si="18"/>
        <v>-1158</v>
      </c>
      <c r="M48" s="2"/>
      <c r="N48" s="6">
        <f t="shared" si="19"/>
        <v>-1</v>
      </c>
      <c r="O48" s="11"/>
      <c r="P48" s="7"/>
      <c r="Q48" s="2"/>
      <c r="R48" s="6">
        <f t="shared" si="20"/>
        <v>0</v>
      </c>
      <c r="S48" s="2"/>
      <c r="T48" s="7">
        <v>6564</v>
      </c>
      <c r="U48" s="2"/>
      <c r="V48" s="6">
        <f t="shared" si="21"/>
        <v>0</v>
      </c>
      <c r="W48" s="2"/>
      <c r="X48" s="7">
        <f t="shared" si="22"/>
        <v>-6564</v>
      </c>
      <c r="Y48" s="2"/>
      <c r="Z48" s="6">
        <f t="shared" si="23"/>
        <v>-1</v>
      </c>
    </row>
    <row r="49" spans="1:26" s="24" customFormat="1" hidden="1" outlineLevel="2" x14ac:dyDescent="0.25">
      <c r="A49" s="26"/>
      <c r="B49" s="11" t="str">
        <f>CONCATENATE("          ", "6326", " - ", "VEHICLES DEPRECIATION EXPENSE")</f>
        <v xml:space="preserve">          6326 - VEHICLES DEPRECIATION EXPENSE</v>
      </c>
      <c r="C49" s="11"/>
      <c r="D49" s="7"/>
      <c r="E49" s="2"/>
      <c r="F49" s="6">
        <f t="shared" si="16"/>
        <v>0</v>
      </c>
      <c r="G49" s="2"/>
      <c r="H49" s="7">
        <v>1424</v>
      </c>
      <c r="I49" s="2"/>
      <c r="J49" s="6">
        <f t="shared" si="17"/>
        <v>0</v>
      </c>
      <c r="K49" s="2"/>
      <c r="L49" s="7">
        <f t="shared" si="18"/>
        <v>-1424</v>
      </c>
      <c r="M49" s="2"/>
      <c r="N49" s="6">
        <f t="shared" si="19"/>
        <v>-1</v>
      </c>
      <c r="O49" s="11"/>
      <c r="P49" s="7">
        <v>4242.4799999999996</v>
      </c>
      <c r="Q49" s="2"/>
      <c r="R49" s="6">
        <f t="shared" si="20"/>
        <v>0</v>
      </c>
      <c r="S49" s="2"/>
      <c r="T49" s="7">
        <v>12664</v>
      </c>
      <c r="U49" s="2"/>
      <c r="V49" s="6">
        <f t="shared" si="21"/>
        <v>0</v>
      </c>
      <c r="W49" s="2"/>
      <c r="X49" s="7">
        <f t="shared" si="22"/>
        <v>-8421.52</v>
      </c>
      <c r="Y49" s="2"/>
      <c r="Z49" s="6">
        <f t="shared" si="23"/>
        <v>-0.66499684144030324</v>
      </c>
    </row>
    <row r="50" spans="1:26" s="27" customFormat="1" outlineLevel="1" collapsed="1" x14ac:dyDescent="0.25">
      <c r="A50" s="25"/>
      <c r="B50" s="12" t="str">
        <f>CONCATENATE("     ","Donations                                         ")</f>
        <v xml:space="preserve">     Donations                                         </v>
      </c>
      <c r="C50" s="12"/>
      <c r="D50" s="1">
        <f>SUM(OSRRefD22_5x_0)</f>
        <v>0</v>
      </c>
      <c r="E50" s="1"/>
      <c r="F50" s="5">
        <f t="shared" ref="F50:F68" si="24">IF(D$12=0,0,D50/D$12)</f>
        <v>0</v>
      </c>
      <c r="G50" s="1"/>
      <c r="H50" s="1">
        <f>SUM(OSRRefH22_5x_0)</f>
        <v>500</v>
      </c>
      <c r="I50" s="1"/>
      <c r="J50" s="5">
        <f t="shared" ref="J50:J68" si="25">IF(H$12=0,0,H50/H$12)</f>
        <v>0</v>
      </c>
      <c r="K50" s="1"/>
      <c r="L50" s="1">
        <f t="shared" ref="L50:L68" si="26">+D50-H50</f>
        <v>-500</v>
      </c>
      <c r="M50" s="1"/>
      <c r="N50" s="5">
        <f t="shared" ref="N50:N68" si="27">IF(H50=0,0,L50/H50)</f>
        <v>-1</v>
      </c>
      <c r="O50" s="12"/>
      <c r="P50" s="1">
        <f>SUM(OSRRefP22_5x_0)</f>
        <v>163.68</v>
      </c>
      <c r="Q50" s="1"/>
      <c r="R50" s="5">
        <f t="shared" ref="R50:R68" si="28">IF(P$12=0,0,P50/P$12)</f>
        <v>0</v>
      </c>
      <c r="S50" s="1"/>
      <c r="T50" s="1">
        <f>SUM(OSRRefT22_5x_0)</f>
        <v>2500</v>
      </c>
      <c r="U50" s="1"/>
      <c r="V50" s="5">
        <f t="shared" ref="V50:V68" si="29">IF(T$12=0,0,T50/T$12)</f>
        <v>0</v>
      </c>
      <c r="W50" s="1"/>
      <c r="X50" s="1">
        <f t="shared" ref="X50:X68" si="30">+P50-T50</f>
        <v>-2336.3200000000002</v>
      </c>
      <c r="Y50" s="1"/>
      <c r="Z50" s="5">
        <f t="shared" ref="Z50:Z68" si="31">IF(T50=0,0,X50/T50)</f>
        <v>-0.93452800000000003</v>
      </c>
    </row>
    <row r="51" spans="1:26" s="24" customFormat="1" hidden="1" outlineLevel="2" x14ac:dyDescent="0.25">
      <c r="A51" s="26"/>
      <c r="B51" s="11" t="str">
        <f>CONCATENATE("          ", "6399", " - ", "DONATION-ON CAMPUS")</f>
        <v xml:space="preserve">          6399 - DONATION-ON CAMPUS</v>
      </c>
      <c r="C51" s="11"/>
      <c r="D51" s="7"/>
      <c r="E51" s="2"/>
      <c r="F51" s="6">
        <f t="shared" si="24"/>
        <v>0</v>
      </c>
      <c r="G51" s="2"/>
      <c r="H51" s="7">
        <v>500</v>
      </c>
      <c r="I51" s="2"/>
      <c r="J51" s="6">
        <f t="shared" si="25"/>
        <v>0</v>
      </c>
      <c r="K51" s="2"/>
      <c r="L51" s="7">
        <f t="shared" si="26"/>
        <v>-500</v>
      </c>
      <c r="M51" s="2"/>
      <c r="N51" s="6">
        <f t="shared" si="27"/>
        <v>-1</v>
      </c>
      <c r="O51" s="11"/>
      <c r="P51" s="7">
        <v>163.68</v>
      </c>
      <c r="Q51" s="2"/>
      <c r="R51" s="6">
        <f t="shared" si="28"/>
        <v>0</v>
      </c>
      <c r="S51" s="2"/>
      <c r="T51" s="7">
        <v>2500</v>
      </c>
      <c r="U51" s="2"/>
      <c r="V51" s="6">
        <f t="shared" si="29"/>
        <v>0</v>
      </c>
      <c r="W51" s="2"/>
      <c r="X51" s="7">
        <f t="shared" si="30"/>
        <v>-2336.3200000000002</v>
      </c>
      <c r="Y51" s="2"/>
      <c r="Z51" s="6">
        <f t="shared" si="31"/>
        <v>-0.93452800000000003</v>
      </c>
    </row>
    <row r="52" spans="1:26" s="27" customFormat="1" outlineLevel="1" collapsed="1" x14ac:dyDescent="0.25">
      <c r="A52" s="25"/>
      <c r="B52" s="12" t="str">
        <f>CONCATENATE("     ","Employees' Appreciation                           ")</f>
        <v xml:space="preserve">     Employees' Appreciation                           </v>
      </c>
      <c r="C52" s="12"/>
      <c r="D52" s="1">
        <f>SUM(OSRRefD22_6x_0)</f>
        <v>0</v>
      </c>
      <c r="E52" s="1"/>
      <c r="F52" s="5">
        <f t="shared" si="24"/>
        <v>0</v>
      </c>
      <c r="G52" s="1"/>
      <c r="H52" s="1">
        <f>SUM(OSRRefH22_6x_0)</f>
        <v>50</v>
      </c>
      <c r="I52" s="1"/>
      <c r="J52" s="5">
        <f t="shared" si="25"/>
        <v>0</v>
      </c>
      <c r="K52" s="1"/>
      <c r="L52" s="1">
        <f t="shared" si="26"/>
        <v>-50</v>
      </c>
      <c r="M52" s="1"/>
      <c r="N52" s="5">
        <f t="shared" si="27"/>
        <v>-1</v>
      </c>
      <c r="O52" s="12"/>
      <c r="P52" s="1">
        <f>SUM(OSRRefP22_6x_0)</f>
        <v>502.38</v>
      </c>
      <c r="Q52" s="1"/>
      <c r="R52" s="5">
        <f t="shared" si="28"/>
        <v>0</v>
      </c>
      <c r="S52" s="1"/>
      <c r="T52" s="1">
        <f>SUM(OSRRefT22_6x_0)</f>
        <v>1150</v>
      </c>
      <c r="U52" s="1"/>
      <c r="V52" s="5">
        <f t="shared" si="29"/>
        <v>0</v>
      </c>
      <c r="W52" s="1"/>
      <c r="X52" s="1">
        <f t="shared" si="30"/>
        <v>-647.62</v>
      </c>
      <c r="Y52" s="1"/>
      <c r="Z52" s="5">
        <f t="shared" si="31"/>
        <v>-0.56314782608695657</v>
      </c>
    </row>
    <row r="53" spans="1:26" s="24" customFormat="1" hidden="1" outlineLevel="2" x14ac:dyDescent="0.25">
      <c r="A53" s="26"/>
      <c r="B53" s="11" t="str">
        <f>CONCATENATE("          ", "6277", " - ", "EMPLOYEE APPRECIATION")</f>
        <v xml:space="preserve">          6277 - EMPLOYEE APPRECIATION</v>
      </c>
      <c r="C53" s="11"/>
      <c r="D53" s="7"/>
      <c r="E53" s="2"/>
      <c r="F53" s="6">
        <f t="shared" si="24"/>
        <v>0</v>
      </c>
      <c r="G53" s="2"/>
      <c r="H53" s="7">
        <v>50</v>
      </c>
      <c r="I53" s="2"/>
      <c r="J53" s="6">
        <f t="shared" si="25"/>
        <v>0</v>
      </c>
      <c r="K53" s="2"/>
      <c r="L53" s="7">
        <f t="shared" si="26"/>
        <v>-50</v>
      </c>
      <c r="M53" s="2"/>
      <c r="N53" s="6">
        <f t="shared" si="27"/>
        <v>-1</v>
      </c>
      <c r="O53" s="11"/>
      <c r="P53" s="7">
        <v>502.38</v>
      </c>
      <c r="Q53" s="2"/>
      <c r="R53" s="6">
        <f t="shared" si="28"/>
        <v>0</v>
      </c>
      <c r="S53" s="2"/>
      <c r="T53" s="7">
        <v>1150</v>
      </c>
      <c r="U53" s="2"/>
      <c r="V53" s="6">
        <f t="shared" si="29"/>
        <v>0</v>
      </c>
      <c r="W53" s="2"/>
      <c r="X53" s="7">
        <f t="shared" si="30"/>
        <v>-647.62</v>
      </c>
      <c r="Y53" s="2"/>
      <c r="Z53" s="6">
        <f t="shared" si="31"/>
        <v>-0.56314782608695657</v>
      </c>
    </row>
    <row r="54" spans="1:26" s="27" customFormat="1" outlineLevel="1" collapsed="1" x14ac:dyDescent="0.25">
      <c r="A54" s="25"/>
      <c r="B54" s="12" t="str">
        <f>CONCATENATE("     ","Equipment Rental                                  ")</f>
        <v xml:space="preserve">     Equipment Rental                                  </v>
      </c>
      <c r="C54" s="12"/>
      <c r="D54" s="1">
        <f>SUM(OSRRefD22_7x_0)</f>
        <v>587.95000000000005</v>
      </c>
      <c r="E54" s="1"/>
      <c r="F54" s="5">
        <f t="shared" si="24"/>
        <v>0</v>
      </c>
      <c r="G54" s="1"/>
      <c r="H54" s="1">
        <f>SUM(OSRRefH22_7x_0)</f>
        <v>1200</v>
      </c>
      <c r="I54" s="1"/>
      <c r="J54" s="5">
        <f t="shared" si="25"/>
        <v>0</v>
      </c>
      <c r="K54" s="1"/>
      <c r="L54" s="1">
        <f t="shared" si="26"/>
        <v>-612.04999999999995</v>
      </c>
      <c r="M54" s="1"/>
      <c r="N54" s="5">
        <f t="shared" si="27"/>
        <v>-0.51004166666666662</v>
      </c>
      <c r="O54" s="12"/>
      <c r="P54" s="1">
        <f>SUM(OSRRefP22_7x_0)</f>
        <v>11097.35</v>
      </c>
      <c r="Q54" s="1"/>
      <c r="R54" s="5">
        <f t="shared" si="28"/>
        <v>0</v>
      </c>
      <c r="S54" s="1"/>
      <c r="T54" s="1">
        <f>SUM(OSRRefT22_7x_0)</f>
        <v>12000</v>
      </c>
      <c r="U54" s="1"/>
      <c r="V54" s="5">
        <f t="shared" si="29"/>
        <v>0</v>
      </c>
      <c r="W54" s="1"/>
      <c r="X54" s="1">
        <f t="shared" si="30"/>
        <v>-902.64999999999964</v>
      </c>
      <c r="Y54" s="1"/>
      <c r="Z54" s="5">
        <f t="shared" si="31"/>
        <v>-7.5220833333333306E-2</v>
      </c>
    </row>
    <row r="55" spans="1:26" s="24" customFormat="1" hidden="1" outlineLevel="2" x14ac:dyDescent="0.25">
      <c r="A55" s="26"/>
      <c r="B55" s="11" t="str">
        <f>CONCATENATE("          ", "6351", " - ", "EQUIPMENT RENTAL")</f>
        <v xml:space="preserve">          6351 - EQUIPMENT RENTAL</v>
      </c>
      <c r="C55" s="11"/>
      <c r="D55" s="7">
        <v>587.95000000000005</v>
      </c>
      <c r="E55" s="2"/>
      <c r="F55" s="6">
        <f t="shared" si="24"/>
        <v>0</v>
      </c>
      <c r="G55" s="2"/>
      <c r="H55" s="7">
        <v>1200</v>
      </c>
      <c r="I55" s="2"/>
      <c r="J55" s="6">
        <f t="shared" si="25"/>
        <v>0</v>
      </c>
      <c r="K55" s="2"/>
      <c r="L55" s="7">
        <f t="shared" si="26"/>
        <v>-612.04999999999995</v>
      </c>
      <c r="M55" s="2"/>
      <c r="N55" s="6">
        <f t="shared" si="27"/>
        <v>-0.51004166666666662</v>
      </c>
      <c r="O55" s="11"/>
      <c r="P55" s="7">
        <v>11097.35</v>
      </c>
      <c r="Q55" s="2"/>
      <c r="R55" s="6">
        <f t="shared" si="28"/>
        <v>0</v>
      </c>
      <c r="S55" s="2"/>
      <c r="T55" s="7">
        <v>12000</v>
      </c>
      <c r="U55" s="2"/>
      <c r="V55" s="6">
        <f t="shared" si="29"/>
        <v>0</v>
      </c>
      <c r="W55" s="2"/>
      <c r="X55" s="7">
        <f t="shared" si="30"/>
        <v>-902.64999999999964</v>
      </c>
      <c r="Y55" s="2"/>
      <c r="Z55" s="6">
        <f t="shared" si="31"/>
        <v>-7.5220833333333306E-2</v>
      </c>
    </row>
    <row r="56" spans="1:26" s="27" customFormat="1" outlineLevel="1" collapsed="1" x14ac:dyDescent="0.25">
      <c r="A56" s="25"/>
      <c r="B56" s="12" t="str">
        <f>CONCATENATE("     ","Freight out/Postage                               ")</f>
        <v xml:space="preserve">     Freight out/Postage                               </v>
      </c>
      <c r="C56" s="12"/>
      <c r="D56" s="1">
        <f>SUM(OSRRefD22_8x_0)</f>
        <v>0.57999999999999996</v>
      </c>
      <c r="E56" s="1"/>
      <c r="F56" s="5">
        <f t="shared" si="24"/>
        <v>0</v>
      </c>
      <c r="G56" s="1"/>
      <c r="H56" s="1">
        <f>SUM(OSRRefH22_8x_0)</f>
        <v>0</v>
      </c>
      <c r="I56" s="1"/>
      <c r="J56" s="5">
        <f t="shared" si="25"/>
        <v>0</v>
      </c>
      <c r="K56" s="1"/>
      <c r="L56" s="1">
        <f t="shared" si="26"/>
        <v>0.57999999999999996</v>
      </c>
      <c r="M56" s="1"/>
      <c r="N56" s="5">
        <f t="shared" si="27"/>
        <v>0</v>
      </c>
      <c r="O56" s="12"/>
      <c r="P56" s="1">
        <f>SUM(OSRRefP22_8x_0)</f>
        <v>0.57999999999999996</v>
      </c>
      <c r="Q56" s="1"/>
      <c r="R56" s="5">
        <f t="shared" si="28"/>
        <v>0</v>
      </c>
      <c r="S56" s="1"/>
      <c r="T56" s="1">
        <f>SUM(OSRRefT22_8x_0)</f>
        <v>0</v>
      </c>
      <c r="U56" s="1"/>
      <c r="V56" s="5">
        <f t="shared" si="29"/>
        <v>0</v>
      </c>
      <c r="W56" s="1"/>
      <c r="X56" s="1">
        <f t="shared" si="30"/>
        <v>0.57999999999999996</v>
      </c>
      <c r="Y56" s="1"/>
      <c r="Z56" s="5">
        <f t="shared" si="31"/>
        <v>0</v>
      </c>
    </row>
    <row r="57" spans="1:26" s="24" customFormat="1" hidden="1" outlineLevel="2" x14ac:dyDescent="0.25">
      <c r="A57" s="26"/>
      <c r="B57" s="11" t="str">
        <f>CONCATENATE("          ", "6307", " - ", "POSTAGE")</f>
        <v xml:space="preserve">          6307 - POSTAGE</v>
      </c>
      <c r="C57" s="11"/>
      <c r="D57" s="7">
        <v>0.57999999999999996</v>
      </c>
      <c r="E57" s="2"/>
      <c r="F57" s="6">
        <f t="shared" si="24"/>
        <v>0</v>
      </c>
      <c r="G57" s="2"/>
      <c r="H57" s="7"/>
      <c r="I57" s="2"/>
      <c r="J57" s="6">
        <f t="shared" si="25"/>
        <v>0</v>
      </c>
      <c r="K57" s="2"/>
      <c r="L57" s="7">
        <f t="shared" si="26"/>
        <v>0.57999999999999996</v>
      </c>
      <c r="M57" s="2"/>
      <c r="N57" s="6">
        <f t="shared" si="27"/>
        <v>0</v>
      </c>
      <c r="O57" s="11"/>
      <c r="P57" s="7">
        <v>0.57999999999999996</v>
      </c>
      <c r="Q57" s="2"/>
      <c r="R57" s="6">
        <f t="shared" si="28"/>
        <v>0</v>
      </c>
      <c r="S57" s="2"/>
      <c r="T57" s="7"/>
      <c r="U57" s="2"/>
      <c r="V57" s="6">
        <f t="shared" si="29"/>
        <v>0</v>
      </c>
      <c r="W57" s="2"/>
      <c r="X57" s="7">
        <f t="shared" si="30"/>
        <v>0.57999999999999996</v>
      </c>
      <c r="Y57" s="2"/>
      <c r="Z57" s="6">
        <f t="shared" si="31"/>
        <v>0</v>
      </c>
    </row>
    <row r="58" spans="1:26" s="27" customFormat="1" outlineLevel="1" collapsed="1" x14ac:dyDescent="0.25">
      <c r="A58" s="25"/>
      <c r="B58" s="12" t="str">
        <f>CONCATENATE("     ","General                                           ")</f>
        <v xml:space="preserve">     General                                           </v>
      </c>
      <c r="C58" s="12"/>
      <c r="D58" s="1">
        <f>SUM(OSRRefD22_9x_0)</f>
        <v>0</v>
      </c>
      <c r="E58" s="1"/>
      <c r="F58" s="5">
        <f t="shared" si="24"/>
        <v>0</v>
      </c>
      <c r="G58" s="1"/>
      <c r="H58" s="1">
        <f>SUM(OSRRefH22_9x_0)</f>
        <v>0</v>
      </c>
      <c r="I58" s="1"/>
      <c r="J58" s="5">
        <f t="shared" si="25"/>
        <v>0</v>
      </c>
      <c r="K58" s="1"/>
      <c r="L58" s="1">
        <f t="shared" si="26"/>
        <v>0</v>
      </c>
      <c r="M58" s="1"/>
      <c r="N58" s="5">
        <f t="shared" si="27"/>
        <v>0</v>
      </c>
      <c r="O58" s="12"/>
      <c r="P58" s="1">
        <f>SUM(OSRRefP22_9x_0)</f>
        <v>23322.710000000003</v>
      </c>
      <c r="Q58" s="1"/>
      <c r="R58" s="5">
        <f t="shared" si="28"/>
        <v>0</v>
      </c>
      <c r="S58" s="1"/>
      <c r="T58" s="1">
        <f>SUM(OSRRefT22_9x_0)</f>
        <v>6000</v>
      </c>
      <c r="U58" s="1"/>
      <c r="V58" s="5">
        <f t="shared" si="29"/>
        <v>0</v>
      </c>
      <c r="W58" s="1"/>
      <c r="X58" s="1">
        <f t="shared" si="30"/>
        <v>17322.710000000003</v>
      </c>
      <c r="Y58" s="1"/>
      <c r="Z58" s="5">
        <f t="shared" si="31"/>
        <v>2.8871183333333339</v>
      </c>
    </row>
    <row r="59" spans="1:26" s="24" customFormat="1" hidden="1" outlineLevel="2" x14ac:dyDescent="0.25">
      <c r="A59" s="26"/>
      <c r="B59" s="11" t="str">
        <f>CONCATENATE("          ", "6279", " - ", "GENERAL EXPENSE")</f>
        <v xml:space="preserve">          6279 - GENERAL EXPENSE</v>
      </c>
      <c r="C59" s="11"/>
      <c r="D59" s="7"/>
      <c r="E59" s="2"/>
      <c r="F59" s="6">
        <f t="shared" si="24"/>
        <v>0</v>
      </c>
      <c r="G59" s="2"/>
      <c r="H59" s="7"/>
      <c r="I59" s="2"/>
      <c r="J59" s="6">
        <f t="shared" si="25"/>
        <v>0</v>
      </c>
      <c r="K59" s="2"/>
      <c r="L59" s="7">
        <f t="shared" si="26"/>
        <v>0</v>
      </c>
      <c r="M59" s="2"/>
      <c r="N59" s="6">
        <f t="shared" si="27"/>
        <v>0</v>
      </c>
      <c r="O59" s="11"/>
      <c r="P59" s="7">
        <v>23322.710000000003</v>
      </c>
      <c r="Q59" s="2"/>
      <c r="R59" s="6">
        <f t="shared" si="28"/>
        <v>0</v>
      </c>
      <c r="S59" s="2"/>
      <c r="T59" s="7">
        <v>6000</v>
      </c>
      <c r="U59" s="2"/>
      <c r="V59" s="6">
        <f t="shared" si="29"/>
        <v>0</v>
      </c>
      <c r="W59" s="2"/>
      <c r="X59" s="7">
        <f t="shared" si="30"/>
        <v>17322.710000000003</v>
      </c>
      <c r="Y59" s="2"/>
      <c r="Z59" s="6">
        <f t="shared" si="31"/>
        <v>2.8871183333333339</v>
      </c>
    </row>
    <row r="60" spans="1:26" s="27" customFormat="1" outlineLevel="1" collapsed="1" x14ac:dyDescent="0.25">
      <c r="A60" s="25"/>
      <c r="B60" s="12" t="str">
        <f>CONCATENATE("     ","Insurance                                         ")</f>
        <v xml:space="preserve">     Insurance                                         </v>
      </c>
      <c r="C60" s="12"/>
      <c r="D60" s="1">
        <f>SUM(OSRRefD22_10x_0)</f>
        <v>3598.85</v>
      </c>
      <c r="E60" s="1"/>
      <c r="F60" s="5">
        <f t="shared" si="24"/>
        <v>0</v>
      </c>
      <c r="G60" s="1"/>
      <c r="H60" s="1">
        <f>SUM(OSRRefH22_10x_0)</f>
        <v>3400</v>
      </c>
      <c r="I60" s="1"/>
      <c r="J60" s="5">
        <f t="shared" si="25"/>
        <v>0</v>
      </c>
      <c r="K60" s="1"/>
      <c r="L60" s="1">
        <f t="shared" si="26"/>
        <v>198.84999999999991</v>
      </c>
      <c r="M60" s="1"/>
      <c r="N60" s="5">
        <f t="shared" si="27"/>
        <v>5.8485294117647031E-2</v>
      </c>
      <c r="O60" s="12"/>
      <c r="P60" s="1">
        <f>SUM(OSRRefP22_10x_0)</f>
        <v>45348.35</v>
      </c>
      <c r="Q60" s="1"/>
      <c r="R60" s="5">
        <f t="shared" si="28"/>
        <v>0</v>
      </c>
      <c r="S60" s="1"/>
      <c r="T60" s="1">
        <f>SUM(OSRRefT22_10x_0)</f>
        <v>37400</v>
      </c>
      <c r="U60" s="1"/>
      <c r="V60" s="5">
        <f t="shared" si="29"/>
        <v>0</v>
      </c>
      <c r="W60" s="1"/>
      <c r="X60" s="1">
        <f t="shared" si="30"/>
        <v>7948.3499999999985</v>
      </c>
      <c r="Y60" s="1"/>
      <c r="Z60" s="5">
        <f t="shared" si="31"/>
        <v>0.21252272727272722</v>
      </c>
    </row>
    <row r="61" spans="1:26" s="24" customFormat="1" hidden="1" outlineLevel="2" x14ac:dyDescent="0.25">
      <c r="A61" s="26"/>
      <c r="B61" s="11" t="str">
        <f>CONCATENATE("          ", "6314", " - ", "LIABILITY INSURANCE")</f>
        <v xml:space="preserve">          6314 - LIABILITY INSURANCE</v>
      </c>
      <c r="C61" s="11"/>
      <c r="D61" s="7">
        <v>3598.85</v>
      </c>
      <c r="E61" s="2"/>
      <c r="F61" s="6">
        <f t="shared" si="24"/>
        <v>0</v>
      </c>
      <c r="G61" s="2"/>
      <c r="H61" s="7">
        <v>3400</v>
      </c>
      <c r="I61" s="2"/>
      <c r="J61" s="6">
        <f t="shared" si="25"/>
        <v>0</v>
      </c>
      <c r="K61" s="2"/>
      <c r="L61" s="7">
        <f t="shared" si="26"/>
        <v>198.84999999999991</v>
      </c>
      <c r="M61" s="2"/>
      <c r="N61" s="6">
        <f t="shared" si="27"/>
        <v>5.8485294117647031E-2</v>
      </c>
      <c r="O61" s="11"/>
      <c r="P61" s="7">
        <v>45348.35</v>
      </c>
      <c r="Q61" s="2"/>
      <c r="R61" s="6">
        <f t="shared" si="28"/>
        <v>0</v>
      </c>
      <c r="S61" s="2"/>
      <c r="T61" s="7">
        <v>37400</v>
      </c>
      <c r="U61" s="2"/>
      <c r="V61" s="6">
        <f t="shared" si="29"/>
        <v>0</v>
      </c>
      <c r="W61" s="2"/>
      <c r="X61" s="7">
        <f t="shared" si="30"/>
        <v>7948.3499999999985</v>
      </c>
      <c r="Y61" s="2"/>
      <c r="Z61" s="6">
        <f t="shared" si="31"/>
        <v>0.21252272727272722</v>
      </c>
    </row>
    <row r="62" spans="1:26" s="27" customFormat="1" outlineLevel="1" collapsed="1" x14ac:dyDescent="0.25">
      <c r="A62" s="25"/>
      <c r="B62" s="12" t="str">
        <f>CONCATENATE("     ","Professional Services                             ")</f>
        <v xml:space="preserve">     Professional Services                             </v>
      </c>
      <c r="C62" s="12"/>
      <c r="D62" s="1">
        <f>SUM(OSRRefD22_11x_0)</f>
        <v>0</v>
      </c>
      <c r="E62" s="1"/>
      <c r="F62" s="5">
        <f t="shared" si="24"/>
        <v>0</v>
      </c>
      <c r="G62" s="1"/>
      <c r="H62" s="1">
        <f>SUM(OSRRefH22_11x_0)</f>
        <v>0</v>
      </c>
      <c r="I62" s="1"/>
      <c r="J62" s="5">
        <f t="shared" si="25"/>
        <v>0</v>
      </c>
      <c r="K62" s="1"/>
      <c r="L62" s="1">
        <f t="shared" si="26"/>
        <v>0</v>
      </c>
      <c r="M62" s="1"/>
      <c r="N62" s="5">
        <f t="shared" si="27"/>
        <v>0</v>
      </c>
      <c r="O62" s="12"/>
      <c r="P62" s="1">
        <f>SUM(OSRRefP22_11x_0)</f>
        <v>125</v>
      </c>
      <c r="Q62" s="1"/>
      <c r="R62" s="5">
        <f t="shared" si="28"/>
        <v>0</v>
      </c>
      <c r="S62" s="1"/>
      <c r="T62" s="1">
        <f>SUM(OSRRefT22_11x_0)</f>
        <v>0</v>
      </c>
      <c r="U62" s="1"/>
      <c r="V62" s="5">
        <f t="shared" si="29"/>
        <v>0</v>
      </c>
      <c r="W62" s="1"/>
      <c r="X62" s="1">
        <f t="shared" si="30"/>
        <v>125</v>
      </c>
      <c r="Y62" s="1"/>
      <c r="Z62" s="5">
        <f t="shared" si="31"/>
        <v>0</v>
      </c>
    </row>
    <row r="63" spans="1:26" s="24" customFormat="1" hidden="1" outlineLevel="2" x14ac:dyDescent="0.25">
      <c r="A63" s="26"/>
      <c r="B63" s="11" t="str">
        <f>CONCATENATE("          ", "6336", " - ", "PROFESSIONAL SERVICES")</f>
        <v xml:space="preserve">          6336 - PROFESSIONAL SERVICES</v>
      </c>
      <c r="C63" s="11"/>
      <c r="D63" s="7"/>
      <c r="E63" s="2"/>
      <c r="F63" s="6">
        <f t="shared" si="24"/>
        <v>0</v>
      </c>
      <c r="G63" s="2"/>
      <c r="H63" s="7"/>
      <c r="I63" s="2"/>
      <c r="J63" s="6">
        <f t="shared" si="25"/>
        <v>0</v>
      </c>
      <c r="K63" s="2"/>
      <c r="L63" s="7">
        <f t="shared" si="26"/>
        <v>0</v>
      </c>
      <c r="M63" s="2"/>
      <c r="N63" s="6">
        <f t="shared" si="27"/>
        <v>0</v>
      </c>
      <c r="O63" s="11"/>
      <c r="P63" s="7">
        <v>125</v>
      </c>
      <c r="Q63" s="2"/>
      <c r="R63" s="6">
        <f t="shared" si="28"/>
        <v>0</v>
      </c>
      <c r="S63" s="2"/>
      <c r="T63" s="7"/>
      <c r="U63" s="2"/>
      <c r="V63" s="6">
        <f t="shared" si="29"/>
        <v>0</v>
      </c>
      <c r="W63" s="2"/>
      <c r="X63" s="7">
        <f t="shared" si="30"/>
        <v>125</v>
      </c>
      <c r="Y63" s="2"/>
      <c r="Z63" s="6">
        <f t="shared" si="31"/>
        <v>0</v>
      </c>
    </row>
    <row r="64" spans="1:26" s="27" customFormat="1" outlineLevel="1" collapsed="1" x14ac:dyDescent="0.25">
      <c r="A64" s="25"/>
      <c r="B64" s="12" t="str">
        <f>CONCATENATE("     ","Repair and Maintenance                            ")</f>
        <v xml:space="preserve">     Repair and Maintenance                            </v>
      </c>
      <c r="C64" s="12"/>
      <c r="D64" s="1">
        <f>SUM(OSRRefD22_12x_0)</f>
        <v>5713.66</v>
      </c>
      <c r="E64" s="1"/>
      <c r="F64" s="5">
        <f t="shared" si="24"/>
        <v>0</v>
      </c>
      <c r="G64" s="1"/>
      <c r="H64" s="1">
        <f>SUM(OSRRefH22_12x_0)</f>
        <v>11200</v>
      </c>
      <c r="I64" s="1"/>
      <c r="J64" s="5">
        <f t="shared" si="25"/>
        <v>0</v>
      </c>
      <c r="K64" s="1"/>
      <c r="L64" s="1">
        <f t="shared" si="26"/>
        <v>-5486.34</v>
      </c>
      <c r="M64" s="1"/>
      <c r="N64" s="5">
        <f t="shared" si="27"/>
        <v>-0.48985178571428573</v>
      </c>
      <c r="O64" s="12"/>
      <c r="P64" s="1">
        <f>SUM(OSRRefP22_12x_0)</f>
        <v>118641.34</v>
      </c>
      <c r="Q64" s="1"/>
      <c r="R64" s="5">
        <f t="shared" si="28"/>
        <v>0</v>
      </c>
      <c r="S64" s="1"/>
      <c r="T64" s="1">
        <f>SUM(OSRRefT22_12x_0)</f>
        <v>174700</v>
      </c>
      <c r="U64" s="1"/>
      <c r="V64" s="5">
        <f t="shared" si="29"/>
        <v>0</v>
      </c>
      <c r="W64" s="1"/>
      <c r="X64" s="1">
        <f t="shared" si="30"/>
        <v>-56058.66</v>
      </c>
      <c r="Y64" s="1"/>
      <c r="Z64" s="5">
        <f t="shared" si="31"/>
        <v>-0.32088528906697195</v>
      </c>
    </row>
    <row r="65" spans="1:26" s="24" customFormat="1" hidden="1" outlineLevel="2" x14ac:dyDescent="0.25">
      <c r="A65" s="26"/>
      <c r="B65" s="11" t="str">
        <f>CONCATENATE("          ", "6371", " - ", "COMPUTER SOFTWARE MAINTENANCE")</f>
        <v xml:space="preserve">          6371 - COMPUTER SOFTWARE MAINTENANCE</v>
      </c>
      <c r="C65" s="11"/>
      <c r="D65" s="7"/>
      <c r="E65" s="2"/>
      <c r="F65" s="6">
        <f t="shared" si="24"/>
        <v>0</v>
      </c>
      <c r="G65" s="2"/>
      <c r="H65" s="7"/>
      <c r="I65" s="2"/>
      <c r="J65" s="6">
        <f t="shared" si="25"/>
        <v>0</v>
      </c>
      <c r="K65" s="2"/>
      <c r="L65" s="7">
        <f t="shared" si="26"/>
        <v>0</v>
      </c>
      <c r="M65" s="2"/>
      <c r="N65" s="6">
        <f t="shared" si="27"/>
        <v>0</v>
      </c>
      <c r="O65" s="11"/>
      <c r="P65" s="7"/>
      <c r="Q65" s="2"/>
      <c r="R65" s="6">
        <f t="shared" si="28"/>
        <v>0</v>
      </c>
      <c r="S65" s="2"/>
      <c r="T65" s="7">
        <v>1500</v>
      </c>
      <c r="U65" s="2"/>
      <c r="V65" s="6">
        <f t="shared" si="29"/>
        <v>0</v>
      </c>
      <c r="W65" s="2"/>
      <c r="X65" s="7">
        <f t="shared" si="30"/>
        <v>-1500</v>
      </c>
      <c r="Y65" s="2"/>
      <c r="Z65" s="6">
        <f t="shared" si="31"/>
        <v>-1</v>
      </c>
    </row>
    <row r="66" spans="1:26" s="24" customFormat="1" hidden="1" outlineLevel="2" x14ac:dyDescent="0.25">
      <c r="A66" s="26"/>
      <c r="B66" s="11" t="str">
        <f>CONCATENATE("          ", "6372", " - ", "COMPUTER HARDWARE MAINTENANCE")</f>
        <v xml:space="preserve">          6372 - COMPUTER HARDWARE MAINTENANCE</v>
      </c>
      <c r="C66" s="11"/>
      <c r="D66" s="7"/>
      <c r="E66" s="2"/>
      <c r="F66" s="6">
        <f t="shared" si="24"/>
        <v>0</v>
      </c>
      <c r="G66" s="2"/>
      <c r="H66" s="7"/>
      <c r="I66" s="2"/>
      <c r="J66" s="6">
        <f t="shared" si="25"/>
        <v>0</v>
      </c>
      <c r="K66" s="2"/>
      <c r="L66" s="7">
        <f t="shared" si="26"/>
        <v>0</v>
      </c>
      <c r="M66" s="2"/>
      <c r="N66" s="6">
        <f t="shared" si="27"/>
        <v>0</v>
      </c>
      <c r="O66" s="11"/>
      <c r="P66" s="7">
        <v>8142.88</v>
      </c>
      <c r="Q66" s="2"/>
      <c r="R66" s="6">
        <f t="shared" si="28"/>
        <v>0</v>
      </c>
      <c r="S66" s="2"/>
      <c r="T66" s="7"/>
      <c r="U66" s="2"/>
      <c r="V66" s="6">
        <f t="shared" si="29"/>
        <v>0</v>
      </c>
      <c r="W66" s="2"/>
      <c r="X66" s="7">
        <f t="shared" si="30"/>
        <v>8142.88</v>
      </c>
      <c r="Y66" s="2"/>
      <c r="Z66" s="6">
        <f t="shared" si="31"/>
        <v>0</v>
      </c>
    </row>
    <row r="67" spans="1:26" s="24" customFormat="1" hidden="1" outlineLevel="2" x14ac:dyDescent="0.25">
      <c r="A67" s="26"/>
      <c r="B67" s="11" t="str">
        <f>CONCATENATE("          ", "6373", " - ", "MAINTENANCE CONTRACTS")</f>
        <v xml:space="preserve">          6373 - MAINTENANCE CONTRACTS</v>
      </c>
      <c r="C67" s="11"/>
      <c r="D67" s="7">
        <v>5002.32</v>
      </c>
      <c r="E67" s="2"/>
      <c r="F67" s="6">
        <f t="shared" si="24"/>
        <v>0</v>
      </c>
      <c r="G67" s="2"/>
      <c r="H67" s="7">
        <v>1200</v>
      </c>
      <c r="I67" s="2"/>
      <c r="J67" s="6">
        <f t="shared" si="25"/>
        <v>0</v>
      </c>
      <c r="K67" s="2"/>
      <c r="L67" s="7">
        <f t="shared" si="26"/>
        <v>3802.3199999999997</v>
      </c>
      <c r="M67" s="2"/>
      <c r="N67" s="6">
        <f t="shared" si="27"/>
        <v>3.1685999999999996</v>
      </c>
      <c r="O67" s="11"/>
      <c r="P67" s="7">
        <v>63636.24</v>
      </c>
      <c r="Q67" s="2"/>
      <c r="R67" s="6">
        <f t="shared" si="28"/>
        <v>0</v>
      </c>
      <c r="S67" s="2"/>
      <c r="T67" s="7">
        <v>13200</v>
      </c>
      <c r="U67" s="2"/>
      <c r="V67" s="6">
        <f t="shared" si="29"/>
        <v>0</v>
      </c>
      <c r="W67" s="2"/>
      <c r="X67" s="7">
        <f t="shared" si="30"/>
        <v>50436.24</v>
      </c>
      <c r="Y67" s="2"/>
      <c r="Z67" s="6">
        <f t="shared" si="31"/>
        <v>3.8209272727272725</v>
      </c>
    </row>
    <row r="68" spans="1:26" s="24" customFormat="1" hidden="1" outlineLevel="2" x14ac:dyDescent="0.25">
      <c r="A68" s="26"/>
      <c r="B68" s="11" t="str">
        <f>CONCATENATE("          ", "6375", " - ", "OUTSIDE REPAIRS &amp; MAINTENANCE")</f>
        <v xml:space="preserve">          6375 - OUTSIDE REPAIRS &amp; MAINTENANCE</v>
      </c>
      <c r="C68" s="11"/>
      <c r="D68" s="7">
        <v>711.34</v>
      </c>
      <c r="E68" s="2"/>
      <c r="F68" s="6">
        <f t="shared" si="24"/>
        <v>0</v>
      </c>
      <c r="G68" s="2"/>
      <c r="H68" s="7">
        <v>10000</v>
      </c>
      <c r="I68" s="2"/>
      <c r="J68" s="6">
        <f t="shared" si="25"/>
        <v>0</v>
      </c>
      <c r="K68" s="2"/>
      <c r="L68" s="7">
        <f t="shared" si="26"/>
        <v>-9288.66</v>
      </c>
      <c r="M68" s="2"/>
      <c r="N68" s="6">
        <f t="shared" si="27"/>
        <v>-0.92886599999999997</v>
      </c>
      <c r="O68" s="11"/>
      <c r="P68" s="7">
        <v>46862.22</v>
      </c>
      <c r="Q68" s="2"/>
      <c r="R68" s="6">
        <f t="shared" si="28"/>
        <v>0</v>
      </c>
      <c r="S68" s="2"/>
      <c r="T68" s="7">
        <v>160000</v>
      </c>
      <c r="U68" s="2"/>
      <c r="V68" s="6">
        <f t="shared" si="29"/>
        <v>0</v>
      </c>
      <c r="W68" s="2"/>
      <c r="X68" s="7">
        <f t="shared" si="30"/>
        <v>-113137.78</v>
      </c>
      <c r="Y68" s="2"/>
      <c r="Z68" s="6">
        <f t="shared" si="31"/>
        <v>-0.70711112499999995</v>
      </c>
    </row>
    <row r="69" spans="1:26" s="27" customFormat="1" outlineLevel="1" collapsed="1" x14ac:dyDescent="0.25">
      <c r="A69" s="25"/>
      <c r="B69" s="12" t="str">
        <f>CONCATENATE("     ","Services                                          ")</f>
        <v xml:space="preserve">     Services                                          </v>
      </c>
      <c r="C69" s="12"/>
      <c r="D69" s="1">
        <f>SUM(OSRRefD22_13x_0)</f>
        <v>4254</v>
      </c>
      <c r="E69" s="1"/>
      <c r="F69" s="5">
        <f t="shared" ref="F69:F74" si="32">IF(D$12=0,0,D69/D$12)</f>
        <v>0</v>
      </c>
      <c r="G69" s="1"/>
      <c r="H69" s="1">
        <f>SUM(OSRRefH22_13x_0)</f>
        <v>13685</v>
      </c>
      <c r="I69" s="1"/>
      <c r="J69" s="5">
        <f t="shared" ref="J69:J74" si="33">IF(H$12=0,0,H69/H$12)</f>
        <v>0</v>
      </c>
      <c r="K69" s="1"/>
      <c r="L69" s="1">
        <f t="shared" ref="L69:L74" si="34">+D69-H69</f>
        <v>-9431</v>
      </c>
      <c r="M69" s="1"/>
      <c r="N69" s="5">
        <f t="shared" ref="N69:N74" si="35">IF(H69=0,0,L69/H69)</f>
        <v>-0.68914870295944464</v>
      </c>
      <c r="O69" s="12"/>
      <c r="P69" s="1">
        <f>SUM(OSRRefP22_13x_0)</f>
        <v>139480.26999999999</v>
      </c>
      <c r="Q69" s="1"/>
      <c r="R69" s="5">
        <f t="shared" ref="R69:R74" si="36">IF(P$12=0,0,P69/P$12)</f>
        <v>0</v>
      </c>
      <c r="S69" s="1"/>
      <c r="T69" s="1">
        <f>SUM(OSRRefT22_13x_0)</f>
        <v>150500</v>
      </c>
      <c r="U69" s="1"/>
      <c r="V69" s="5">
        <f t="shared" ref="V69:V74" si="37">IF(T$12=0,0,T69/T$12)</f>
        <v>0</v>
      </c>
      <c r="W69" s="1"/>
      <c r="X69" s="1">
        <f t="shared" ref="X69:X74" si="38">+P69-T69</f>
        <v>-11019.73000000001</v>
      </c>
      <c r="Y69" s="1"/>
      <c r="Z69" s="5">
        <f t="shared" ref="Z69:Z74" si="39">IF(T69=0,0,X69/T69)</f>
        <v>-7.3220797342192764E-2</v>
      </c>
    </row>
    <row r="70" spans="1:26" s="24" customFormat="1" hidden="1" outlineLevel="2" x14ac:dyDescent="0.25">
      <c r="A70" s="26"/>
      <c r="B70" s="11" t="str">
        <f>CONCATENATE("          ", "6282", " - ", "JANITORIAL/EXTERMINATOR EXPENS")</f>
        <v xml:space="preserve">          6282 - JANITORIAL/EXTERMINATOR EXPENS</v>
      </c>
      <c r="C70" s="11"/>
      <c r="D70" s="7"/>
      <c r="E70" s="2"/>
      <c r="F70" s="6">
        <f t="shared" si="32"/>
        <v>0</v>
      </c>
      <c r="G70" s="2"/>
      <c r="H70" s="7">
        <v>650</v>
      </c>
      <c r="I70" s="2"/>
      <c r="J70" s="6">
        <f t="shared" si="33"/>
        <v>0</v>
      </c>
      <c r="K70" s="2"/>
      <c r="L70" s="7">
        <f t="shared" si="34"/>
        <v>-650</v>
      </c>
      <c r="M70" s="2"/>
      <c r="N70" s="6">
        <f t="shared" si="35"/>
        <v>-1</v>
      </c>
      <c r="O70" s="11"/>
      <c r="P70" s="7">
        <v>6262.6</v>
      </c>
      <c r="Q70" s="2"/>
      <c r="R70" s="6">
        <f t="shared" si="36"/>
        <v>0</v>
      </c>
      <c r="S70" s="2"/>
      <c r="T70" s="7">
        <v>7150</v>
      </c>
      <c r="U70" s="2"/>
      <c r="V70" s="6">
        <f t="shared" si="37"/>
        <v>0</v>
      </c>
      <c r="W70" s="2"/>
      <c r="X70" s="7">
        <f t="shared" si="38"/>
        <v>-887.39999999999964</v>
      </c>
      <c r="Y70" s="2"/>
      <c r="Z70" s="6">
        <f t="shared" si="39"/>
        <v>-0.12411188811188806</v>
      </c>
    </row>
    <row r="71" spans="1:26" s="24" customFormat="1" hidden="1" outlineLevel="2" x14ac:dyDescent="0.25">
      <c r="A71" s="26"/>
      <c r="B71" s="11" t="str">
        <f>CONCATENATE("          ", "6283", " - ", "PLANT SERVICE")</f>
        <v xml:space="preserve">          6283 - PLANT SERVICE</v>
      </c>
      <c r="C71" s="11"/>
      <c r="D71" s="7"/>
      <c r="E71" s="2"/>
      <c r="F71" s="6">
        <f t="shared" si="32"/>
        <v>0</v>
      </c>
      <c r="G71" s="2"/>
      <c r="H71" s="7">
        <v>35</v>
      </c>
      <c r="I71" s="2"/>
      <c r="J71" s="6">
        <f t="shared" si="33"/>
        <v>0</v>
      </c>
      <c r="K71" s="2"/>
      <c r="L71" s="7">
        <f t="shared" si="34"/>
        <v>-35</v>
      </c>
      <c r="M71" s="2"/>
      <c r="N71" s="6">
        <f t="shared" si="35"/>
        <v>-1</v>
      </c>
      <c r="O71" s="11"/>
      <c r="P71" s="7">
        <v>319.77</v>
      </c>
      <c r="Q71" s="2"/>
      <c r="R71" s="6">
        <f t="shared" si="36"/>
        <v>0</v>
      </c>
      <c r="S71" s="2"/>
      <c r="T71" s="7">
        <v>350</v>
      </c>
      <c r="U71" s="2"/>
      <c r="V71" s="6">
        <f t="shared" si="37"/>
        <v>0</v>
      </c>
      <c r="W71" s="2"/>
      <c r="X71" s="7">
        <f t="shared" si="38"/>
        <v>-30.230000000000018</v>
      </c>
      <c r="Y71" s="2"/>
      <c r="Z71" s="6">
        <f t="shared" si="39"/>
        <v>-8.6371428571428627E-2</v>
      </c>
    </row>
    <row r="72" spans="1:26" s="24" customFormat="1" hidden="1" outlineLevel="2" x14ac:dyDescent="0.25">
      <c r="A72" s="26"/>
      <c r="B72" s="11" t="str">
        <f>CONCATENATE("          ", "6284", " - ", "TRASH REMOVAL EXPENSE")</f>
        <v xml:space="preserve">          6284 - TRASH REMOVAL EXPENSE</v>
      </c>
      <c r="C72" s="11"/>
      <c r="D72" s="7">
        <v>4254</v>
      </c>
      <c r="E72" s="2"/>
      <c r="F72" s="6">
        <f t="shared" si="32"/>
        <v>0</v>
      </c>
      <c r="G72" s="2"/>
      <c r="H72" s="7">
        <v>3000</v>
      </c>
      <c r="I72" s="2"/>
      <c r="J72" s="6">
        <f t="shared" si="33"/>
        <v>0</v>
      </c>
      <c r="K72" s="2"/>
      <c r="L72" s="7">
        <f t="shared" si="34"/>
        <v>1254</v>
      </c>
      <c r="M72" s="2"/>
      <c r="N72" s="6">
        <f t="shared" si="35"/>
        <v>0.41799999999999998</v>
      </c>
      <c r="O72" s="11"/>
      <c r="P72" s="7">
        <v>39009</v>
      </c>
      <c r="Q72" s="2"/>
      <c r="R72" s="6">
        <f t="shared" si="36"/>
        <v>0</v>
      </c>
      <c r="S72" s="2"/>
      <c r="T72" s="7">
        <v>33000</v>
      </c>
      <c r="U72" s="2"/>
      <c r="V72" s="6">
        <f t="shared" si="37"/>
        <v>0</v>
      </c>
      <c r="W72" s="2"/>
      <c r="X72" s="7">
        <f t="shared" si="38"/>
        <v>6009</v>
      </c>
      <c r="Y72" s="2"/>
      <c r="Z72" s="6">
        <f t="shared" si="39"/>
        <v>0.18209090909090908</v>
      </c>
    </row>
    <row r="73" spans="1:26" s="24" customFormat="1" hidden="1" outlineLevel="2" x14ac:dyDescent="0.25">
      <c r="A73" s="26"/>
      <c r="B73" s="11" t="str">
        <f>CONCATENATE("          ", "6285", " - ", "JANITORIAL SERVICES")</f>
        <v xml:space="preserve">          6285 - JANITORIAL SERVICES</v>
      </c>
      <c r="C73" s="11"/>
      <c r="D73" s="7"/>
      <c r="E73" s="2"/>
      <c r="F73" s="6">
        <f t="shared" si="32"/>
        <v>0</v>
      </c>
      <c r="G73" s="2"/>
      <c r="H73" s="7">
        <v>9500</v>
      </c>
      <c r="I73" s="2"/>
      <c r="J73" s="6">
        <f t="shared" si="33"/>
        <v>0</v>
      </c>
      <c r="K73" s="2"/>
      <c r="L73" s="7">
        <f t="shared" si="34"/>
        <v>-9500</v>
      </c>
      <c r="M73" s="2"/>
      <c r="N73" s="6">
        <f t="shared" si="35"/>
        <v>-1</v>
      </c>
      <c r="O73" s="11"/>
      <c r="P73" s="7">
        <v>93144.07</v>
      </c>
      <c r="Q73" s="2"/>
      <c r="R73" s="6">
        <f t="shared" si="36"/>
        <v>0</v>
      </c>
      <c r="S73" s="2"/>
      <c r="T73" s="7">
        <v>104500</v>
      </c>
      <c r="U73" s="2"/>
      <c r="V73" s="6">
        <f t="shared" si="37"/>
        <v>0</v>
      </c>
      <c r="W73" s="2"/>
      <c r="X73" s="7">
        <f t="shared" si="38"/>
        <v>-11355.929999999993</v>
      </c>
      <c r="Y73" s="2"/>
      <c r="Z73" s="6">
        <f t="shared" si="39"/>
        <v>-0.10866918660287074</v>
      </c>
    </row>
    <row r="74" spans="1:26" s="24" customFormat="1" hidden="1" outlineLevel="2" x14ac:dyDescent="0.25">
      <c r="A74" s="26"/>
      <c r="B74" s="11" t="str">
        <f>CONCATENATE("          ", "6286", " - ", "LAUNDRY EXPENSE")</f>
        <v xml:space="preserve">          6286 - LAUNDRY EXPENSE</v>
      </c>
      <c r="C74" s="11"/>
      <c r="D74" s="7"/>
      <c r="E74" s="2"/>
      <c r="F74" s="6">
        <f t="shared" si="32"/>
        <v>0</v>
      </c>
      <c r="G74" s="2"/>
      <c r="H74" s="7">
        <v>500</v>
      </c>
      <c r="I74" s="2"/>
      <c r="J74" s="6">
        <f t="shared" si="33"/>
        <v>0</v>
      </c>
      <c r="K74" s="2"/>
      <c r="L74" s="7">
        <f t="shared" si="34"/>
        <v>-500</v>
      </c>
      <c r="M74" s="2"/>
      <c r="N74" s="6">
        <f t="shared" si="35"/>
        <v>-1</v>
      </c>
      <c r="O74" s="11"/>
      <c r="P74" s="7">
        <v>744.83</v>
      </c>
      <c r="Q74" s="2"/>
      <c r="R74" s="6">
        <f t="shared" si="36"/>
        <v>0</v>
      </c>
      <c r="S74" s="2"/>
      <c r="T74" s="7">
        <v>5500</v>
      </c>
      <c r="U74" s="2"/>
      <c r="V74" s="6">
        <f t="shared" si="37"/>
        <v>0</v>
      </c>
      <c r="W74" s="2"/>
      <c r="X74" s="7">
        <f t="shared" si="38"/>
        <v>-4755.17</v>
      </c>
      <c r="Y74" s="2"/>
      <c r="Z74" s="6">
        <f t="shared" si="39"/>
        <v>-0.8645763636363637</v>
      </c>
    </row>
    <row r="75" spans="1:26" s="27" customFormat="1" outlineLevel="1" collapsed="1" x14ac:dyDescent="0.25">
      <c r="A75" s="25"/>
      <c r="B75" s="12" t="str">
        <f>CONCATENATE("     ","Subscriptions &amp; Dues                              ")</f>
        <v xml:space="preserve">     Subscriptions &amp; Dues                              </v>
      </c>
      <c r="C75" s="12"/>
      <c r="D75" s="1">
        <f>SUM(OSRRefD22_14x_0)</f>
        <v>0</v>
      </c>
      <c r="E75" s="1"/>
      <c r="F75" s="5">
        <f t="shared" ref="F75:F86" si="40">IF(D$12=0,0,D75/D$12)</f>
        <v>0</v>
      </c>
      <c r="G75" s="1"/>
      <c r="H75" s="1">
        <f>SUM(OSRRefH22_14x_0)</f>
        <v>0</v>
      </c>
      <c r="I75" s="1"/>
      <c r="J75" s="5">
        <f t="shared" ref="J75:J86" si="41">IF(H$12=0,0,H75/H$12)</f>
        <v>0</v>
      </c>
      <c r="K75" s="1"/>
      <c r="L75" s="1">
        <f t="shared" ref="L75:L86" si="42">+D75-H75</f>
        <v>0</v>
      </c>
      <c r="M75" s="1"/>
      <c r="N75" s="5">
        <f t="shared" ref="N75:N86" si="43">IF(H75=0,0,L75/H75)</f>
        <v>0</v>
      </c>
      <c r="O75" s="12"/>
      <c r="P75" s="1">
        <f>SUM(OSRRefP22_14x_0)</f>
        <v>795</v>
      </c>
      <c r="Q75" s="1"/>
      <c r="R75" s="5">
        <f t="shared" ref="R75:R86" si="44">IF(P$12=0,0,P75/P$12)</f>
        <v>0</v>
      </c>
      <c r="S75" s="1"/>
      <c r="T75" s="1">
        <f>SUM(OSRRefT22_14x_0)</f>
        <v>0</v>
      </c>
      <c r="U75" s="1"/>
      <c r="V75" s="5">
        <f t="shared" ref="V75:V86" si="45">IF(T$12=0,0,T75/T$12)</f>
        <v>0</v>
      </c>
      <c r="W75" s="1"/>
      <c r="X75" s="1">
        <f t="shared" ref="X75:X86" si="46">+P75-T75</f>
        <v>795</v>
      </c>
      <c r="Y75" s="1"/>
      <c r="Z75" s="5">
        <f t="shared" ref="Z75:Z86" si="47">IF(T75=0,0,X75/T75)</f>
        <v>0</v>
      </c>
    </row>
    <row r="76" spans="1:26" s="24" customFormat="1" hidden="1" outlineLevel="2" x14ac:dyDescent="0.25">
      <c r="A76" s="26"/>
      <c r="B76" s="11" t="str">
        <f>CONCATENATE("          ", "6258", " - ", "MEMBERSHIP DUES")</f>
        <v xml:space="preserve">          6258 - MEMBERSHIP DUES</v>
      </c>
      <c r="C76" s="11"/>
      <c r="D76" s="7"/>
      <c r="E76" s="2"/>
      <c r="F76" s="6">
        <f t="shared" si="40"/>
        <v>0</v>
      </c>
      <c r="G76" s="2"/>
      <c r="H76" s="7"/>
      <c r="I76" s="2"/>
      <c r="J76" s="6">
        <f t="shared" si="41"/>
        <v>0</v>
      </c>
      <c r="K76" s="2"/>
      <c r="L76" s="7">
        <f t="shared" si="42"/>
        <v>0</v>
      </c>
      <c r="M76" s="2"/>
      <c r="N76" s="6">
        <f t="shared" si="43"/>
        <v>0</v>
      </c>
      <c r="O76" s="11"/>
      <c r="P76" s="7">
        <v>795</v>
      </c>
      <c r="Q76" s="2"/>
      <c r="R76" s="6">
        <f t="shared" si="44"/>
        <v>0</v>
      </c>
      <c r="S76" s="2"/>
      <c r="T76" s="7"/>
      <c r="U76" s="2"/>
      <c r="V76" s="6">
        <f t="shared" si="45"/>
        <v>0</v>
      </c>
      <c r="W76" s="2"/>
      <c r="X76" s="7">
        <f t="shared" si="46"/>
        <v>795</v>
      </c>
      <c r="Y76" s="2"/>
      <c r="Z76" s="6">
        <f t="shared" si="47"/>
        <v>0</v>
      </c>
    </row>
    <row r="77" spans="1:26" s="27" customFormat="1" outlineLevel="1" collapsed="1" x14ac:dyDescent="0.25">
      <c r="A77" s="25"/>
      <c r="B77" s="12" t="str">
        <f>CONCATENATE("     ","Supplies                                          ")</f>
        <v xml:space="preserve">     Supplies                                          </v>
      </c>
      <c r="C77" s="12"/>
      <c r="D77" s="1">
        <f>SUM(OSRRefD22_15x_0)</f>
        <v>1095.08</v>
      </c>
      <c r="E77" s="1"/>
      <c r="F77" s="5">
        <f t="shared" si="40"/>
        <v>0</v>
      </c>
      <c r="G77" s="1"/>
      <c r="H77" s="1">
        <f>SUM(OSRRefH22_15x_0)</f>
        <v>3600</v>
      </c>
      <c r="I77" s="1"/>
      <c r="J77" s="5">
        <f t="shared" si="41"/>
        <v>0</v>
      </c>
      <c r="K77" s="1"/>
      <c r="L77" s="1">
        <f t="shared" si="42"/>
        <v>-2504.92</v>
      </c>
      <c r="M77" s="1"/>
      <c r="N77" s="5">
        <f t="shared" si="43"/>
        <v>-0.69581111111111116</v>
      </c>
      <c r="O77" s="12"/>
      <c r="P77" s="1">
        <f>SUM(OSRRefP22_15x_0)</f>
        <v>67950.259999999995</v>
      </c>
      <c r="Q77" s="1"/>
      <c r="R77" s="5">
        <f t="shared" si="44"/>
        <v>0</v>
      </c>
      <c r="S77" s="1"/>
      <c r="T77" s="1">
        <f>SUM(OSRRefT22_15x_0)</f>
        <v>56400</v>
      </c>
      <c r="U77" s="1"/>
      <c r="V77" s="5">
        <f t="shared" si="45"/>
        <v>0</v>
      </c>
      <c r="W77" s="1"/>
      <c r="X77" s="1">
        <f t="shared" si="46"/>
        <v>11550.259999999995</v>
      </c>
      <c r="Y77" s="1"/>
      <c r="Z77" s="5">
        <f t="shared" si="47"/>
        <v>0.20479184397163111</v>
      </c>
    </row>
    <row r="78" spans="1:26" s="24" customFormat="1" hidden="1" outlineLevel="2" x14ac:dyDescent="0.25">
      <c r="A78" s="26"/>
      <c r="B78" s="11" t="str">
        <f>CONCATENATE("          ", "6234", " - ", "EXPENDABLE SUPPLIES &amp; EQUIPMEN")</f>
        <v xml:space="preserve">          6234 - EXPENDABLE SUPPLIES &amp; EQUIPMEN</v>
      </c>
      <c r="C78" s="11"/>
      <c r="D78" s="7"/>
      <c r="E78" s="2"/>
      <c r="F78" s="6">
        <f t="shared" si="40"/>
        <v>0</v>
      </c>
      <c r="G78" s="2"/>
      <c r="H78" s="7"/>
      <c r="I78" s="2"/>
      <c r="J78" s="6">
        <f t="shared" si="41"/>
        <v>0</v>
      </c>
      <c r="K78" s="2"/>
      <c r="L78" s="7">
        <f t="shared" si="42"/>
        <v>0</v>
      </c>
      <c r="M78" s="2"/>
      <c r="N78" s="6">
        <f t="shared" si="43"/>
        <v>0</v>
      </c>
      <c r="O78" s="11"/>
      <c r="P78" s="7">
        <v>8480.18</v>
      </c>
      <c r="Q78" s="2"/>
      <c r="R78" s="6">
        <f t="shared" si="44"/>
        <v>0</v>
      </c>
      <c r="S78" s="2"/>
      <c r="T78" s="7"/>
      <c r="U78" s="2"/>
      <c r="V78" s="6">
        <f t="shared" si="45"/>
        <v>0</v>
      </c>
      <c r="W78" s="2"/>
      <c r="X78" s="7">
        <f t="shared" si="46"/>
        <v>8480.18</v>
      </c>
      <c r="Y78" s="2"/>
      <c r="Z78" s="6">
        <f t="shared" si="47"/>
        <v>0</v>
      </c>
    </row>
    <row r="79" spans="1:26" s="24" customFormat="1" hidden="1" outlineLevel="2" x14ac:dyDescent="0.25">
      <c r="A79" s="26"/>
      <c r="B79" s="11" t="str">
        <f>CONCATENATE("          ", "6235", " - ", "COVID-19 EXPENSES")</f>
        <v xml:space="preserve">          6235 - COVID-19 EXPENSES</v>
      </c>
      <c r="C79" s="11"/>
      <c r="D79" s="7">
        <v>1095.08</v>
      </c>
      <c r="E79" s="2"/>
      <c r="F79" s="6">
        <f t="shared" si="40"/>
        <v>0</v>
      </c>
      <c r="G79" s="2"/>
      <c r="H79" s="7"/>
      <c r="I79" s="2"/>
      <c r="J79" s="6">
        <f t="shared" si="41"/>
        <v>0</v>
      </c>
      <c r="K79" s="2"/>
      <c r="L79" s="7">
        <f t="shared" si="42"/>
        <v>1095.08</v>
      </c>
      <c r="M79" s="2"/>
      <c r="N79" s="6">
        <f t="shared" si="43"/>
        <v>0</v>
      </c>
      <c r="O79" s="11"/>
      <c r="P79" s="7">
        <v>1095.08</v>
      </c>
      <c r="Q79" s="2"/>
      <c r="R79" s="6">
        <f t="shared" si="44"/>
        <v>0</v>
      </c>
      <c r="S79" s="2"/>
      <c r="T79" s="7"/>
      <c r="U79" s="2"/>
      <c r="V79" s="6">
        <f t="shared" si="45"/>
        <v>0</v>
      </c>
      <c r="W79" s="2"/>
      <c r="X79" s="7">
        <f t="shared" si="46"/>
        <v>1095.08</v>
      </c>
      <c r="Y79" s="2"/>
      <c r="Z79" s="6">
        <f t="shared" si="47"/>
        <v>0</v>
      </c>
    </row>
    <row r="80" spans="1:26" s="24" customFormat="1" hidden="1" outlineLevel="2" x14ac:dyDescent="0.25">
      <c r="A80" s="26"/>
      <c r="B80" s="11" t="str">
        <f>CONCATENATE("          ", "6237", " - ", "JANITORIAL SUPPLIES")</f>
        <v xml:space="preserve">          6237 - JANITORIAL SUPPLIES</v>
      </c>
      <c r="C80" s="11"/>
      <c r="D80" s="7"/>
      <c r="E80" s="2"/>
      <c r="F80" s="6">
        <f t="shared" si="40"/>
        <v>0</v>
      </c>
      <c r="G80" s="2"/>
      <c r="H80" s="7">
        <v>3000</v>
      </c>
      <c r="I80" s="2"/>
      <c r="J80" s="6">
        <f t="shared" si="41"/>
        <v>0</v>
      </c>
      <c r="K80" s="2"/>
      <c r="L80" s="7">
        <f t="shared" si="42"/>
        <v>-3000</v>
      </c>
      <c r="M80" s="2"/>
      <c r="N80" s="6">
        <f t="shared" si="43"/>
        <v>-1</v>
      </c>
      <c r="O80" s="11"/>
      <c r="P80" s="7">
        <v>35461.51</v>
      </c>
      <c r="Q80" s="2"/>
      <c r="R80" s="6">
        <f t="shared" si="44"/>
        <v>0</v>
      </c>
      <c r="S80" s="2"/>
      <c r="T80" s="7">
        <v>36000</v>
      </c>
      <c r="U80" s="2"/>
      <c r="V80" s="6">
        <f t="shared" si="45"/>
        <v>0</v>
      </c>
      <c r="W80" s="2"/>
      <c r="X80" s="7">
        <f t="shared" si="46"/>
        <v>-538.48999999999796</v>
      </c>
      <c r="Y80" s="2"/>
      <c r="Z80" s="6">
        <f t="shared" si="47"/>
        <v>-1.4958055555555499E-2</v>
      </c>
    </row>
    <row r="81" spans="1:26" s="24" customFormat="1" hidden="1" outlineLevel="2" x14ac:dyDescent="0.25">
      <c r="A81" s="26"/>
      <c r="B81" s="11" t="str">
        <f>CONCATENATE("          ", "6239", " - ", "KITCHEN SUPPLIES")</f>
        <v xml:space="preserve">          6239 - KITCHEN SUPPLIES</v>
      </c>
      <c r="C81" s="11"/>
      <c r="D81" s="7"/>
      <c r="E81" s="2"/>
      <c r="F81" s="6">
        <f t="shared" si="40"/>
        <v>0</v>
      </c>
      <c r="G81" s="2"/>
      <c r="H81" s="7"/>
      <c r="I81" s="2"/>
      <c r="J81" s="6">
        <f t="shared" si="41"/>
        <v>0</v>
      </c>
      <c r="K81" s="2"/>
      <c r="L81" s="7">
        <f t="shared" si="42"/>
        <v>0</v>
      </c>
      <c r="M81" s="2"/>
      <c r="N81" s="6">
        <f t="shared" si="43"/>
        <v>0</v>
      </c>
      <c r="O81" s="11"/>
      <c r="P81" s="7">
        <v>18397.89</v>
      </c>
      <c r="Q81" s="2"/>
      <c r="R81" s="6">
        <f t="shared" si="44"/>
        <v>0</v>
      </c>
      <c r="S81" s="2"/>
      <c r="T81" s="7">
        <v>9000</v>
      </c>
      <c r="U81" s="2"/>
      <c r="V81" s="6">
        <f t="shared" si="45"/>
        <v>0</v>
      </c>
      <c r="W81" s="2"/>
      <c r="X81" s="7">
        <f t="shared" si="46"/>
        <v>9397.89</v>
      </c>
      <c r="Y81" s="2"/>
      <c r="Z81" s="6">
        <f t="shared" si="47"/>
        <v>1.0442099999999999</v>
      </c>
    </row>
    <row r="82" spans="1:26" s="24" customFormat="1" hidden="1" outlineLevel="2" x14ac:dyDescent="0.25">
      <c r="A82" s="26"/>
      <c r="B82" s="11" t="str">
        <f>CONCATENATE("          ", "6241", " - ", "OFFICE EXPENSE")</f>
        <v xml:space="preserve">          6241 - OFFICE EXPENSE</v>
      </c>
      <c r="C82" s="11"/>
      <c r="D82" s="7"/>
      <c r="E82" s="2"/>
      <c r="F82" s="6">
        <f t="shared" si="40"/>
        <v>0</v>
      </c>
      <c r="G82" s="2"/>
      <c r="H82" s="7">
        <v>200</v>
      </c>
      <c r="I82" s="2"/>
      <c r="J82" s="6">
        <f t="shared" si="41"/>
        <v>0</v>
      </c>
      <c r="K82" s="2"/>
      <c r="L82" s="7">
        <f t="shared" si="42"/>
        <v>-200</v>
      </c>
      <c r="M82" s="2"/>
      <c r="N82" s="6">
        <f t="shared" si="43"/>
        <v>-1</v>
      </c>
      <c r="O82" s="11"/>
      <c r="P82" s="7">
        <v>2858.28</v>
      </c>
      <c r="Q82" s="2"/>
      <c r="R82" s="6">
        <f t="shared" si="44"/>
        <v>0</v>
      </c>
      <c r="S82" s="2"/>
      <c r="T82" s="7">
        <v>2500</v>
      </c>
      <c r="U82" s="2"/>
      <c r="V82" s="6">
        <f t="shared" si="45"/>
        <v>0</v>
      </c>
      <c r="W82" s="2"/>
      <c r="X82" s="7">
        <f t="shared" si="46"/>
        <v>358.2800000000002</v>
      </c>
      <c r="Y82" s="2"/>
      <c r="Z82" s="6">
        <f t="shared" si="47"/>
        <v>0.14331200000000008</v>
      </c>
    </row>
    <row r="83" spans="1:26" s="24" customFormat="1" hidden="1" outlineLevel="2" x14ac:dyDescent="0.25">
      <c r="A83" s="26"/>
      <c r="B83" s="11" t="str">
        <f>CONCATENATE("          ", "6243", " - ", "PAPER SUPPLIES")</f>
        <v xml:space="preserve">          6243 - PAPER SUPPLIES</v>
      </c>
      <c r="C83" s="11"/>
      <c r="D83" s="7"/>
      <c r="E83" s="2"/>
      <c r="F83" s="6">
        <f t="shared" si="40"/>
        <v>0</v>
      </c>
      <c r="G83" s="2"/>
      <c r="H83" s="7">
        <v>400</v>
      </c>
      <c r="I83" s="2"/>
      <c r="J83" s="6">
        <f t="shared" si="41"/>
        <v>0</v>
      </c>
      <c r="K83" s="2"/>
      <c r="L83" s="7">
        <f t="shared" si="42"/>
        <v>-400</v>
      </c>
      <c r="M83" s="2"/>
      <c r="N83" s="6">
        <f t="shared" si="43"/>
        <v>-1</v>
      </c>
      <c r="O83" s="11"/>
      <c r="P83" s="7">
        <v>1027.17</v>
      </c>
      <c r="Q83" s="2"/>
      <c r="R83" s="6">
        <f t="shared" si="44"/>
        <v>0</v>
      </c>
      <c r="S83" s="2"/>
      <c r="T83" s="7">
        <v>4400</v>
      </c>
      <c r="U83" s="2"/>
      <c r="V83" s="6">
        <f t="shared" si="45"/>
        <v>0</v>
      </c>
      <c r="W83" s="2"/>
      <c r="X83" s="7">
        <f t="shared" si="46"/>
        <v>-3372.83</v>
      </c>
      <c r="Y83" s="2"/>
      <c r="Z83" s="6">
        <f t="shared" si="47"/>
        <v>-0.76655227272727267</v>
      </c>
    </row>
    <row r="84" spans="1:26" s="24" customFormat="1" hidden="1" outlineLevel="2" x14ac:dyDescent="0.25">
      <c r="A84" s="26"/>
      <c r="B84" s="11" t="str">
        <f>CONCATENATE("          ", "6245", " - ", "PRINTING")</f>
        <v xml:space="preserve">          6245 - PRINTING</v>
      </c>
      <c r="C84" s="11"/>
      <c r="D84" s="7"/>
      <c r="E84" s="2"/>
      <c r="F84" s="6">
        <f t="shared" si="40"/>
        <v>0</v>
      </c>
      <c r="G84" s="2"/>
      <c r="H84" s="7"/>
      <c r="I84" s="2"/>
      <c r="J84" s="6">
        <f t="shared" si="41"/>
        <v>0</v>
      </c>
      <c r="K84" s="2"/>
      <c r="L84" s="7">
        <f t="shared" si="42"/>
        <v>0</v>
      </c>
      <c r="M84" s="2"/>
      <c r="N84" s="6">
        <f t="shared" si="43"/>
        <v>0</v>
      </c>
      <c r="O84" s="11"/>
      <c r="P84" s="7">
        <v>15.99</v>
      </c>
      <c r="Q84" s="2"/>
      <c r="R84" s="6">
        <f t="shared" si="44"/>
        <v>0</v>
      </c>
      <c r="S84" s="2"/>
      <c r="T84" s="7">
        <v>2000</v>
      </c>
      <c r="U84" s="2"/>
      <c r="V84" s="6">
        <f t="shared" si="45"/>
        <v>0</v>
      </c>
      <c r="W84" s="2"/>
      <c r="X84" s="7">
        <f t="shared" si="46"/>
        <v>-1984.01</v>
      </c>
      <c r="Y84" s="2"/>
      <c r="Z84" s="6">
        <f t="shared" si="47"/>
        <v>-0.99200500000000003</v>
      </c>
    </row>
    <row r="85" spans="1:26" s="24" customFormat="1" hidden="1" outlineLevel="2" x14ac:dyDescent="0.25">
      <c r="A85" s="26"/>
      <c r="B85" s="11" t="str">
        <f>CONCATENATE("          ", "6247", " - ", "STORE SUPPLIES")</f>
        <v xml:space="preserve">          6247 - STORE SUPPLIES</v>
      </c>
      <c r="C85" s="11"/>
      <c r="D85" s="7"/>
      <c r="E85" s="2"/>
      <c r="F85" s="6">
        <f t="shared" si="40"/>
        <v>0</v>
      </c>
      <c r="G85" s="2"/>
      <c r="H85" s="7"/>
      <c r="I85" s="2"/>
      <c r="J85" s="6">
        <f t="shared" si="41"/>
        <v>0</v>
      </c>
      <c r="K85" s="2"/>
      <c r="L85" s="7">
        <f t="shared" si="42"/>
        <v>0</v>
      </c>
      <c r="M85" s="2"/>
      <c r="N85" s="6">
        <f t="shared" si="43"/>
        <v>0</v>
      </c>
      <c r="O85" s="11"/>
      <c r="P85" s="7">
        <v>123.68</v>
      </c>
      <c r="Q85" s="2"/>
      <c r="R85" s="6">
        <f t="shared" si="44"/>
        <v>0</v>
      </c>
      <c r="S85" s="2"/>
      <c r="T85" s="7"/>
      <c r="U85" s="2"/>
      <c r="V85" s="6">
        <f t="shared" si="45"/>
        <v>0</v>
      </c>
      <c r="W85" s="2"/>
      <c r="X85" s="7">
        <f t="shared" si="46"/>
        <v>123.68</v>
      </c>
      <c r="Y85" s="2"/>
      <c r="Z85" s="6">
        <f t="shared" si="47"/>
        <v>0</v>
      </c>
    </row>
    <row r="86" spans="1:26" s="24" customFormat="1" hidden="1" outlineLevel="2" x14ac:dyDescent="0.25">
      <c r="A86" s="26"/>
      <c r="B86" s="11" t="str">
        <f>CONCATENATE("          ", "6248", " - ", "UNIFORMS")</f>
        <v xml:space="preserve">          6248 - UNIFORMS</v>
      </c>
      <c r="C86" s="11"/>
      <c r="D86" s="7"/>
      <c r="E86" s="2"/>
      <c r="F86" s="6">
        <f t="shared" si="40"/>
        <v>0</v>
      </c>
      <c r="G86" s="2"/>
      <c r="H86" s="7"/>
      <c r="I86" s="2"/>
      <c r="J86" s="6">
        <f t="shared" si="41"/>
        <v>0</v>
      </c>
      <c r="K86" s="2"/>
      <c r="L86" s="7">
        <f t="shared" si="42"/>
        <v>0</v>
      </c>
      <c r="M86" s="2"/>
      <c r="N86" s="6">
        <f t="shared" si="43"/>
        <v>0</v>
      </c>
      <c r="O86" s="11"/>
      <c r="P86" s="7">
        <v>490.48</v>
      </c>
      <c r="Q86" s="2"/>
      <c r="R86" s="6">
        <f t="shared" si="44"/>
        <v>0</v>
      </c>
      <c r="S86" s="2"/>
      <c r="T86" s="7">
        <v>2500</v>
      </c>
      <c r="U86" s="2"/>
      <c r="V86" s="6">
        <f t="shared" si="45"/>
        <v>0</v>
      </c>
      <c r="W86" s="2"/>
      <c r="X86" s="7">
        <f t="shared" si="46"/>
        <v>-2009.52</v>
      </c>
      <c r="Y86" s="2"/>
      <c r="Z86" s="6">
        <f t="shared" si="47"/>
        <v>-0.80380799999999997</v>
      </c>
    </row>
    <row r="87" spans="1:26" s="27" customFormat="1" outlineLevel="1" collapsed="1" x14ac:dyDescent="0.25">
      <c r="A87" s="25"/>
      <c r="B87" s="12" t="str">
        <f>CONCATENATE("     ","Telephone/Data Lines                              ")</f>
        <v xml:space="preserve">     Telephone/Data Lines                              </v>
      </c>
      <c r="C87" s="12"/>
      <c r="D87" s="1">
        <f>SUM(OSRRefD22_16x_0)</f>
        <v>485</v>
      </c>
      <c r="E87" s="1"/>
      <c r="F87" s="5">
        <f t="shared" ref="F87:F94" si="48">IF(D$12=0,0,D87/D$12)</f>
        <v>0</v>
      </c>
      <c r="G87" s="1"/>
      <c r="H87" s="1">
        <f>SUM(OSRRefH22_16x_0)</f>
        <v>500</v>
      </c>
      <c r="I87" s="1"/>
      <c r="J87" s="5">
        <f t="shared" ref="J87:J94" si="49">IF(H$12=0,0,H87/H$12)</f>
        <v>0</v>
      </c>
      <c r="K87" s="1"/>
      <c r="L87" s="1">
        <f t="shared" ref="L87:L94" si="50">+D87-H87</f>
        <v>-15</v>
      </c>
      <c r="M87" s="1"/>
      <c r="N87" s="5">
        <f t="shared" ref="N87:N94" si="51">IF(H87=0,0,L87/H87)</f>
        <v>-0.03</v>
      </c>
      <c r="O87" s="12"/>
      <c r="P87" s="1">
        <f>SUM(OSRRefP22_16x_0)</f>
        <v>4907.9399999999996</v>
      </c>
      <c r="Q87" s="1"/>
      <c r="R87" s="5">
        <f t="shared" ref="R87:R94" si="52">IF(P$12=0,0,P87/P$12)</f>
        <v>0</v>
      </c>
      <c r="S87" s="1"/>
      <c r="T87" s="1">
        <f>SUM(OSRRefT22_16x_0)</f>
        <v>5500</v>
      </c>
      <c r="U87" s="1"/>
      <c r="V87" s="5">
        <f t="shared" ref="V87:V94" si="53">IF(T$12=0,0,T87/T$12)</f>
        <v>0</v>
      </c>
      <c r="W87" s="1"/>
      <c r="X87" s="1">
        <f t="shared" ref="X87:X94" si="54">+P87-T87</f>
        <v>-592.0600000000004</v>
      </c>
      <c r="Y87" s="1"/>
      <c r="Z87" s="5">
        <f t="shared" ref="Z87:Z94" si="55">IF(T87=0,0,X87/T87)</f>
        <v>-0.1076472727272728</v>
      </c>
    </row>
    <row r="88" spans="1:26" s="24" customFormat="1" hidden="1" outlineLevel="2" x14ac:dyDescent="0.25">
      <c r="A88" s="26"/>
      <c r="B88" s="11" t="str">
        <f>CONCATENATE("          ", "6309", " - ", "TELEPHONE")</f>
        <v xml:space="preserve">          6309 - TELEPHONE</v>
      </c>
      <c r="C88" s="11"/>
      <c r="D88" s="7">
        <v>485</v>
      </c>
      <c r="E88" s="2"/>
      <c r="F88" s="6">
        <f t="shared" si="48"/>
        <v>0</v>
      </c>
      <c r="G88" s="2"/>
      <c r="H88" s="7">
        <v>500</v>
      </c>
      <c r="I88" s="2"/>
      <c r="J88" s="6">
        <f t="shared" si="49"/>
        <v>0</v>
      </c>
      <c r="K88" s="2"/>
      <c r="L88" s="7">
        <f t="shared" si="50"/>
        <v>-15</v>
      </c>
      <c r="M88" s="2"/>
      <c r="N88" s="6">
        <f t="shared" si="51"/>
        <v>-0.03</v>
      </c>
      <c r="O88" s="11"/>
      <c r="P88" s="7">
        <v>4907.9399999999996</v>
      </c>
      <c r="Q88" s="2"/>
      <c r="R88" s="6">
        <f t="shared" si="52"/>
        <v>0</v>
      </c>
      <c r="S88" s="2"/>
      <c r="T88" s="7">
        <v>5500</v>
      </c>
      <c r="U88" s="2"/>
      <c r="V88" s="6">
        <f t="shared" si="53"/>
        <v>0</v>
      </c>
      <c r="W88" s="2"/>
      <c r="X88" s="7">
        <f t="shared" si="54"/>
        <v>-592.0600000000004</v>
      </c>
      <c r="Y88" s="2"/>
      <c r="Z88" s="6">
        <f t="shared" si="55"/>
        <v>-0.1076472727272728</v>
      </c>
    </row>
    <row r="89" spans="1:26" s="27" customFormat="1" outlineLevel="1" collapsed="1" x14ac:dyDescent="0.25">
      <c r="A89" s="25"/>
      <c r="B89" s="12" t="str">
        <f>CONCATENATE("     ","Training                                          ")</f>
        <v xml:space="preserve">     Training                                          </v>
      </c>
      <c r="C89" s="12"/>
      <c r="D89" s="1">
        <f>SUM(OSRRefD22_17x_0)</f>
        <v>0</v>
      </c>
      <c r="E89" s="1"/>
      <c r="F89" s="5">
        <f t="shared" si="48"/>
        <v>0</v>
      </c>
      <c r="G89" s="1"/>
      <c r="H89" s="1">
        <f>SUM(OSRRefH22_17x_0)</f>
        <v>0</v>
      </c>
      <c r="I89" s="1"/>
      <c r="J89" s="5">
        <f t="shared" si="49"/>
        <v>0</v>
      </c>
      <c r="K89" s="1"/>
      <c r="L89" s="1">
        <f t="shared" si="50"/>
        <v>0</v>
      </c>
      <c r="M89" s="1"/>
      <c r="N89" s="5">
        <f t="shared" si="51"/>
        <v>0</v>
      </c>
      <c r="O89" s="12"/>
      <c r="P89" s="1">
        <f>SUM(OSRRefP22_17x_0)</f>
        <v>240</v>
      </c>
      <c r="Q89" s="1"/>
      <c r="R89" s="5">
        <f t="shared" si="52"/>
        <v>0</v>
      </c>
      <c r="S89" s="1"/>
      <c r="T89" s="1">
        <f>SUM(OSRRefT22_17x_0)</f>
        <v>3000</v>
      </c>
      <c r="U89" s="1"/>
      <c r="V89" s="5">
        <f t="shared" si="53"/>
        <v>0</v>
      </c>
      <c r="W89" s="1"/>
      <c r="X89" s="1">
        <f t="shared" si="54"/>
        <v>-2760</v>
      </c>
      <c r="Y89" s="1"/>
      <c r="Z89" s="5">
        <f t="shared" si="55"/>
        <v>-0.92</v>
      </c>
    </row>
    <row r="90" spans="1:26" s="24" customFormat="1" hidden="1" outlineLevel="2" x14ac:dyDescent="0.25">
      <c r="A90" s="26"/>
      <c r="B90" s="11" t="str">
        <f>CONCATENATE("          ", "6376", " - ", "TRAINING")</f>
        <v xml:space="preserve">          6376 - TRAINING</v>
      </c>
      <c r="C90" s="11"/>
      <c r="D90" s="7"/>
      <c r="E90" s="2"/>
      <c r="F90" s="6">
        <f t="shared" si="48"/>
        <v>0</v>
      </c>
      <c r="G90" s="2"/>
      <c r="H90" s="7"/>
      <c r="I90" s="2"/>
      <c r="J90" s="6">
        <f t="shared" si="49"/>
        <v>0</v>
      </c>
      <c r="K90" s="2"/>
      <c r="L90" s="7">
        <f t="shared" si="50"/>
        <v>0</v>
      </c>
      <c r="M90" s="2"/>
      <c r="N90" s="6">
        <f t="shared" si="51"/>
        <v>0</v>
      </c>
      <c r="O90" s="11"/>
      <c r="P90" s="7">
        <v>240</v>
      </c>
      <c r="Q90" s="2"/>
      <c r="R90" s="6">
        <f t="shared" si="52"/>
        <v>0</v>
      </c>
      <c r="S90" s="2"/>
      <c r="T90" s="7">
        <v>3000</v>
      </c>
      <c r="U90" s="2"/>
      <c r="V90" s="6">
        <f t="shared" si="53"/>
        <v>0</v>
      </c>
      <c r="W90" s="2"/>
      <c r="X90" s="7">
        <f t="shared" si="54"/>
        <v>-2760</v>
      </c>
      <c r="Y90" s="2"/>
      <c r="Z90" s="6">
        <f t="shared" si="55"/>
        <v>-0.92</v>
      </c>
    </row>
    <row r="91" spans="1:26" s="27" customFormat="1" outlineLevel="1" collapsed="1" x14ac:dyDescent="0.25">
      <c r="A91" s="25"/>
      <c r="B91" s="12" t="str">
        <f>CONCATENATE("     ","Travel                                            ")</f>
        <v xml:space="preserve">     Travel                                            </v>
      </c>
      <c r="C91" s="12"/>
      <c r="D91" s="1">
        <f>SUM(OSRRefD22_18x_0)</f>
        <v>0</v>
      </c>
      <c r="E91" s="1"/>
      <c r="F91" s="5">
        <f t="shared" si="48"/>
        <v>0</v>
      </c>
      <c r="G91" s="1"/>
      <c r="H91" s="1">
        <f>SUM(OSRRefH22_18x_0)</f>
        <v>0</v>
      </c>
      <c r="I91" s="1"/>
      <c r="J91" s="5">
        <f t="shared" si="49"/>
        <v>0</v>
      </c>
      <c r="K91" s="1"/>
      <c r="L91" s="1">
        <f t="shared" si="50"/>
        <v>0</v>
      </c>
      <c r="M91" s="1"/>
      <c r="N91" s="5">
        <f t="shared" si="51"/>
        <v>0</v>
      </c>
      <c r="O91" s="12"/>
      <c r="P91" s="1">
        <f>SUM(OSRRefP22_18x_0)</f>
        <v>2300.86</v>
      </c>
      <c r="Q91" s="1"/>
      <c r="R91" s="5">
        <f t="shared" si="52"/>
        <v>0</v>
      </c>
      <c r="S91" s="1"/>
      <c r="T91" s="1">
        <f>SUM(OSRRefT22_18x_0)</f>
        <v>4000</v>
      </c>
      <c r="U91" s="1"/>
      <c r="V91" s="5">
        <f t="shared" si="53"/>
        <v>0</v>
      </c>
      <c r="W91" s="1"/>
      <c r="X91" s="1">
        <f t="shared" si="54"/>
        <v>-1699.1399999999999</v>
      </c>
      <c r="Y91" s="1"/>
      <c r="Z91" s="5">
        <f t="shared" si="55"/>
        <v>-0.42478499999999997</v>
      </c>
    </row>
    <row r="92" spans="1:26" s="24" customFormat="1" hidden="1" outlineLevel="2" x14ac:dyDescent="0.25">
      <c r="A92" s="26"/>
      <c r="B92" s="11" t="str">
        <f>CONCATENATE("          ", "6292", " - ", "TRAVEL/CONFERENCE")</f>
        <v xml:space="preserve">          6292 - TRAVEL/CONFERENCE</v>
      </c>
      <c r="C92" s="11"/>
      <c r="D92" s="7"/>
      <c r="E92" s="2"/>
      <c r="F92" s="6">
        <f t="shared" si="48"/>
        <v>0</v>
      </c>
      <c r="G92" s="2"/>
      <c r="H92" s="7"/>
      <c r="I92" s="2"/>
      <c r="J92" s="6">
        <f t="shared" si="49"/>
        <v>0</v>
      </c>
      <c r="K92" s="2"/>
      <c r="L92" s="7">
        <f t="shared" si="50"/>
        <v>0</v>
      </c>
      <c r="M92" s="2"/>
      <c r="N92" s="6">
        <f t="shared" si="51"/>
        <v>0</v>
      </c>
      <c r="O92" s="11"/>
      <c r="P92" s="7">
        <v>966.72</v>
      </c>
      <c r="Q92" s="2"/>
      <c r="R92" s="6">
        <f t="shared" si="52"/>
        <v>0</v>
      </c>
      <c r="S92" s="2"/>
      <c r="T92" s="7">
        <v>4000</v>
      </c>
      <c r="U92" s="2"/>
      <c r="V92" s="6">
        <f t="shared" si="53"/>
        <v>0</v>
      </c>
      <c r="W92" s="2"/>
      <c r="X92" s="7">
        <f t="shared" si="54"/>
        <v>-3033.2799999999997</v>
      </c>
      <c r="Y92" s="2"/>
      <c r="Z92" s="6">
        <f t="shared" si="55"/>
        <v>-0.75831999999999988</v>
      </c>
    </row>
    <row r="93" spans="1:26" s="24" customFormat="1" hidden="1" outlineLevel="2" x14ac:dyDescent="0.25">
      <c r="A93" s="26"/>
      <c r="B93" s="11" t="str">
        <f>CONCATENATE("          ", "6294", " - ", "TRAVEL OPERATIONAL")</f>
        <v xml:space="preserve">          6294 - TRAVEL OPERATIONAL</v>
      </c>
      <c r="C93" s="11"/>
      <c r="D93" s="7"/>
      <c r="E93" s="2"/>
      <c r="F93" s="6">
        <f t="shared" si="48"/>
        <v>0</v>
      </c>
      <c r="G93" s="2"/>
      <c r="H93" s="7"/>
      <c r="I93" s="2"/>
      <c r="J93" s="6">
        <f t="shared" si="49"/>
        <v>0</v>
      </c>
      <c r="K93" s="2"/>
      <c r="L93" s="7">
        <f t="shared" si="50"/>
        <v>0</v>
      </c>
      <c r="M93" s="2"/>
      <c r="N93" s="6">
        <f t="shared" si="51"/>
        <v>0</v>
      </c>
      <c r="O93" s="11"/>
      <c r="P93" s="7">
        <v>45.49</v>
      </c>
      <c r="Q93" s="2"/>
      <c r="R93" s="6">
        <f t="shared" si="52"/>
        <v>0</v>
      </c>
      <c r="S93" s="2"/>
      <c r="T93" s="7"/>
      <c r="U93" s="2"/>
      <c r="V93" s="6">
        <f t="shared" si="53"/>
        <v>0</v>
      </c>
      <c r="W93" s="2"/>
      <c r="X93" s="7">
        <f t="shared" si="54"/>
        <v>45.49</v>
      </c>
      <c r="Y93" s="2"/>
      <c r="Z93" s="6">
        <f t="shared" si="55"/>
        <v>0</v>
      </c>
    </row>
    <row r="94" spans="1:26" s="24" customFormat="1" hidden="1" outlineLevel="2" x14ac:dyDescent="0.25">
      <c r="A94" s="26"/>
      <c r="B94" s="11" t="str">
        <f>CONCATENATE("          ", "6298", " - ", "VEHICLE MILEAGE")</f>
        <v xml:space="preserve">          6298 - VEHICLE MILEAGE</v>
      </c>
      <c r="C94" s="11"/>
      <c r="D94" s="7"/>
      <c r="E94" s="2"/>
      <c r="F94" s="6">
        <f t="shared" si="48"/>
        <v>0</v>
      </c>
      <c r="G94" s="2"/>
      <c r="H94" s="7"/>
      <c r="I94" s="2"/>
      <c r="J94" s="6">
        <f t="shared" si="49"/>
        <v>0</v>
      </c>
      <c r="K94" s="2"/>
      <c r="L94" s="7">
        <f t="shared" si="50"/>
        <v>0</v>
      </c>
      <c r="M94" s="2"/>
      <c r="N94" s="6">
        <f t="shared" si="51"/>
        <v>0</v>
      </c>
      <c r="O94" s="11"/>
      <c r="P94" s="7">
        <v>1288.6500000000001</v>
      </c>
      <c r="Q94" s="2"/>
      <c r="R94" s="6">
        <f t="shared" si="52"/>
        <v>0</v>
      </c>
      <c r="S94" s="2"/>
      <c r="T94" s="7"/>
      <c r="U94" s="2"/>
      <c r="V94" s="6">
        <f t="shared" si="53"/>
        <v>0</v>
      </c>
      <c r="W94" s="2"/>
      <c r="X94" s="7">
        <f t="shared" si="54"/>
        <v>1288.6500000000001</v>
      </c>
      <c r="Y94" s="2"/>
      <c r="Z94" s="6">
        <f t="shared" si="55"/>
        <v>0</v>
      </c>
    </row>
    <row r="95" spans="1:26" s="27" customFormat="1" outlineLevel="1" collapsed="1" x14ac:dyDescent="0.25">
      <c r="A95" s="25"/>
      <c r="B95" s="12" t="str">
        <f>CONCATENATE("     ","Utilities                                         ")</f>
        <v xml:space="preserve">     Utilities                                         </v>
      </c>
      <c r="C95" s="12"/>
      <c r="D95" s="1">
        <f>SUM(OSRRefD22_19x_0)</f>
        <v>12923</v>
      </c>
      <c r="E95" s="1"/>
      <c r="F95" s="5">
        <f t="shared" ref="F95:F96" si="56">IF(D$12=0,0,D95/D$12)</f>
        <v>0</v>
      </c>
      <c r="G95" s="1"/>
      <c r="H95" s="1">
        <f>SUM(OSRRefH22_19x_0)</f>
        <v>15000</v>
      </c>
      <c r="I95" s="1"/>
      <c r="J95" s="5">
        <f t="shared" ref="J95:J96" si="57">IF(H$12=0,0,H95/H$12)</f>
        <v>0</v>
      </c>
      <c r="K95" s="1"/>
      <c r="L95" s="1">
        <f t="shared" ref="L95:L96" si="58">+D95-H95</f>
        <v>-2077</v>
      </c>
      <c r="M95" s="1"/>
      <c r="N95" s="5">
        <f t="shared" ref="N95:N96" si="59">IF(H95=0,0,L95/H95)</f>
        <v>-0.13846666666666665</v>
      </c>
      <c r="O95" s="12"/>
      <c r="P95" s="1">
        <f>SUM(OSRRefP22_19x_0)</f>
        <v>146206</v>
      </c>
      <c r="Q95" s="1"/>
      <c r="R95" s="5">
        <f t="shared" ref="R95:R96" si="60">IF(P$12=0,0,P95/P$12)</f>
        <v>0</v>
      </c>
      <c r="S95" s="1"/>
      <c r="T95" s="1">
        <f>SUM(OSRRefT22_19x_0)</f>
        <v>185000</v>
      </c>
      <c r="U95" s="1"/>
      <c r="V95" s="5">
        <f t="shared" ref="V95:V96" si="61">IF(T$12=0,0,T95/T$12)</f>
        <v>0</v>
      </c>
      <c r="W95" s="1"/>
      <c r="X95" s="1">
        <f t="shared" ref="X95:X96" si="62">+P95-T95</f>
        <v>-38794</v>
      </c>
      <c r="Y95" s="1"/>
      <c r="Z95" s="5">
        <f t="shared" ref="Z95:Z96" si="63">IF(T95=0,0,X95/T95)</f>
        <v>-0.2096972972972973</v>
      </c>
    </row>
    <row r="96" spans="1:26" s="24" customFormat="1" hidden="1" outlineLevel="2" x14ac:dyDescent="0.25">
      <c r="A96" s="26"/>
      <c r="B96" s="11" t="str">
        <f>CONCATENATE("          ", "6274", " - ", "UTILITIES")</f>
        <v xml:space="preserve">          6274 - UTILITIES</v>
      </c>
      <c r="C96" s="11"/>
      <c r="D96" s="7">
        <v>12923</v>
      </c>
      <c r="E96" s="2"/>
      <c r="F96" s="6">
        <f t="shared" si="56"/>
        <v>0</v>
      </c>
      <c r="G96" s="2"/>
      <c r="H96" s="7">
        <v>15000</v>
      </c>
      <c r="I96" s="2"/>
      <c r="J96" s="6">
        <f t="shared" si="57"/>
        <v>0</v>
      </c>
      <c r="K96" s="2"/>
      <c r="L96" s="7">
        <f t="shared" si="58"/>
        <v>-2077</v>
      </c>
      <c r="M96" s="2"/>
      <c r="N96" s="6">
        <f t="shared" si="59"/>
        <v>-0.13846666666666665</v>
      </c>
      <c r="O96" s="11"/>
      <c r="P96" s="7">
        <v>146206</v>
      </c>
      <c r="Q96" s="2"/>
      <c r="R96" s="6">
        <f t="shared" si="60"/>
        <v>0</v>
      </c>
      <c r="S96" s="2"/>
      <c r="T96" s="7">
        <v>185000</v>
      </c>
      <c r="U96" s="2"/>
      <c r="V96" s="6">
        <f t="shared" si="61"/>
        <v>0</v>
      </c>
      <c r="W96" s="2"/>
      <c r="X96" s="7">
        <f t="shared" si="62"/>
        <v>-38794</v>
      </c>
      <c r="Y96" s="2"/>
      <c r="Z96" s="6">
        <f t="shared" si="63"/>
        <v>-0.2096972972972973</v>
      </c>
    </row>
    <row r="97" spans="1:26" s="62" customFormat="1" x14ac:dyDescent="0.25">
      <c r="A97" s="36"/>
      <c r="B97" s="36"/>
      <c r="C97" s="36"/>
      <c r="D97" s="1"/>
      <c r="E97" s="1"/>
      <c r="F97" s="5"/>
      <c r="G97" s="1"/>
      <c r="H97" s="1"/>
      <c r="I97" s="1"/>
      <c r="J97" s="5"/>
      <c r="K97" s="1"/>
      <c r="L97" s="1"/>
      <c r="M97" s="1"/>
      <c r="N97" s="5"/>
      <c r="O97" s="36"/>
      <c r="P97" s="1"/>
      <c r="Q97" s="1"/>
      <c r="R97" s="5"/>
      <c r="S97" s="1"/>
      <c r="T97" s="1"/>
      <c r="U97" s="1"/>
      <c r="V97" s="5"/>
      <c r="W97" s="1"/>
      <c r="X97" s="1"/>
      <c r="Y97" s="1"/>
      <c r="Z97" s="5"/>
    </row>
    <row r="98" spans="1:26" s="23" customFormat="1" collapsed="1" x14ac:dyDescent="0.25">
      <c r="A98" s="10"/>
      <c r="B98" s="28" t="s">
        <v>0</v>
      </c>
      <c r="C98" s="10"/>
      <c r="D98" s="4">
        <f>SUM(OSRRefD25x_0)</f>
        <v>0</v>
      </c>
      <c r="E98" s="4"/>
      <c r="F98" s="13">
        <f t="shared" ref="F98:F100" si="64">IF(D$12=0,0,D98/D$12)</f>
        <v>0</v>
      </c>
      <c r="G98" s="4"/>
      <c r="H98" s="4">
        <f>SUM(OSRRefH25x_0)</f>
        <v>10297</v>
      </c>
      <c r="I98" s="4"/>
      <c r="J98" s="13">
        <f t="shared" ref="J98:J100" si="65">IF(H$12=0,0,H98/H$12)</f>
        <v>0</v>
      </c>
      <c r="K98" s="4"/>
      <c r="L98" s="4">
        <f t="shared" ref="L98:L100" si="66">+D98-H98</f>
        <v>-10297</v>
      </c>
      <c r="M98" s="4"/>
      <c r="N98" s="13">
        <f t="shared" ref="N98:N100" si="67">IF(H98=0,0,L98/H98)</f>
        <v>-1</v>
      </c>
      <c r="O98" s="10"/>
      <c r="P98" s="4">
        <f>SUM(OSRRefP25x_0)</f>
        <v>111740.72</v>
      </c>
      <c r="Q98" s="4"/>
      <c r="R98" s="13">
        <f t="shared" ref="R98:R100" si="68">IF(P$12=0,0,P98/P$12)</f>
        <v>0</v>
      </c>
      <c r="S98" s="4"/>
      <c r="T98" s="4">
        <f>SUM(OSRRefT25x_0)</f>
        <v>66843</v>
      </c>
      <c r="U98" s="4"/>
      <c r="V98" s="13">
        <f t="shared" ref="V98:V100" si="69">IF(T$12=0,0,T98/T$12)</f>
        <v>0</v>
      </c>
      <c r="W98" s="4"/>
      <c r="X98" s="4">
        <f t="shared" ref="X98:X100" si="70">+P98-T98</f>
        <v>44897.72</v>
      </c>
      <c r="Y98" s="4"/>
      <c r="Z98" s="13">
        <f t="shared" ref="Z98:Z100" si="71">IF(T98=0,0,X98/T98)</f>
        <v>0.6716891821133103</v>
      </c>
    </row>
    <row r="99" spans="1:26" s="24" customFormat="1" hidden="1" outlineLevel="1" x14ac:dyDescent="0.25">
      <c r="A99" s="44"/>
      <c r="B99" s="11" t="str">
        <f>CONCATENATE("          ", "9150", " - ", "MISC. INCOME")</f>
        <v xml:space="preserve">          9150 - MISC. INCOME</v>
      </c>
      <c r="C99" s="11"/>
      <c r="D99" s="2">
        <f t="shared" ref="D99:D100" si="72">0</f>
        <v>0</v>
      </c>
      <c r="E99" s="2"/>
      <c r="F99" s="19">
        <f t="shared" si="64"/>
        <v>0</v>
      </c>
      <c r="G99" s="2"/>
      <c r="H99" s="2">
        <v>10297</v>
      </c>
      <c r="I99" s="2"/>
      <c r="J99" s="19">
        <f t="shared" si="65"/>
        <v>0</v>
      </c>
      <c r="K99" s="2"/>
      <c r="L99" s="2">
        <f t="shared" si="66"/>
        <v>-10297</v>
      </c>
      <c r="M99" s="2"/>
      <c r="N99" s="19">
        <f t="shared" si="67"/>
        <v>-1</v>
      </c>
      <c r="O99" s="11"/>
      <c r="P99" s="2">
        <f>--109690.69</f>
        <v>109690.69</v>
      </c>
      <c r="Q99" s="2"/>
      <c r="R99" s="19">
        <f t="shared" si="68"/>
        <v>0</v>
      </c>
      <c r="S99" s="2"/>
      <c r="T99" s="2">
        <v>66843</v>
      </c>
      <c r="U99" s="2"/>
      <c r="V99" s="19">
        <f t="shared" si="69"/>
        <v>0</v>
      </c>
      <c r="W99" s="2"/>
      <c r="X99" s="2">
        <f t="shared" si="70"/>
        <v>42847.69</v>
      </c>
      <c r="Y99" s="2"/>
      <c r="Z99" s="19">
        <f t="shared" si="71"/>
        <v>0.64101985249016358</v>
      </c>
    </row>
    <row r="100" spans="1:26" s="24" customFormat="1" hidden="1" outlineLevel="1" x14ac:dyDescent="0.25">
      <c r="A100" s="44"/>
      <c r="B100" s="11" t="str">
        <f>CONCATENATE("          ", "9160", " - ", "MISC. INCOME")</f>
        <v xml:space="preserve">          9160 - MISC. INCOME</v>
      </c>
      <c r="C100" s="11"/>
      <c r="D100" s="2">
        <f t="shared" si="72"/>
        <v>0</v>
      </c>
      <c r="E100" s="2"/>
      <c r="F100" s="19">
        <f t="shared" si="64"/>
        <v>0</v>
      </c>
      <c r="G100" s="2"/>
      <c r="H100" s="2"/>
      <c r="I100" s="2"/>
      <c r="J100" s="19">
        <f t="shared" si="65"/>
        <v>0</v>
      </c>
      <c r="K100" s="2"/>
      <c r="L100" s="2">
        <f t="shared" si="66"/>
        <v>0</v>
      </c>
      <c r="M100" s="2"/>
      <c r="N100" s="19">
        <f t="shared" si="67"/>
        <v>0</v>
      </c>
      <c r="O100" s="11"/>
      <c r="P100" s="2">
        <f>--2050.03</f>
        <v>2050.0300000000002</v>
      </c>
      <c r="Q100" s="2"/>
      <c r="R100" s="19">
        <f t="shared" si="68"/>
        <v>0</v>
      </c>
      <c r="S100" s="2"/>
      <c r="T100" s="2"/>
      <c r="U100" s="2"/>
      <c r="V100" s="19">
        <f t="shared" si="69"/>
        <v>0</v>
      </c>
      <c r="W100" s="2"/>
      <c r="X100" s="2">
        <f t="shared" si="70"/>
        <v>2050.0300000000002</v>
      </c>
      <c r="Y100" s="2"/>
      <c r="Z100" s="19">
        <f t="shared" si="71"/>
        <v>0</v>
      </c>
    </row>
    <row r="101" spans="1:26" x14ac:dyDescent="0.25">
      <c r="A101" s="9"/>
      <c r="B101" s="10"/>
      <c r="C101" s="10"/>
      <c r="D101" s="3"/>
      <c r="E101" s="3"/>
      <c r="F101" s="8"/>
      <c r="G101" s="3"/>
      <c r="H101" s="3"/>
      <c r="I101" s="3"/>
      <c r="J101" s="8"/>
      <c r="K101" s="3"/>
      <c r="L101" s="3"/>
      <c r="M101" s="3"/>
      <c r="N101" s="8"/>
      <c r="O101" s="10"/>
      <c r="P101" s="3"/>
      <c r="Q101" s="3"/>
      <c r="R101" s="8"/>
      <c r="S101" s="3"/>
      <c r="T101" s="3"/>
      <c r="U101" s="3"/>
      <c r="V101" s="8"/>
      <c r="W101" s="3"/>
      <c r="X101" s="3"/>
      <c r="Y101" s="3"/>
      <c r="Z101" s="8"/>
    </row>
    <row r="102" spans="1:26" s="23" customFormat="1" x14ac:dyDescent="0.25">
      <c r="A102" s="10"/>
      <c r="B102" s="29" t="s">
        <v>3</v>
      </c>
      <c r="C102" s="29"/>
      <c r="D102" s="20">
        <f>+D16-D18+D98</f>
        <v>-41333.24</v>
      </c>
      <c r="E102" s="14"/>
      <c r="F102" s="22">
        <f>IF(D$12=0,0,D102/D$12)</f>
        <v>0</v>
      </c>
      <c r="G102" s="14"/>
      <c r="H102" s="20">
        <f>+H16-H18+H98</f>
        <v>-80162.684791457228</v>
      </c>
      <c r="I102" s="14"/>
      <c r="J102" s="22">
        <f>IF(H$12=0,0,H102/H$12)</f>
        <v>0</v>
      </c>
      <c r="K102" s="16"/>
      <c r="L102" s="20">
        <f>+D102-H102</f>
        <v>38829.44479145723</v>
      </c>
      <c r="M102" s="16"/>
      <c r="N102" s="22">
        <f>IF(H102=0,0,L102/H102)</f>
        <v>-0.48438303797423715</v>
      </c>
      <c r="O102" s="28"/>
      <c r="P102" s="20">
        <f>+P16-P18+P98</f>
        <v>-859642.87</v>
      </c>
      <c r="Q102" s="14"/>
      <c r="R102" s="22">
        <f>IF(P$12=0,0,P102/P$12)</f>
        <v>0</v>
      </c>
      <c r="S102" s="14"/>
      <c r="T102" s="20">
        <f>+T16-T18+T98</f>
        <v>-1066674.8184644287</v>
      </c>
      <c r="U102" s="14"/>
      <c r="V102" s="22">
        <f>IF(T$12=0,0,T102/T$12)</f>
        <v>0</v>
      </c>
      <c r="W102" s="16"/>
      <c r="X102" s="20">
        <f>+P102-T102</f>
        <v>207031.94846442866</v>
      </c>
      <c r="Y102" s="16"/>
      <c r="Z102" s="22">
        <f>IF(T102=0,0,X102/T102)</f>
        <v>-0.19409096838197529</v>
      </c>
    </row>
    <row r="103" spans="1:26" x14ac:dyDescent="0.25">
      <c r="A103" s="9"/>
      <c r="B103" s="10"/>
      <c r="C103" s="9"/>
      <c r="D103" s="3"/>
      <c r="E103" s="3"/>
      <c r="F103" s="8"/>
      <c r="G103" s="3"/>
      <c r="H103" s="3"/>
      <c r="I103" s="3"/>
      <c r="J103" s="8"/>
      <c r="K103" s="3"/>
      <c r="L103" s="3"/>
      <c r="M103" s="3"/>
      <c r="N103" s="8"/>
      <c r="P103" s="3"/>
      <c r="Q103" s="3"/>
      <c r="R103" s="8"/>
      <c r="S103" s="3"/>
      <c r="T103" s="3"/>
      <c r="U103" s="3"/>
      <c r="V103" s="8"/>
      <c r="W103" s="3"/>
      <c r="X103" s="3"/>
      <c r="Y103" s="3"/>
      <c r="Z103" s="8"/>
    </row>
    <row r="104" spans="1:26" s="23" customFormat="1" x14ac:dyDescent="0.25">
      <c r="A104" s="52"/>
      <c r="B104" s="10" t="s">
        <v>14</v>
      </c>
      <c r="C104" s="10"/>
      <c r="D104" s="4"/>
      <c r="E104" s="4"/>
      <c r="F104" s="13">
        <f>IF(D$12=0,0,D104/D$12)</f>
        <v>0</v>
      </c>
      <c r="G104" s="4"/>
      <c r="H104" s="4"/>
      <c r="I104" s="4"/>
      <c r="J104" s="13">
        <f>IF(H$12=0,0,H104/H$12)</f>
        <v>0</v>
      </c>
      <c r="K104" s="4"/>
      <c r="L104" s="4">
        <f>+D104-H104</f>
        <v>0</v>
      </c>
      <c r="M104" s="4"/>
      <c r="N104" s="13">
        <f>IF(H104=0,0,L104/H104)</f>
        <v>0</v>
      </c>
      <c r="O104" s="10"/>
      <c r="P104" s="4"/>
      <c r="Q104" s="4"/>
      <c r="R104" s="13">
        <f>IF(P$12=0,0,P104/P$12)</f>
        <v>0</v>
      </c>
      <c r="S104" s="4"/>
      <c r="T104" s="4"/>
      <c r="U104" s="4"/>
      <c r="V104" s="13">
        <f>IF(T$12=0,0,T104/T$12)</f>
        <v>0</v>
      </c>
      <c r="W104" s="4"/>
      <c r="X104" s="4">
        <f>+P104-T104</f>
        <v>0</v>
      </c>
      <c r="Y104" s="4"/>
      <c r="Z104" s="13">
        <f>IF(T104=0,0,X104/T104)</f>
        <v>0</v>
      </c>
    </row>
    <row r="105" spans="1:26" x14ac:dyDescent="0.25">
      <c r="A105" s="9"/>
      <c r="B105" s="10"/>
      <c r="C105" s="10"/>
      <c r="D105" s="3"/>
      <c r="E105" s="3"/>
      <c r="F105" s="8"/>
      <c r="G105" s="3"/>
      <c r="H105" s="3"/>
      <c r="I105" s="3"/>
      <c r="J105" s="8"/>
      <c r="K105" s="3"/>
      <c r="L105" s="3"/>
      <c r="M105" s="3"/>
      <c r="N105" s="8"/>
      <c r="O105" s="10"/>
      <c r="P105" s="3"/>
      <c r="Q105" s="3"/>
      <c r="R105" s="8"/>
      <c r="S105" s="3"/>
      <c r="T105" s="3"/>
      <c r="U105" s="3"/>
      <c r="V105" s="8"/>
      <c r="W105" s="3"/>
      <c r="X105" s="3"/>
      <c r="Y105" s="3"/>
      <c r="Z105" s="8"/>
    </row>
    <row r="106" spans="1:26" s="23" customFormat="1" ht="15.75" thickBot="1" x14ac:dyDescent="0.3">
      <c r="A106" s="10"/>
      <c r="B106" s="29" t="s">
        <v>4</v>
      </c>
      <c r="C106" s="29"/>
      <c r="D106" s="35">
        <f>+D102-D104</f>
        <v>-41333.24</v>
      </c>
      <c r="E106" s="14"/>
      <c r="F106" s="32">
        <f>IF(D$12=0,0,D106/D$12)</f>
        <v>0</v>
      </c>
      <c r="G106" s="14"/>
      <c r="H106" s="35">
        <f>+H102-H104</f>
        <v>-80162.684791457228</v>
      </c>
      <c r="I106" s="14"/>
      <c r="J106" s="32">
        <f>IF(H$12=0,0,H106/H$12)</f>
        <v>0</v>
      </c>
      <c r="K106" s="16"/>
      <c r="L106" s="35">
        <f>D106-H106</f>
        <v>38829.44479145723</v>
      </c>
      <c r="M106" s="16"/>
      <c r="N106" s="32">
        <f>IF(H106=0,0,L106/H106)</f>
        <v>-0.48438303797423715</v>
      </c>
      <c r="O106" s="28"/>
      <c r="P106" s="35">
        <f>+P102-P104</f>
        <v>-859642.87</v>
      </c>
      <c r="Q106" s="14"/>
      <c r="R106" s="32">
        <f>IF(P$12=0,0,P106/P$12)</f>
        <v>0</v>
      </c>
      <c r="S106" s="14"/>
      <c r="T106" s="35">
        <f>+T102-T104</f>
        <v>-1066674.8184644287</v>
      </c>
      <c r="U106" s="14"/>
      <c r="V106" s="32">
        <f>IF(T$12=0,0,T106/T$12)</f>
        <v>0</v>
      </c>
      <c r="W106" s="16"/>
      <c r="X106" s="35">
        <f>P106-T106</f>
        <v>207031.94846442866</v>
      </c>
      <c r="Y106" s="16"/>
      <c r="Z106" s="32">
        <f>IF(T106=0,0,X106/T106)</f>
        <v>-0.19409096838197529</v>
      </c>
    </row>
    <row r="107" spans="1:26" ht="15.75" thickTop="1" x14ac:dyDescent="0.25">
      <c r="A107" s="9"/>
      <c r="B107" s="9"/>
      <c r="C107" s="9"/>
      <c r="D107" s="3"/>
      <c r="E107" s="3"/>
      <c r="F107" s="8"/>
      <c r="G107" s="3"/>
      <c r="H107" s="3"/>
      <c r="I107" s="3"/>
      <c r="J107" s="8"/>
      <c r="K107" s="3"/>
      <c r="L107" s="3"/>
      <c r="M107" s="3"/>
      <c r="N107" s="8"/>
      <c r="P107" s="3"/>
      <c r="Q107" s="3"/>
      <c r="R107" s="8"/>
      <c r="S107" s="3"/>
      <c r="T107" s="3"/>
      <c r="U107" s="3"/>
      <c r="V107" s="8"/>
      <c r="W107" s="3"/>
      <c r="X107" s="3"/>
      <c r="Y107" s="3"/>
      <c r="Z107" s="8"/>
    </row>
    <row r="108" spans="1:26" x14ac:dyDescent="0.25">
      <c r="A108" s="9"/>
      <c r="B108" s="9"/>
      <c r="C108" s="9"/>
      <c r="D108" s="3"/>
      <c r="E108" s="3"/>
      <c r="F108" s="8"/>
      <c r="G108" s="3"/>
      <c r="H108" s="3"/>
      <c r="I108" s="3"/>
      <c r="J108" s="8"/>
      <c r="K108" s="3"/>
      <c r="L108" s="3"/>
      <c r="M108" s="3"/>
      <c r="N108" s="8"/>
      <c r="P108" s="3"/>
      <c r="Q108" s="3"/>
      <c r="R108" s="8"/>
      <c r="S108" s="3"/>
      <c r="T108" s="3"/>
      <c r="U108" s="3"/>
      <c r="V108" s="8"/>
      <c r="W108" s="3"/>
      <c r="X108" s="3"/>
      <c r="Y108" s="3"/>
      <c r="Z108" s="8"/>
    </row>
    <row r="109" spans="1:26" s="23" customFormat="1" ht="15.75" thickBot="1" x14ac:dyDescent="0.3">
      <c r="A109" s="10"/>
      <c r="B109" s="29" t="s">
        <v>5</v>
      </c>
      <c r="C109" s="29"/>
      <c r="D109" s="34">
        <f>SUM(D106:D108)</f>
        <v>-41333.24</v>
      </c>
      <c r="E109" s="14"/>
      <c r="F109" s="31">
        <f>IF(D$12=0,0,D109/D$12)</f>
        <v>0</v>
      </c>
      <c r="G109" s="14"/>
      <c r="H109" s="34">
        <f>SUM(H106:H108)</f>
        <v>-80162.684791457228</v>
      </c>
      <c r="I109" s="14"/>
      <c r="J109" s="31">
        <f>IF(H$12=0,0,H109/H$12)</f>
        <v>0</v>
      </c>
      <c r="K109" s="16"/>
      <c r="L109" s="34">
        <f>+D109-H109</f>
        <v>38829.44479145723</v>
      </c>
      <c r="M109" s="16"/>
      <c r="N109" s="31">
        <f>IF(H109=0,0,L109/H109)</f>
        <v>-0.48438303797423715</v>
      </c>
      <c r="O109" s="28"/>
      <c r="P109" s="34">
        <f>SUM(P106:P108)</f>
        <v>-859642.87</v>
      </c>
      <c r="Q109" s="14"/>
      <c r="R109" s="31">
        <f>IF(P$12=0,0,P109/P$12)</f>
        <v>0</v>
      </c>
      <c r="S109" s="14"/>
      <c r="T109" s="34">
        <f>SUM(T106:T108)</f>
        <v>-1066674.8184644287</v>
      </c>
      <c r="U109" s="14"/>
      <c r="V109" s="31">
        <f>IF(T$12=0,0,T109/T$12)</f>
        <v>0</v>
      </c>
      <c r="W109" s="16"/>
      <c r="X109" s="34">
        <f>+P109-T109</f>
        <v>207031.94846442866</v>
      </c>
      <c r="Y109" s="16"/>
      <c r="Z109" s="31">
        <f>IF(T109=0,0,X109/T109)</f>
        <v>-0.19409096838197529</v>
      </c>
    </row>
    <row r="110" spans="1:26" ht="15.75" thickTop="1" x14ac:dyDescent="0.25">
      <c r="A110" s="9"/>
      <c r="C110" s="9"/>
      <c r="D110" s="18"/>
      <c r="E110" s="18"/>
      <c r="G110" s="18"/>
      <c r="H110" s="18"/>
      <c r="I110" s="18"/>
      <c r="J110" s="42"/>
      <c r="K110" s="18"/>
      <c r="L110" s="18"/>
      <c r="M110" s="18"/>
      <c r="P110" s="18"/>
      <c r="Q110" s="18"/>
      <c r="R110" s="42"/>
      <c r="S110" s="18"/>
      <c r="T110" s="18"/>
      <c r="U110" s="18"/>
      <c r="V110" s="42"/>
      <c r="W110" s="18"/>
      <c r="X110" s="18"/>
    </row>
    <row r="111" spans="1:26" x14ac:dyDescent="0.25">
      <c r="A111" s="9"/>
      <c r="B111" s="59">
        <v>43992.372062731483</v>
      </c>
      <c r="D111" s="18"/>
      <c r="E111" s="18"/>
      <c r="G111" s="18"/>
      <c r="H111" s="18"/>
      <c r="I111" s="18"/>
      <c r="J111" s="42"/>
      <c r="K111" s="18"/>
      <c r="L111" s="18"/>
      <c r="M111" s="18"/>
      <c r="P111" s="18"/>
      <c r="Q111" s="18"/>
      <c r="R111" s="42"/>
      <c r="S111" s="18"/>
      <c r="T111" s="18"/>
      <c r="U111" s="18"/>
      <c r="V111" s="42"/>
      <c r="W111" s="18"/>
      <c r="X111" s="18"/>
    </row>
    <row r="112" spans="1:26" x14ac:dyDescent="0.25">
      <c r="A112" s="9"/>
      <c r="B112" s="56" t="s">
        <v>314</v>
      </c>
      <c r="D112" s="18"/>
      <c r="E112" s="18"/>
      <c r="G112" s="18"/>
      <c r="H112" s="18"/>
      <c r="I112" s="18"/>
      <c r="J112" s="42"/>
      <c r="K112" s="18"/>
      <c r="L112" s="18"/>
      <c r="M112" s="18"/>
      <c r="P112" s="18"/>
      <c r="Q112" s="18"/>
      <c r="R112" s="42"/>
      <c r="S112" s="18"/>
      <c r="T112" s="18"/>
      <c r="U112" s="18"/>
      <c r="V112" s="42"/>
      <c r="W112" s="18"/>
      <c r="X112" s="18"/>
    </row>
    <row r="113" spans="1:24" x14ac:dyDescent="0.25">
      <c r="A113" s="9"/>
      <c r="B113" s="54"/>
      <c r="D113" s="18"/>
      <c r="E113" s="18"/>
      <c r="G113" s="18"/>
      <c r="H113" s="18"/>
      <c r="I113" s="18"/>
      <c r="J113" s="42"/>
      <c r="K113" s="18"/>
      <c r="L113" s="18"/>
      <c r="M113" s="18"/>
      <c r="P113" s="18"/>
      <c r="Q113" s="18"/>
      <c r="R113" s="42"/>
      <c r="S113" s="18"/>
      <c r="T113" s="18"/>
      <c r="U113" s="18"/>
      <c r="V113" s="42"/>
      <c r="W113" s="18"/>
      <c r="X113" s="18"/>
    </row>
    <row r="114" spans="1:24" x14ac:dyDescent="0.25">
      <c r="D114" s="18"/>
      <c r="E114" s="18"/>
      <c r="G114" s="18"/>
      <c r="H114" s="18"/>
      <c r="I114" s="18"/>
      <c r="J114" s="42"/>
      <c r="K114" s="18"/>
      <c r="L114" s="18"/>
      <c r="M114" s="18"/>
      <c r="P114" s="18"/>
      <c r="Q114" s="18"/>
      <c r="R114" s="42"/>
      <c r="S114" s="18"/>
      <c r="T114" s="18"/>
      <c r="U114" s="18"/>
      <c r="V114" s="42"/>
      <c r="W114" s="18"/>
      <c r="X114" s="18"/>
    </row>
  </sheetData>
  <pageMargins left="0.25" right="0.25" top="0.75" bottom="0.75" header="0.3" footer="0.3"/>
  <pageSetup scale="55" fitToWidth="2" orientation="landscape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63" t="s">
        <v>13</v>
      </c>
    </row>
    <row r="3" spans="1:26" x14ac:dyDescent="0.25">
      <c r="D3" s="63" t="s">
        <v>296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61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63" t="e">
        <f ca="1">CONCATENATE("Period ",RIGHT(_xll.OneStop.ReportPlayer.OSRFunctions.OSRGet("Period","PeriodId"),2),", ",_xll.OneStop.ReportPlayer.OSRFunctions.OSRGet("Period","Year"))</f>
        <v>#NAME?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61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5" t="e">
        <f ca="1">_xll.OneStop.ReportPlayer.OSRFunctions.OSRGet("Period","PeriodEnd")</f>
        <v>#NAME?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61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51"/>
      <c r="C6" s="51"/>
      <c r="D6" s="23" t="s">
        <v>300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57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5" t="s">
        <v>294</v>
      </c>
      <c r="E9" s="15"/>
      <c r="F9" s="38"/>
      <c r="G9" s="15"/>
      <c r="H9" s="15"/>
      <c r="I9" s="15"/>
      <c r="J9" s="46"/>
      <c r="K9" s="15"/>
      <c r="L9" s="15"/>
      <c r="M9" s="15"/>
      <c r="N9" s="38"/>
      <c r="P9" s="15" t="s">
        <v>295</v>
      </c>
      <c r="Q9" s="15"/>
      <c r="R9" s="38"/>
      <c r="S9" s="15"/>
      <c r="T9" s="15"/>
      <c r="U9" s="15"/>
      <c r="V9" s="46"/>
      <c r="W9" s="15"/>
      <c r="X9" s="15"/>
      <c r="Y9" s="15"/>
      <c r="Z9" s="38"/>
    </row>
    <row r="10" spans="1:26" x14ac:dyDescent="0.25">
      <c r="A10" s="10"/>
      <c r="B10" s="55"/>
      <c r="C10" s="10"/>
      <c r="D10" s="43" t="s">
        <v>10</v>
      </c>
      <c r="E10" s="33"/>
      <c r="F10" s="40" t="s">
        <v>15</v>
      </c>
      <c r="G10" s="33"/>
      <c r="H10" s="47" t="s">
        <v>11</v>
      </c>
      <c r="I10" s="33"/>
      <c r="J10" s="45" t="s">
        <v>16</v>
      </c>
      <c r="K10" s="10"/>
      <c r="L10" s="43" t="s">
        <v>12</v>
      </c>
      <c r="M10" s="10"/>
      <c r="N10" s="40" t="s">
        <v>17</v>
      </c>
      <c r="O10" s="10"/>
      <c r="P10" s="53" t="s">
        <v>10</v>
      </c>
      <c r="Q10" s="33"/>
      <c r="R10" s="40" t="s">
        <v>15</v>
      </c>
      <c r="S10" s="33"/>
      <c r="T10" s="47" t="s">
        <v>11</v>
      </c>
      <c r="U10" s="33"/>
      <c r="V10" s="45" t="s">
        <v>16</v>
      </c>
      <c r="W10" s="10"/>
      <c r="X10" s="43" t="s">
        <v>12</v>
      </c>
      <c r="Y10" s="10"/>
      <c r="Z10" s="40" t="s">
        <v>17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 t="e">
        <f ca="1">SUM(_xll.OneStop.ReportPlayer.OSRFunctions.OSRRef(D13))</f>
        <v>#NAME?</v>
      </c>
      <c r="E12" s="4"/>
      <c r="F12" s="13"/>
      <c r="G12" s="4"/>
      <c r="H12" s="4" t="e">
        <f ca="1">SUM(_xll.OneStop.ReportPlayer.OSRFunctions.OSRRef(H13))</f>
        <v>#NAME?</v>
      </c>
      <c r="I12" s="4"/>
      <c r="J12" s="13"/>
      <c r="K12" s="4"/>
      <c r="L12" s="4" t="e">
        <f t="shared" ref="L12:L13" ca="1" si="0">+D12-H12</f>
        <v>#NAME?</v>
      </c>
      <c r="M12" s="4"/>
      <c r="N12" s="13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3"/>
      <c r="S12" s="4"/>
      <c r="T12" s="4" t="e">
        <f ca="1">SUM(_xll.OneStop.ReportPlayer.OSRFunctions.OSRRef(T13))</f>
        <v>#NAME?</v>
      </c>
      <c r="U12" s="4"/>
      <c r="V12" s="13"/>
      <c r="W12" s="4"/>
      <c r="X12" s="4" t="e">
        <f t="shared" ref="X12:X13" ca="1" si="2">+P12-T12</f>
        <v>#NAME?</v>
      </c>
      <c r="Y12" s="4"/>
      <c r="Z12" s="13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8</v>
      </c>
      <c r="C15" s="10"/>
      <c r="D15" s="4" t="e">
        <f ca="1">SUM(_xll.OneStop.ReportPlayer.OSRFunctions.OSRRef(D16))</f>
        <v>#NAME?</v>
      </c>
      <c r="E15" s="4"/>
      <c r="F15" s="13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3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3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3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3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3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6</v>
      </c>
      <c r="C18" s="29"/>
      <c r="D18" s="20" t="e">
        <f ca="1">D12-D15</f>
        <v>#NAME?</v>
      </c>
      <c r="E18" s="14"/>
      <c r="F18" s="22" t="e">
        <f ca="1">IF(D$12=0,0,D18/D$12)</f>
        <v>#NAME?</v>
      </c>
      <c r="G18" s="14"/>
      <c r="H18" s="20" t="e">
        <f ca="1">H12-H15</f>
        <v>#NAME?</v>
      </c>
      <c r="I18" s="14"/>
      <c r="J18" s="22" t="e">
        <f ca="1">IF(H$12=0,0,H18/H$12)</f>
        <v>#NAME?</v>
      </c>
      <c r="K18" s="16"/>
      <c r="L18" s="20" t="e">
        <f ca="1">+D18-H18</f>
        <v>#NAME?</v>
      </c>
      <c r="M18" s="16"/>
      <c r="N18" s="22" t="e">
        <f ca="1">IF(H18=0,0,L18/H18)</f>
        <v>#NAME?</v>
      </c>
      <c r="O18" s="28"/>
      <c r="P18" s="20" t="e">
        <f ca="1">P12-P15</f>
        <v>#NAME?</v>
      </c>
      <c r="Q18" s="14"/>
      <c r="R18" s="22" t="e">
        <f ca="1">IF(P$12=0,0,P18/P$12)</f>
        <v>#NAME?</v>
      </c>
      <c r="S18" s="14"/>
      <c r="T18" s="20" t="e">
        <f ca="1">T12-T15</f>
        <v>#NAME?</v>
      </c>
      <c r="U18" s="14"/>
      <c r="V18" s="22" t="e">
        <f ca="1">IF(T$12=0,0,T18/T$12)</f>
        <v>#NAME?</v>
      </c>
      <c r="W18" s="16"/>
      <c r="X18" s="20" t="e">
        <f ca="1">+P18-T18</f>
        <v>#NAME?</v>
      </c>
      <c r="Y18" s="16"/>
      <c r="Z18" s="22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9</v>
      </c>
      <c r="C20" s="10"/>
      <c r="D20" s="21" t="e">
        <f ca="1">SUM(_xll.OneStop.ReportPlayer.OSRFunctions.OSRRef(D22))</f>
        <v>#NAME?</v>
      </c>
      <c r="E20" s="21"/>
      <c r="F20" s="30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0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0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0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0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0" t="e">
        <f t="shared" ref="Z20:Z22" ca="1" si="19">IF(T20=0,0,X20/T20)</f>
        <v>#NAME?</v>
      </c>
    </row>
    <row r="21" spans="1:26" s="27" customFormat="1" outlineLevel="1" collapsed="1" x14ac:dyDescent="0.25">
      <c r="A21" s="25"/>
      <c r="B21" s="12" t="e">
        <f ca="1">CONCATENATE("     ",_xll.OneStop.ReportPlayer.OSRFunctions.OSRGet("d_Account","AccountCategory"))</f>
        <v>#NAME?</v>
      </c>
      <c r="C21" s="12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2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6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62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8" t="s">
        <v>0</v>
      </c>
      <c r="C24" s="10"/>
      <c r="D24" s="4" t="e">
        <f ca="1">SUM(_xll.OneStop.ReportPlayer.OSRFunctions.OSRRef(D25))</f>
        <v>#NAME?</v>
      </c>
      <c r="E24" s="4"/>
      <c r="F24" s="13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3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3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3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3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3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3</v>
      </c>
      <c r="C27" s="29"/>
      <c r="D27" s="20" t="e">
        <f ca="1">+D18-D20+D24</f>
        <v>#NAME?</v>
      </c>
      <c r="E27" s="14"/>
      <c r="F27" s="22" t="e">
        <f ca="1">IF(D$12=0,0,D27/D$12)</f>
        <v>#NAME?</v>
      </c>
      <c r="G27" s="14"/>
      <c r="H27" s="20" t="e">
        <f ca="1">+H18-H20+H24</f>
        <v>#NAME?</v>
      </c>
      <c r="I27" s="14"/>
      <c r="J27" s="22" t="e">
        <f ca="1">IF(H$12=0,0,H27/H$12)</f>
        <v>#NAME?</v>
      </c>
      <c r="K27" s="16"/>
      <c r="L27" s="20" t="e">
        <f ca="1">+D27-H27</f>
        <v>#NAME?</v>
      </c>
      <c r="M27" s="16"/>
      <c r="N27" s="22" t="e">
        <f ca="1">IF(H27=0,0,L27/H27)</f>
        <v>#NAME?</v>
      </c>
      <c r="O27" s="28"/>
      <c r="P27" s="20" t="e">
        <f ca="1">+P18-P20+P24</f>
        <v>#NAME?</v>
      </c>
      <c r="Q27" s="14"/>
      <c r="R27" s="22" t="e">
        <f ca="1">IF(P$12=0,0,P27/P$12)</f>
        <v>#NAME?</v>
      </c>
      <c r="S27" s="14"/>
      <c r="T27" s="20" t="e">
        <f ca="1">+T18-T20+T24</f>
        <v>#NAME?</v>
      </c>
      <c r="U27" s="14"/>
      <c r="V27" s="22" t="e">
        <f ca="1">IF(T$12=0,0,T27/T$12)</f>
        <v>#NAME?</v>
      </c>
      <c r="W27" s="16"/>
      <c r="X27" s="20" t="e">
        <f ca="1">+P27-T27</f>
        <v>#NAME?</v>
      </c>
      <c r="Y27" s="16"/>
      <c r="Z27" s="22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3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3" t="e">
        <f ca="1">IF(H$12=0,0,H29/H$12)</f>
        <v>#NAME?</v>
      </c>
      <c r="K29" s="4"/>
      <c r="L29" s="4" t="e">
        <f ca="1">+D29-H29</f>
        <v>#NAME?</v>
      </c>
      <c r="M29" s="4"/>
      <c r="N29" s="13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3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3" t="e">
        <f ca="1">IF(T$12=0,0,T29/T$12)</f>
        <v>#NAME?</v>
      </c>
      <c r="W29" s="4"/>
      <c r="X29" s="4" t="e">
        <f ca="1">+P29-T29</f>
        <v>#NAME?</v>
      </c>
      <c r="Y29" s="4"/>
      <c r="Z29" s="13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4</v>
      </c>
      <c r="C31" s="29"/>
      <c r="D31" s="35" t="e">
        <f ca="1">+D27-D29</f>
        <v>#NAME?</v>
      </c>
      <c r="E31" s="14"/>
      <c r="F31" s="32" t="e">
        <f ca="1">IF(D$12=0,0,D31/D$12)</f>
        <v>#NAME?</v>
      </c>
      <c r="G31" s="14"/>
      <c r="H31" s="35" t="e">
        <f ca="1">+H27-H29</f>
        <v>#NAME?</v>
      </c>
      <c r="I31" s="14"/>
      <c r="J31" s="32" t="e">
        <f ca="1">IF(H$12=0,0,H31/H$12)</f>
        <v>#NAME?</v>
      </c>
      <c r="K31" s="16"/>
      <c r="L31" s="35" t="e">
        <f ca="1">D31-H31</f>
        <v>#NAME?</v>
      </c>
      <c r="M31" s="16"/>
      <c r="N31" s="32" t="e">
        <f ca="1">IF(H31=0,0,L31/H31)</f>
        <v>#NAME?</v>
      </c>
      <c r="O31" s="28"/>
      <c r="P31" s="35" t="e">
        <f ca="1">+P27-P29</f>
        <v>#NAME?</v>
      </c>
      <c r="Q31" s="14"/>
      <c r="R31" s="32" t="e">
        <f ca="1">IF(P$12=0,0,P31/P$12)</f>
        <v>#NAME?</v>
      </c>
      <c r="S31" s="14"/>
      <c r="T31" s="35" t="e">
        <f ca="1">+T27-T29</f>
        <v>#NAME?</v>
      </c>
      <c r="U31" s="14"/>
      <c r="V31" s="32" t="e">
        <f ca="1">IF(T$12=0,0,T31/T$12)</f>
        <v>#NAME?</v>
      </c>
      <c r="W31" s="16"/>
      <c r="X31" s="35" t="e">
        <f ca="1">P31-T31</f>
        <v>#NAME?</v>
      </c>
      <c r="Y31" s="16"/>
      <c r="Z31" s="32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3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3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3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3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3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3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3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3" t="e">
        <f t="shared" ca="1" si="29"/>
        <v>#NAME?</v>
      </c>
      <c r="K34" s="4"/>
      <c r="L34" s="4" t="e">
        <f t="shared" ca="1" si="30"/>
        <v>#NAME?</v>
      </c>
      <c r="M34" s="4"/>
      <c r="N34" s="13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3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3" t="e">
        <f t="shared" ca="1" si="33"/>
        <v>#NAME?</v>
      </c>
      <c r="W34" s="4"/>
      <c r="X34" s="4" t="e">
        <f t="shared" ca="1" si="34"/>
        <v>#NAME?</v>
      </c>
      <c r="Y34" s="4"/>
      <c r="Z34" s="13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5</v>
      </c>
      <c r="C36" s="29"/>
      <c r="D36" s="34" t="e">
        <f ca="1">SUM(D31:D35)</f>
        <v>#NAME?</v>
      </c>
      <c r="E36" s="14"/>
      <c r="F36" s="31" t="e">
        <f ca="1">IF(D$12=0,0,D36/D$12)</f>
        <v>#NAME?</v>
      </c>
      <c r="G36" s="14"/>
      <c r="H36" s="34" t="e">
        <f ca="1">SUM(H31:H35)</f>
        <v>#NAME?</v>
      </c>
      <c r="I36" s="14"/>
      <c r="J36" s="31" t="e">
        <f ca="1">IF(H$12=0,0,H36/H$12)</f>
        <v>#NAME?</v>
      </c>
      <c r="K36" s="16"/>
      <c r="L36" s="34" t="e">
        <f ca="1">+D36-H36</f>
        <v>#NAME?</v>
      </c>
      <c r="M36" s="16"/>
      <c r="N36" s="31" t="e">
        <f ca="1">IF(H36=0,0,L36/H36)</f>
        <v>#NAME?</v>
      </c>
      <c r="O36" s="28"/>
      <c r="P36" s="34" t="e">
        <f ca="1">SUM(P31:P35)</f>
        <v>#NAME?</v>
      </c>
      <c r="Q36" s="14"/>
      <c r="R36" s="31" t="e">
        <f ca="1">IF(P$12=0,0,P36/P$12)</f>
        <v>#NAME?</v>
      </c>
      <c r="S36" s="14"/>
      <c r="T36" s="34" t="e">
        <f ca="1">SUM(T31:T35)</f>
        <v>#NAME?</v>
      </c>
      <c r="U36" s="14"/>
      <c r="V36" s="31" t="e">
        <f ca="1">IF(T$12=0,0,T36/T$12)</f>
        <v>#NAME?</v>
      </c>
      <c r="W36" s="16"/>
      <c r="X36" s="34" t="e">
        <f ca="1">+P36-T36</f>
        <v>#NAME?</v>
      </c>
      <c r="Y36" s="16"/>
      <c r="Z36" s="31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59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56" t="e">
        <f ca="1">_xll.OneStop.ReportPlayer.OSRFunctions.OSRGet("User","UserId")</f>
        <v>#NAME?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54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102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63" t="s">
        <v>13</v>
      </c>
    </row>
    <row r="3" spans="1:26" x14ac:dyDescent="0.25">
      <c r="D3" s="63" t="s">
        <v>296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61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63" t="str">
        <f>CONCATENATE("Period ",RIGHT(202011,2),", ",2020)</f>
        <v>Period 11, 2020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61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4">
        <v>43981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61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51"/>
      <c r="C6" s="51"/>
      <c r="D6" s="23" t="str">
        <f>CONCATENATE("Department ","412", " - ", "Chartroom")</f>
        <v>Department 412 - Chartroom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57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5" t="s">
        <v>294</v>
      </c>
      <c r="E9" s="15"/>
      <c r="F9" s="38"/>
      <c r="G9" s="15"/>
      <c r="H9" s="15"/>
      <c r="I9" s="15"/>
      <c r="J9" s="46"/>
      <c r="K9" s="15"/>
      <c r="L9" s="15"/>
      <c r="M9" s="15"/>
      <c r="N9" s="38"/>
      <c r="P9" s="15" t="s">
        <v>295</v>
      </c>
      <c r="Q9" s="15"/>
      <c r="R9" s="38"/>
      <c r="S9" s="15"/>
      <c r="T9" s="15"/>
      <c r="U9" s="15"/>
      <c r="V9" s="46"/>
      <c r="W9" s="15"/>
      <c r="X9" s="15"/>
      <c r="Y9" s="15"/>
      <c r="Z9" s="38"/>
    </row>
    <row r="10" spans="1:26" x14ac:dyDescent="0.25">
      <c r="A10" s="10"/>
      <c r="B10" s="55"/>
      <c r="C10" s="10"/>
      <c r="D10" s="43" t="s">
        <v>10</v>
      </c>
      <c r="E10" s="33"/>
      <c r="F10" s="40" t="s">
        <v>15</v>
      </c>
      <c r="G10" s="33"/>
      <c r="H10" s="47" t="s">
        <v>11</v>
      </c>
      <c r="I10" s="33"/>
      <c r="J10" s="45" t="s">
        <v>16</v>
      </c>
      <c r="K10" s="10"/>
      <c r="L10" s="43" t="s">
        <v>12</v>
      </c>
      <c r="M10" s="10"/>
      <c r="N10" s="40" t="s">
        <v>17</v>
      </c>
      <c r="O10" s="10"/>
      <c r="P10" s="53" t="s">
        <v>10</v>
      </c>
      <c r="Q10" s="33"/>
      <c r="R10" s="40" t="s">
        <v>15</v>
      </c>
      <c r="S10" s="33"/>
      <c r="T10" s="47" t="s">
        <v>11</v>
      </c>
      <c r="U10" s="33"/>
      <c r="V10" s="45" t="s">
        <v>16</v>
      </c>
      <c r="W10" s="10"/>
      <c r="X10" s="43" t="s">
        <v>12</v>
      </c>
      <c r="Y10" s="10"/>
      <c r="Z10" s="40" t="s">
        <v>17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0</v>
      </c>
      <c r="E12" s="4"/>
      <c r="F12" s="13"/>
      <c r="G12" s="4"/>
      <c r="H12" s="4">
        <f>SUM(OSRRefH13x_0)</f>
        <v>155000</v>
      </c>
      <c r="I12" s="4"/>
      <c r="J12" s="13"/>
      <c r="K12" s="4"/>
      <c r="L12" s="4">
        <f t="shared" ref="L12:L16" si="0">+D12-H12</f>
        <v>-155000</v>
      </c>
      <c r="M12" s="4"/>
      <c r="N12" s="13">
        <f t="shared" ref="N12:N16" si="1">IF(H12=0,0,L12/H12)</f>
        <v>-1</v>
      </c>
      <c r="O12" s="10"/>
      <c r="P12" s="4">
        <f>SUM(OSRRefP13x_0)</f>
        <v>379973.86</v>
      </c>
      <c r="Q12" s="4"/>
      <c r="R12" s="13"/>
      <c r="S12" s="4"/>
      <c r="T12" s="4">
        <f>SUM(OSRRefT13x_0)</f>
        <v>1141000</v>
      </c>
      <c r="U12" s="4"/>
      <c r="V12" s="13"/>
      <c r="W12" s="4"/>
      <c r="X12" s="4">
        <f t="shared" ref="X12:X16" si="2">+P12-T12</f>
        <v>-761026.14</v>
      </c>
      <c r="Y12" s="4"/>
      <c r="Z12" s="13">
        <f t="shared" ref="Z12:Z16" si="3">IF(T12=0,0,X12/T12)</f>
        <v>-0.66698171779141102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 t="shared" ref="D13:D16" si="4">0</f>
        <v>0</v>
      </c>
      <c r="E13" s="2"/>
      <c r="F13" s="19"/>
      <c r="G13" s="2"/>
      <c r="H13" s="2">
        <v>151000</v>
      </c>
      <c r="I13" s="2"/>
      <c r="J13" s="19"/>
      <c r="K13" s="2"/>
      <c r="L13" s="2">
        <f t="shared" si="0"/>
        <v>-151000</v>
      </c>
      <c r="M13" s="2"/>
      <c r="N13" s="19">
        <f t="shared" si="1"/>
        <v>-1</v>
      </c>
      <c r="O13" s="11"/>
      <c r="P13" s="2">
        <f>0</f>
        <v>0</v>
      </c>
      <c r="Q13" s="2"/>
      <c r="R13" s="19"/>
      <c r="S13" s="2"/>
      <c r="T13" s="2">
        <v>1090000</v>
      </c>
      <c r="U13" s="2"/>
      <c r="V13" s="19"/>
      <c r="W13" s="2"/>
      <c r="X13" s="2">
        <f t="shared" si="2"/>
        <v>-1090000</v>
      </c>
      <c r="Y13" s="2"/>
      <c r="Z13" s="19">
        <f t="shared" si="3"/>
        <v>-1</v>
      </c>
    </row>
    <row r="14" spans="1:26" s="24" customFormat="1" hidden="1" outlineLevel="1" x14ac:dyDescent="0.25">
      <c r="A14" s="44"/>
      <c r="B14" s="11" t="str">
        <f>CONCATENATE("          ", "4052", " - ", "TAXABLE SALES-FOOD")</f>
        <v xml:space="preserve">          4052 - TAXABLE SALES-FOOD</v>
      </c>
      <c r="C14" s="11"/>
      <c r="D14" s="2">
        <f t="shared" si="4"/>
        <v>0</v>
      </c>
      <c r="E14" s="2"/>
      <c r="F14" s="19"/>
      <c r="G14" s="2"/>
      <c r="H14" s="2"/>
      <c r="I14" s="2"/>
      <c r="J14" s="19"/>
      <c r="K14" s="2"/>
      <c r="L14" s="2">
        <f t="shared" si="0"/>
        <v>0</v>
      </c>
      <c r="M14" s="2"/>
      <c r="N14" s="19">
        <f t="shared" si="1"/>
        <v>0</v>
      </c>
      <c r="O14" s="11"/>
      <c r="P14" s="2">
        <f>--329896.47</f>
        <v>329896.46999999997</v>
      </c>
      <c r="Q14" s="2"/>
      <c r="R14" s="19"/>
      <c r="S14" s="2"/>
      <c r="T14" s="2"/>
      <c r="U14" s="2"/>
      <c r="V14" s="19"/>
      <c r="W14" s="2"/>
      <c r="X14" s="2">
        <f t="shared" si="2"/>
        <v>329896.46999999997</v>
      </c>
      <c r="Y14" s="2"/>
      <c r="Z14" s="19">
        <f t="shared" si="3"/>
        <v>0</v>
      </c>
    </row>
    <row r="15" spans="1:26" s="24" customFormat="1" hidden="1" outlineLevel="1" x14ac:dyDescent="0.25">
      <c r="A15" s="44"/>
      <c r="B15" s="11" t="str">
        <f>CONCATENATE("          ", "4100", " - ", "NON-TAXABLE SALES")</f>
        <v xml:space="preserve">          4100 - NON-TAXABLE SALES</v>
      </c>
      <c r="C15" s="11"/>
      <c r="D15" s="2">
        <f t="shared" si="4"/>
        <v>0</v>
      </c>
      <c r="E15" s="2"/>
      <c r="F15" s="19"/>
      <c r="G15" s="2"/>
      <c r="H15" s="2">
        <v>4000</v>
      </c>
      <c r="I15" s="2"/>
      <c r="J15" s="19"/>
      <c r="K15" s="2"/>
      <c r="L15" s="2">
        <f t="shared" si="0"/>
        <v>-4000</v>
      </c>
      <c r="M15" s="2"/>
      <c r="N15" s="19">
        <f t="shared" si="1"/>
        <v>-1</v>
      </c>
      <c r="O15" s="11"/>
      <c r="P15" s="2">
        <f>0</f>
        <v>0</v>
      </c>
      <c r="Q15" s="2"/>
      <c r="R15" s="19"/>
      <c r="S15" s="2"/>
      <c r="T15" s="2">
        <v>51000</v>
      </c>
      <c r="U15" s="2"/>
      <c r="V15" s="19"/>
      <c r="W15" s="2"/>
      <c r="X15" s="2">
        <f t="shared" si="2"/>
        <v>-51000</v>
      </c>
      <c r="Y15" s="2"/>
      <c r="Z15" s="19">
        <f t="shared" si="3"/>
        <v>-1</v>
      </c>
    </row>
    <row r="16" spans="1:26" s="24" customFormat="1" hidden="1" outlineLevel="1" x14ac:dyDescent="0.25">
      <c r="A16" s="44"/>
      <c r="B16" s="11" t="str">
        <f>CONCATENATE("          ", "4152", " - ", "NON-TAXABLE SALES-FOOD")</f>
        <v xml:space="preserve">          4152 - NON-TAXABLE SALES-FOOD</v>
      </c>
      <c r="C16" s="11"/>
      <c r="D16" s="2">
        <f t="shared" si="4"/>
        <v>0</v>
      </c>
      <c r="E16" s="2"/>
      <c r="F16" s="19"/>
      <c r="G16" s="2"/>
      <c r="H16" s="2"/>
      <c r="I16" s="2"/>
      <c r="J16" s="19"/>
      <c r="K16" s="2"/>
      <c r="L16" s="2">
        <f t="shared" si="0"/>
        <v>0</v>
      </c>
      <c r="M16" s="2"/>
      <c r="N16" s="19">
        <f t="shared" si="1"/>
        <v>0</v>
      </c>
      <c r="O16" s="11"/>
      <c r="P16" s="2">
        <f>--50077.39</f>
        <v>50077.39</v>
      </c>
      <c r="Q16" s="2"/>
      <c r="R16" s="19"/>
      <c r="S16" s="2"/>
      <c r="T16" s="2"/>
      <c r="U16" s="2"/>
      <c r="V16" s="19"/>
      <c r="W16" s="2"/>
      <c r="X16" s="2">
        <f t="shared" si="2"/>
        <v>50077.39</v>
      </c>
      <c r="Y16" s="2"/>
      <c r="Z16" s="19">
        <f t="shared" si="3"/>
        <v>0</v>
      </c>
    </row>
    <row r="17" spans="1:26" x14ac:dyDescent="0.25">
      <c r="A17" s="9"/>
      <c r="B17" s="10"/>
      <c r="C17" s="9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collapsed="1" x14ac:dyDescent="0.25">
      <c r="A18" s="10"/>
      <c r="B18" s="28" t="s">
        <v>8</v>
      </c>
      <c r="C18" s="10"/>
      <c r="D18" s="4">
        <f>SUM(OSRRefD16x_0)</f>
        <v>0</v>
      </c>
      <c r="E18" s="4"/>
      <c r="F18" s="13">
        <f t="shared" ref="F18:F21" si="5">IF(D$12=0,0,D18/D$12)</f>
        <v>0</v>
      </c>
      <c r="G18" s="4"/>
      <c r="H18" s="4">
        <f>SUM(OSRRefH16x_0)</f>
        <v>48050</v>
      </c>
      <c r="I18" s="4"/>
      <c r="J18" s="13">
        <f t="shared" ref="J18:J21" si="6">IF(H$12=0,0,H18/H$12)</f>
        <v>0.31</v>
      </c>
      <c r="K18" s="4"/>
      <c r="L18" s="4">
        <f t="shared" ref="L18:L21" si="7">+D18-H18</f>
        <v>-48050</v>
      </c>
      <c r="M18" s="4"/>
      <c r="N18" s="13">
        <f t="shared" ref="N18:N21" si="8">IF(H18=0,0,L18/H18)</f>
        <v>-1</v>
      </c>
      <c r="O18" s="10"/>
      <c r="P18" s="4">
        <f>SUM(OSRRefP16x_0)</f>
        <v>202331.49</v>
      </c>
      <c r="Q18" s="4"/>
      <c r="R18" s="13">
        <f t="shared" ref="R18:R21" si="9">IF(P$12=0,0,P18/P$12)</f>
        <v>0.53248791903737802</v>
      </c>
      <c r="S18" s="4"/>
      <c r="T18" s="4">
        <f>SUM(OSRRefT16x_0)</f>
        <v>354560</v>
      </c>
      <c r="U18" s="4"/>
      <c r="V18" s="13">
        <f t="shared" ref="V18:V21" si="10">IF(T$12=0,0,T18/T$12)</f>
        <v>0.3107449605609115</v>
      </c>
      <c r="W18" s="4"/>
      <c r="X18" s="4">
        <f t="shared" ref="X18:X21" si="11">+P18-T18</f>
        <v>-152228.51</v>
      </c>
      <c r="Y18" s="4"/>
      <c r="Z18" s="13">
        <f t="shared" ref="Z18:Z21" si="12">IF(T18=0,0,X18/T18)</f>
        <v>-0.42934484995487365</v>
      </c>
    </row>
    <row r="19" spans="1:26" s="24" customFormat="1" hidden="1" outlineLevel="1" x14ac:dyDescent="0.25">
      <c r="A19" s="44"/>
      <c r="B19" s="11" t="str">
        <f>CONCATENATE("          ", "5000", " - ", "PURCHASES @ COST")</f>
        <v xml:space="preserve">          5000 - PURCHASES @ COST</v>
      </c>
      <c r="C19" s="11"/>
      <c r="D19" s="2"/>
      <c r="E19" s="2"/>
      <c r="F19" s="19">
        <f t="shared" si="5"/>
        <v>0</v>
      </c>
      <c r="G19" s="2"/>
      <c r="H19" s="2">
        <v>48050</v>
      </c>
      <c r="I19" s="2"/>
      <c r="J19" s="19">
        <f t="shared" si="6"/>
        <v>0.31</v>
      </c>
      <c r="K19" s="2"/>
      <c r="L19" s="2">
        <f t="shared" si="7"/>
        <v>-48050</v>
      </c>
      <c r="M19" s="2"/>
      <c r="N19" s="19">
        <f t="shared" si="8"/>
        <v>-1</v>
      </c>
      <c r="O19" s="11"/>
      <c r="P19" s="2"/>
      <c r="Q19" s="2"/>
      <c r="R19" s="19">
        <f t="shared" si="9"/>
        <v>0</v>
      </c>
      <c r="S19" s="2"/>
      <c r="T19" s="2">
        <v>354560</v>
      </c>
      <c r="U19" s="2"/>
      <c r="V19" s="19">
        <f t="shared" si="10"/>
        <v>0.3107449605609115</v>
      </c>
      <c r="W19" s="2"/>
      <c r="X19" s="2">
        <f t="shared" si="11"/>
        <v>-354560</v>
      </c>
      <c r="Y19" s="2"/>
      <c r="Z19" s="19">
        <f t="shared" si="12"/>
        <v>-1</v>
      </c>
    </row>
    <row r="20" spans="1:26" s="24" customFormat="1" hidden="1" outlineLevel="1" x14ac:dyDescent="0.25">
      <c r="A20" s="44"/>
      <c r="B20" s="11" t="str">
        <f>CONCATENATE("          ", "5053", " - ", "PURCHASES @ COST-FOOD")</f>
        <v xml:space="preserve">          5053 - PURCHASES @ COST-FOOD</v>
      </c>
      <c r="C20" s="11"/>
      <c r="D20" s="2"/>
      <c r="E20" s="2"/>
      <c r="F20" s="19">
        <f t="shared" si="5"/>
        <v>0</v>
      </c>
      <c r="G20" s="2"/>
      <c r="H20" s="2"/>
      <c r="I20" s="2"/>
      <c r="J20" s="19">
        <f t="shared" si="6"/>
        <v>0</v>
      </c>
      <c r="K20" s="2"/>
      <c r="L20" s="2">
        <f t="shared" si="7"/>
        <v>0</v>
      </c>
      <c r="M20" s="2"/>
      <c r="N20" s="19">
        <f t="shared" si="8"/>
        <v>0</v>
      </c>
      <c r="O20" s="11"/>
      <c r="P20" s="2">
        <v>216281.49</v>
      </c>
      <c r="Q20" s="2"/>
      <c r="R20" s="19">
        <f t="shared" si="9"/>
        <v>0.56920097082467724</v>
      </c>
      <c r="S20" s="2"/>
      <c r="T20" s="2"/>
      <c r="U20" s="2"/>
      <c r="V20" s="19">
        <f t="shared" si="10"/>
        <v>0</v>
      </c>
      <c r="W20" s="2"/>
      <c r="X20" s="2">
        <f t="shared" si="11"/>
        <v>216281.49</v>
      </c>
      <c r="Y20" s="2"/>
      <c r="Z20" s="19">
        <f t="shared" si="12"/>
        <v>0</v>
      </c>
    </row>
    <row r="21" spans="1:26" s="24" customFormat="1" hidden="1" outlineLevel="1" x14ac:dyDescent="0.25">
      <c r="A21" s="44"/>
      <c r="B21" s="11" t="str">
        <f>CONCATENATE("          ", "5059", " - ", "PURCHASES @ COST-FOOD")</f>
        <v xml:space="preserve">          5059 - PURCHASES @ COST-FOOD</v>
      </c>
      <c r="C21" s="11"/>
      <c r="D21" s="2"/>
      <c r="E21" s="2"/>
      <c r="F21" s="19">
        <f t="shared" si="5"/>
        <v>0</v>
      </c>
      <c r="G21" s="2"/>
      <c r="H21" s="2"/>
      <c r="I21" s="2"/>
      <c r="J21" s="19">
        <f t="shared" si="6"/>
        <v>0</v>
      </c>
      <c r="K21" s="2"/>
      <c r="L21" s="2">
        <f t="shared" si="7"/>
        <v>0</v>
      </c>
      <c r="M21" s="2"/>
      <c r="N21" s="19">
        <f t="shared" si="8"/>
        <v>0</v>
      </c>
      <c r="O21" s="11"/>
      <c r="P21" s="2">
        <v>-13950</v>
      </c>
      <c r="Q21" s="2"/>
      <c r="R21" s="19">
        <f t="shared" si="9"/>
        <v>-3.6713051787299264E-2</v>
      </c>
      <c r="S21" s="2"/>
      <c r="T21" s="2"/>
      <c r="U21" s="2"/>
      <c r="V21" s="19">
        <f t="shared" si="10"/>
        <v>0</v>
      </c>
      <c r="W21" s="2"/>
      <c r="X21" s="2">
        <f t="shared" si="11"/>
        <v>-13950</v>
      </c>
      <c r="Y21" s="2"/>
      <c r="Z21" s="19">
        <f t="shared" si="12"/>
        <v>0</v>
      </c>
    </row>
    <row r="22" spans="1:26" x14ac:dyDescent="0.25">
      <c r="A22" s="9"/>
      <c r="B22" s="10"/>
      <c r="C22" s="10"/>
      <c r="D22" s="3"/>
      <c r="E22" s="3"/>
      <c r="F22" s="8"/>
      <c r="G22" s="3"/>
      <c r="H22" s="3"/>
      <c r="I22" s="3"/>
      <c r="J22" s="8"/>
      <c r="K22" s="3"/>
      <c r="L22" s="3"/>
      <c r="M22" s="3"/>
      <c r="N22" s="8"/>
      <c r="O22" s="10"/>
      <c r="P22" s="3"/>
      <c r="Q22" s="3"/>
      <c r="R22" s="8"/>
      <c r="S22" s="3"/>
      <c r="T22" s="3"/>
      <c r="U22" s="3"/>
      <c r="V22" s="8"/>
      <c r="W22" s="3"/>
      <c r="X22" s="3"/>
      <c r="Y22" s="3"/>
      <c r="Z22" s="8"/>
    </row>
    <row r="23" spans="1:26" s="23" customFormat="1" x14ac:dyDescent="0.25">
      <c r="A23" s="10"/>
      <c r="B23" s="29" t="s">
        <v>6</v>
      </c>
      <c r="C23" s="29"/>
      <c r="D23" s="20">
        <f>D12-D18</f>
        <v>0</v>
      </c>
      <c r="E23" s="14"/>
      <c r="F23" s="22">
        <f>IF(D$12=0,0,D23/D$12)</f>
        <v>0</v>
      </c>
      <c r="G23" s="14"/>
      <c r="H23" s="20">
        <f>H12-H18</f>
        <v>106950</v>
      </c>
      <c r="I23" s="14"/>
      <c r="J23" s="22">
        <f>IF(H$12=0,0,H23/H$12)</f>
        <v>0.69</v>
      </c>
      <c r="K23" s="16"/>
      <c r="L23" s="20">
        <f>+D23-H23</f>
        <v>-106950</v>
      </c>
      <c r="M23" s="16"/>
      <c r="N23" s="22">
        <f>IF(H23=0,0,L23/H23)</f>
        <v>-1</v>
      </c>
      <c r="O23" s="28"/>
      <c r="P23" s="20">
        <f>P12-P18</f>
        <v>177642.37</v>
      </c>
      <c r="Q23" s="14"/>
      <c r="R23" s="22">
        <f>IF(P$12=0,0,P23/P$12)</f>
        <v>0.46751208096262203</v>
      </c>
      <c r="S23" s="14"/>
      <c r="T23" s="20">
        <f>T12-T18</f>
        <v>786440</v>
      </c>
      <c r="U23" s="14"/>
      <c r="V23" s="22">
        <f>IF(T$12=0,0,T23/T$12)</f>
        <v>0.6892550394390885</v>
      </c>
      <c r="W23" s="16"/>
      <c r="X23" s="20">
        <f>+P23-T23</f>
        <v>-608797.63</v>
      </c>
      <c r="Y23" s="16"/>
      <c r="Z23" s="22">
        <f>IF(T23=0,0,X23/T23)</f>
        <v>-0.77411834342098573</v>
      </c>
    </row>
    <row r="24" spans="1:26" x14ac:dyDescent="0.25">
      <c r="A24" s="9"/>
      <c r="B24" s="10"/>
      <c r="C24" s="9"/>
      <c r="D24" s="1"/>
      <c r="E24" s="1"/>
      <c r="F24" s="5"/>
      <c r="G24" s="1"/>
      <c r="H24" s="1"/>
      <c r="I24" s="1"/>
      <c r="J24" s="5"/>
      <c r="K24" s="1"/>
      <c r="L24" s="1"/>
      <c r="M24" s="1"/>
      <c r="N24" s="5"/>
      <c r="O24" s="36"/>
      <c r="P24" s="1"/>
      <c r="Q24" s="1"/>
      <c r="R24" s="5"/>
      <c r="S24" s="1"/>
      <c r="T24" s="1"/>
      <c r="U24" s="1"/>
      <c r="V24" s="5"/>
      <c r="W24" s="1"/>
      <c r="X24" s="1"/>
      <c r="Y24" s="1"/>
      <c r="Z24" s="5"/>
    </row>
    <row r="25" spans="1:26" s="23" customFormat="1" x14ac:dyDescent="0.25">
      <c r="A25" s="10"/>
      <c r="B25" s="28" t="s">
        <v>9</v>
      </c>
      <c r="C25" s="10"/>
      <c r="D25" s="21">
        <f>SUM(OSRRefD22x_0)</f>
        <v>379.28</v>
      </c>
      <c r="E25" s="21"/>
      <c r="F25" s="30">
        <f t="shared" ref="F25:F35" si="13">IF(D$12=0,0,D25/D$12)</f>
        <v>0</v>
      </c>
      <c r="G25" s="21"/>
      <c r="H25" s="21">
        <f>SUM(OSRRefH22x_0)</f>
        <v>80676.340792246177</v>
      </c>
      <c r="I25" s="21"/>
      <c r="J25" s="30">
        <f t="shared" ref="J25:J35" si="14">IF(H$12=0,0,H25/H$12)</f>
        <v>0.52049252124029788</v>
      </c>
      <c r="K25" s="4"/>
      <c r="L25" s="21">
        <f t="shared" ref="L25:L35" si="15">+D25-H25</f>
        <v>-80297.060792246179</v>
      </c>
      <c r="M25" s="4"/>
      <c r="N25" s="30">
        <f t="shared" ref="N25:N35" si="16">IF(H25=0,0,L25/H25)</f>
        <v>-0.99529874562634535</v>
      </c>
      <c r="O25" s="10"/>
      <c r="P25" s="21">
        <f>SUM(OSRRefP22x_0)</f>
        <v>340200.53999999992</v>
      </c>
      <c r="Q25" s="21"/>
      <c r="R25" s="30">
        <f t="shared" ref="R25:R35" si="17">IF(P$12=0,0,P25/P$12)</f>
        <v>0.89532616796323816</v>
      </c>
      <c r="S25" s="21"/>
      <c r="T25" s="21">
        <f>SUM(OSRRefT22x_0)</f>
        <v>737539.50509665778</v>
      </c>
      <c r="U25" s="21"/>
      <c r="V25" s="30">
        <f t="shared" ref="V25:V35" si="18">IF(T$12=0,0,T25/T$12)</f>
        <v>0.6463974628366852</v>
      </c>
      <c r="W25" s="4"/>
      <c r="X25" s="21">
        <f t="shared" ref="X25:X35" si="19">+P25-T25</f>
        <v>-397338.96509665786</v>
      </c>
      <c r="Y25" s="4"/>
      <c r="Z25" s="30">
        <f t="shared" ref="Z25:Z35" si="20">IF(T25=0,0,X25/T25)</f>
        <v>-0.53873584038672595</v>
      </c>
    </row>
    <row r="26" spans="1:26" s="27" customFormat="1" outlineLevel="1" collapsed="1" x14ac:dyDescent="0.25">
      <c r="A26" s="25"/>
      <c r="B26" s="12" t="str">
        <f>CONCATENATE("     ","*Benefits                                         ")</f>
        <v xml:space="preserve">     *Benefits                                         </v>
      </c>
      <c r="C26" s="12"/>
      <c r="D26" s="1">
        <f>SUM(OSRRefD22_0x_0)</f>
        <v>0</v>
      </c>
      <c r="E26" s="1"/>
      <c r="F26" s="5">
        <f t="shared" si="13"/>
        <v>0</v>
      </c>
      <c r="G26" s="1"/>
      <c r="H26" s="1">
        <f>SUM(OSRRefH22_0x_0)</f>
        <v>17812.997715323079</v>
      </c>
      <c r="I26" s="1"/>
      <c r="J26" s="5">
        <f t="shared" si="14"/>
        <v>0.11492256590531019</v>
      </c>
      <c r="K26" s="1"/>
      <c r="L26" s="1">
        <f t="shared" si="15"/>
        <v>-17812.997715323079</v>
      </c>
      <c r="M26" s="1"/>
      <c r="N26" s="5">
        <f t="shared" si="16"/>
        <v>-1</v>
      </c>
      <c r="O26" s="12"/>
      <c r="P26" s="1">
        <f>SUM(OSRRefP22_0x_0)</f>
        <v>77499.010000000009</v>
      </c>
      <c r="Q26" s="1"/>
      <c r="R26" s="5">
        <f t="shared" si="17"/>
        <v>0.20395879337594436</v>
      </c>
      <c r="S26" s="1"/>
      <c r="T26" s="1">
        <f>SUM(OSRRefT22_0x_0)</f>
        <v>165593.85892358082</v>
      </c>
      <c r="U26" s="1"/>
      <c r="V26" s="5">
        <f t="shared" si="18"/>
        <v>0.14513046356142054</v>
      </c>
      <c r="W26" s="1"/>
      <c r="X26" s="1">
        <f t="shared" si="19"/>
        <v>-88094.848923580808</v>
      </c>
      <c r="Y26" s="1"/>
      <c r="Z26" s="5">
        <f t="shared" si="20"/>
        <v>-0.53199345372001572</v>
      </c>
    </row>
    <row r="27" spans="1:26" s="24" customFormat="1" hidden="1" outlineLevel="2" x14ac:dyDescent="0.25">
      <c r="A27" s="26"/>
      <c r="B27" s="11" t="str">
        <f>CONCATENATE("          ", "6111", " - ", "F.I.C.A.")</f>
        <v xml:space="preserve">          6111 - F.I.C.A.</v>
      </c>
      <c r="C27" s="11"/>
      <c r="D27" s="7"/>
      <c r="E27" s="2"/>
      <c r="F27" s="6">
        <f t="shared" si="13"/>
        <v>0</v>
      </c>
      <c r="G27" s="2"/>
      <c r="H27" s="7">
        <v>4239.9117633230799</v>
      </c>
      <c r="I27" s="2"/>
      <c r="J27" s="6">
        <f t="shared" si="14"/>
        <v>2.7354269440794065E-2</v>
      </c>
      <c r="K27" s="2"/>
      <c r="L27" s="7">
        <f t="shared" si="15"/>
        <v>-4239.9117633230799</v>
      </c>
      <c r="M27" s="2"/>
      <c r="N27" s="6">
        <f t="shared" si="16"/>
        <v>-1</v>
      </c>
      <c r="O27" s="11"/>
      <c r="P27" s="7">
        <v>14871.7</v>
      </c>
      <c r="Q27" s="2"/>
      <c r="R27" s="6">
        <f t="shared" si="17"/>
        <v>3.9138744965245768E-2</v>
      </c>
      <c r="S27" s="2"/>
      <c r="T27" s="7">
        <v>37491.795834426965</v>
      </c>
      <c r="U27" s="2"/>
      <c r="V27" s="6">
        <f t="shared" si="18"/>
        <v>3.2858716769874639E-2</v>
      </c>
      <c r="W27" s="2"/>
      <c r="X27" s="7">
        <f t="shared" si="19"/>
        <v>-22620.095834426964</v>
      </c>
      <c r="Y27" s="2"/>
      <c r="Z27" s="6">
        <f t="shared" si="20"/>
        <v>-0.60333455175961426</v>
      </c>
    </row>
    <row r="28" spans="1:26" s="24" customFormat="1" hidden="1" outlineLevel="2" x14ac:dyDescent="0.25">
      <c r="A28" s="26"/>
      <c r="B28" s="11" t="str">
        <f>CONCATENATE("          ", "6112", " - ", "COMPENSATION INSURANCE")</f>
        <v xml:space="preserve">          6112 - COMPENSATION INSURANCE</v>
      </c>
      <c r="C28" s="11"/>
      <c r="D28" s="7"/>
      <c r="E28" s="2"/>
      <c r="F28" s="6">
        <f t="shared" si="13"/>
        <v>0</v>
      </c>
      <c r="G28" s="2"/>
      <c r="H28" s="7">
        <v>2283.5645686153803</v>
      </c>
      <c r="I28" s="2"/>
      <c r="J28" s="6">
        <f t="shared" si="14"/>
        <v>1.473267463622826E-2</v>
      </c>
      <c r="K28" s="2"/>
      <c r="L28" s="7">
        <f t="shared" si="15"/>
        <v>-2283.5645686153803</v>
      </c>
      <c r="M28" s="2"/>
      <c r="N28" s="6">
        <f t="shared" si="16"/>
        <v>-1</v>
      </c>
      <c r="O28" s="11"/>
      <c r="P28" s="7">
        <v>5449.61</v>
      </c>
      <c r="Q28" s="2"/>
      <c r="R28" s="6">
        <f t="shared" si="17"/>
        <v>1.4342065530507809E-2</v>
      </c>
      <c r="S28" s="2"/>
      <c r="T28" s="7">
        <v>20184.22242138458</v>
      </c>
      <c r="U28" s="2"/>
      <c r="V28" s="6">
        <f t="shared" si="18"/>
        <v>1.7689940772466765E-2</v>
      </c>
      <c r="W28" s="2"/>
      <c r="X28" s="7">
        <f t="shared" si="19"/>
        <v>-14734.61242138458</v>
      </c>
      <c r="Y28" s="2"/>
      <c r="Z28" s="6">
        <f t="shared" si="20"/>
        <v>-0.73000644333832243</v>
      </c>
    </row>
    <row r="29" spans="1:26" s="24" customFormat="1" hidden="1" outlineLevel="2" x14ac:dyDescent="0.25">
      <c r="A29" s="26"/>
      <c r="B29" s="11" t="str">
        <f>CONCATENATE("          ", "6113", " - ", "GROUP INSURANCE")</f>
        <v xml:space="preserve">          6113 - GROUP INSURANCE</v>
      </c>
      <c r="C29" s="11"/>
      <c r="D29" s="7"/>
      <c r="E29" s="2"/>
      <c r="F29" s="6">
        <f t="shared" si="13"/>
        <v>0</v>
      </c>
      <c r="G29" s="2"/>
      <c r="H29" s="7">
        <v>7007.8461538461497</v>
      </c>
      <c r="I29" s="2"/>
      <c r="J29" s="6">
        <f t="shared" si="14"/>
        <v>4.521191066997516E-2</v>
      </c>
      <c r="K29" s="2"/>
      <c r="L29" s="7">
        <f t="shared" si="15"/>
        <v>-7007.8461538461497</v>
      </c>
      <c r="M29" s="2"/>
      <c r="N29" s="6">
        <f t="shared" si="16"/>
        <v>-1</v>
      </c>
      <c r="O29" s="11"/>
      <c r="P29" s="7">
        <v>36209.82</v>
      </c>
      <c r="Q29" s="2"/>
      <c r="R29" s="6">
        <f t="shared" si="17"/>
        <v>9.5295555331095669E-2</v>
      </c>
      <c r="S29" s="2"/>
      <c r="T29" s="7">
        <v>63741.55769230771</v>
      </c>
      <c r="U29" s="2"/>
      <c r="V29" s="6">
        <f t="shared" si="18"/>
        <v>5.5864643025685987E-2</v>
      </c>
      <c r="W29" s="2"/>
      <c r="X29" s="7">
        <f t="shared" si="19"/>
        <v>-27531.73769230771</v>
      </c>
      <c r="Y29" s="2"/>
      <c r="Z29" s="6">
        <f t="shared" si="20"/>
        <v>-0.43192759463470443</v>
      </c>
    </row>
    <row r="30" spans="1:26" s="24" customFormat="1" hidden="1" outlineLevel="2" x14ac:dyDescent="0.25">
      <c r="A30" s="26"/>
      <c r="B30" s="11" t="str">
        <f>CONCATENATE("          ", "6114", " - ", "STATE UNEMPLOYMENT INSURANCE")</f>
        <v xml:space="preserve">          6114 - STATE UNEMPLOYMENT INSURANCE</v>
      </c>
      <c r="C30" s="11"/>
      <c r="D30" s="7"/>
      <c r="E30" s="2"/>
      <c r="F30" s="6">
        <f t="shared" si="13"/>
        <v>0</v>
      </c>
      <c r="G30" s="2"/>
      <c r="H30" s="7">
        <v>153.022368</v>
      </c>
      <c r="I30" s="2"/>
      <c r="J30" s="6">
        <f t="shared" si="14"/>
        <v>9.8724108387096771E-4</v>
      </c>
      <c r="K30" s="2"/>
      <c r="L30" s="7">
        <f t="shared" si="15"/>
        <v>-153.022368</v>
      </c>
      <c r="M30" s="2"/>
      <c r="N30" s="6">
        <f t="shared" si="16"/>
        <v>-1</v>
      </c>
      <c r="O30" s="11"/>
      <c r="P30" s="7">
        <v>552.04999999999995</v>
      </c>
      <c r="Q30" s="2"/>
      <c r="R30" s="6">
        <f t="shared" si="17"/>
        <v>1.4528630995826923E-3</v>
      </c>
      <c r="S30" s="2"/>
      <c r="T30" s="7">
        <v>1352.5509870000001</v>
      </c>
      <c r="U30" s="2"/>
      <c r="V30" s="6">
        <f t="shared" si="18"/>
        <v>1.185408402278703E-3</v>
      </c>
      <c r="W30" s="2"/>
      <c r="X30" s="7">
        <f t="shared" si="19"/>
        <v>-800.50098700000012</v>
      </c>
      <c r="Y30" s="2"/>
      <c r="Z30" s="6">
        <f t="shared" si="20"/>
        <v>-0.59184533129914463</v>
      </c>
    </row>
    <row r="31" spans="1:26" s="24" customFormat="1" hidden="1" outlineLevel="2" x14ac:dyDescent="0.25">
      <c r="A31" s="26"/>
      <c r="B31" s="11" t="str">
        <f>CONCATENATE("          ", "6115", " - ", "P.E.R.S.")</f>
        <v xml:space="preserve">          6115 - P.E.R.S.</v>
      </c>
      <c r="C31" s="11"/>
      <c r="D31" s="7"/>
      <c r="E31" s="2"/>
      <c r="F31" s="6">
        <f t="shared" si="13"/>
        <v>0</v>
      </c>
      <c r="G31" s="2"/>
      <c r="H31" s="7">
        <v>1244.75341538462</v>
      </c>
      <c r="I31" s="2"/>
      <c r="J31" s="6">
        <f t="shared" si="14"/>
        <v>8.030667196029807E-3</v>
      </c>
      <c r="K31" s="2"/>
      <c r="L31" s="7">
        <f t="shared" si="15"/>
        <v>-1244.75341538462</v>
      </c>
      <c r="M31" s="2"/>
      <c r="N31" s="6">
        <f t="shared" si="16"/>
        <v>-1</v>
      </c>
      <c r="O31" s="11"/>
      <c r="P31" s="7">
        <v>6215.55</v>
      </c>
      <c r="Q31" s="2"/>
      <c r="R31" s="6">
        <f t="shared" si="17"/>
        <v>1.6357835773229242E-2</v>
      </c>
      <c r="S31" s="2"/>
      <c r="T31" s="7">
        <v>14937.04098461542</v>
      </c>
      <c r="U31" s="2"/>
      <c r="V31" s="6">
        <f t="shared" si="18"/>
        <v>1.3091184035596337E-2</v>
      </c>
      <c r="W31" s="2"/>
      <c r="X31" s="7">
        <f t="shared" si="19"/>
        <v>-8721.4909846154187</v>
      </c>
      <c r="Y31" s="2"/>
      <c r="Z31" s="6">
        <f t="shared" si="20"/>
        <v>-0.58388344743769671</v>
      </c>
    </row>
    <row r="32" spans="1:26" s="24" customFormat="1" hidden="1" outlineLevel="2" x14ac:dyDescent="0.25">
      <c r="A32" s="26"/>
      <c r="B32" s="11" t="str">
        <f>CONCATENATE("          ", "6116", " - ", "EDUCATIONAL BENEFITS")</f>
        <v xml:space="preserve">          6116 - EDUCATIONAL BENEFITS</v>
      </c>
      <c r="C32" s="11"/>
      <c r="D32" s="7"/>
      <c r="E32" s="2"/>
      <c r="F32" s="6">
        <f t="shared" si="13"/>
        <v>0</v>
      </c>
      <c r="G32" s="2"/>
      <c r="H32" s="7">
        <v>0</v>
      </c>
      <c r="I32" s="2"/>
      <c r="J32" s="6">
        <f t="shared" si="14"/>
        <v>0</v>
      </c>
      <c r="K32" s="2"/>
      <c r="L32" s="7">
        <f t="shared" si="15"/>
        <v>0</v>
      </c>
      <c r="M32" s="2"/>
      <c r="N32" s="6">
        <f t="shared" si="16"/>
        <v>0</v>
      </c>
      <c r="O32" s="11"/>
      <c r="P32" s="7"/>
      <c r="Q32" s="2"/>
      <c r="R32" s="6">
        <f t="shared" si="17"/>
        <v>0</v>
      </c>
      <c r="S32" s="2"/>
      <c r="T32" s="7">
        <v>0</v>
      </c>
      <c r="U32" s="2"/>
      <c r="V32" s="6">
        <f t="shared" si="18"/>
        <v>0</v>
      </c>
      <c r="W32" s="2"/>
      <c r="X32" s="7">
        <f t="shared" si="19"/>
        <v>0</v>
      </c>
      <c r="Y32" s="2"/>
      <c r="Z32" s="6">
        <f t="shared" si="20"/>
        <v>0</v>
      </c>
    </row>
    <row r="33" spans="1:26" s="24" customFormat="1" hidden="1" outlineLevel="2" x14ac:dyDescent="0.25">
      <c r="A33" s="26"/>
      <c r="B33" s="11" t="str">
        <f>CONCATENATE("          ", "6118", " - ", "VACATION")</f>
        <v xml:space="preserve">          6118 - VACATION</v>
      </c>
      <c r="C33" s="11"/>
      <c r="D33" s="7"/>
      <c r="E33" s="2"/>
      <c r="F33" s="6">
        <f t="shared" si="13"/>
        <v>0</v>
      </c>
      <c r="G33" s="2"/>
      <c r="H33" s="7">
        <v>1118.25673846154</v>
      </c>
      <c r="I33" s="2"/>
      <c r="J33" s="6">
        <f t="shared" si="14"/>
        <v>7.2145596029776771E-3</v>
      </c>
      <c r="K33" s="2"/>
      <c r="L33" s="7">
        <f t="shared" si="15"/>
        <v>-1118.25673846154</v>
      </c>
      <c r="M33" s="2"/>
      <c r="N33" s="6">
        <f t="shared" si="16"/>
        <v>-1</v>
      </c>
      <c r="O33" s="11"/>
      <c r="P33" s="7">
        <v>7805.68</v>
      </c>
      <c r="Q33" s="2"/>
      <c r="R33" s="6">
        <f t="shared" si="17"/>
        <v>2.0542676277783951E-2</v>
      </c>
      <c r="S33" s="2"/>
      <c r="T33" s="7">
        <v>12280.333461538459</v>
      </c>
      <c r="U33" s="2"/>
      <c r="V33" s="6">
        <f t="shared" si="18"/>
        <v>1.0762781298456143E-2</v>
      </c>
      <c r="W33" s="2"/>
      <c r="X33" s="7">
        <f t="shared" si="19"/>
        <v>-4474.6534615384589</v>
      </c>
      <c r="Y33" s="2"/>
      <c r="Z33" s="6">
        <f t="shared" si="20"/>
        <v>-0.36437556647406233</v>
      </c>
    </row>
    <row r="34" spans="1:26" s="24" customFormat="1" hidden="1" outlineLevel="2" x14ac:dyDescent="0.25">
      <c r="A34" s="26"/>
      <c r="B34" s="11" t="str">
        <f>CONCATENATE("          ", "6119", " - ", "SICK LEAVE")</f>
        <v xml:space="preserve">          6119 - SICK LEAVE</v>
      </c>
      <c r="C34" s="11"/>
      <c r="D34" s="7"/>
      <c r="E34" s="2"/>
      <c r="F34" s="6">
        <f t="shared" si="13"/>
        <v>0</v>
      </c>
      <c r="G34" s="2"/>
      <c r="H34" s="7">
        <v>1765.6427076923098</v>
      </c>
      <c r="I34" s="2"/>
      <c r="J34" s="6">
        <f t="shared" si="14"/>
        <v>1.1391243275434258E-2</v>
      </c>
      <c r="K34" s="2"/>
      <c r="L34" s="7">
        <f t="shared" si="15"/>
        <v>-1765.6427076923098</v>
      </c>
      <c r="M34" s="2"/>
      <c r="N34" s="6">
        <f t="shared" si="16"/>
        <v>-1</v>
      </c>
      <c r="O34" s="11"/>
      <c r="P34" s="7">
        <v>2660.64</v>
      </c>
      <c r="Q34" s="2"/>
      <c r="R34" s="6">
        <f t="shared" si="17"/>
        <v>7.0021658858322516E-3</v>
      </c>
      <c r="S34" s="2"/>
      <c r="T34" s="7">
        <v>15606.357542307689</v>
      </c>
      <c r="U34" s="2"/>
      <c r="V34" s="6">
        <f t="shared" si="18"/>
        <v>1.3677789257061954E-2</v>
      </c>
      <c r="W34" s="2"/>
      <c r="X34" s="7">
        <f t="shared" si="19"/>
        <v>-12945.71754230769</v>
      </c>
      <c r="Y34" s="2"/>
      <c r="Z34" s="6">
        <f t="shared" si="20"/>
        <v>-0.82951563215265323</v>
      </c>
    </row>
    <row r="35" spans="1:26" s="24" customFormat="1" hidden="1" outlineLevel="2" x14ac:dyDescent="0.25">
      <c r="A35" s="26"/>
      <c r="B35" s="11" t="str">
        <f>CONCATENATE("          ", "6156", " - ", "EMPLOYEE MEALS")</f>
        <v xml:space="preserve">          6156 - EMPLOYEE MEALS</v>
      </c>
      <c r="C35" s="11"/>
      <c r="D35" s="7"/>
      <c r="E35" s="2"/>
      <c r="F35" s="6">
        <f t="shared" si="13"/>
        <v>0</v>
      </c>
      <c r="G35" s="2"/>
      <c r="H35" s="7"/>
      <c r="I35" s="2"/>
      <c r="J35" s="6">
        <f t="shared" si="14"/>
        <v>0</v>
      </c>
      <c r="K35" s="2"/>
      <c r="L35" s="7">
        <f t="shared" si="15"/>
        <v>0</v>
      </c>
      <c r="M35" s="2"/>
      <c r="N35" s="6">
        <f t="shared" si="16"/>
        <v>0</v>
      </c>
      <c r="O35" s="11"/>
      <c r="P35" s="7">
        <v>3733.96</v>
      </c>
      <c r="Q35" s="2"/>
      <c r="R35" s="6">
        <f t="shared" si="17"/>
        <v>9.8268865126669505E-3</v>
      </c>
      <c r="S35" s="2"/>
      <c r="T35" s="7"/>
      <c r="U35" s="2"/>
      <c r="V35" s="6">
        <f t="shared" si="18"/>
        <v>0</v>
      </c>
      <c r="W35" s="2"/>
      <c r="X35" s="7">
        <f t="shared" si="19"/>
        <v>3733.96</v>
      </c>
      <c r="Y35" s="2"/>
      <c r="Z35" s="6">
        <f t="shared" si="20"/>
        <v>0</v>
      </c>
    </row>
    <row r="36" spans="1:26" s="27" customFormat="1" outlineLevel="1" collapsed="1" x14ac:dyDescent="0.25">
      <c r="A36" s="25"/>
      <c r="B36" s="12" t="str">
        <f>CONCATENATE("     ","*Payroll                                          ")</f>
        <v xml:space="preserve">     *Payroll                                          </v>
      </c>
      <c r="C36" s="12"/>
      <c r="D36" s="1">
        <f>SUM(OSRRefD22_1x_0)</f>
        <v>0</v>
      </c>
      <c r="E36" s="1"/>
      <c r="F36" s="5">
        <f t="shared" ref="F36:F46" si="21">IF(D$12=0,0,D36/D$12)</f>
        <v>0</v>
      </c>
      <c r="G36" s="1"/>
      <c r="H36" s="1">
        <f>SUM(OSRRefH22_1x_0)</f>
        <v>53788.343076923098</v>
      </c>
      <c r="I36" s="1"/>
      <c r="J36" s="5">
        <f t="shared" ref="J36:J46" si="22">IF(H$12=0,0,H36/H$12)</f>
        <v>0.34702156823821356</v>
      </c>
      <c r="K36" s="1"/>
      <c r="L36" s="1">
        <f t="shared" ref="L36:L46" si="23">+D36-H36</f>
        <v>-53788.343076923098</v>
      </c>
      <c r="M36" s="1"/>
      <c r="N36" s="5">
        <f t="shared" ref="N36:N46" si="24">IF(H36=0,0,L36/H36)</f>
        <v>-1</v>
      </c>
      <c r="O36" s="12"/>
      <c r="P36" s="1">
        <f>SUM(OSRRefP22_1x_0)</f>
        <v>208564.34</v>
      </c>
      <c r="Q36" s="1"/>
      <c r="R36" s="5">
        <f t="shared" ref="R36:R46" si="25">IF(P$12=0,0,P36/P$12)</f>
        <v>0.54889128425834344</v>
      </c>
      <c r="S36" s="1"/>
      <c r="T36" s="1">
        <f>SUM(OSRRefT22_1x_0)</f>
        <v>467276.78617307695</v>
      </c>
      <c r="U36" s="1"/>
      <c r="V36" s="5">
        <f t="shared" ref="V36:V46" si="26">IF(T$12=0,0,T36/T$12)</f>
        <v>0.40953267850401137</v>
      </c>
      <c r="W36" s="1"/>
      <c r="X36" s="1">
        <f t="shared" ref="X36:X46" si="27">+P36-T36</f>
        <v>-258712.44617307695</v>
      </c>
      <c r="Y36" s="1"/>
      <c r="Z36" s="5">
        <f t="shared" ref="Z36:Z46" si="28">IF(T36=0,0,X36/T36)</f>
        <v>-0.55365995878351038</v>
      </c>
    </row>
    <row r="37" spans="1:26" s="24" customFormat="1" hidden="1" outlineLevel="2" x14ac:dyDescent="0.25">
      <c r="A37" s="26"/>
      <c r="B37" s="11" t="str">
        <f>CONCATENATE("          ", "6001", " - ", "ADMINISTRATIVE SALARIES")</f>
        <v xml:space="preserve">          6001 - ADMINISTRATIVE SALARIES</v>
      </c>
      <c r="C37" s="11"/>
      <c r="D37" s="7"/>
      <c r="E37" s="2"/>
      <c r="F37" s="6">
        <f t="shared" si="21"/>
        <v>0</v>
      </c>
      <c r="G37" s="2"/>
      <c r="H37" s="7">
        <v>0</v>
      </c>
      <c r="I37" s="2"/>
      <c r="J37" s="6">
        <f t="shared" si="22"/>
        <v>0</v>
      </c>
      <c r="K37" s="2"/>
      <c r="L37" s="7">
        <f t="shared" si="23"/>
        <v>0</v>
      </c>
      <c r="M37" s="2"/>
      <c r="N37" s="6">
        <f t="shared" si="24"/>
        <v>0</v>
      </c>
      <c r="O37" s="11"/>
      <c r="P37" s="7"/>
      <c r="Q37" s="2"/>
      <c r="R37" s="6">
        <f t="shared" si="25"/>
        <v>0</v>
      </c>
      <c r="S37" s="2"/>
      <c r="T37" s="7">
        <v>0</v>
      </c>
      <c r="U37" s="2"/>
      <c r="V37" s="6">
        <f t="shared" si="26"/>
        <v>0</v>
      </c>
      <c r="W37" s="2"/>
      <c r="X37" s="7">
        <f t="shared" si="27"/>
        <v>0</v>
      </c>
      <c r="Y37" s="2"/>
      <c r="Z37" s="6">
        <f t="shared" si="28"/>
        <v>0</v>
      </c>
    </row>
    <row r="38" spans="1:26" s="24" customFormat="1" hidden="1" outlineLevel="2" x14ac:dyDescent="0.25">
      <c r="A38" s="26"/>
      <c r="B38" s="11" t="str">
        <f>CONCATENATE("          ", "6002", " - ", "STAFF SALARIES")</f>
        <v xml:space="preserve">          6002 - STAFF SALARIES</v>
      </c>
      <c r="C38" s="11"/>
      <c r="D38" s="7"/>
      <c r="E38" s="2"/>
      <c r="F38" s="6">
        <f t="shared" si="21"/>
        <v>0</v>
      </c>
      <c r="G38" s="2"/>
      <c r="H38" s="7">
        <v>13165.9670769231</v>
      </c>
      <c r="I38" s="2"/>
      <c r="J38" s="6">
        <f t="shared" si="22"/>
        <v>8.4941723076923228E-2</v>
      </c>
      <c r="K38" s="2"/>
      <c r="L38" s="7">
        <f t="shared" si="23"/>
        <v>-13165.9670769231</v>
      </c>
      <c r="M38" s="2"/>
      <c r="N38" s="6">
        <f t="shared" si="24"/>
        <v>-1</v>
      </c>
      <c r="O38" s="11"/>
      <c r="P38" s="7">
        <v>60376.42</v>
      </c>
      <c r="Q38" s="2"/>
      <c r="R38" s="6">
        <f t="shared" si="25"/>
        <v>0.15889624617861872</v>
      </c>
      <c r="S38" s="2"/>
      <c r="T38" s="7">
        <v>157991.6049230769</v>
      </c>
      <c r="U38" s="2"/>
      <c r="V38" s="6">
        <f t="shared" si="26"/>
        <v>0.13846766426211823</v>
      </c>
      <c r="W38" s="2"/>
      <c r="X38" s="7">
        <f t="shared" si="27"/>
        <v>-97615.1849230769</v>
      </c>
      <c r="Y38" s="2"/>
      <c r="Z38" s="6">
        <f t="shared" si="28"/>
        <v>-0.61785045458968457</v>
      </c>
    </row>
    <row r="39" spans="1:26" s="24" customFormat="1" hidden="1" outlineLevel="2" x14ac:dyDescent="0.25">
      <c r="A39" s="26"/>
      <c r="B39" s="11" t="str">
        <f>CONCATENATE("          ", "6003", " - ", "STAFF HOURLY-9 MONTH")</f>
        <v xml:space="preserve">          6003 - STAFF HOURLY-9 MONTH</v>
      </c>
      <c r="C39" s="11"/>
      <c r="D39" s="7"/>
      <c r="E39" s="2"/>
      <c r="F39" s="6">
        <f t="shared" si="21"/>
        <v>0</v>
      </c>
      <c r="G39" s="2"/>
      <c r="H39" s="7">
        <v>0</v>
      </c>
      <c r="I39" s="2"/>
      <c r="J39" s="6">
        <f t="shared" si="22"/>
        <v>0</v>
      </c>
      <c r="K39" s="2"/>
      <c r="L39" s="7">
        <f t="shared" si="23"/>
        <v>0</v>
      </c>
      <c r="M39" s="2"/>
      <c r="N39" s="6">
        <f t="shared" si="24"/>
        <v>0</v>
      </c>
      <c r="O39" s="11"/>
      <c r="P39" s="7"/>
      <c r="Q39" s="2"/>
      <c r="R39" s="6">
        <f t="shared" si="25"/>
        <v>0</v>
      </c>
      <c r="S39" s="2"/>
      <c r="T39" s="7">
        <v>0</v>
      </c>
      <c r="U39" s="2"/>
      <c r="V39" s="6">
        <f t="shared" si="26"/>
        <v>0</v>
      </c>
      <c r="W39" s="2"/>
      <c r="X39" s="7">
        <f t="shared" si="27"/>
        <v>0</v>
      </c>
      <c r="Y39" s="2"/>
      <c r="Z39" s="6">
        <f t="shared" si="28"/>
        <v>0</v>
      </c>
    </row>
    <row r="40" spans="1:26" s="24" customFormat="1" hidden="1" outlineLevel="2" x14ac:dyDescent="0.25">
      <c r="A40" s="26"/>
      <c r="B40" s="11" t="str">
        <f>CONCATENATE("          ", "6004", " - ", "STAFF HOURLY")</f>
        <v xml:space="preserve">          6004 - STAFF HOURLY</v>
      </c>
      <c r="C40" s="11"/>
      <c r="D40" s="7"/>
      <c r="E40" s="2"/>
      <c r="F40" s="6">
        <f t="shared" si="21"/>
        <v>0</v>
      </c>
      <c r="G40" s="2"/>
      <c r="H40" s="7">
        <v>40622.375999999997</v>
      </c>
      <c r="I40" s="2"/>
      <c r="J40" s="6">
        <f t="shared" si="22"/>
        <v>0.26207984516129029</v>
      </c>
      <c r="K40" s="2"/>
      <c r="L40" s="7">
        <f t="shared" si="23"/>
        <v>-40622.375999999997</v>
      </c>
      <c r="M40" s="2"/>
      <c r="N40" s="6">
        <f t="shared" si="24"/>
        <v>-1</v>
      </c>
      <c r="O40" s="11"/>
      <c r="P40" s="7">
        <v>54540.13</v>
      </c>
      <c r="Q40" s="2"/>
      <c r="R40" s="6">
        <f t="shared" si="25"/>
        <v>0.14353653169720676</v>
      </c>
      <c r="S40" s="2"/>
      <c r="T40" s="7">
        <v>309285.18125000002</v>
      </c>
      <c r="U40" s="2"/>
      <c r="V40" s="6">
        <f t="shared" si="26"/>
        <v>0.27106501424189311</v>
      </c>
      <c r="W40" s="2"/>
      <c r="X40" s="7">
        <f t="shared" si="27"/>
        <v>-254745.05125000002</v>
      </c>
      <c r="Y40" s="2"/>
      <c r="Z40" s="6">
        <f t="shared" si="28"/>
        <v>-0.82365747437503523</v>
      </c>
    </row>
    <row r="41" spans="1:26" s="24" customFormat="1" hidden="1" outlineLevel="2" x14ac:dyDescent="0.25">
      <c r="A41" s="26"/>
      <c r="B41" s="11" t="str">
        <f>CONCATENATE("          ", "6005", " - ", "TEMPORARY WAGES-HOURLY")</f>
        <v xml:space="preserve">          6005 - TEMPORARY WAGES-HOURLY</v>
      </c>
      <c r="C41" s="11"/>
      <c r="D41" s="7"/>
      <c r="E41" s="2"/>
      <c r="F41" s="6">
        <f t="shared" si="21"/>
        <v>0</v>
      </c>
      <c r="G41" s="2"/>
      <c r="H41" s="7">
        <v>0</v>
      </c>
      <c r="I41" s="2"/>
      <c r="J41" s="6">
        <f t="shared" si="22"/>
        <v>0</v>
      </c>
      <c r="K41" s="2"/>
      <c r="L41" s="7">
        <f t="shared" si="23"/>
        <v>0</v>
      </c>
      <c r="M41" s="2"/>
      <c r="N41" s="6">
        <f t="shared" si="24"/>
        <v>0</v>
      </c>
      <c r="O41" s="11"/>
      <c r="P41" s="7">
        <v>47656.53</v>
      </c>
      <c r="Q41" s="2"/>
      <c r="R41" s="6">
        <f t="shared" si="25"/>
        <v>0.12542054866616351</v>
      </c>
      <c r="S41" s="2"/>
      <c r="T41" s="7">
        <v>0</v>
      </c>
      <c r="U41" s="2"/>
      <c r="V41" s="6">
        <f t="shared" si="26"/>
        <v>0</v>
      </c>
      <c r="W41" s="2"/>
      <c r="X41" s="7">
        <f t="shared" si="27"/>
        <v>47656.53</v>
      </c>
      <c r="Y41" s="2"/>
      <c r="Z41" s="6">
        <f t="shared" si="28"/>
        <v>0</v>
      </c>
    </row>
    <row r="42" spans="1:26" s="24" customFormat="1" hidden="1" outlineLevel="2" x14ac:dyDescent="0.25">
      <c r="A42" s="26"/>
      <c r="B42" s="11" t="str">
        <f>CONCATENATE("          ", "6006", " - ", "TEMPORARY PART TIME")</f>
        <v xml:space="preserve">          6006 - TEMPORARY PART TIME</v>
      </c>
      <c r="C42" s="11"/>
      <c r="D42" s="7"/>
      <c r="E42" s="2"/>
      <c r="F42" s="6">
        <f t="shared" si="21"/>
        <v>0</v>
      </c>
      <c r="G42" s="2"/>
      <c r="H42" s="7">
        <v>0</v>
      </c>
      <c r="I42" s="2"/>
      <c r="J42" s="6">
        <f t="shared" si="22"/>
        <v>0</v>
      </c>
      <c r="K42" s="2"/>
      <c r="L42" s="7">
        <f t="shared" si="23"/>
        <v>0</v>
      </c>
      <c r="M42" s="2"/>
      <c r="N42" s="6">
        <f t="shared" si="24"/>
        <v>0</v>
      </c>
      <c r="O42" s="11"/>
      <c r="P42" s="7">
        <v>1299.6300000000001</v>
      </c>
      <c r="Q42" s="2"/>
      <c r="R42" s="6">
        <f t="shared" si="25"/>
        <v>3.4203142289840681E-3</v>
      </c>
      <c r="S42" s="2"/>
      <c r="T42" s="7">
        <v>0</v>
      </c>
      <c r="U42" s="2"/>
      <c r="V42" s="6">
        <f t="shared" si="26"/>
        <v>0</v>
      </c>
      <c r="W42" s="2"/>
      <c r="X42" s="7">
        <f t="shared" si="27"/>
        <v>1299.6300000000001</v>
      </c>
      <c r="Y42" s="2"/>
      <c r="Z42" s="6">
        <f t="shared" si="28"/>
        <v>0</v>
      </c>
    </row>
    <row r="43" spans="1:26" s="24" customFormat="1" hidden="1" outlineLevel="2" x14ac:dyDescent="0.25">
      <c r="A43" s="26"/>
      <c r="B43" s="11" t="str">
        <f>CONCATENATE("          ", "6007", " - ", "STUDENT HOURLY")</f>
        <v xml:space="preserve">          6007 - STUDENT HOURLY</v>
      </c>
      <c r="C43" s="11"/>
      <c r="D43" s="7"/>
      <c r="E43" s="2"/>
      <c r="F43" s="6">
        <f t="shared" si="21"/>
        <v>0</v>
      </c>
      <c r="G43" s="2"/>
      <c r="H43" s="7">
        <v>0</v>
      </c>
      <c r="I43" s="2"/>
      <c r="J43" s="6">
        <f t="shared" si="22"/>
        <v>0</v>
      </c>
      <c r="K43" s="2"/>
      <c r="L43" s="7">
        <f t="shared" si="23"/>
        <v>0</v>
      </c>
      <c r="M43" s="2"/>
      <c r="N43" s="6">
        <f t="shared" si="24"/>
        <v>0</v>
      </c>
      <c r="O43" s="11"/>
      <c r="P43" s="7">
        <v>41286.409999999996</v>
      </c>
      <c r="Q43" s="2"/>
      <c r="R43" s="6">
        <f t="shared" si="25"/>
        <v>0.10865592175209104</v>
      </c>
      <c r="S43" s="2"/>
      <c r="T43" s="7">
        <v>0</v>
      </c>
      <c r="U43" s="2"/>
      <c r="V43" s="6">
        <f t="shared" si="26"/>
        <v>0</v>
      </c>
      <c r="W43" s="2"/>
      <c r="X43" s="7">
        <f t="shared" si="27"/>
        <v>41286.409999999996</v>
      </c>
      <c r="Y43" s="2"/>
      <c r="Z43" s="6">
        <f t="shared" si="28"/>
        <v>0</v>
      </c>
    </row>
    <row r="44" spans="1:26" s="24" customFormat="1" hidden="1" outlineLevel="2" x14ac:dyDescent="0.25">
      <c r="A44" s="26"/>
      <c r="B44" s="11" t="str">
        <f>CONCATENATE("          ", "6008", " - ", "STUDENT HOURLY-FICA EXEMPT")</f>
        <v xml:space="preserve">          6008 - STUDENT HOURLY-FICA EXEMPT</v>
      </c>
      <c r="C44" s="11"/>
      <c r="D44" s="7"/>
      <c r="E44" s="2"/>
      <c r="F44" s="6">
        <f t="shared" si="21"/>
        <v>0</v>
      </c>
      <c r="G44" s="2"/>
      <c r="H44" s="7">
        <v>0</v>
      </c>
      <c r="I44" s="2"/>
      <c r="J44" s="6">
        <f t="shared" si="22"/>
        <v>0</v>
      </c>
      <c r="K44" s="2"/>
      <c r="L44" s="7">
        <f t="shared" si="23"/>
        <v>0</v>
      </c>
      <c r="M44" s="2"/>
      <c r="N44" s="6">
        <f t="shared" si="24"/>
        <v>0</v>
      </c>
      <c r="O44" s="11"/>
      <c r="P44" s="7">
        <v>3405.22</v>
      </c>
      <c r="Q44" s="2"/>
      <c r="R44" s="6">
        <f t="shared" si="25"/>
        <v>8.9617217352793693E-3</v>
      </c>
      <c r="S44" s="2"/>
      <c r="T44" s="7">
        <v>0</v>
      </c>
      <c r="U44" s="2"/>
      <c r="V44" s="6">
        <f t="shared" si="26"/>
        <v>0</v>
      </c>
      <c r="W44" s="2"/>
      <c r="X44" s="7">
        <f t="shared" si="27"/>
        <v>3405.22</v>
      </c>
      <c r="Y44" s="2"/>
      <c r="Z44" s="6">
        <f t="shared" si="28"/>
        <v>0</v>
      </c>
    </row>
    <row r="45" spans="1:26" s="24" customFormat="1" hidden="1" outlineLevel="2" x14ac:dyDescent="0.25">
      <c r="A45" s="26"/>
      <c r="B45" s="11" t="str">
        <f>CONCATENATE("          ", "6009", " - ", "TEMPORARY-SEASONAL")</f>
        <v xml:space="preserve">          6009 - TEMPORARY-SEASONAL</v>
      </c>
      <c r="C45" s="11"/>
      <c r="D45" s="7"/>
      <c r="E45" s="2"/>
      <c r="F45" s="6">
        <f t="shared" si="21"/>
        <v>0</v>
      </c>
      <c r="G45" s="2"/>
      <c r="H45" s="7">
        <v>0</v>
      </c>
      <c r="I45" s="2"/>
      <c r="J45" s="6">
        <f t="shared" si="22"/>
        <v>0</v>
      </c>
      <c r="K45" s="2"/>
      <c r="L45" s="7">
        <f t="shared" si="23"/>
        <v>0</v>
      </c>
      <c r="M45" s="2"/>
      <c r="N45" s="6">
        <f t="shared" si="24"/>
        <v>0</v>
      </c>
      <c r="O45" s="11"/>
      <c r="P45" s="7"/>
      <c r="Q45" s="2"/>
      <c r="R45" s="6">
        <f t="shared" si="25"/>
        <v>0</v>
      </c>
      <c r="S45" s="2"/>
      <c r="T45" s="7">
        <v>0</v>
      </c>
      <c r="U45" s="2"/>
      <c r="V45" s="6">
        <f t="shared" si="26"/>
        <v>0</v>
      </c>
      <c r="W45" s="2"/>
      <c r="X45" s="7">
        <f t="shared" si="27"/>
        <v>0</v>
      </c>
      <c r="Y45" s="2"/>
      <c r="Z45" s="6">
        <f t="shared" si="28"/>
        <v>0</v>
      </c>
    </row>
    <row r="46" spans="1:26" s="24" customFormat="1" hidden="1" outlineLevel="2" x14ac:dyDescent="0.25">
      <c r="A46" s="26"/>
      <c r="B46" s="11" t="str">
        <f>CONCATENATE("          ", "6010", " - ", "GRATUITY")</f>
        <v xml:space="preserve">          6010 - GRATUITY</v>
      </c>
      <c r="C46" s="11"/>
      <c r="D46" s="7"/>
      <c r="E46" s="2"/>
      <c r="F46" s="6">
        <f t="shared" si="21"/>
        <v>0</v>
      </c>
      <c r="G46" s="2"/>
      <c r="H46" s="7">
        <v>0</v>
      </c>
      <c r="I46" s="2"/>
      <c r="J46" s="6">
        <f t="shared" si="22"/>
        <v>0</v>
      </c>
      <c r="K46" s="2"/>
      <c r="L46" s="7">
        <f t="shared" si="23"/>
        <v>0</v>
      </c>
      <c r="M46" s="2"/>
      <c r="N46" s="6">
        <f t="shared" si="24"/>
        <v>0</v>
      </c>
      <c r="O46" s="11"/>
      <c r="P46" s="7"/>
      <c r="Q46" s="2"/>
      <c r="R46" s="6">
        <f t="shared" si="25"/>
        <v>0</v>
      </c>
      <c r="S46" s="2"/>
      <c r="T46" s="7">
        <v>0</v>
      </c>
      <c r="U46" s="2"/>
      <c r="V46" s="6">
        <f t="shared" si="26"/>
        <v>0</v>
      </c>
      <c r="W46" s="2"/>
      <c r="X46" s="7">
        <f t="shared" si="27"/>
        <v>0</v>
      </c>
      <c r="Y46" s="2"/>
      <c r="Z46" s="6">
        <f t="shared" si="28"/>
        <v>0</v>
      </c>
    </row>
    <row r="47" spans="1:26" s="27" customFormat="1" outlineLevel="1" collapsed="1" x14ac:dyDescent="0.25">
      <c r="A47" s="25"/>
      <c r="B47" s="12" t="str">
        <f>CONCATENATE("     ","Advertising/Promo                                 ")</f>
        <v xml:space="preserve">     Advertising/Promo                                 </v>
      </c>
      <c r="C47" s="12"/>
      <c r="D47" s="1">
        <f>SUM(OSRRefD22_2x_0)</f>
        <v>0</v>
      </c>
      <c r="E47" s="1"/>
      <c r="F47" s="5">
        <f t="shared" ref="F47:F56" si="29">IF(D$12=0,0,D47/D$12)</f>
        <v>0</v>
      </c>
      <c r="G47" s="1"/>
      <c r="H47" s="1">
        <f>SUM(OSRRefH22_2x_0)</f>
        <v>0</v>
      </c>
      <c r="I47" s="1"/>
      <c r="J47" s="5">
        <f t="shared" ref="J47:J56" si="30">IF(H$12=0,0,H47/H$12)</f>
        <v>0</v>
      </c>
      <c r="K47" s="1"/>
      <c r="L47" s="1">
        <f t="shared" ref="L47:L56" si="31">+D47-H47</f>
        <v>0</v>
      </c>
      <c r="M47" s="1"/>
      <c r="N47" s="5">
        <f t="shared" ref="N47:N56" si="32">IF(H47=0,0,L47/H47)</f>
        <v>0</v>
      </c>
      <c r="O47" s="12"/>
      <c r="P47" s="1">
        <f>SUM(OSRRefP22_2x_0)</f>
        <v>462.48</v>
      </c>
      <c r="Q47" s="1"/>
      <c r="R47" s="5">
        <f t="shared" ref="R47:R56" si="33">IF(P$12=0,0,P47/P$12)</f>
        <v>1.2171363577483988E-3</v>
      </c>
      <c r="S47" s="1"/>
      <c r="T47" s="1">
        <f>SUM(OSRRefT22_2x_0)</f>
        <v>2050</v>
      </c>
      <c r="U47" s="1"/>
      <c r="V47" s="5">
        <f t="shared" ref="V47:V56" si="34">IF(T$12=0,0,T47/T$12)</f>
        <v>1.7966695880806309E-3</v>
      </c>
      <c r="W47" s="1"/>
      <c r="X47" s="1">
        <f t="shared" ref="X47:X56" si="35">+P47-T47</f>
        <v>-1587.52</v>
      </c>
      <c r="Y47" s="1"/>
      <c r="Z47" s="5">
        <f t="shared" ref="Z47:Z56" si="36">IF(T47=0,0,X47/T47)</f>
        <v>-0.77439999999999998</v>
      </c>
    </row>
    <row r="48" spans="1:26" s="24" customFormat="1" hidden="1" outlineLevel="2" x14ac:dyDescent="0.25">
      <c r="A48" s="26"/>
      <c r="B48" s="11" t="str">
        <f>CONCATENATE("          ", "6362", " - ", "ADVERTISING EXPENSE")</f>
        <v xml:space="preserve">          6362 - ADVERTISING EXPENSE</v>
      </c>
      <c r="C48" s="11"/>
      <c r="D48" s="7"/>
      <c r="E48" s="2"/>
      <c r="F48" s="6">
        <f t="shared" si="29"/>
        <v>0</v>
      </c>
      <c r="G48" s="2"/>
      <c r="H48" s="7"/>
      <c r="I48" s="2"/>
      <c r="J48" s="6">
        <f t="shared" si="30"/>
        <v>0</v>
      </c>
      <c r="K48" s="2"/>
      <c r="L48" s="7">
        <f t="shared" si="31"/>
        <v>0</v>
      </c>
      <c r="M48" s="2"/>
      <c r="N48" s="6">
        <f t="shared" si="32"/>
        <v>0</v>
      </c>
      <c r="O48" s="11"/>
      <c r="P48" s="7">
        <v>462.48</v>
      </c>
      <c r="Q48" s="2"/>
      <c r="R48" s="6">
        <f t="shared" si="33"/>
        <v>1.2171363577483988E-3</v>
      </c>
      <c r="S48" s="2"/>
      <c r="T48" s="7">
        <v>2050</v>
      </c>
      <c r="U48" s="2"/>
      <c r="V48" s="6">
        <f t="shared" si="34"/>
        <v>1.7966695880806309E-3</v>
      </c>
      <c r="W48" s="2"/>
      <c r="X48" s="7">
        <f t="shared" si="35"/>
        <v>-1587.52</v>
      </c>
      <c r="Y48" s="2"/>
      <c r="Z48" s="6">
        <f t="shared" si="36"/>
        <v>-0.77439999999999998</v>
      </c>
    </row>
    <row r="49" spans="1:26" s="27" customFormat="1" outlineLevel="1" collapsed="1" x14ac:dyDescent="0.25">
      <c r="A49" s="25"/>
      <c r="B49" s="12" t="str">
        <f>CONCATENATE("     ","Bad Debts/Over/Short                              ")</f>
        <v xml:space="preserve">     Bad Debts/Over/Short                              </v>
      </c>
      <c r="C49" s="12"/>
      <c r="D49" s="1">
        <f>SUM(OSRRefD22_3x_0)</f>
        <v>0</v>
      </c>
      <c r="E49" s="1"/>
      <c r="F49" s="5">
        <f t="shared" si="29"/>
        <v>0</v>
      </c>
      <c r="G49" s="1"/>
      <c r="H49" s="1">
        <f>SUM(OSRRefH22_3x_0)</f>
        <v>-1</v>
      </c>
      <c r="I49" s="1"/>
      <c r="J49" s="5">
        <f t="shared" si="30"/>
        <v>-6.4516129032258064E-6</v>
      </c>
      <c r="K49" s="1"/>
      <c r="L49" s="1">
        <f t="shared" si="31"/>
        <v>1</v>
      </c>
      <c r="M49" s="1"/>
      <c r="N49" s="5">
        <f t="shared" si="32"/>
        <v>-1</v>
      </c>
      <c r="O49" s="12"/>
      <c r="P49" s="1">
        <f>SUM(OSRRefP22_3x_0)</f>
        <v>-0.24</v>
      </c>
      <c r="Q49" s="1"/>
      <c r="R49" s="5">
        <f t="shared" si="33"/>
        <v>-6.3162239634063244E-7</v>
      </c>
      <c r="S49" s="1"/>
      <c r="T49" s="1">
        <f>SUM(OSRRefT22_3x_0)</f>
        <v>-11</v>
      </c>
      <c r="U49" s="1"/>
      <c r="V49" s="5">
        <f t="shared" si="34"/>
        <v>-9.6406660823838739E-6</v>
      </c>
      <c r="W49" s="1"/>
      <c r="X49" s="1">
        <f t="shared" si="35"/>
        <v>10.76</v>
      </c>
      <c r="Y49" s="1"/>
      <c r="Z49" s="5">
        <f t="shared" si="36"/>
        <v>-0.97818181818181815</v>
      </c>
    </row>
    <row r="50" spans="1:26" s="24" customFormat="1" hidden="1" outlineLevel="2" x14ac:dyDescent="0.25">
      <c r="A50" s="26"/>
      <c r="B50" s="11" t="str">
        <f>CONCATENATE("          ", "6272", " - ", "CASH (OVER/SHORT)")</f>
        <v xml:space="preserve">          6272 - CASH (OVER/SHORT)</v>
      </c>
      <c r="C50" s="11"/>
      <c r="D50" s="7"/>
      <c r="E50" s="2"/>
      <c r="F50" s="6">
        <f t="shared" si="29"/>
        <v>0</v>
      </c>
      <c r="G50" s="2"/>
      <c r="H50" s="7">
        <v>-1</v>
      </c>
      <c r="I50" s="2"/>
      <c r="J50" s="6">
        <f t="shared" si="30"/>
        <v>-6.4516129032258064E-6</v>
      </c>
      <c r="K50" s="2"/>
      <c r="L50" s="7">
        <f t="shared" si="31"/>
        <v>1</v>
      </c>
      <c r="M50" s="2"/>
      <c r="N50" s="6">
        <f t="shared" si="32"/>
        <v>-1</v>
      </c>
      <c r="O50" s="11"/>
      <c r="P50" s="7">
        <v>-0.24</v>
      </c>
      <c r="Q50" s="2"/>
      <c r="R50" s="6">
        <f t="shared" si="33"/>
        <v>-6.3162239634063244E-7</v>
      </c>
      <c r="S50" s="2"/>
      <c r="T50" s="7">
        <v>-11</v>
      </c>
      <c r="U50" s="2"/>
      <c r="V50" s="6">
        <f t="shared" si="34"/>
        <v>-9.6406660823838739E-6</v>
      </c>
      <c r="W50" s="2"/>
      <c r="X50" s="7">
        <f t="shared" si="35"/>
        <v>10.76</v>
      </c>
      <c r="Y50" s="2"/>
      <c r="Z50" s="6">
        <f t="shared" si="36"/>
        <v>-0.97818181818181815</v>
      </c>
    </row>
    <row r="51" spans="1:26" s="27" customFormat="1" outlineLevel="1" collapsed="1" x14ac:dyDescent="0.25">
      <c r="A51" s="25"/>
      <c r="B51" s="12" t="str">
        <f>CONCATENATE("     ","Bank/card Fees                                    ")</f>
        <v xml:space="preserve">     Bank/card Fees                                    </v>
      </c>
      <c r="C51" s="12"/>
      <c r="D51" s="1">
        <f>SUM(OSRRefD22_4x_0)</f>
        <v>0</v>
      </c>
      <c r="E51" s="1"/>
      <c r="F51" s="5">
        <f t="shared" si="29"/>
        <v>0</v>
      </c>
      <c r="G51" s="1"/>
      <c r="H51" s="1">
        <f>SUM(OSRRefH22_4x_0)</f>
        <v>1000</v>
      </c>
      <c r="I51" s="1"/>
      <c r="J51" s="5">
        <f t="shared" si="30"/>
        <v>6.4516129032258064E-3</v>
      </c>
      <c r="K51" s="1"/>
      <c r="L51" s="1">
        <f t="shared" si="31"/>
        <v>-1000</v>
      </c>
      <c r="M51" s="1"/>
      <c r="N51" s="5">
        <f t="shared" si="32"/>
        <v>-1</v>
      </c>
      <c r="O51" s="12"/>
      <c r="P51" s="1">
        <f>SUM(OSRRefP22_4x_0)</f>
        <v>5691.38</v>
      </c>
      <c r="Q51" s="1"/>
      <c r="R51" s="5">
        <f t="shared" si="33"/>
        <v>1.4978346142021455E-2</v>
      </c>
      <c r="S51" s="1"/>
      <c r="T51" s="1">
        <f>SUM(OSRRefT22_4x_0)</f>
        <v>11250</v>
      </c>
      <c r="U51" s="1"/>
      <c r="V51" s="5">
        <f t="shared" si="34"/>
        <v>9.8597721297107796E-3</v>
      </c>
      <c r="W51" s="1"/>
      <c r="X51" s="1">
        <f t="shared" si="35"/>
        <v>-5558.62</v>
      </c>
      <c r="Y51" s="1"/>
      <c r="Z51" s="5">
        <f t="shared" si="36"/>
        <v>-0.49409955555555557</v>
      </c>
    </row>
    <row r="52" spans="1:26" s="24" customFormat="1" hidden="1" outlineLevel="2" x14ac:dyDescent="0.25">
      <c r="A52" s="26"/>
      <c r="B52" s="11" t="str">
        <f>CONCATENATE("          ", "6381", " - ", "BANK/CREDIT CARD FEES")</f>
        <v xml:space="preserve">          6381 - BANK/CREDIT CARD FEES</v>
      </c>
      <c r="C52" s="11"/>
      <c r="D52" s="7"/>
      <c r="E52" s="2"/>
      <c r="F52" s="6">
        <f t="shared" si="29"/>
        <v>0</v>
      </c>
      <c r="G52" s="2"/>
      <c r="H52" s="7">
        <v>1000</v>
      </c>
      <c r="I52" s="2"/>
      <c r="J52" s="6">
        <f t="shared" si="30"/>
        <v>6.4516129032258064E-3</v>
      </c>
      <c r="K52" s="2"/>
      <c r="L52" s="7">
        <f t="shared" si="31"/>
        <v>-1000</v>
      </c>
      <c r="M52" s="2"/>
      <c r="N52" s="6">
        <f t="shared" si="32"/>
        <v>-1</v>
      </c>
      <c r="O52" s="11"/>
      <c r="P52" s="7">
        <v>5691.38</v>
      </c>
      <c r="Q52" s="2"/>
      <c r="R52" s="6">
        <f t="shared" si="33"/>
        <v>1.4978346142021455E-2</v>
      </c>
      <c r="S52" s="2"/>
      <c r="T52" s="7">
        <v>11250</v>
      </c>
      <c r="U52" s="2"/>
      <c r="V52" s="6">
        <f t="shared" si="34"/>
        <v>9.8597721297107796E-3</v>
      </c>
      <c r="W52" s="2"/>
      <c r="X52" s="7">
        <f t="shared" si="35"/>
        <v>-5558.62</v>
      </c>
      <c r="Y52" s="2"/>
      <c r="Z52" s="6">
        <f t="shared" si="36"/>
        <v>-0.49409955555555557</v>
      </c>
    </row>
    <row r="53" spans="1:26" s="27" customFormat="1" outlineLevel="1" collapsed="1" x14ac:dyDescent="0.25">
      <c r="A53" s="25"/>
      <c r="B53" s="12" t="str">
        <f>CONCATENATE("     ","Depreciation                                      ")</f>
        <v xml:space="preserve">     Depreciation                                      </v>
      </c>
      <c r="C53" s="12"/>
      <c r="D53" s="1">
        <f>SUM(OSRRefD22_5x_0)</f>
        <v>689.04</v>
      </c>
      <c r="E53" s="1"/>
      <c r="F53" s="5">
        <f t="shared" si="29"/>
        <v>0</v>
      </c>
      <c r="G53" s="1"/>
      <c r="H53" s="1">
        <f>SUM(OSRRefH22_5x_0)</f>
        <v>1621</v>
      </c>
      <c r="I53" s="1"/>
      <c r="J53" s="5">
        <f t="shared" si="30"/>
        <v>1.0458064516129031E-2</v>
      </c>
      <c r="K53" s="1"/>
      <c r="L53" s="1">
        <f t="shared" si="31"/>
        <v>-931.96</v>
      </c>
      <c r="M53" s="1"/>
      <c r="N53" s="5">
        <f t="shared" si="32"/>
        <v>-0.57492905613818635</v>
      </c>
      <c r="O53" s="12"/>
      <c r="P53" s="1">
        <f>SUM(OSRRefP22_5x_0)</f>
        <v>4688.9399999999996</v>
      </c>
      <c r="Q53" s="1"/>
      <c r="R53" s="5">
        <f t="shared" si="33"/>
        <v>1.2340164662906021E-2</v>
      </c>
      <c r="S53" s="1"/>
      <c r="T53" s="1">
        <f>SUM(OSRRefT22_5x_0)</f>
        <v>14195</v>
      </c>
      <c r="U53" s="1"/>
      <c r="V53" s="5">
        <f t="shared" si="34"/>
        <v>1.2440841367221735E-2</v>
      </c>
      <c r="W53" s="1"/>
      <c r="X53" s="1">
        <f t="shared" si="35"/>
        <v>-9506.0600000000013</v>
      </c>
      <c r="Y53" s="1"/>
      <c r="Z53" s="5">
        <f t="shared" si="36"/>
        <v>-0.66967664670658689</v>
      </c>
    </row>
    <row r="54" spans="1:26" s="24" customFormat="1" hidden="1" outlineLevel="2" x14ac:dyDescent="0.25">
      <c r="A54" s="26"/>
      <c r="B54" s="11" t="str">
        <f>CONCATENATE("          ", "6322", " - ", "EQUIPMENT DEPRECIATION EXPENSE")</f>
        <v xml:space="preserve">          6322 - EQUIPMENT DEPRECIATION EXPENSE</v>
      </c>
      <c r="C54" s="11"/>
      <c r="D54" s="7">
        <v>689.04</v>
      </c>
      <c r="E54" s="2"/>
      <c r="F54" s="6">
        <f t="shared" si="29"/>
        <v>0</v>
      </c>
      <c r="G54" s="2"/>
      <c r="H54" s="7">
        <v>298</v>
      </c>
      <c r="I54" s="2"/>
      <c r="J54" s="6">
        <f t="shared" si="30"/>
        <v>1.9225806451612904E-3</v>
      </c>
      <c r="K54" s="2"/>
      <c r="L54" s="7">
        <f t="shared" si="31"/>
        <v>391.03999999999996</v>
      </c>
      <c r="M54" s="2"/>
      <c r="N54" s="6">
        <f t="shared" si="32"/>
        <v>1.312214765100671</v>
      </c>
      <c r="O54" s="11"/>
      <c r="P54" s="7">
        <v>4688.9399999999996</v>
      </c>
      <c r="Q54" s="2"/>
      <c r="R54" s="6">
        <f t="shared" si="33"/>
        <v>1.2340164662906021E-2</v>
      </c>
      <c r="S54" s="2"/>
      <c r="T54" s="7">
        <v>3278</v>
      </c>
      <c r="U54" s="2"/>
      <c r="V54" s="6">
        <f t="shared" si="34"/>
        <v>2.8729184925503945E-3</v>
      </c>
      <c r="W54" s="2"/>
      <c r="X54" s="7">
        <f t="shared" si="35"/>
        <v>1410.9399999999996</v>
      </c>
      <c r="Y54" s="2"/>
      <c r="Z54" s="6">
        <f t="shared" si="36"/>
        <v>0.43042708968883453</v>
      </c>
    </row>
    <row r="55" spans="1:26" s="24" customFormat="1" hidden="1" outlineLevel="2" x14ac:dyDescent="0.25">
      <c r="A55" s="26"/>
      <c r="B55" s="11" t="str">
        <f>CONCATENATE("          ", "6324", " - ", "FURNITURE + FIXT DEPRECIATION")</f>
        <v xml:space="preserve">          6324 - FURNITURE + FIXT DEPRECIATION</v>
      </c>
      <c r="C55" s="11"/>
      <c r="D55" s="7"/>
      <c r="E55" s="2"/>
      <c r="F55" s="6">
        <f t="shared" si="29"/>
        <v>0</v>
      </c>
      <c r="G55" s="2"/>
      <c r="H55" s="7">
        <v>573</v>
      </c>
      <c r="I55" s="2"/>
      <c r="J55" s="6">
        <f t="shared" si="30"/>
        <v>3.6967741935483873E-3</v>
      </c>
      <c r="K55" s="2"/>
      <c r="L55" s="7">
        <f t="shared" si="31"/>
        <v>-573</v>
      </c>
      <c r="M55" s="2"/>
      <c r="N55" s="6">
        <f t="shared" si="32"/>
        <v>-1</v>
      </c>
      <c r="O55" s="11"/>
      <c r="P55" s="7"/>
      <c r="Q55" s="2"/>
      <c r="R55" s="6">
        <f t="shared" si="33"/>
        <v>0</v>
      </c>
      <c r="S55" s="2"/>
      <c r="T55" s="7">
        <v>4917</v>
      </c>
      <c r="U55" s="2"/>
      <c r="V55" s="6">
        <f t="shared" si="34"/>
        <v>4.3093777388255915E-3</v>
      </c>
      <c r="W55" s="2"/>
      <c r="X55" s="7">
        <f t="shared" si="35"/>
        <v>-4917</v>
      </c>
      <c r="Y55" s="2"/>
      <c r="Z55" s="6">
        <f t="shared" si="36"/>
        <v>-1</v>
      </c>
    </row>
    <row r="56" spans="1:26" s="24" customFormat="1" hidden="1" outlineLevel="2" x14ac:dyDescent="0.25">
      <c r="A56" s="26"/>
      <c r="B56" s="11" t="str">
        <f>CONCATENATE("          ", "6326", " - ", "VEHICLES DEPRECIATION EXPENSE")</f>
        <v xml:space="preserve">          6326 - VEHICLES DEPRECIATION EXPENSE</v>
      </c>
      <c r="C56" s="11"/>
      <c r="D56" s="7"/>
      <c r="E56" s="2"/>
      <c r="F56" s="6">
        <f t="shared" si="29"/>
        <v>0</v>
      </c>
      <c r="G56" s="2"/>
      <c r="H56" s="7">
        <v>750</v>
      </c>
      <c r="I56" s="2"/>
      <c r="J56" s="6">
        <f t="shared" si="30"/>
        <v>4.8387096774193551E-3</v>
      </c>
      <c r="K56" s="2"/>
      <c r="L56" s="7">
        <f t="shared" si="31"/>
        <v>-750</v>
      </c>
      <c r="M56" s="2"/>
      <c r="N56" s="6">
        <f t="shared" si="32"/>
        <v>-1</v>
      </c>
      <c r="O56" s="11"/>
      <c r="P56" s="7"/>
      <c r="Q56" s="2"/>
      <c r="R56" s="6">
        <f t="shared" si="33"/>
        <v>0</v>
      </c>
      <c r="S56" s="2"/>
      <c r="T56" s="7">
        <v>6000</v>
      </c>
      <c r="U56" s="2"/>
      <c r="V56" s="6">
        <f t="shared" si="34"/>
        <v>5.2585451358457495E-3</v>
      </c>
      <c r="W56" s="2"/>
      <c r="X56" s="7">
        <f t="shared" si="35"/>
        <v>-6000</v>
      </c>
      <c r="Y56" s="2"/>
      <c r="Z56" s="6">
        <f t="shared" si="36"/>
        <v>-1</v>
      </c>
    </row>
    <row r="57" spans="1:26" s="27" customFormat="1" outlineLevel="1" collapsed="1" x14ac:dyDescent="0.25">
      <c r="A57" s="25"/>
      <c r="B57" s="12" t="str">
        <f>CONCATENATE("     ","Employees' Appreciation                           ")</f>
        <v xml:space="preserve">     Employees' Appreciation                           </v>
      </c>
      <c r="C57" s="12"/>
      <c r="D57" s="1">
        <f>SUM(OSRRefD22_6x_0)</f>
        <v>0</v>
      </c>
      <c r="E57" s="1"/>
      <c r="F57" s="5">
        <f t="shared" ref="F57:F65" si="37">IF(D$12=0,0,D57/D$12)</f>
        <v>0</v>
      </c>
      <c r="G57" s="1"/>
      <c r="H57" s="1">
        <f>SUM(OSRRefH22_6x_0)</f>
        <v>300</v>
      </c>
      <c r="I57" s="1"/>
      <c r="J57" s="5">
        <f t="shared" ref="J57:J65" si="38">IF(H$12=0,0,H57/H$12)</f>
        <v>1.9354838709677419E-3</v>
      </c>
      <c r="K57" s="1"/>
      <c r="L57" s="1">
        <f t="shared" ref="L57:L65" si="39">+D57-H57</f>
        <v>-300</v>
      </c>
      <c r="M57" s="1"/>
      <c r="N57" s="5">
        <f t="shared" ref="N57:N65" si="40">IF(H57=0,0,L57/H57)</f>
        <v>-1</v>
      </c>
      <c r="O57" s="12"/>
      <c r="P57" s="1">
        <f>SUM(OSRRefP22_6x_0)</f>
        <v>60</v>
      </c>
      <c r="Q57" s="1"/>
      <c r="R57" s="5">
        <f t="shared" ref="R57:R65" si="41">IF(P$12=0,0,P57/P$12)</f>
        <v>1.5790559908515812E-4</v>
      </c>
      <c r="S57" s="1"/>
      <c r="T57" s="1">
        <f>SUM(OSRRefT22_6x_0)</f>
        <v>600</v>
      </c>
      <c r="U57" s="1"/>
      <c r="V57" s="5">
        <f t="shared" ref="V57:V65" si="42">IF(T$12=0,0,T57/T$12)</f>
        <v>5.258545135845749E-4</v>
      </c>
      <c r="W57" s="1"/>
      <c r="X57" s="1">
        <f t="shared" ref="X57:X65" si="43">+P57-T57</f>
        <v>-540</v>
      </c>
      <c r="Y57" s="1"/>
      <c r="Z57" s="5">
        <f t="shared" ref="Z57:Z65" si="44">IF(T57=0,0,X57/T57)</f>
        <v>-0.9</v>
      </c>
    </row>
    <row r="58" spans="1:26" s="24" customFormat="1" hidden="1" outlineLevel="2" x14ac:dyDescent="0.25">
      <c r="A58" s="26"/>
      <c r="B58" s="11" t="str">
        <f>CONCATENATE("          ", "6277", " - ", "EMPLOYEE APPRECIATION")</f>
        <v xml:space="preserve">          6277 - EMPLOYEE APPRECIATION</v>
      </c>
      <c r="C58" s="11"/>
      <c r="D58" s="7"/>
      <c r="E58" s="2"/>
      <c r="F58" s="6">
        <f t="shared" si="37"/>
        <v>0</v>
      </c>
      <c r="G58" s="2"/>
      <c r="H58" s="7">
        <v>300</v>
      </c>
      <c r="I58" s="2"/>
      <c r="J58" s="6">
        <f t="shared" si="38"/>
        <v>1.9354838709677419E-3</v>
      </c>
      <c r="K58" s="2"/>
      <c r="L58" s="7">
        <f t="shared" si="39"/>
        <v>-300</v>
      </c>
      <c r="M58" s="2"/>
      <c r="N58" s="6">
        <f t="shared" si="40"/>
        <v>-1</v>
      </c>
      <c r="O58" s="11"/>
      <c r="P58" s="7">
        <v>60</v>
      </c>
      <c r="Q58" s="2"/>
      <c r="R58" s="6">
        <f t="shared" si="41"/>
        <v>1.5790559908515812E-4</v>
      </c>
      <c r="S58" s="2"/>
      <c r="T58" s="7">
        <v>600</v>
      </c>
      <c r="U58" s="2"/>
      <c r="V58" s="6">
        <f t="shared" si="42"/>
        <v>5.258545135845749E-4</v>
      </c>
      <c r="W58" s="2"/>
      <c r="X58" s="7">
        <f t="shared" si="43"/>
        <v>-540</v>
      </c>
      <c r="Y58" s="2"/>
      <c r="Z58" s="6">
        <f t="shared" si="44"/>
        <v>-0.9</v>
      </c>
    </row>
    <row r="59" spans="1:26" s="27" customFormat="1" outlineLevel="1" collapsed="1" x14ac:dyDescent="0.25">
      <c r="A59" s="25"/>
      <c r="B59" s="12" t="str">
        <f>CONCATENATE("     ","Equipment Rental                                  ")</f>
        <v xml:space="preserve">     Equipment Rental                                  </v>
      </c>
      <c r="C59" s="12"/>
      <c r="D59" s="1">
        <f>SUM(OSRRefD22_7x_0)</f>
        <v>16.239999999999998</v>
      </c>
      <c r="E59" s="1"/>
      <c r="F59" s="5">
        <f t="shared" si="37"/>
        <v>0</v>
      </c>
      <c r="G59" s="1"/>
      <c r="H59" s="1">
        <f>SUM(OSRRefH22_7x_0)</f>
        <v>200</v>
      </c>
      <c r="I59" s="1"/>
      <c r="J59" s="5">
        <f t="shared" si="38"/>
        <v>1.2903225806451613E-3</v>
      </c>
      <c r="K59" s="1"/>
      <c r="L59" s="1">
        <f t="shared" si="39"/>
        <v>-183.76</v>
      </c>
      <c r="M59" s="1"/>
      <c r="N59" s="5">
        <f t="shared" si="40"/>
        <v>-0.91879999999999995</v>
      </c>
      <c r="O59" s="12"/>
      <c r="P59" s="1">
        <f>SUM(OSRRefP22_7x_0)</f>
        <v>837.76</v>
      </c>
      <c r="Q59" s="1"/>
      <c r="R59" s="5">
        <f t="shared" si="41"/>
        <v>2.204783244826368E-3</v>
      </c>
      <c r="S59" s="1"/>
      <c r="T59" s="1">
        <f>SUM(OSRRefT22_7x_0)</f>
        <v>925</v>
      </c>
      <c r="U59" s="1"/>
      <c r="V59" s="5">
        <f t="shared" si="42"/>
        <v>8.1069237510955302E-4</v>
      </c>
      <c r="W59" s="1"/>
      <c r="X59" s="1">
        <f t="shared" si="43"/>
        <v>-87.240000000000009</v>
      </c>
      <c r="Y59" s="1"/>
      <c r="Z59" s="5">
        <f t="shared" si="44"/>
        <v>-9.4313513513513525E-2</v>
      </c>
    </row>
    <row r="60" spans="1:26" s="24" customFormat="1" hidden="1" outlineLevel="2" x14ac:dyDescent="0.25">
      <c r="A60" s="26"/>
      <c r="B60" s="11" t="str">
        <f>CONCATENATE("          ", "6351", " - ", "EQUIPMENT RENTAL")</f>
        <v xml:space="preserve">          6351 - EQUIPMENT RENTAL</v>
      </c>
      <c r="C60" s="11"/>
      <c r="D60" s="7">
        <v>16.239999999999998</v>
      </c>
      <c r="E60" s="2"/>
      <c r="F60" s="6">
        <f t="shared" si="37"/>
        <v>0</v>
      </c>
      <c r="G60" s="2"/>
      <c r="H60" s="7">
        <v>200</v>
      </c>
      <c r="I60" s="2"/>
      <c r="J60" s="6">
        <f t="shared" si="38"/>
        <v>1.2903225806451613E-3</v>
      </c>
      <c r="K60" s="2"/>
      <c r="L60" s="7">
        <f t="shared" si="39"/>
        <v>-183.76</v>
      </c>
      <c r="M60" s="2"/>
      <c r="N60" s="6">
        <f t="shared" si="40"/>
        <v>-0.91879999999999995</v>
      </c>
      <c r="O60" s="11"/>
      <c r="P60" s="7">
        <v>837.76</v>
      </c>
      <c r="Q60" s="2"/>
      <c r="R60" s="6">
        <f t="shared" si="41"/>
        <v>2.204783244826368E-3</v>
      </c>
      <c r="S60" s="2"/>
      <c r="T60" s="7">
        <v>925</v>
      </c>
      <c r="U60" s="2"/>
      <c r="V60" s="6">
        <f t="shared" si="42"/>
        <v>8.1069237510955302E-4</v>
      </c>
      <c r="W60" s="2"/>
      <c r="X60" s="7">
        <f t="shared" si="43"/>
        <v>-87.240000000000009</v>
      </c>
      <c r="Y60" s="2"/>
      <c r="Z60" s="6">
        <f t="shared" si="44"/>
        <v>-9.4313513513513525E-2</v>
      </c>
    </row>
    <row r="61" spans="1:26" s="27" customFormat="1" outlineLevel="1" collapsed="1" x14ac:dyDescent="0.25">
      <c r="A61" s="25"/>
      <c r="B61" s="12" t="str">
        <f>CONCATENATE("     ","General                                           ")</f>
        <v xml:space="preserve">     General                                           </v>
      </c>
      <c r="C61" s="12"/>
      <c r="D61" s="1">
        <f>SUM(OSRRefD22_8x_0)</f>
        <v>-400</v>
      </c>
      <c r="E61" s="1"/>
      <c r="F61" s="5">
        <f t="shared" si="37"/>
        <v>0</v>
      </c>
      <c r="G61" s="1"/>
      <c r="H61" s="1">
        <f>SUM(OSRRefH22_8x_0)</f>
        <v>50</v>
      </c>
      <c r="I61" s="1"/>
      <c r="J61" s="5">
        <f t="shared" si="38"/>
        <v>3.2258064516129032E-4</v>
      </c>
      <c r="K61" s="1"/>
      <c r="L61" s="1">
        <f t="shared" si="39"/>
        <v>-450</v>
      </c>
      <c r="M61" s="1"/>
      <c r="N61" s="5">
        <f t="shared" si="40"/>
        <v>-9</v>
      </c>
      <c r="O61" s="12"/>
      <c r="P61" s="1">
        <f>SUM(OSRRefP22_8x_0)</f>
        <v>2498.7399999999998</v>
      </c>
      <c r="Q61" s="1"/>
      <c r="R61" s="5">
        <f t="shared" si="41"/>
        <v>6.5760839443007998E-3</v>
      </c>
      <c r="S61" s="1"/>
      <c r="T61" s="1">
        <f>SUM(OSRRefT22_8x_0)</f>
        <v>4025</v>
      </c>
      <c r="U61" s="1"/>
      <c r="V61" s="5">
        <f t="shared" si="42"/>
        <v>3.5276073619631902E-3</v>
      </c>
      <c r="W61" s="1"/>
      <c r="X61" s="1">
        <f t="shared" si="43"/>
        <v>-1526.2600000000002</v>
      </c>
      <c r="Y61" s="1"/>
      <c r="Z61" s="5">
        <f t="shared" si="44"/>
        <v>-0.37919503105590069</v>
      </c>
    </row>
    <row r="62" spans="1:26" s="24" customFormat="1" hidden="1" outlineLevel="2" x14ac:dyDescent="0.25">
      <c r="A62" s="26"/>
      <c r="B62" s="11" t="str">
        <f>CONCATENATE("          ", "6279", " - ", "GENERAL EXPENSE")</f>
        <v xml:space="preserve">          6279 - GENERAL EXPENSE</v>
      </c>
      <c r="C62" s="11"/>
      <c r="D62" s="7">
        <v>-400</v>
      </c>
      <c r="E62" s="2"/>
      <c r="F62" s="6">
        <f t="shared" si="37"/>
        <v>0</v>
      </c>
      <c r="G62" s="2"/>
      <c r="H62" s="7">
        <v>50</v>
      </c>
      <c r="I62" s="2"/>
      <c r="J62" s="6">
        <f t="shared" si="38"/>
        <v>3.2258064516129032E-4</v>
      </c>
      <c r="K62" s="2"/>
      <c r="L62" s="7">
        <f t="shared" si="39"/>
        <v>-450</v>
      </c>
      <c r="M62" s="2"/>
      <c r="N62" s="6">
        <f t="shared" si="40"/>
        <v>-9</v>
      </c>
      <c r="O62" s="11"/>
      <c r="P62" s="7">
        <v>2498.7399999999998</v>
      </c>
      <c r="Q62" s="2"/>
      <c r="R62" s="6">
        <f t="shared" si="41"/>
        <v>6.5760839443007998E-3</v>
      </c>
      <c r="S62" s="2"/>
      <c r="T62" s="7">
        <v>4025</v>
      </c>
      <c r="U62" s="2"/>
      <c r="V62" s="6">
        <f t="shared" si="42"/>
        <v>3.5276073619631902E-3</v>
      </c>
      <c r="W62" s="2"/>
      <c r="X62" s="7">
        <f t="shared" si="43"/>
        <v>-1526.2600000000002</v>
      </c>
      <c r="Y62" s="2"/>
      <c r="Z62" s="6">
        <f t="shared" si="44"/>
        <v>-0.37919503105590069</v>
      </c>
    </row>
    <row r="63" spans="1:26" s="27" customFormat="1" outlineLevel="1" collapsed="1" x14ac:dyDescent="0.25">
      <c r="A63" s="25"/>
      <c r="B63" s="12" t="str">
        <f>CONCATENATE("     ","Repair and Maintenance                            ")</f>
        <v xml:space="preserve">     Repair and Maintenance                            </v>
      </c>
      <c r="C63" s="12"/>
      <c r="D63" s="1">
        <f>SUM(OSRRefD22_9x_0)</f>
        <v>0</v>
      </c>
      <c r="E63" s="1"/>
      <c r="F63" s="5">
        <f t="shared" si="37"/>
        <v>0</v>
      </c>
      <c r="G63" s="1"/>
      <c r="H63" s="1">
        <f>SUM(OSRRefH22_9x_0)</f>
        <v>1000</v>
      </c>
      <c r="I63" s="1"/>
      <c r="J63" s="5">
        <f t="shared" si="38"/>
        <v>6.4516129032258064E-3</v>
      </c>
      <c r="K63" s="1"/>
      <c r="L63" s="1">
        <f t="shared" si="39"/>
        <v>-1000</v>
      </c>
      <c r="M63" s="1"/>
      <c r="N63" s="5">
        <f t="shared" si="40"/>
        <v>-1</v>
      </c>
      <c r="O63" s="12"/>
      <c r="P63" s="1">
        <f>SUM(OSRRefP22_9x_0)</f>
        <v>5456.32</v>
      </c>
      <c r="Q63" s="1"/>
      <c r="R63" s="5">
        <f t="shared" si="41"/>
        <v>1.4359724640005499E-2</v>
      </c>
      <c r="S63" s="1"/>
      <c r="T63" s="1">
        <f>SUM(OSRRefT22_9x_0)</f>
        <v>6480</v>
      </c>
      <c r="U63" s="1"/>
      <c r="V63" s="5">
        <f t="shared" si="42"/>
        <v>5.6792287467134096E-3</v>
      </c>
      <c r="W63" s="1"/>
      <c r="X63" s="1">
        <f t="shared" si="43"/>
        <v>-1023.6800000000003</v>
      </c>
      <c r="Y63" s="1"/>
      <c r="Z63" s="5">
        <f t="shared" si="44"/>
        <v>-0.15797530864197534</v>
      </c>
    </row>
    <row r="64" spans="1:26" s="24" customFormat="1" hidden="1" outlineLevel="2" x14ac:dyDescent="0.25">
      <c r="A64" s="26"/>
      <c r="B64" s="11" t="str">
        <f>CONCATENATE("          ", "6373", " - ", "MAINTENANCE CONTRACTS")</f>
        <v xml:space="preserve">          6373 - MAINTENANCE CONTRACTS</v>
      </c>
      <c r="C64" s="11"/>
      <c r="D64" s="7"/>
      <c r="E64" s="2"/>
      <c r="F64" s="6">
        <f t="shared" si="37"/>
        <v>0</v>
      </c>
      <c r="G64" s="2"/>
      <c r="H64" s="7"/>
      <c r="I64" s="2"/>
      <c r="J64" s="6">
        <f t="shared" si="38"/>
        <v>0</v>
      </c>
      <c r="K64" s="2"/>
      <c r="L64" s="7">
        <f t="shared" si="39"/>
        <v>0</v>
      </c>
      <c r="M64" s="2"/>
      <c r="N64" s="6">
        <f t="shared" si="40"/>
        <v>0</v>
      </c>
      <c r="O64" s="11"/>
      <c r="P64" s="7">
        <v>1131.8800000000001</v>
      </c>
      <c r="Q64" s="2"/>
      <c r="R64" s="6">
        <f t="shared" si="41"/>
        <v>2.9788364915418132E-3</v>
      </c>
      <c r="S64" s="2"/>
      <c r="T64" s="7">
        <v>180</v>
      </c>
      <c r="U64" s="2"/>
      <c r="V64" s="6">
        <f t="shared" si="42"/>
        <v>1.5775635407537248E-4</v>
      </c>
      <c r="W64" s="2"/>
      <c r="X64" s="7">
        <f t="shared" si="43"/>
        <v>951.88000000000011</v>
      </c>
      <c r="Y64" s="2"/>
      <c r="Z64" s="6">
        <f t="shared" si="44"/>
        <v>5.288222222222223</v>
      </c>
    </row>
    <row r="65" spans="1:26" s="24" customFormat="1" hidden="1" outlineLevel="2" x14ac:dyDescent="0.25">
      <c r="A65" s="26"/>
      <c r="B65" s="11" t="str">
        <f>CONCATENATE("          ", "6375", " - ", "OUTSIDE REPAIRS &amp; MAINTENANCE")</f>
        <v xml:space="preserve">          6375 - OUTSIDE REPAIRS &amp; MAINTENANCE</v>
      </c>
      <c r="C65" s="11"/>
      <c r="D65" s="7"/>
      <c r="E65" s="2"/>
      <c r="F65" s="6">
        <f t="shared" si="37"/>
        <v>0</v>
      </c>
      <c r="G65" s="2"/>
      <c r="H65" s="7">
        <v>1000</v>
      </c>
      <c r="I65" s="2"/>
      <c r="J65" s="6">
        <f t="shared" si="38"/>
        <v>6.4516129032258064E-3</v>
      </c>
      <c r="K65" s="2"/>
      <c r="L65" s="7">
        <f t="shared" si="39"/>
        <v>-1000</v>
      </c>
      <c r="M65" s="2"/>
      <c r="N65" s="6">
        <f t="shared" si="40"/>
        <v>-1</v>
      </c>
      <c r="O65" s="11"/>
      <c r="P65" s="7">
        <v>4324.4399999999996</v>
      </c>
      <c r="Q65" s="2"/>
      <c r="R65" s="6">
        <f t="shared" si="41"/>
        <v>1.1380888148463686E-2</v>
      </c>
      <c r="S65" s="2"/>
      <c r="T65" s="7">
        <v>6300</v>
      </c>
      <c r="U65" s="2"/>
      <c r="V65" s="6">
        <f t="shared" si="42"/>
        <v>5.521472392638037E-3</v>
      </c>
      <c r="W65" s="2"/>
      <c r="X65" s="7">
        <f t="shared" si="43"/>
        <v>-1975.5600000000004</v>
      </c>
      <c r="Y65" s="2"/>
      <c r="Z65" s="6">
        <f t="shared" si="44"/>
        <v>-0.31358095238095246</v>
      </c>
    </row>
    <row r="66" spans="1:26" s="27" customFormat="1" outlineLevel="1" collapsed="1" x14ac:dyDescent="0.25">
      <c r="A66" s="25"/>
      <c r="B66" s="12" t="str">
        <f>CONCATENATE("     ","Royalty &amp; Commissions                             ")</f>
        <v xml:space="preserve">     Royalty &amp; Commissions                             </v>
      </c>
      <c r="C66" s="12"/>
      <c r="D66" s="1">
        <f>SUM(OSRRefD22_10x_0)</f>
        <v>0</v>
      </c>
      <c r="E66" s="1"/>
      <c r="F66" s="5">
        <f t="shared" ref="F66:F71" si="45">IF(D$12=0,0,D66/D$12)</f>
        <v>0</v>
      </c>
      <c r="G66" s="1"/>
      <c r="H66" s="1">
        <f>SUM(OSRRefH22_10x_0)</f>
        <v>0</v>
      </c>
      <c r="I66" s="1"/>
      <c r="J66" s="5">
        <f t="shared" ref="J66:J71" si="46">IF(H$12=0,0,H66/H$12)</f>
        <v>0</v>
      </c>
      <c r="K66" s="1"/>
      <c r="L66" s="1">
        <f t="shared" ref="L66:L71" si="47">+D66-H66</f>
        <v>0</v>
      </c>
      <c r="M66" s="1"/>
      <c r="N66" s="5">
        <f t="shared" ref="N66:N71" si="48">IF(H66=0,0,L66/H66)</f>
        <v>0</v>
      </c>
      <c r="O66" s="12"/>
      <c r="P66" s="1">
        <f>SUM(OSRRefP22_10x_0)</f>
        <v>0</v>
      </c>
      <c r="Q66" s="1"/>
      <c r="R66" s="5">
        <f t="shared" ref="R66:R71" si="49">IF(P$12=0,0,P66/P$12)</f>
        <v>0</v>
      </c>
      <c r="S66" s="1"/>
      <c r="T66" s="1">
        <f>SUM(OSRRefT22_10x_0)</f>
        <v>5000</v>
      </c>
      <c r="U66" s="1"/>
      <c r="V66" s="5">
        <f t="shared" ref="V66:V71" si="50">IF(T$12=0,0,T66/T$12)</f>
        <v>4.3821209465381246E-3</v>
      </c>
      <c r="W66" s="1"/>
      <c r="X66" s="1">
        <f t="shared" ref="X66:X71" si="51">+P66-T66</f>
        <v>-5000</v>
      </c>
      <c r="Y66" s="1"/>
      <c r="Z66" s="5">
        <f t="shared" ref="Z66:Z71" si="52">IF(T66=0,0,X66/T66)</f>
        <v>-1</v>
      </c>
    </row>
    <row r="67" spans="1:26" s="24" customFormat="1" hidden="1" outlineLevel="2" x14ac:dyDescent="0.25">
      <c r="A67" s="26"/>
      <c r="B67" s="11" t="str">
        <f>CONCATENATE("          ", "6254", " - ", "ROYALTY &amp; COMMISSIONS")</f>
        <v xml:space="preserve">          6254 - ROYALTY &amp; COMMISSIONS</v>
      </c>
      <c r="C67" s="11"/>
      <c r="D67" s="7"/>
      <c r="E67" s="2"/>
      <c r="F67" s="6">
        <f t="shared" si="45"/>
        <v>0</v>
      </c>
      <c r="G67" s="2"/>
      <c r="H67" s="7"/>
      <c r="I67" s="2"/>
      <c r="J67" s="6">
        <f t="shared" si="46"/>
        <v>0</v>
      </c>
      <c r="K67" s="2"/>
      <c r="L67" s="7">
        <f t="shared" si="47"/>
        <v>0</v>
      </c>
      <c r="M67" s="2"/>
      <c r="N67" s="6">
        <f t="shared" si="48"/>
        <v>0</v>
      </c>
      <c r="O67" s="11"/>
      <c r="P67" s="7"/>
      <c r="Q67" s="2"/>
      <c r="R67" s="6">
        <f t="shared" si="49"/>
        <v>0</v>
      </c>
      <c r="S67" s="2"/>
      <c r="T67" s="7">
        <v>5000</v>
      </c>
      <c r="U67" s="2"/>
      <c r="V67" s="6">
        <f t="shared" si="50"/>
        <v>4.3821209465381246E-3</v>
      </c>
      <c r="W67" s="2"/>
      <c r="X67" s="7">
        <f t="shared" si="51"/>
        <v>-5000</v>
      </c>
      <c r="Y67" s="2"/>
      <c r="Z67" s="6">
        <f t="shared" si="52"/>
        <v>-1</v>
      </c>
    </row>
    <row r="68" spans="1:26" s="27" customFormat="1" outlineLevel="1" collapsed="1" x14ac:dyDescent="0.25">
      <c r="A68" s="25"/>
      <c r="B68" s="12" t="str">
        <f>CONCATENATE("     ","Services                                          ")</f>
        <v xml:space="preserve">     Services                                          </v>
      </c>
      <c r="C68" s="12"/>
      <c r="D68" s="1">
        <f>SUM(OSRRefD22_11x_0)</f>
        <v>0</v>
      </c>
      <c r="E68" s="1"/>
      <c r="F68" s="5">
        <f t="shared" si="45"/>
        <v>0</v>
      </c>
      <c r="G68" s="1"/>
      <c r="H68" s="1">
        <f>SUM(OSRRefH22_11x_0)</f>
        <v>3060</v>
      </c>
      <c r="I68" s="1"/>
      <c r="J68" s="5">
        <f t="shared" si="46"/>
        <v>1.9741935483870966E-2</v>
      </c>
      <c r="K68" s="1"/>
      <c r="L68" s="1">
        <f t="shared" si="47"/>
        <v>-3060</v>
      </c>
      <c r="M68" s="1"/>
      <c r="N68" s="5">
        <f t="shared" si="48"/>
        <v>-1</v>
      </c>
      <c r="O68" s="12"/>
      <c r="P68" s="1">
        <f>SUM(OSRRefP22_11x_0)</f>
        <v>19714.809999999998</v>
      </c>
      <c r="Q68" s="1"/>
      <c r="R68" s="5">
        <f t="shared" si="49"/>
        <v>5.18846480650011E-2</v>
      </c>
      <c r="S68" s="1"/>
      <c r="T68" s="1">
        <f>SUM(OSRRefT22_11x_0)</f>
        <v>32160</v>
      </c>
      <c r="U68" s="1"/>
      <c r="V68" s="5">
        <f t="shared" si="50"/>
        <v>2.8185801928133216E-2</v>
      </c>
      <c r="W68" s="1"/>
      <c r="X68" s="1">
        <f t="shared" si="51"/>
        <v>-12445.190000000002</v>
      </c>
      <c r="Y68" s="1"/>
      <c r="Z68" s="5">
        <f t="shared" si="52"/>
        <v>-0.38697730099502498</v>
      </c>
    </row>
    <row r="69" spans="1:26" s="24" customFormat="1" hidden="1" outlineLevel="2" x14ac:dyDescent="0.25">
      <c r="A69" s="26"/>
      <c r="B69" s="11" t="str">
        <f>CONCATENATE("          ", "6283", " - ", "PLANT SERVICE")</f>
        <v xml:space="preserve">          6283 - PLANT SERVICE</v>
      </c>
      <c r="C69" s="11"/>
      <c r="D69" s="7"/>
      <c r="E69" s="2"/>
      <c r="F69" s="6">
        <f t="shared" si="45"/>
        <v>0</v>
      </c>
      <c r="G69" s="2"/>
      <c r="H69" s="7">
        <v>60</v>
      </c>
      <c r="I69" s="2"/>
      <c r="J69" s="6">
        <f t="shared" si="46"/>
        <v>3.8709677419354838E-4</v>
      </c>
      <c r="K69" s="2"/>
      <c r="L69" s="7">
        <f t="shared" si="47"/>
        <v>-60</v>
      </c>
      <c r="M69" s="2"/>
      <c r="N69" s="6">
        <f t="shared" si="48"/>
        <v>-1</v>
      </c>
      <c r="O69" s="11"/>
      <c r="P69" s="7">
        <v>566.54999999999995</v>
      </c>
      <c r="Q69" s="2"/>
      <c r="R69" s="6">
        <f t="shared" si="49"/>
        <v>1.4910236193616056E-3</v>
      </c>
      <c r="S69" s="2"/>
      <c r="T69" s="7">
        <v>660</v>
      </c>
      <c r="U69" s="2"/>
      <c r="V69" s="6">
        <f t="shared" si="50"/>
        <v>5.7843996494303242E-4</v>
      </c>
      <c r="W69" s="2"/>
      <c r="X69" s="7">
        <f t="shared" si="51"/>
        <v>-93.450000000000045</v>
      </c>
      <c r="Y69" s="2"/>
      <c r="Z69" s="6">
        <f t="shared" si="52"/>
        <v>-0.14159090909090916</v>
      </c>
    </row>
    <row r="70" spans="1:26" s="24" customFormat="1" hidden="1" outlineLevel="2" x14ac:dyDescent="0.25">
      <c r="A70" s="26"/>
      <c r="B70" s="11" t="str">
        <f>CONCATENATE("          ", "6285", " - ", "JANITORIAL SERVICES")</f>
        <v xml:space="preserve">          6285 - JANITORIAL SERVICES</v>
      </c>
      <c r="C70" s="11"/>
      <c r="D70" s="7"/>
      <c r="E70" s="2"/>
      <c r="F70" s="6">
        <f t="shared" si="45"/>
        <v>0</v>
      </c>
      <c r="G70" s="2"/>
      <c r="H70" s="7"/>
      <c r="I70" s="2"/>
      <c r="J70" s="6">
        <f t="shared" si="46"/>
        <v>0</v>
      </c>
      <c r="K70" s="2"/>
      <c r="L70" s="7">
        <f t="shared" si="47"/>
        <v>0</v>
      </c>
      <c r="M70" s="2"/>
      <c r="N70" s="6">
        <f t="shared" si="48"/>
        <v>0</v>
      </c>
      <c r="O70" s="11"/>
      <c r="P70" s="7">
        <v>517.04999999999995</v>
      </c>
      <c r="Q70" s="2"/>
      <c r="R70" s="6">
        <f t="shared" si="49"/>
        <v>1.3607515001163501E-3</v>
      </c>
      <c r="S70" s="2"/>
      <c r="T70" s="7">
        <v>500</v>
      </c>
      <c r="U70" s="2"/>
      <c r="V70" s="6">
        <f t="shared" si="50"/>
        <v>4.3821209465381246E-4</v>
      </c>
      <c r="W70" s="2"/>
      <c r="X70" s="7">
        <f t="shared" si="51"/>
        <v>17.049999999999955</v>
      </c>
      <c r="Y70" s="2"/>
      <c r="Z70" s="6">
        <f t="shared" si="52"/>
        <v>3.4099999999999908E-2</v>
      </c>
    </row>
    <row r="71" spans="1:26" s="24" customFormat="1" hidden="1" outlineLevel="2" x14ac:dyDescent="0.25">
      <c r="A71" s="26"/>
      <c r="B71" s="11" t="str">
        <f>CONCATENATE("          ", "6286", " - ", "LAUNDRY EXPENSE")</f>
        <v xml:space="preserve">          6286 - LAUNDRY EXPENSE</v>
      </c>
      <c r="C71" s="11"/>
      <c r="D71" s="7"/>
      <c r="E71" s="2"/>
      <c r="F71" s="6">
        <f t="shared" si="45"/>
        <v>0</v>
      </c>
      <c r="G71" s="2"/>
      <c r="H71" s="7">
        <v>3000</v>
      </c>
      <c r="I71" s="2"/>
      <c r="J71" s="6">
        <f t="shared" si="46"/>
        <v>1.935483870967742E-2</v>
      </c>
      <c r="K71" s="2"/>
      <c r="L71" s="7">
        <f t="shared" si="47"/>
        <v>-3000</v>
      </c>
      <c r="M71" s="2"/>
      <c r="N71" s="6">
        <f t="shared" si="48"/>
        <v>-1</v>
      </c>
      <c r="O71" s="11"/>
      <c r="P71" s="7">
        <v>18631.21</v>
      </c>
      <c r="Q71" s="2"/>
      <c r="R71" s="6">
        <f t="shared" si="49"/>
        <v>4.9032872945523144E-2</v>
      </c>
      <c r="S71" s="2"/>
      <c r="T71" s="7">
        <v>31000</v>
      </c>
      <c r="U71" s="2"/>
      <c r="V71" s="6">
        <f t="shared" si="50"/>
        <v>2.7169149868536371E-2</v>
      </c>
      <c r="W71" s="2"/>
      <c r="X71" s="7">
        <f t="shared" si="51"/>
        <v>-12368.79</v>
      </c>
      <c r="Y71" s="2"/>
      <c r="Z71" s="6">
        <f t="shared" si="52"/>
        <v>-0.39899322580645163</v>
      </c>
    </row>
    <row r="72" spans="1:26" s="27" customFormat="1" outlineLevel="1" collapsed="1" x14ac:dyDescent="0.25">
      <c r="A72" s="25"/>
      <c r="B72" s="12" t="str">
        <f>CONCATENATE("     ","Supplies                                          ")</f>
        <v xml:space="preserve">     Supplies                                          </v>
      </c>
      <c r="C72" s="12"/>
      <c r="D72" s="1">
        <f>SUM(OSRRefD22_12x_0)</f>
        <v>0</v>
      </c>
      <c r="E72" s="1"/>
      <c r="F72" s="5">
        <f t="shared" ref="F72:F80" si="53">IF(D$12=0,0,D72/D$12)</f>
        <v>0</v>
      </c>
      <c r="G72" s="1"/>
      <c r="H72" s="1">
        <f>SUM(OSRRefH22_12x_0)</f>
        <v>1650</v>
      </c>
      <c r="I72" s="1"/>
      <c r="J72" s="5">
        <f t="shared" ref="J72:J80" si="54">IF(H$12=0,0,H72/H$12)</f>
        <v>1.064516129032258E-2</v>
      </c>
      <c r="K72" s="1"/>
      <c r="L72" s="1">
        <f t="shared" ref="L72:L80" si="55">+D72-H72</f>
        <v>-1650</v>
      </c>
      <c r="M72" s="1"/>
      <c r="N72" s="5">
        <f t="shared" ref="N72:N80" si="56">IF(H72=0,0,L72/H72)</f>
        <v>-1</v>
      </c>
      <c r="O72" s="12"/>
      <c r="P72" s="1">
        <f>SUM(OSRRefP22_12x_0)</f>
        <v>12484.019999999999</v>
      </c>
      <c r="Q72" s="1"/>
      <c r="R72" s="5">
        <f t="shared" ref="R72:R80" si="57">IF(P$12=0,0,P72/P$12)</f>
        <v>3.2854944284851591E-2</v>
      </c>
      <c r="S72" s="1"/>
      <c r="T72" s="1">
        <f>SUM(OSRRefT22_12x_0)</f>
        <v>24139.859999999997</v>
      </c>
      <c r="U72" s="1"/>
      <c r="V72" s="5">
        <f t="shared" ref="V72:V80" si="58">IF(T$12=0,0,T72/T$12)</f>
        <v>2.1156757230499559E-2</v>
      </c>
      <c r="W72" s="1"/>
      <c r="X72" s="1">
        <f t="shared" ref="X72:X80" si="59">+P72-T72</f>
        <v>-11655.839999999998</v>
      </c>
      <c r="Y72" s="1"/>
      <c r="Z72" s="5">
        <f t="shared" ref="Z72:Z80" si="60">IF(T72=0,0,X72/T72)</f>
        <v>-0.48284621368972314</v>
      </c>
    </row>
    <row r="73" spans="1:26" s="24" customFormat="1" hidden="1" outlineLevel="2" x14ac:dyDescent="0.25">
      <c r="A73" s="26"/>
      <c r="B73" s="11" t="str">
        <f>CONCATENATE("          ", "6234", " - ", "EXPENDABLE SUPPLIES &amp; EQUIPMEN")</f>
        <v xml:space="preserve">          6234 - EXPENDABLE SUPPLIES &amp; EQUIPMEN</v>
      </c>
      <c r="C73" s="11"/>
      <c r="D73" s="7"/>
      <c r="E73" s="2"/>
      <c r="F73" s="6">
        <f t="shared" si="53"/>
        <v>0</v>
      </c>
      <c r="G73" s="2"/>
      <c r="H73" s="7">
        <v>500</v>
      </c>
      <c r="I73" s="2"/>
      <c r="J73" s="6">
        <f t="shared" si="54"/>
        <v>3.2258064516129032E-3</v>
      </c>
      <c r="K73" s="2"/>
      <c r="L73" s="7">
        <f t="shared" si="55"/>
        <v>-500</v>
      </c>
      <c r="M73" s="2"/>
      <c r="N73" s="6">
        <f t="shared" si="56"/>
        <v>-1</v>
      </c>
      <c r="O73" s="11"/>
      <c r="P73" s="7">
        <v>1025.0999999999999</v>
      </c>
      <c r="Q73" s="2"/>
      <c r="R73" s="6">
        <f t="shared" si="57"/>
        <v>2.6978171603699265E-3</v>
      </c>
      <c r="S73" s="2"/>
      <c r="T73" s="7">
        <v>6550</v>
      </c>
      <c r="U73" s="2"/>
      <c r="V73" s="6">
        <f t="shared" si="58"/>
        <v>5.7405784399649426E-3</v>
      </c>
      <c r="W73" s="2"/>
      <c r="X73" s="7">
        <f t="shared" si="59"/>
        <v>-5524.9</v>
      </c>
      <c r="Y73" s="2"/>
      <c r="Z73" s="6">
        <f t="shared" si="60"/>
        <v>-0.84349618320610686</v>
      </c>
    </row>
    <row r="74" spans="1:26" s="24" customFormat="1" hidden="1" outlineLevel="2" x14ac:dyDescent="0.25">
      <c r="A74" s="26"/>
      <c r="B74" s="11" t="str">
        <f>CONCATENATE("          ", "6239", " - ", "KITCHEN SUPPLIES")</f>
        <v xml:space="preserve">          6239 - KITCHEN SUPPLIES</v>
      </c>
      <c r="C74" s="11"/>
      <c r="D74" s="7"/>
      <c r="E74" s="2"/>
      <c r="F74" s="6">
        <f t="shared" si="53"/>
        <v>0</v>
      </c>
      <c r="G74" s="2"/>
      <c r="H74" s="7"/>
      <c r="I74" s="2"/>
      <c r="J74" s="6">
        <f t="shared" si="54"/>
        <v>0</v>
      </c>
      <c r="K74" s="2"/>
      <c r="L74" s="7">
        <f t="shared" si="55"/>
        <v>0</v>
      </c>
      <c r="M74" s="2"/>
      <c r="N74" s="6">
        <f t="shared" si="56"/>
        <v>0</v>
      </c>
      <c r="O74" s="11"/>
      <c r="P74" s="7">
        <v>3652.68</v>
      </c>
      <c r="Q74" s="2"/>
      <c r="R74" s="6">
        <f t="shared" si="57"/>
        <v>9.6129770611062555E-3</v>
      </c>
      <c r="S74" s="2"/>
      <c r="T74" s="7">
        <v>4503.1499999999996</v>
      </c>
      <c r="U74" s="2"/>
      <c r="V74" s="6">
        <f t="shared" si="58"/>
        <v>3.9466695880806309E-3</v>
      </c>
      <c r="W74" s="2"/>
      <c r="X74" s="7">
        <f t="shared" si="59"/>
        <v>-850.4699999999998</v>
      </c>
      <c r="Y74" s="2"/>
      <c r="Z74" s="6">
        <f t="shared" si="60"/>
        <v>-0.18886113054195394</v>
      </c>
    </row>
    <row r="75" spans="1:26" s="24" customFormat="1" hidden="1" outlineLevel="2" x14ac:dyDescent="0.25">
      <c r="A75" s="26"/>
      <c r="B75" s="11" t="str">
        <f>CONCATENATE("          ", "6241", " - ", "OFFICE EXPENSE")</f>
        <v xml:space="preserve">          6241 - OFFICE EXPENSE</v>
      </c>
      <c r="C75" s="11"/>
      <c r="D75" s="7"/>
      <c r="E75" s="2"/>
      <c r="F75" s="6">
        <f t="shared" si="53"/>
        <v>0</v>
      </c>
      <c r="G75" s="2"/>
      <c r="H75" s="7"/>
      <c r="I75" s="2"/>
      <c r="J75" s="6">
        <f t="shared" si="54"/>
        <v>0</v>
      </c>
      <c r="K75" s="2"/>
      <c r="L75" s="7">
        <f t="shared" si="55"/>
        <v>0</v>
      </c>
      <c r="M75" s="2"/>
      <c r="N75" s="6">
        <f t="shared" si="56"/>
        <v>0</v>
      </c>
      <c r="O75" s="11"/>
      <c r="P75" s="7">
        <v>786.78</v>
      </c>
      <c r="Q75" s="2"/>
      <c r="R75" s="6">
        <f t="shared" si="57"/>
        <v>2.0706161208036786E-3</v>
      </c>
      <c r="S75" s="2"/>
      <c r="T75" s="7">
        <v>1658.82</v>
      </c>
      <c r="U75" s="2"/>
      <c r="V75" s="6">
        <f t="shared" si="58"/>
        <v>1.4538299737072743E-3</v>
      </c>
      <c r="W75" s="2"/>
      <c r="X75" s="7">
        <f t="shared" si="59"/>
        <v>-872.04</v>
      </c>
      <c r="Y75" s="2"/>
      <c r="Z75" s="6">
        <f t="shared" si="60"/>
        <v>-0.52569899084891669</v>
      </c>
    </row>
    <row r="76" spans="1:26" s="24" customFormat="1" hidden="1" outlineLevel="2" x14ac:dyDescent="0.25">
      <c r="A76" s="26"/>
      <c r="B76" s="11" t="str">
        <f>CONCATENATE("          ", "6243", " - ", "PAPER SUPPLIES")</f>
        <v xml:space="preserve">          6243 - PAPER SUPPLIES</v>
      </c>
      <c r="C76" s="11"/>
      <c r="D76" s="7"/>
      <c r="E76" s="2"/>
      <c r="F76" s="6">
        <f t="shared" si="53"/>
        <v>0</v>
      </c>
      <c r="G76" s="2"/>
      <c r="H76" s="7">
        <v>800</v>
      </c>
      <c r="I76" s="2"/>
      <c r="J76" s="6">
        <f t="shared" si="54"/>
        <v>5.1612903225806452E-3</v>
      </c>
      <c r="K76" s="2"/>
      <c r="L76" s="7">
        <f t="shared" si="55"/>
        <v>-800</v>
      </c>
      <c r="M76" s="2"/>
      <c r="N76" s="6">
        <f t="shared" si="56"/>
        <v>-1</v>
      </c>
      <c r="O76" s="11"/>
      <c r="P76" s="7">
        <v>5217.22</v>
      </c>
      <c r="Q76" s="2"/>
      <c r="R76" s="6">
        <f t="shared" si="57"/>
        <v>1.3730470827651145E-2</v>
      </c>
      <c r="S76" s="2"/>
      <c r="T76" s="7">
        <v>7324.52</v>
      </c>
      <c r="U76" s="2"/>
      <c r="V76" s="6">
        <f t="shared" si="58"/>
        <v>6.4193865030674853E-3</v>
      </c>
      <c r="W76" s="2"/>
      <c r="X76" s="7">
        <f t="shared" si="59"/>
        <v>-2107.3000000000002</v>
      </c>
      <c r="Y76" s="2"/>
      <c r="Z76" s="6">
        <f t="shared" si="60"/>
        <v>-0.28770485984064487</v>
      </c>
    </row>
    <row r="77" spans="1:26" s="24" customFormat="1" hidden="1" outlineLevel="2" x14ac:dyDescent="0.25">
      <c r="A77" s="26"/>
      <c r="B77" s="11" t="str">
        <f>CONCATENATE("          ", "6245", " - ", "PRINTING")</f>
        <v xml:space="preserve">          6245 - PRINTING</v>
      </c>
      <c r="C77" s="11"/>
      <c r="D77" s="7"/>
      <c r="E77" s="2"/>
      <c r="F77" s="6">
        <f t="shared" si="53"/>
        <v>0</v>
      </c>
      <c r="G77" s="2"/>
      <c r="H77" s="7"/>
      <c r="I77" s="2"/>
      <c r="J77" s="6">
        <f t="shared" si="54"/>
        <v>0</v>
      </c>
      <c r="K77" s="2"/>
      <c r="L77" s="7">
        <f t="shared" si="55"/>
        <v>0</v>
      </c>
      <c r="M77" s="2"/>
      <c r="N77" s="6">
        <f t="shared" si="56"/>
        <v>0</v>
      </c>
      <c r="O77" s="11"/>
      <c r="P77" s="7"/>
      <c r="Q77" s="2"/>
      <c r="R77" s="6">
        <f t="shared" si="57"/>
        <v>0</v>
      </c>
      <c r="S77" s="2"/>
      <c r="T77" s="7">
        <v>36.82</v>
      </c>
      <c r="U77" s="2"/>
      <c r="V77" s="6">
        <f t="shared" si="58"/>
        <v>3.2269938650306752E-5</v>
      </c>
      <c r="W77" s="2"/>
      <c r="X77" s="7">
        <f t="shared" si="59"/>
        <v>-36.82</v>
      </c>
      <c r="Y77" s="2"/>
      <c r="Z77" s="6">
        <f t="shared" si="60"/>
        <v>-1</v>
      </c>
    </row>
    <row r="78" spans="1:26" s="24" customFormat="1" hidden="1" outlineLevel="2" x14ac:dyDescent="0.25">
      <c r="A78" s="26"/>
      <c r="B78" s="11" t="str">
        <f>CONCATENATE("          ", "6246", " - ", "REPLACEMENTS")</f>
        <v xml:space="preserve">          6246 - REPLACEMENTS</v>
      </c>
      <c r="C78" s="11"/>
      <c r="D78" s="7"/>
      <c r="E78" s="2"/>
      <c r="F78" s="6">
        <f t="shared" si="53"/>
        <v>0</v>
      </c>
      <c r="G78" s="2"/>
      <c r="H78" s="7"/>
      <c r="I78" s="2"/>
      <c r="J78" s="6">
        <f t="shared" si="54"/>
        <v>0</v>
      </c>
      <c r="K78" s="2"/>
      <c r="L78" s="7">
        <f t="shared" si="55"/>
        <v>0</v>
      </c>
      <c r="M78" s="2"/>
      <c r="N78" s="6">
        <f t="shared" si="56"/>
        <v>0</v>
      </c>
      <c r="O78" s="11"/>
      <c r="P78" s="7"/>
      <c r="Q78" s="2"/>
      <c r="R78" s="6">
        <f t="shared" si="57"/>
        <v>0</v>
      </c>
      <c r="S78" s="2"/>
      <c r="T78" s="7">
        <v>1000</v>
      </c>
      <c r="U78" s="2"/>
      <c r="V78" s="6">
        <f t="shared" si="58"/>
        <v>8.7642418930762491E-4</v>
      </c>
      <c r="W78" s="2"/>
      <c r="X78" s="7">
        <f t="shared" si="59"/>
        <v>-1000</v>
      </c>
      <c r="Y78" s="2"/>
      <c r="Z78" s="6">
        <f t="shared" si="60"/>
        <v>-1</v>
      </c>
    </row>
    <row r="79" spans="1:26" s="24" customFormat="1" hidden="1" outlineLevel="2" x14ac:dyDescent="0.25">
      <c r="A79" s="26"/>
      <c r="B79" s="11" t="str">
        <f>CONCATENATE("          ", "6247", " - ", "STORE SUPPLIES")</f>
        <v xml:space="preserve">          6247 - STORE SUPPLIES</v>
      </c>
      <c r="C79" s="11"/>
      <c r="D79" s="7"/>
      <c r="E79" s="2"/>
      <c r="F79" s="6">
        <f t="shared" si="53"/>
        <v>0</v>
      </c>
      <c r="G79" s="2"/>
      <c r="H79" s="7">
        <v>100</v>
      </c>
      <c r="I79" s="2"/>
      <c r="J79" s="6">
        <f t="shared" si="54"/>
        <v>6.4516129032258064E-4</v>
      </c>
      <c r="K79" s="2"/>
      <c r="L79" s="7">
        <f t="shared" si="55"/>
        <v>-100</v>
      </c>
      <c r="M79" s="2"/>
      <c r="N79" s="6">
        <f t="shared" si="56"/>
        <v>-1</v>
      </c>
      <c r="O79" s="11"/>
      <c r="P79" s="7">
        <v>509.58</v>
      </c>
      <c r="Q79" s="2"/>
      <c r="R79" s="6">
        <f t="shared" si="57"/>
        <v>1.3410922530302479E-3</v>
      </c>
      <c r="S79" s="2"/>
      <c r="T79" s="7">
        <v>1516.55</v>
      </c>
      <c r="U79" s="2"/>
      <c r="V79" s="6">
        <f t="shared" si="58"/>
        <v>1.3291411042944785E-3</v>
      </c>
      <c r="W79" s="2"/>
      <c r="X79" s="7">
        <f t="shared" si="59"/>
        <v>-1006.97</v>
      </c>
      <c r="Y79" s="2"/>
      <c r="Z79" s="6">
        <f t="shared" si="60"/>
        <v>-0.6639873396854703</v>
      </c>
    </row>
    <row r="80" spans="1:26" s="24" customFormat="1" hidden="1" outlineLevel="2" x14ac:dyDescent="0.25">
      <c r="A80" s="26"/>
      <c r="B80" s="11" t="str">
        <f>CONCATENATE("          ", "6248", " - ", "UNIFORMS")</f>
        <v xml:space="preserve">          6248 - UNIFORMS</v>
      </c>
      <c r="C80" s="11"/>
      <c r="D80" s="7"/>
      <c r="E80" s="2"/>
      <c r="F80" s="6">
        <f t="shared" si="53"/>
        <v>0</v>
      </c>
      <c r="G80" s="2"/>
      <c r="H80" s="7">
        <v>250</v>
      </c>
      <c r="I80" s="2"/>
      <c r="J80" s="6">
        <f t="shared" si="54"/>
        <v>1.6129032258064516E-3</v>
      </c>
      <c r="K80" s="2"/>
      <c r="L80" s="7">
        <f t="shared" si="55"/>
        <v>-250</v>
      </c>
      <c r="M80" s="2"/>
      <c r="N80" s="6">
        <f t="shared" si="56"/>
        <v>-1</v>
      </c>
      <c r="O80" s="11"/>
      <c r="P80" s="7">
        <v>1292.6600000000001</v>
      </c>
      <c r="Q80" s="2"/>
      <c r="R80" s="6">
        <f t="shared" si="57"/>
        <v>3.4019708618903419E-3</v>
      </c>
      <c r="S80" s="2"/>
      <c r="T80" s="7">
        <v>1550</v>
      </c>
      <c r="U80" s="2"/>
      <c r="V80" s="6">
        <f t="shared" si="58"/>
        <v>1.3584574934268185E-3</v>
      </c>
      <c r="W80" s="2"/>
      <c r="X80" s="7">
        <f t="shared" si="59"/>
        <v>-257.33999999999992</v>
      </c>
      <c r="Y80" s="2"/>
      <c r="Z80" s="6">
        <f t="shared" si="60"/>
        <v>-0.16602580645161286</v>
      </c>
    </row>
    <row r="81" spans="1:26" s="27" customFormat="1" outlineLevel="1" collapsed="1" x14ac:dyDescent="0.25">
      <c r="A81" s="25"/>
      <c r="B81" s="12" t="str">
        <f>CONCATENATE("     ","Telephone/Data Lines                              ")</f>
        <v xml:space="preserve">     Telephone/Data Lines                              </v>
      </c>
      <c r="C81" s="12"/>
      <c r="D81" s="1">
        <f>SUM(OSRRefD22_13x_0)</f>
        <v>74</v>
      </c>
      <c r="E81" s="1"/>
      <c r="F81" s="5">
        <f t="shared" ref="F81:F86" si="61">IF(D$12=0,0,D81/D$12)</f>
        <v>0</v>
      </c>
      <c r="G81" s="1"/>
      <c r="H81" s="1">
        <f>SUM(OSRRefH22_13x_0)</f>
        <v>195</v>
      </c>
      <c r="I81" s="1"/>
      <c r="J81" s="5">
        <f t="shared" ref="J81:J86" si="62">IF(H$12=0,0,H81/H$12)</f>
        <v>1.2580645161290322E-3</v>
      </c>
      <c r="K81" s="1"/>
      <c r="L81" s="1">
        <f t="shared" ref="L81:L86" si="63">+D81-H81</f>
        <v>-121</v>
      </c>
      <c r="M81" s="1"/>
      <c r="N81" s="5">
        <f t="shared" ref="N81:N86" si="64">IF(H81=0,0,L81/H81)</f>
        <v>-0.62051282051282053</v>
      </c>
      <c r="O81" s="12"/>
      <c r="P81" s="1">
        <f>SUM(OSRRefP22_13x_0)</f>
        <v>2067.98</v>
      </c>
      <c r="Q81" s="1"/>
      <c r="R81" s="5">
        <f t="shared" ref="R81:R86" si="65">IF(P$12=0,0,P81/P$12)</f>
        <v>5.4424270132687547E-3</v>
      </c>
      <c r="S81" s="1"/>
      <c r="T81" s="1">
        <f>SUM(OSRRefT22_13x_0)</f>
        <v>1755</v>
      </c>
      <c r="U81" s="1"/>
      <c r="V81" s="5">
        <f t="shared" ref="V81:V86" si="66">IF(T$12=0,0,T81/T$12)</f>
        <v>1.5381244522348816E-3</v>
      </c>
      <c r="W81" s="1"/>
      <c r="X81" s="1">
        <f t="shared" ref="X81:X86" si="67">+P81-T81</f>
        <v>312.98</v>
      </c>
      <c r="Y81" s="1"/>
      <c r="Z81" s="5">
        <f t="shared" ref="Z81:Z86" si="68">IF(T81=0,0,X81/T81)</f>
        <v>0.17833618233618234</v>
      </c>
    </row>
    <row r="82" spans="1:26" s="24" customFormat="1" hidden="1" outlineLevel="2" x14ac:dyDescent="0.25">
      <c r="A82" s="26"/>
      <c r="B82" s="11" t="str">
        <f>CONCATENATE("          ", "6309", " - ", "TELEPHONE")</f>
        <v xml:space="preserve">          6309 - TELEPHONE</v>
      </c>
      <c r="C82" s="11"/>
      <c r="D82" s="7">
        <v>74</v>
      </c>
      <c r="E82" s="2"/>
      <c r="F82" s="6">
        <f t="shared" si="61"/>
        <v>0</v>
      </c>
      <c r="G82" s="2"/>
      <c r="H82" s="7">
        <v>195</v>
      </c>
      <c r="I82" s="2"/>
      <c r="J82" s="6">
        <f t="shared" si="62"/>
        <v>1.2580645161290322E-3</v>
      </c>
      <c r="K82" s="2"/>
      <c r="L82" s="7">
        <f t="shared" si="63"/>
        <v>-121</v>
      </c>
      <c r="M82" s="2"/>
      <c r="N82" s="6">
        <f t="shared" si="64"/>
        <v>-0.62051282051282053</v>
      </c>
      <c r="O82" s="11"/>
      <c r="P82" s="7">
        <v>2067.98</v>
      </c>
      <c r="Q82" s="2"/>
      <c r="R82" s="6">
        <f t="shared" si="65"/>
        <v>5.4424270132687547E-3</v>
      </c>
      <c r="S82" s="2"/>
      <c r="T82" s="7">
        <v>1755</v>
      </c>
      <c r="U82" s="2"/>
      <c r="V82" s="6">
        <f t="shared" si="66"/>
        <v>1.5381244522348816E-3</v>
      </c>
      <c r="W82" s="2"/>
      <c r="X82" s="7">
        <f t="shared" si="67"/>
        <v>312.98</v>
      </c>
      <c r="Y82" s="2"/>
      <c r="Z82" s="6">
        <f t="shared" si="68"/>
        <v>0.17833618233618234</v>
      </c>
    </row>
    <row r="83" spans="1:26" s="27" customFormat="1" outlineLevel="1" collapsed="1" x14ac:dyDescent="0.25">
      <c r="A83" s="25"/>
      <c r="B83" s="12" t="str">
        <f>CONCATENATE("     ","Training                                          ")</f>
        <v xml:space="preserve">     Training                                          </v>
      </c>
      <c r="C83" s="12"/>
      <c r="D83" s="1">
        <f>SUM(OSRRefD22_14x_0)</f>
        <v>0</v>
      </c>
      <c r="E83" s="1"/>
      <c r="F83" s="5">
        <f t="shared" si="61"/>
        <v>0</v>
      </c>
      <c r="G83" s="1"/>
      <c r="H83" s="1">
        <f>SUM(OSRRefH22_14x_0)</f>
        <v>0</v>
      </c>
      <c r="I83" s="1"/>
      <c r="J83" s="5">
        <f t="shared" si="62"/>
        <v>0</v>
      </c>
      <c r="K83" s="1"/>
      <c r="L83" s="1">
        <f t="shared" si="63"/>
        <v>0</v>
      </c>
      <c r="M83" s="1"/>
      <c r="N83" s="5">
        <f t="shared" si="64"/>
        <v>0</v>
      </c>
      <c r="O83" s="12"/>
      <c r="P83" s="1">
        <f>SUM(OSRRefP22_14x_0)</f>
        <v>175</v>
      </c>
      <c r="Q83" s="1"/>
      <c r="R83" s="5">
        <f t="shared" si="65"/>
        <v>4.605579973317112E-4</v>
      </c>
      <c r="S83" s="1"/>
      <c r="T83" s="1">
        <f>SUM(OSRRefT22_14x_0)</f>
        <v>600</v>
      </c>
      <c r="U83" s="1"/>
      <c r="V83" s="5">
        <f t="shared" si="66"/>
        <v>5.258545135845749E-4</v>
      </c>
      <c r="W83" s="1"/>
      <c r="X83" s="1">
        <f t="shared" si="67"/>
        <v>-425</v>
      </c>
      <c r="Y83" s="1"/>
      <c r="Z83" s="5">
        <f t="shared" si="68"/>
        <v>-0.70833333333333337</v>
      </c>
    </row>
    <row r="84" spans="1:26" s="24" customFormat="1" hidden="1" outlineLevel="2" x14ac:dyDescent="0.25">
      <c r="A84" s="26"/>
      <c r="B84" s="11" t="str">
        <f>CONCATENATE("          ", "6376", " - ", "TRAINING")</f>
        <v xml:space="preserve">          6376 - TRAINING</v>
      </c>
      <c r="C84" s="11"/>
      <c r="D84" s="7"/>
      <c r="E84" s="2"/>
      <c r="F84" s="6">
        <f t="shared" si="61"/>
        <v>0</v>
      </c>
      <c r="G84" s="2"/>
      <c r="H84" s="7"/>
      <c r="I84" s="2"/>
      <c r="J84" s="6">
        <f t="shared" si="62"/>
        <v>0</v>
      </c>
      <c r="K84" s="2"/>
      <c r="L84" s="7">
        <f t="shared" si="63"/>
        <v>0</v>
      </c>
      <c r="M84" s="2"/>
      <c r="N84" s="6">
        <f t="shared" si="64"/>
        <v>0</v>
      </c>
      <c r="O84" s="11"/>
      <c r="P84" s="7">
        <v>175</v>
      </c>
      <c r="Q84" s="2"/>
      <c r="R84" s="6">
        <f t="shared" si="65"/>
        <v>4.605579973317112E-4</v>
      </c>
      <c r="S84" s="2"/>
      <c r="T84" s="7">
        <v>600</v>
      </c>
      <c r="U84" s="2"/>
      <c r="V84" s="6">
        <f t="shared" si="66"/>
        <v>5.258545135845749E-4</v>
      </c>
      <c r="W84" s="2"/>
      <c r="X84" s="7">
        <f t="shared" si="67"/>
        <v>-425</v>
      </c>
      <c r="Y84" s="2"/>
      <c r="Z84" s="6">
        <f t="shared" si="68"/>
        <v>-0.70833333333333337</v>
      </c>
    </row>
    <row r="85" spans="1:26" s="27" customFormat="1" outlineLevel="1" collapsed="1" x14ac:dyDescent="0.25">
      <c r="A85" s="25"/>
      <c r="B85" s="12" t="str">
        <f>CONCATENATE("     ","Travel                                            ")</f>
        <v xml:space="preserve">     Travel                                            </v>
      </c>
      <c r="C85" s="12"/>
      <c r="D85" s="1">
        <f>SUM(OSRRefD22_15x_0)</f>
        <v>0</v>
      </c>
      <c r="E85" s="1"/>
      <c r="F85" s="5">
        <f t="shared" si="61"/>
        <v>0</v>
      </c>
      <c r="G85" s="1"/>
      <c r="H85" s="1">
        <f>SUM(OSRRefH22_15x_0)</f>
        <v>0</v>
      </c>
      <c r="I85" s="1"/>
      <c r="J85" s="5">
        <f t="shared" si="62"/>
        <v>0</v>
      </c>
      <c r="K85" s="1"/>
      <c r="L85" s="1">
        <f t="shared" si="63"/>
        <v>0</v>
      </c>
      <c r="M85" s="1"/>
      <c r="N85" s="5">
        <f t="shared" si="64"/>
        <v>0</v>
      </c>
      <c r="O85" s="12"/>
      <c r="P85" s="1">
        <f>SUM(OSRRefP22_15x_0)</f>
        <v>0</v>
      </c>
      <c r="Q85" s="1"/>
      <c r="R85" s="5">
        <f t="shared" si="65"/>
        <v>0</v>
      </c>
      <c r="S85" s="1"/>
      <c r="T85" s="1">
        <f>SUM(OSRRefT22_15x_0)</f>
        <v>1500</v>
      </c>
      <c r="U85" s="1"/>
      <c r="V85" s="5">
        <f t="shared" si="66"/>
        <v>1.3146362839614374E-3</v>
      </c>
      <c r="W85" s="1"/>
      <c r="X85" s="1">
        <f t="shared" si="67"/>
        <v>-1500</v>
      </c>
      <c r="Y85" s="1"/>
      <c r="Z85" s="5">
        <f t="shared" si="68"/>
        <v>-1</v>
      </c>
    </row>
    <row r="86" spans="1:26" s="24" customFormat="1" hidden="1" outlineLevel="2" x14ac:dyDescent="0.25">
      <c r="A86" s="26"/>
      <c r="B86" s="11" t="str">
        <f>CONCATENATE("          ", "6292", " - ", "TRAVEL/CONFERENCE")</f>
        <v xml:space="preserve">          6292 - TRAVEL/CONFERENCE</v>
      </c>
      <c r="C86" s="11"/>
      <c r="D86" s="7"/>
      <c r="E86" s="2"/>
      <c r="F86" s="6">
        <f t="shared" si="61"/>
        <v>0</v>
      </c>
      <c r="G86" s="2"/>
      <c r="H86" s="7"/>
      <c r="I86" s="2"/>
      <c r="J86" s="6">
        <f t="shared" si="62"/>
        <v>0</v>
      </c>
      <c r="K86" s="2"/>
      <c r="L86" s="7">
        <f t="shared" si="63"/>
        <v>0</v>
      </c>
      <c r="M86" s="2"/>
      <c r="N86" s="6">
        <f t="shared" si="64"/>
        <v>0</v>
      </c>
      <c r="O86" s="11"/>
      <c r="P86" s="7"/>
      <c r="Q86" s="2"/>
      <c r="R86" s="6">
        <f t="shared" si="65"/>
        <v>0</v>
      </c>
      <c r="S86" s="2"/>
      <c r="T86" s="7">
        <v>1500</v>
      </c>
      <c r="U86" s="2"/>
      <c r="V86" s="6">
        <f t="shared" si="66"/>
        <v>1.3146362839614374E-3</v>
      </c>
      <c r="W86" s="2"/>
      <c r="X86" s="7">
        <f t="shared" si="67"/>
        <v>-1500</v>
      </c>
      <c r="Y86" s="2"/>
      <c r="Z86" s="6">
        <f t="shared" si="68"/>
        <v>-1</v>
      </c>
    </row>
    <row r="87" spans="1:26" s="62" customFormat="1" x14ac:dyDescent="0.25">
      <c r="A87" s="36"/>
      <c r="B87" s="36"/>
      <c r="C87" s="36"/>
      <c r="D87" s="1"/>
      <c r="E87" s="1"/>
      <c r="F87" s="5"/>
      <c r="G87" s="1"/>
      <c r="H87" s="1"/>
      <c r="I87" s="1"/>
      <c r="J87" s="5"/>
      <c r="K87" s="1"/>
      <c r="L87" s="1"/>
      <c r="M87" s="1"/>
      <c r="N87" s="5"/>
      <c r="O87" s="36"/>
      <c r="P87" s="1"/>
      <c r="Q87" s="1"/>
      <c r="R87" s="5"/>
      <c r="S87" s="1"/>
      <c r="T87" s="1"/>
      <c r="U87" s="1"/>
      <c r="V87" s="5"/>
      <c r="W87" s="1"/>
      <c r="X87" s="1"/>
      <c r="Y87" s="1"/>
      <c r="Z87" s="5"/>
    </row>
    <row r="88" spans="1:26" s="23" customFormat="1" x14ac:dyDescent="0.25">
      <c r="A88" s="10"/>
      <c r="B88" s="28" t="s">
        <v>0</v>
      </c>
      <c r="C88" s="10"/>
      <c r="D88" s="4">
        <f>SUM(0)</f>
        <v>0</v>
      </c>
      <c r="E88" s="4"/>
      <c r="F88" s="13">
        <f>IF(D$12=0,0,D88/D$12)</f>
        <v>0</v>
      </c>
      <c r="G88" s="4"/>
      <c r="H88" s="4">
        <f>SUM(0)</f>
        <v>0</v>
      </c>
      <c r="I88" s="4"/>
      <c r="J88" s="13">
        <f>IF(H$12=0,0,H88/H$12)</f>
        <v>0</v>
      </c>
      <c r="K88" s="4"/>
      <c r="L88" s="4">
        <f>+D88-H88</f>
        <v>0</v>
      </c>
      <c r="M88" s="4"/>
      <c r="N88" s="13">
        <f>IF(H88=0,0,L88/H88)</f>
        <v>0</v>
      </c>
      <c r="O88" s="10"/>
      <c r="P88" s="4">
        <f>SUM(0)</f>
        <v>0</v>
      </c>
      <c r="Q88" s="4"/>
      <c r="R88" s="13">
        <f>IF(P$12=0,0,P88/P$12)</f>
        <v>0</v>
      </c>
      <c r="S88" s="4"/>
      <c r="T88" s="4">
        <f>SUM(0)</f>
        <v>0</v>
      </c>
      <c r="U88" s="4"/>
      <c r="V88" s="13">
        <f>IF(T$12=0,0,T88/T$12)</f>
        <v>0</v>
      </c>
      <c r="W88" s="4"/>
      <c r="X88" s="4">
        <f>+P88-T88</f>
        <v>0</v>
      </c>
      <c r="Y88" s="4"/>
      <c r="Z88" s="13">
        <f>IF(T88=0,0,X88/T88)</f>
        <v>0</v>
      </c>
    </row>
    <row r="89" spans="1:26" x14ac:dyDescent="0.25">
      <c r="A89" s="9"/>
      <c r="B89" s="10"/>
      <c r="C89" s="10"/>
      <c r="D89" s="3"/>
      <c r="E89" s="3"/>
      <c r="F89" s="8"/>
      <c r="G89" s="3"/>
      <c r="H89" s="3"/>
      <c r="I89" s="3"/>
      <c r="J89" s="8"/>
      <c r="K89" s="3"/>
      <c r="L89" s="3"/>
      <c r="M89" s="3"/>
      <c r="N89" s="8"/>
      <c r="O89" s="10"/>
      <c r="P89" s="3"/>
      <c r="Q89" s="3"/>
      <c r="R89" s="8"/>
      <c r="S89" s="3"/>
      <c r="T89" s="3"/>
      <c r="U89" s="3"/>
      <c r="V89" s="8"/>
      <c r="W89" s="3"/>
      <c r="X89" s="3"/>
      <c r="Y89" s="3"/>
      <c r="Z89" s="8"/>
    </row>
    <row r="90" spans="1:26" s="23" customFormat="1" x14ac:dyDescent="0.25">
      <c r="A90" s="10"/>
      <c r="B90" s="29" t="s">
        <v>3</v>
      </c>
      <c r="C90" s="29"/>
      <c r="D90" s="20">
        <f>+D23-D25+D88</f>
        <v>-379.28</v>
      </c>
      <c r="E90" s="14"/>
      <c r="F90" s="22">
        <f>IF(D$12=0,0,D90/D$12)</f>
        <v>0</v>
      </c>
      <c r="G90" s="14"/>
      <c r="H90" s="20">
        <f>+H23-H25+H88</f>
        <v>26273.659207753823</v>
      </c>
      <c r="I90" s="14"/>
      <c r="J90" s="22">
        <f>IF(H$12=0,0,H90/H$12)</f>
        <v>0.16950747875970207</v>
      </c>
      <c r="K90" s="16"/>
      <c r="L90" s="20">
        <f>+D90-H90</f>
        <v>-26652.939207753821</v>
      </c>
      <c r="M90" s="16"/>
      <c r="N90" s="22">
        <f>IF(H90=0,0,L90/H90)</f>
        <v>-1.0144357509169513</v>
      </c>
      <c r="O90" s="28"/>
      <c r="P90" s="20">
        <f>+P23-P25+P88</f>
        <v>-162558.16999999993</v>
      </c>
      <c r="Q90" s="14"/>
      <c r="R90" s="22">
        <f>IF(P$12=0,0,P90/P$12)</f>
        <v>-0.42781408700061613</v>
      </c>
      <c r="S90" s="14"/>
      <c r="T90" s="20">
        <f>+T23-T25+T88</f>
        <v>48900.494903342216</v>
      </c>
      <c r="U90" s="14"/>
      <c r="V90" s="22">
        <f>IF(T$12=0,0,T90/T$12)</f>
        <v>4.2857576602403344E-2</v>
      </c>
      <c r="W90" s="16"/>
      <c r="X90" s="20">
        <f>+P90-T90</f>
        <v>-211458.66490334214</v>
      </c>
      <c r="Y90" s="16"/>
      <c r="Z90" s="22">
        <f>IF(T90=0,0,X90/T90)</f>
        <v>-4.3242643110528007</v>
      </c>
    </row>
    <row r="91" spans="1:26" x14ac:dyDescent="0.25">
      <c r="A91" s="9"/>
      <c r="B91" s="10"/>
      <c r="C91" s="9"/>
      <c r="D91" s="3"/>
      <c r="E91" s="3"/>
      <c r="F91" s="8"/>
      <c r="G91" s="3"/>
      <c r="H91" s="3"/>
      <c r="I91" s="3"/>
      <c r="J91" s="8"/>
      <c r="K91" s="3"/>
      <c r="L91" s="3"/>
      <c r="M91" s="3"/>
      <c r="N91" s="8"/>
      <c r="P91" s="3"/>
      <c r="Q91" s="3"/>
      <c r="R91" s="8"/>
      <c r="S91" s="3"/>
      <c r="T91" s="3"/>
      <c r="U91" s="3"/>
      <c r="V91" s="8"/>
      <c r="W91" s="3"/>
      <c r="X91" s="3"/>
      <c r="Y91" s="3"/>
      <c r="Z91" s="8"/>
    </row>
    <row r="92" spans="1:26" s="23" customFormat="1" x14ac:dyDescent="0.25">
      <c r="A92" s="52"/>
      <c r="B92" s="10" t="s">
        <v>14</v>
      </c>
      <c r="C92" s="10"/>
      <c r="D92" s="4">
        <v>1851.53</v>
      </c>
      <c r="E92" s="4"/>
      <c r="F92" s="13">
        <f>IF(D$12=0,0,D92/D$12)</f>
        <v>0</v>
      </c>
      <c r="G92" s="4"/>
      <c r="H92" s="4">
        <v>16951</v>
      </c>
      <c r="I92" s="4"/>
      <c r="J92" s="13">
        <f>IF(H$12=0,0,H92/H$12)</f>
        <v>0.10936129032258064</v>
      </c>
      <c r="K92" s="4"/>
      <c r="L92" s="4">
        <f>+D92-H92</f>
        <v>-15099.47</v>
      </c>
      <c r="M92" s="4"/>
      <c r="N92" s="13">
        <f>IF(H92=0,0,L92/H92)</f>
        <v>-0.89077163589168773</v>
      </c>
      <c r="O92" s="10"/>
      <c r="P92" s="4">
        <v>44994.84</v>
      </c>
      <c r="Q92" s="4"/>
      <c r="R92" s="13">
        <f>IF(P$12=0,0,P92/P$12)</f>
        <v>0.11841561943234727</v>
      </c>
      <c r="S92" s="4"/>
      <c r="T92" s="4">
        <v>132156</v>
      </c>
      <c r="U92" s="4"/>
      <c r="V92" s="13">
        <f>IF(T$12=0,0,T92/T$12)</f>
        <v>0.11582471516213848</v>
      </c>
      <c r="W92" s="4"/>
      <c r="X92" s="4">
        <f>+P92-T92</f>
        <v>-87161.16</v>
      </c>
      <c r="Y92" s="4"/>
      <c r="Z92" s="13">
        <f>IF(T92=0,0,X92/T92)</f>
        <v>-0.65953237083446836</v>
      </c>
    </row>
    <row r="93" spans="1:26" x14ac:dyDescent="0.25">
      <c r="A93" s="9"/>
      <c r="B93" s="10"/>
      <c r="C93" s="10"/>
      <c r="D93" s="3"/>
      <c r="E93" s="3"/>
      <c r="F93" s="8"/>
      <c r="G93" s="3"/>
      <c r="H93" s="3"/>
      <c r="I93" s="3"/>
      <c r="J93" s="8"/>
      <c r="K93" s="3"/>
      <c r="L93" s="3"/>
      <c r="M93" s="3"/>
      <c r="N93" s="8"/>
      <c r="O93" s="10"/>
      <c r="P93" s="3"/>
      <c r="Q93" s="3"/>
      <c r="R93" s="8"/>
      <c r="S93" s="3"/>
      <c r="T93" s="3"/>
      <c r="U93" s="3"/>
      <c r="V93" s="8"/>
      <c r="W93" s="3"/>
      <c r="X93" s="3"/>
      <c r="Y93" s="3"/>
      <c r="Z93" s="8"/>
    </row>
    <row r="94" spans="1:26" s="23" customFormat="1" ht="15.75" thickBot="1" x14ac:dyDescent="0.3">
      <c r="A94" s="10"/>
      <c r="B94" s="29" t="s">
        <v>4</v>
      </c>
      <c r="C94" s="29"/>
      <c r="D94" s="35">
        <f>+D90-D92</f>
        <v>-2230.81</v>
      </c>
      <c r="E94" s="14"/>
      <c r="F94" s="32">
        <f>IF(D$12=0,0,D94/D$12)</f>
        <v>0</v>
      </c>
      <c r="G94" s="14"/>
      <c r="H94" s="35">
        <f>+H90-H92</f>
        <v>9322.6592077538226</v>
      </c>
      <c r="I94" s="14"/>
      <c r="J94" s="32">
        <f>IF(H$12=0,0,H94/H$12)</f>
        <v>6.0146188437121433E-2</v>
      </c>
      <c r="K94" s="16"/>
      <c r="L94" s="35">
        <f>D94-H94</f>
        <v>-11553.469207753822</v>
      </c>
      <c r="M94" s="16"/>
      <c r="N94" s="32">
        <f>IF(H94=0,0,L94/H94)</f>
        <v>-1.2392890215427583</v>
      </c>
      <c r="O94" s="28"/>
      <c r="P94" s="35">
        <f>+P90-P92</f>
        <v>-207553.00999999992</v>
      </c>
      <c r="Q94" s="14"/>
      <c r="R94" s="32">
        <f>IF(P$12=0,0,P94/P$12)</f>
        <v>-0.54622970643296342</v>
      </c>
      <c r="S94" s="14"/>
      <c r="T94" s="35">
        <f>+T90-T92</f>
        <v>-83255.505096657784</v>
      </c>
      <c r="U94" s="14"/>
      <c r="V94" s="32">
        <f>IF(T$12=0,0,T94/T$12)</f>
        <v>-7.2967138559735134E-2</v>
      </c>
      <c r="W94" s="16"/>
      <c r="X94" s="35">
        <f>P94-T94</f>
        <v>-124297.50490334214</v>
      </c>
      <c r="Y94" s="16"/>
      <c r="Z94" s="32">
        <f>IF(T94=0,0,X94/T94)</f>
        <v>1.4929643962766848</v>
      </c>
    </row>
    <row r="95" spans="1:26" ht="15.75" thickTop="1" x14ac:dyDescent="0.25">
      <c r="A95" s="9"/>
      <c r="B95" s="9"/>
      <c r="C95" s="9"/>
      <c r="D95" s="3"/>
      <c r="E95" s="3"/>
      <c r="F95" s="8"/>
      <c r="G95" s="3"/>
      <c r="H95" s="3"/>
      <c r="I95" s="3"/>
      <c r="J95" s="8"/>
      <c r="K95" s="3"/>
      <c r="L95" s="3"/>
      <c r="M95" s="3"/>
      <c r="N95" s="8"/>
      <c r="P95" s="3"/>
      <c r="Q95" s="3"/>
      <c r="R95" s="8"/>
      <c r="S95" s="3"/>
      <c r="T95" s="3"/>
      <c r="U95" s="3"/>
      <c r="V95" s="8"/>
      <c r="W95" s="3"/>
      <c r="X95" s="3"/>
      <c r="Y95" s="3"/>
      <c r="Z95" s="8"/>
    </row>
    <row r="96" spans="1:26" x14ac:dyDescent="0.25">
      <c r="A96" s="9"/>
      <c r="B96" s="9"/>
      <c r="C96" s="9"/>
      <c r="D96" s="3"/>
      <c r="E96" s="3"/>
      <c r="F96" s="8"/>
      <c r="G96" s="3"/>
      <c r="H96" s="3"/>
      <c r="I96" s="3"/>
      <c r="J96" s="8"/>
      <c r="K96" s="3"/>
      <c r="L96" s="3"/>
      <c r="M96" s="3"/>
      <c r="N96" s="8"/>
      <c r="P96" s="3"/>
      <c r="Q96" s="3"/>
      <c r="R96" s="8"/>
      <c r="S96" s="3"/>
      <c r="T96" s="3"/>
      <c r="U96" s="3"/>
      <c r="V96" s="8"/>
      <c r="W96" s="3"/>
      <c r="X96" s="3"/>
      <c r="Y96" s="3"/>
      <c r="Z96" s="8"/>
    </row>
    <row r="97" spans="1:26" s="23" customFormat="1" ht="15.75" thickBot="1" x14ac:dyDescent="0.3">
      <c r="A97" s="10"/>
      <c r="B97" s="29" t="s">
        <v>5</v>
      </c>
      <c r="C97" s="29"/>
      <c r="D97" s="34">
        <f>SUM(D94:D96)</f>
        <v>-2230.81</v>
      </c>
      <c r="E97" s="14"/>
      <c r="F97" s="31">
        <f>IF(D$12=0,0,D97/D$12)</f>
        <v>0</v>
      </c>
      <c r="G97" s="14"/>
      <c r="H97" s="34">
        <f>SUM(H94:H96)</f>
        <v>9322.6592077538226</v>
      </c>
      <c r="I97" s="14"/>
      <c r="J97" s="31">
        <f>IF(H$12=0,0,H97/H$12)</f>
        <v>6.0146188437121433E-2</v>
      </c>
      <c r="K97" s="16"/>
      <c r="L97" s="34">
        <f>+D97-H97</f>
        <v>-11553.469207753822</v>
      </c>
      <c r="M97" s="16"/>
      <c r="N97" s="31">
        <f>IF(H97=0,0,L97/H97)</f>
        <v>-1.2392890215427583</v>
      </c>
      <c r="O97" s="28"/>
      <c r="P97" s="34">
        <f>SUM(P94:P96)</f>
        <v>-207553.00999999992</v>
      </c>
      <c r="Q97" s="14"/>
      <c r="R97" s="31">
        <f>IF(P$12=0,0,P97/P$12)</f>
        <v>-0.54622970643296342</v>
      </c>
      <c r="S97" s="14"/>
      <c r="T97" s="34">
        <f>SUM(T94:T96)</f>
        <v>-83255.505096657784</v>
      </c>
      <c r="U97" s="14"/>
      <c r="V97" s="31">
        <f>IF(T$12=0,0,T97/T$12)</f>
        <v>-7.2967138559735134E-2</v>
      </c>
      <c r="W97" s="16"/>
      <c r="X97" s="34">
        <f>+P97-T97</f>
        <v>-124297.50490334214</v>
      </c>
      <c r="Y97" s="16"/>
      <c r="Z97" s="31">
        <f>IF(T97=0,0,X97/T97)</f>
        <v>1.4929643962766848</v>
      </c>
    </row>
    <row r="98" spans="1:26" ht="15.75" thickTop="1" x14ac:dyDescent="0.25">
      <c r="A98" s="9"/>
      <c r="C98" s="9"/>
      <c r="D98" s="18"/>
      <c r="E98" s="18"/>
      <c r="G98" s="18"/>
      <c r="H98" s="18"/>
      <c r="I98" s="18"/>
      <c r="J98" s="42"/>
      <c r="K98" s="18"/>
      <c r="L98" s="18"/>
      <c r="M98" s="18"/>
      <c r="P98" s="18"/>
      <c r="Q98" s="18"/>
      <c r="R98" s="42"/>
      <c r="S98" s="18"/>
      <c r="T98" s="18"/>
      <c r="U98" s="18"/>
      <c r="V98" s="42"/>
      <c r="W98" s="18"/>
      <c r="X98" s="18"/>
    </row>
    <row r="99" spans="1:26" x14ac:dyDescent="0.25">
      <c r="A99" s="9"/>
      <c r="B99" s="59">
        <v>43992.372077893517</v>
      </c>
      <c r="D99" s="18"/>
      <c r="E99" s="18"/>
      <c r="G99" s="18"/>
      <c r="H99" s="18"/>
      <c r="I99" s="18"/>
      <c r="J99" s="42"/>
      <c r="K99" s="18"/>
      <c r="L99" s="18"/>
      <c r="M99" s="18"/>
      <c r="P99" s="18"/>
      <c r="Q99" s="18"/>
      <c r="R99" s="42"/>
      <c r="S99" s="18"/>
      <c r="T99" s="18"/>
      <c r="U99" s="18"/>
      <c r="V99" s="42"/>
      <c r="W99" s="18"/>
      <c r="X99" s="18"/>
    </row>
    <row r="100" spans="1:26" x14ac:dyDescent="0.25">
      <c r="A100" s="9"/>
      <c r="B100" s="56" t="s">
        <v>314</v>
      </c>
      <c r="D100" s="18"/>
      <c r="E100" s="18"/>
      <c r="G100" s="18"/>
      <c r="H100" s="18"/>
      <c r="I100" s="18"/>
      <c r="J100" s="42"/>
      <c r="K100" s="18"/>
      <c r="L100" s="18"/>
      <c r="M100" s="18"/>
      <c r="P100" s="18"/>
      <c r="Q100" s="18"/>
      <c r="R100" s="42"/>
      <c r="S100" s="18"/>
      <c r="T100" s="18"/>
      <c r="U100" s="18"/>
      <c r="V100" s="42"/>
      <c r="W100" s="18"/>
      <c r="X100" s="18"/>
    </row>
    <row r="101" spans="1:26" x14ac:dyDescent="0.25">
      <c r="A101" s="9"/>
      <c r="B101" s="54"/>
      <c r="D101" s="18"/>
      <c r="E101" s="18"/>
      <c r="G101" s="18"/>
      <c r="H101" s="18"/>
      <c r="I101" s="18"/>
      <c r="J101" s="42"/>
      <c r="K101" s="18"/>
      <c r="L101" s="18"/>
      <c r="M101" s="18"/>
      <c r="P101" s="18"/>
      <c r="Q101" s="18"/>
      <c r="R101" s="42"/>
      <c r="S101" s="18"/>
      <c r="T101" s="18"/>
      <c r="U101" s="18"/>
      <c r="V101" s="42"/>
      <c r="W101" s="18"/>
      <c r="X101" s="18"/>
    </row>
    <row r="102" spans="1:26" x14ac:dyDescent="0.25">
      <c r="D102" s="18"/>
      <c r="E102" s="18"/>
      <c r="G102" s="18"/>
      <c r="H102" s="18"/>
      <c r="I102" s="18"/>
      <c r="J102" s="42"/>
      <c r="K102" s="18"/>
      <c r="L102" s="18"/>
      <c r="M102" s="18"/>
      <c r="P102" s="18"/>
      <c r="Q102" s="18"/>
      <c r="R102" s="42"/>
      <c r="S102" s="18"/>
      <c r="T102" s="18"/>
      <c r="U102" s="18"/>
      <c r="V102" s="42"/>
      <c r="W102" s="18"/>
      <c r="X102" s="18"/>
    </row>
  </sheetData>
  <pageMargins left="0.25" right="0.25" top="0.75" bottom="0.75" header="0.3" footer="0.3"/>
  <pageSetup scale="55" fitToWidth="2" orientation="landscape"/>
  <drawing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65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63" t="s">
        <v>13</v>
      </c>
    </row>
    <row r="3" spans="1:26" x14ac:dyDescent="0.25">
      <c r="D3" s="63" t="s">
        <v>296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61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63" t="str">
        <f>CONCATENATE("Period ",RIGHT(202011,2),", ",2020)</f>
        <v>Period 11, 2020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61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4">
        <v>43981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61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51"/>
      <c r="C6" s="51"/>
      <c r="D6" s="23" t="str">
        <f>CONCATENATE("Department ","420", " - ", "Catering")</f>
        <v>Department 420 - Catering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57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5" t="s">
        <v>294</v>
      </c>
      <c r="E9" s="15"/>
      <c r="F9" s="38"/>
      <c r="G9" s="15"/>
      <c r="H9" s="15"/>
      <c r="I9" s="15"/>
      <c r="J9" s="46"/>
      <c r="K9" s="15"/>
      <c r="L9" s="15"/>
      <c r="M9" s="15"/>
      <c r="N9" s="38"/>
      <c r="P9" s="15" t="s">
        <v>295</v>
      </c>
      <c r="Q9" s="15"/>
      <c r="R9" s="38"/>
      <c r="S9" s="15"/>
      <c r="T9" s="15"/>
      <c r="U9" s="15"/>
      <c r="V9" s="46"/>
      <c r="W9" s="15"/>
      <c r="X9" s="15"/>
      <c r="Y9" s="15"/>
      <c r="Z9" s="38"/>
    </row>
    <row r="10" spans="1:26" x14ac:dyDescent="0.25">
      <c r="A10" s="10"/>
      <c r="B10" s="55"/>
      <c r="C10" s="10"/>
      <c r="D10" s="43" t="s">
        <v>10</v>
      </c>
      <c r="E10" s="33"/>
      <c r="F10" s="40" t="s">
        <v>15</v>
      </c>
      <c r="G10" s="33"/>
      <c r="H10" s="47" t="s">
        <v>11</v>
      </c>
      <c r="I10" s="33"/>
      <c r="J10" s="45" t="s">
        <v>16</v>
      </c>
      <c r="K10" s="10"/>
      <c r="L10" s="43" t="s">
        <v>12</v>
      </c>
      <c r="M10" s="10"/>
      <c r="N10" s="40" t="s">
        <v>17</v>
      </c>
      <c r="O10" s="10"/>
      <c r="P10" s="53" t="s">
        <v>10</v>
      </c>
      <c r="Q10" s="33"/>
      <c r="R10" s="40" t="s">
        <v>15</v>
      </c>
      <c r="S10" s="33"/>
      <c r="T10" s="47" t="s">
        <v>11</v>
      </c>
      <c r="U10" s="33"/>
      <c r="V10" s="45" t="s">
        <v>16</v>
      </c>
      <c r="W10" s="10"/>
      <c r="X10" s="43" t="s">
        <v>12</v>
      </c>
      <c r="Y10" s="10"/>
      <c r="Z10" s="40" t="s">
        <v>17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0</v>
      </c>
      <c r="E12" s="4"/>
      <c r="F12" s="13"/>
      <c r="G12" s="4"/>
      <c r="H12" s="4">
        <f>SUM(OSRRefH13x_0)</f>
        <v>0</v>
      </c>
      <c r="I12" s="4"/>
      <c r="J12" s="13"/>
      <c r="K12" s="4"/>
      <c r="L12" s="4">
        <f t="shared" ref="L12:L14" si="0">+D12-H12</f>
        <v>0</v>
      </c>
      <c r="M12" s="4"/>
      <c r="N12" s="13">
        <f t="shared" ref="N12:N14" si="1">IF(H12=0,0,L12/H12)</f>
        <v>0</v>
      </c>
      <c r="O12" s="10"/>
      <c r="P12" s="4">
        <f>SUM(OSRRefP13x_0)</f>
        <v>211082.08000000002</v>
      </c>
      <c r="Q12" s="4"/>
      <c r="R12" s="13"/>
      <c r="S12" s="4"/>
      <c r="T12" s="4">
        <f>SUM(OSRRefT13x_0)</f>
        <v>0</v>
      </c>
      <c r="U12" s="4"/>
      <c r="V12" s="13"/>
      <c r="W12" s="4"/>
      <c r="X12" s="4">
        <f t="shared" ref="X12:X14" si="2">+P12-T12</f>
        <v>211082.08000000002</v>
      </c>
      <c r="Y12" s="4"/>
      <c r="Z12" s="13">
        <f t="shared" ref="Z12:Z14" si="3">IF(T12=0,0,X12/T12)</f>
        <v>0</v>
      </c>
    </row>
    <row r="13" spans="1:26" s="24" customFormat="1" hidden="1" outlineLevel="1" x14ac:dyDescent="0.25">
      <c r="A13" s="44"/>
      <c r="B13" s="11" t="str">
        <f>CONCATENATE("          ", "4052", " - ", "TAXABLE SALES-FOOD")</f>
        <v xml:space="preserve">          4052 - TAXABLE SALES-FOOD</v>
      </c>
      <c r="C13" s="11"/>
      <c r="D13" s="2">
        <f t="shared" ref="D13:D14" si="4">0</f>
        <v>0</v>
      </c>
      <c r="E13" s="2"/>
      <c r="F13" s="19"/>
      <c r="G13" s="2"/>
      <c r="H13" s="2"/>
      <c r="I13" s="2"/>
      <c r="J13" s="19"/>
      <c r="K13" s="2"/>
      <c r="L13" s="2">
        <f t="shared" si="0"/>
        <v>0</v>
      </c>
      <c r="M13" s="2"/>
      <c r="N13" s="19">
        <f t="shared" si="1"/>
        <v>0</v>
      </c>
      <c r="O13" s="11"/>
      <c r="P13" s="2">
        <f>--210141.41</f>
        <v>210141.41</v>
      </c>
      <c r="Q13" s="2"/>
      <c r="R13" s="19"/>
      <c r="S13" s="2"/>
      <c r="T13" s="2"/>
      <c r="U13" s="2"/>
      <c r="V13" s="19"/>
      <c r="W13" s="2"/>
      <c r="X13" s="2">
        <f t="shared" si="2"/>
        <v>210141.41</v>
      </c>
      <c r="Y13" s="2"/>
      <c r="Z13" s="19">
        <f t="shared" si="3"/>
        <v>0</v>
      </c>
    </row>
    <row r="14" spans="1:26" s="24" customFormat="1" hidden="1" outlineLevel="1" x14ac:dyDescent="0.25">
      <c r="A14" s="44"/>
      <c r="B14" s="11" t="str">
        <f>CONCATENATE("          ", "4152", " - ", "NON-TAXABLE SALES-FOOD")</f>
        <v xml:space="preserve">          4152 - NON-TAXABLE SALES-FOOD</v>
      </c>
      <c r="C14" s="11"/>
      <c r="D14" s="2">
        <f t="shared" si="4"/>
        <v>0</v>
      </c>
      <c r="E14" s="2"/>
      <c r="F14" s="19"/>
      <c r="G14" s="2"/>
      <c r="H14" s="2"/>
      <c r="I14" s="2"/>
      <c r="J14" s="19"/>
      <c r="K14" s="2"/>
      <c r="L14" s="2">
        <f t="shared" si="0"/>
        <v>0</v>
      </c>
      <c r="M14" s="2"/>
      <c r="N14" s="19">
        <f t="shared" si="1"/>
        <v>0</v>
      </c>
      <c r="O14" s="11"/>
      <c r="P14" s="2">
        <f>--940.67</f>
        <v>940.67</v>
      </c>
      <c r="Q14" s="2"/>
      <c r="R14" s="19"/>
      <c r="S14" s="2"/>
      <c r="T14" s="2"/>
      <c r="U14" s="2"/>
      <c r="V14" s="19"/>
      <c r="W14" s="2"/>
      <c r="X14" s="2">
        <f t="shared" si="2"/>
        <v>940.67</v>
      </c>
      <c r="Y14" s="2"/>
      <c r="Z14" s="19">
        <f t="shared" si="3"/>
        <v>0</v>
      </c>
    </row>
    <row r="15" spans="1:26" x14ac:dyDescent="0.25">
      <c r="A15" s="9"/>
      <c r="B15" s="10"/>
      <c r="C15" s="9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collapsed="1" x14ac:dyDescent="0.25">
      <c r="A16" s="10"/>
      <c r="B16" s="28" t="s">
        <v>8</v>
      </c>
      <c r="C16" s="10"/>
      <c r="D16" s="4">
        <f>SUM(OSRRefD16x_0)</f>
        <v>0</v>
      </c>
      <c r="E16" s="4"/>
      <c r="F16" s="13">
        <f t="shared" ref="F16:F18" si="5">IF(D$12=0,0,D16/D$12)</f>
        <v>0</v>
      </c>
      <c r="G16" s="4"/>
      <c r="H16" s="4">
        <f>SUM(OSRRefH16x_0)</f>
        <v>0</v>
      </c>
      <c r="I16" s="4"/>
      <c r="J16" s="13">
        <f t="shared" ref="J16:J18" si="6">IF(H$12=0,0,H16/H$12)</f>
        <v>0</v>
      </c>
      <c r="K16" s="4"/>
      <c r="L16" s="4">
        <f t="shared" ref="L16:L18" si="7">+D16-H16</f>
        <v>0</v>
      </c>
      <c r="M16" s="4"/>
      <c r="N16" s="13">
        <f t="shared" ref="N16:N18" si="8">IF(H16=0,0,L16/H16)</f>
        <v>0</v>
      </c>
      <c r="O16" s="10"/>
      <c r="P16" s="4">
        <f>SUM(OSRRefP16x_0)</f>
        <v>9795.24</v>
      </c>
      <c r="Q16" s="4"/>
      <c r="R16" s="13">
        <f t="shared" ref="R16:R18" si="9">IF(P$12=0,0,P16/P$12)</f>
        <v>4.6404886667783446E-2</v>
      </c>
      <c r="S16" s="4"/>
      <c r="T16" s="4">
        <f>SUM(OSRRefT16x_0)</f>
        <v>0</v>
      </c>
      <c r="U16" s="4"/>
      <c r="V16" s="13">
        <f t="shared" ref="V16:V18" si="10">IF(T$12=0,0,T16/T$12)</f>
        <v>0</v>
      </c>
      <c r="W16" s="4"/>
      <c r="X16" s="4">
        <f t="shared" ref="X16:X18" si="11">+P16-T16</f>
        <v>9795.24</v>
      </c>
      <c r="Y16" s="4"/>
      <c r="Z16" s="13">
        <f t="shared" ref="Z16:Z18" si="12">IF(T16=0,0,X16/T16)</f>
        <v>0</v>
      </c>
    </row>
    <row r="17" spans="1:26" s="24" customFormat="1" hidden="1" outlineLevel="1" x14ac:dyDescent="0.25">
      <c r="A17" s="44"/>
      <c r="B17" s="11" t="str">
        <f>CONCATENATE("          ", "5053", " - ", "PURCHASES @ COST-FOOD")</f>
        <v xml:space="preserve">          5053 - PURCHASES @ COST-FOOD</v>
      </c>
      <c r="C17" s="11"/>
      <c r="D17" s="2"/>
      <c r="E17" s="2"/>
      <c r="F17" s="19">
        <f t="shared" si="5"/>
        <v>0</v>
      </c>
      <c r="G17" s="2"/>
      <c r="H17" s="2"/>
      <c r="I17" s="2"/>
      <c r="J17" s="19">
        <f t="shared" si="6"/>
        <v>0</v>
      </c>
      <c r="K17" s="2"/>
      <c r="L17" s="2">
        <f t="shared" si="7"/>
        <v>0</v>
      </c>
      <c r="M17" s="2"/>
      <c r="N17" s="19">
        <f t="shared" si="8"/>
        <v>0</v>
      </c>
      <c r="O17" s="11"/>
      <c r="P17" s="2">
        <v>373.24</v>
      </c>
      <c r="Q17" s="2"/>
      <c r="R17" s="19">
        <f t="shared" si="9"/>
        <v>1.7682221058272687E-3</v>
      </c>
      <c r="S17" s="2"/>
      <c r="T17" s="2"/>
      <c r="U17" s="2"/>
      <c r="V17" s="19">
        <f t="shared" si="10"/>
        <v>0</v>
      </c>
      <c r="W17" s="2"/>
      <c r="X17" s="2">
        <f t="shared" si="11"/>
        <v>373.24</v>
      </c>
      <c r="Y17" s="2"/>
      <c r="Z17" s="19">
        <f t="shared" si="12"/>
        <v>0</v>
      </c>
    </row>
    <row r="18" spans="1:26" s="24" customFormat="1" hidden="1" outlineLevel="1" x14ac:dyDescent="0.25">
      <c r="A18" s="44"/>
      <c r="B18" s="11" t="str">
        <f>CONCATENATE("          ", "5059", " - ", "PURCHASES @ COST-FOOD")</f>
        <v xml:space="preserve">          5059 - PURCHASES @ COST-FOOD</v>
      </c>
      <c r="C18" s="11"/>
      <c r="D18" s="2"/>
      <c r="E18" s="2"/>
      <c r="F18" s="19">
        <f t="shared" si="5"/>
        <v>0</v>
      </c>
      <c r="G18" s="2"/>
      <c r="H18" s="2"/>
      <c r="I18" s="2"/>
      <c r="J18" s="19">
        <f t="shared" si="6"/>
        <v>0</v>
      </c>
      <c r="K18" s="2"/>
      <c r="L18" s="2">
        <f t="shared" si="7"/>
        <v>0</v>
      </c>
      <c r="M18" s="2"/>
      <c r="N18" s="19">
        <f t="shared" si="8"/>
        <v>0</v>
      </c>
      <c r="O18" s="11"/>
      <c r="P18" s="2">
        <v>9422</v>
      </c>
      <c r="Q18" s="2"/>
      <c r="R18" s="19">
        <f t="shared" si="9"/>
        <v>4.4636664561956182E-2</v>
      </c>
      <c r="S18" s="2"/>
      <c r="T18" s="2"/>
      <c r="U18" s="2"/>
      <c r="V18" s="19">
        <f t="shared" si="10"/>
        <v>0</v>
      </c>
      <c r="W18" s="2"/>
      <c r="X18" s="2">
        <f t="shared" si="11"/>
        <v>9422</v>
      </c>
      <c r="Y18" s="2"/>
      <c r="Z18" s="19">
        <f t="shared" si="12"/>
        <v>0</v>
      </c>
    </row>
    <row r="19" spans="1:26" x14ac:dyDescent="0.25">
      <c r="A19" s="9"/>
      <c r="B19" s="10"/>
      <c r="C19" s="10"/>
      <c r="D19" s="3"/>
      <c r="E19" s="3"/>
      <c r="F19" s="8"/>
      <c r="G19" s="3"/>
      <c r="H19" s="3"/>
      <c r="I19" s="3"/>
      <c r="J19" s="8"/>
      <c r="K19" s="3"/>
      <c r="L19" s="3"/>
      <c r="M19" s="3"/>
      <c r="N19" s="8"/>
      <c r="O19" s="10"/>
      <c r="P19" s="3"/>
      <c r="Q19" s="3"/>
      <c r="R19" s="8"/>
      <c r="S19" s="3"/>
      <c r="T19" s="3"/>
      <c r="U19" s="3"/>
      <c r="V19" s="8"/>
      <c r="W19" s="3"/>
      <c r="X19" s="3"/>
      <c r="Y19" s="3"/>
      <c r="Z19" s="8"/>
    </row>
    <row r="20" spans="1:26" s="23" customFormat="1" x14ac:dyDescent="0.25">
      <c r="A20" s="10"/>
      <c r="B20" s="29" t="s">
        <v>6</v>
      </c>
      <c r="C20" s="29"/>
      <c r="D20" s="20">
        <f>D12-D16</f>
        <v>0</v>
      </c>
      <c r="E20" s="14"/>
      <c r="F20" s="22">
        <f>IF(D$12=0,0,D20/D$12)</f>
        <v>0</v>
      </c>
      <c r="G20" s="14"/>
      <c r="H20" s="20">
        <f>H12-H16</f>
        <v>0</v>
      </c>
      <c r="I20" s="14"/>
      <c r="J20" s="22">
        <f>IF(H$12=0,0,H20/H$12)</f>
        <v>0</v>
      </c>
      <c r="K20" s="16"/>
      <c r="L20" s="20">
        <f>+D20-H20</f>
        <v>0</v>
      </c>
      <c r="M20" s="16"/>
      <c r="N20" s="22">
        <f>IF(H20=0,0,L20/H20)</f>
        <v>0</v>
      </c>
      <c r="O20" s="28"/>
      <c r="P20" s="20">
        <f>P12-P16</f>
        <v>201286.84000000003</v>
      </c>
      <c r="Q20" s="14"/>
      <c r="R20" s="22">
        <f>IF(P$12=0,0,P20/P$12)</f>
        <v>0.95359511333221658</v>
      </c>
      <c r="S20" s="14"/>
      <c r="T20" s="20">
        <f>T12-T16</f>
        <v>0</v>
      </c>
      <c r="U20" s="14"/>
      <c r="V20" s="22">
        <f>IF(T$12=0,0,T20/T$12)</f>
        <v>0</v>
      </c>
      <c r="W20" s="16"/>
      <c r="X20" s="20">
        <f>+P20-T20</f>
        <v>201286.84000000003</v>
      </c>
      <c r="Y20" s="16"/>
      <c r="Z20" s="22">
        <f>IF(T20=0,0,X20/T20)</f>
        <v>0</v>
      </c>
    </row>
    <row r="21" spans="1:26" x14ac:dyDescent="0.25">
      <c r="A21" s="9"/>
      <c r="B21" s="10"/>
      <c r="C21" s="9"/>
      <c r="D21" s="1"/>
      <c r="E21" s="1"/>
      <c r="F21" s="5"/>
      <c r="G21" s="1"/>
      <c r="H21" s="1"/>
      <c r="I21" s="1"/>
      <c r="J21" s="5"/>
      <c r="K21" s="1"/>
      <c r="L21" s="1"/>
      <c r="M21" s="1"/>
      <c r="N21" s="5"/>
      <c r="O21" s="36"/>
      <c r="P21" s="1"/>
      <c r="Q21" s="1"/>
      <c r="R21" s="5"/>
      <c r="S21" s="1"/>
      <c r="T21" s="1"/>
      <c r="U21" s="1"/>
      <c r="V21" s="5"/>
      <c r="W21" s="1"/>
      <c r="X21" s="1"/>
      <c r="Y21" s="1"/>
      <c r="Z21" s="5"/>
    </row>
    <row r="22" spans="1:26" s="23" customFormat="1" x14ac:dyDescent="0.25">
      <c r="A22" s="10"/>
      <c r="B22" s="28" t="s">
        <v>9</v>
      </c>
      <c r="C22" s="10"/>
      <c r="D22" s="21">
        <f>SUM(OSRRefD22x_0)</f>
        <v>0</v>
      </c>
      <c r="E22" s="21"/>
      <c r="F22" s="30">
        <f t="shared" ref="F22:F31" si="13">IF(D$12=0,0,D22/D$12)</f>
        <v>0</v>
      </c>
      <c r="G22" s="21"/>
      <c r="H22" s="21">
        <f>SUM(OSRRefH22x_0)</f>
        <v>0</v>
      </c>
      <c r="I22" s="21"/>
      <c r="J22" s="30">
        <f t="shared" ref="J22:J31" si="14">IF(H$12=0,0,H22/H$12)</f>
        <v>0</v>
      </c>
      <c r="K22" s="4"/>
      <c r="L22" s="21">
        <f t="shared" ref="L22:L31" si="15">+D22-H22</f>
        <v>0</v>
      </c>
      <c r="M22" s="4"/>
      <c r="N22" s="30">
        <f t="shared" ref="N22:N31" si="16">IF(H22=0,0,L22/H22)</f>
        <v>0</v>
      </c>
      <c r="O22" s="10"/>
      <c r="P22" s="21">
        <f>SUM(OSRRefP22x_0)</f>
        <v>200125.53999999998</v>
      </c>
      <c r="Q22" s="21"/>
      <c r="R22" s="30">
        <f t="shared" ref="R22:R31" si="17">IF(P$12=0,0,P22/P$12)</f>
        <v>0.94809346203145228</v>
      </c>
      <c r="S22" s="21"/>
      <c r="T22" s="21">
        <f>SUM(OSRRefT22x_0)</f>
        <v>0</v>
      </c>
      <c r="U22" s="21"/>
      <c r="V22" s="30">
        <f t="shared" ref="V22:V31" si="18">IF(T$12=0,0,T22/T$12)</f>
        <v>0</v>
      </c>
      <c r="W22" s="4"/>
      <c r="X22" s="21">
        <f t="shared" ref="X22:X31" si="19">+P22-T22</f>
        <v>200125.53999999998</v>
      </c>
      <c r="Y22" s="4"/>
      <c r="Z22" s="30">
        <f t="shared" ref="Z22:Z31" si="20">IF(T22=0,0,X22/T22)</f>
        <v>0</v>
      </c>
    </row>
    <row r="23" spans="1:26" s="27" customFormat="1" outlineLevel="1" collapsed="1" x14ac:dyDescent="0.25">
      <c r="A23" s="25"/>
      <c r="B23" s="12" t="str">
        <f>CONCATENATE("     ","*Benefits                                         ")</f>
        <v xml:space="preserve">     *Benefits                                         </v>
      </c>
      <c r="C23" s="12"/>
      <c r="D23" s="1">
        <f>SUM(OSRRefD22_0x_0)</f>
        <v>0</v>
      </c>
      <c r="E23" s="1"/>
      <c r="F23" s="5">
        <f t="shared" si="13"/>
        <v>0</v>
      </c>
      <c r="G23" s="1"/>
      <c r="H23" s="1">
        <f>SUM(OSRRefH22_0x_0)</f>
        <v>0</v>
      </c>
      <c r="I23" s="1"/>
      <c r="J23" s="5">
        <f t="shared" si="14"/>
        <v>0</v>
      </c>
      <c r="K23" s="1"/>
      <c r="L23" s="1">
        <f t="shared" si="15"/>
        <v>0</v>
      </c>
      <c r="M23" s="1"/>
      <c r="N23" s="5">
        <f t="shared" si="16"/>
        <v>0</v>
      </c>
      <c r="O23" s="12"/>
      <c r="P23" s="1">
        <f>SUM(OSRRefP22_0x_0)</f>
        <v>34814.620000000003</v>
      </c>
      <c r="Q23" s="1"/>
      <c r="R23" s="5">
        <f t="shared" si="17"/>
        <v>0.1649340389293113</v>
      </c>
      <c r="S23" s="1"/>
      <c r="T23" s="1">
        <f>SUM(OSRRefT22_0x_0)</f>
        <v>0</v>
      </c>
      <c r="U23" s="1"/>
      <c r="V23" s="5">
        <f t="shared" si="18"/>
        <v>0</v>
      </c>
      <c r="W23" s="1"/>
      <c r="X23" s="1">
        <f t="shared" si="19"/>
        <v>34814.620000000003</v>
      </c>
      <c r="Y23" s="1"/>
      <c r="Z23" s="5">
        <f t="shared" si="20"/>
        <v>0</v>
      </c>
    </row>
    <row r="24" spans="1:26" s="24" customFormat="1" hidden="1" outlineLevel="2" x14ac:dyDescent="0.25">
      <c r="A24" s="26"/>
      <c r="B24" s="11" t="str">
        <f>CONCATENATE("          ", "6111", " - ", "F.I.C.A.")</f>
        <v xml:space="preserve">          6111 - F.I.C.A.</v>
      </c>
      <c r="C24" s="11"/>
      <c r="D24" s="7"/>
      <c r="E24" s="2"/>
      <c r="F24" s="6">
        <f t="shared" si="13"/>
        <v>0</v>
      </c>
      <c r="G24" s="2"/>
      <c r="H24" s="7"/>
      <c r="I24" s="2"/>
      <c r="J24" s="6">
        <f t="shared" si="14"/>
        <v>0</v>
      </c>
      <c r="K24" s="2"/>
      <c r="L24" s="7">
        <f t="shared" si="15"/>
        <v>0</v>
      </c>
      <c r="M24" s="2"/>
      <c r="N24" s="6">
        <f t="shared" si="16"/>
        <v>0</v>
      </c>
      <c r="O24" s="11"/>
      <c r="P24" s="7">
        <v>14309.01</v>
      </c>
      <c r="Q24" s="2"/>
      <c r="R24" s="6">
        <f t="shared" si="17"/>
        <v>6.7788843088906453E-2</v>
      </c>
      <c r="S24" s="2"/>
      <c r="T24" s="7"/>
      <c r="U24" s="2"/>
      <c r="V24" s="6">
        <f t="shared" si="18"/>
        <v>0</v>
      </c>
      <c r="W24" s="2"/>
      <c r="X24" s="7">
        <f t="shared" si="19"/>
        <v>14309.01</v>
      </c>
      <c r="Y24" s="2"/>
      <c r="Z24" s="6">
        <f t="shared" si="20"/>
        <v>0</v>
      </c>
    </row>
    <row r="25" spans="1:26" s="24" customFormat="1" hidden="1" outlineLevel="2" x14ac:dyDescent="0.25">
      <c r="A25" s="26"/>
      <c r="B25" s="11" t="str">
        <f>CONCATENATE("          ", "6112", " - ", "COMPENSATION INSURANCE")</f>
        <v xml:space="preserve">          6112 - COMPENSATION INSURANCE</v>
      </c>
      <c r="C25" s="11"/>
      <c r="D25" s="7"/>
      <c r="E25" s="2"/>
      <c r="F25" s="6">
        <f t="shared" si="13"/>
        <v>0</v>
      </c>
      <c r="G25" s="2"/>
      <c r="H25" s="7"/>
      <c r="I25" s="2"/>
      <c r="J25" s="6">
        <f t="shared" si="14"/>
        <v>0</v>
      </c>
      <c r="K25" s="2"/>
      <c r="L25" s="7">
        <f t="shared" si="15"/>
        <v>0</v>
      </c>
      <c r="M25" s="2"/>
      <c r="N25" s="6">
        <f t="shared" si="16"/>
        <v>0</v>
      </c>
      <c r="O25" s="11"/>
      <c r="P25" s="7">
        <v>8030.89</v>
      </c>
      <c r="Q25" s="2"/>
      <c r="R25" s="6">
        <f t="shared" si="17"/>
        <v>3.8046289860323525E-2</v>
      </c>
      <c r="S25" s="2"/>
      <c r="T25" s="7"/>
      <c r="U25" s="2"/>
      <c r="V25" s="6">
        <f t="shared" si="18"/>
        <v>0</v>
      </c>
      <c r="W25" s="2"/>
      <c r="X25" s="7">
        <f t="shared" si="19"/>
        <v>8030.89</v>
      </c>
      <c r="Y25" s="2"/>
      <c r="Z25" s="6">
        <f t="shared" si="20"/>
        <v>0</v>
      </c>
    </row>
    <row r="26" spans="1:26" s="24" customFormat="1" hidden="1" outlineLevel="2" x14ac:dyDescent="0.25">
      <c r="A26" s="26"/>
      <c r="B26" s="11" t="str">
        <f>CONCATENATE("          ", "6113", " - ", "GROUP INSURANCE")</f>
        <v xml:space="preserve">          6113 - GROUP INSURANCE</v>
      </c>
      <c r="C26" s="11"/>
      <c r="D26" s="7"/>
      <c r="E26" s="2"/>
      <c r="F26" s="6">
        <f t="shared" si="13"/>
        <v>0</v>
      </c>
      <c r="G26" s="2"/>
      <c r="H26" s="7"/>
      <c r="I26" s="2"/>
      <c r="J26" s="6">
        <f t="shared" si="14"/>
        <v>0</v>
      </c>
      <c r="K26" s="2"/>
      <c r="L26" s="7">
        <f t="shared" si="15"/>
        <v>0</v>
      </c>
      <c r="M26" s="2"/>
      <c r="N26" s="6">
        <f t="shared" si="16"/>
        <v>0</v>
      </c>
      <c r="O26" s="11"/>
      <c r="P26" s="7">
        <v>19739.060000000001</v>
      </c>
      <c r="Q26" s="2"/>
      <c r="R26" s="6">
        <f t="shared" si="17"/>
        <v>9.3513670132490637E-2</v>
      </c>
      <c r="S26" s="2"/>
      <c r="T26" s="7"/>
      <c r="U26" s="2"/>
      <c r="V26" s="6">
        <f t="shared" si="18"/>
        <v>0</v>
      </c>
      <c r="W26" s="2"/>
      <c r="X26" s="7">
        <f t="shared" si="19"/>
        <v>19739.060000000001</v>
      </c>
      <c r="Y26" s="2"/>
      <c r="Z26" s="6">
        <f t="shared" si="20"/>
        <v>0</v>
      </c>
    </row>
    <row r="27" spans="1:26" s="24" customFormat="1" hidden="1" outlineLevel="2" x14ac:dyDescent="0.25">
      <c r="A27" s="26"/>
      <c r="B27" s="11" t="str">
        <f>CONCATENATE("          ", "6114", " - ", "STATE UNEMPLOYMENT INSURANCE")</f>
        <v xml:space="preserve">          6114 - STATE UNEMPLOYMENT INSURANCE</v>
      </c>
      <c r="C27" s="11"/>
      <c r="D27" s="7"/>
      <c r="E27" s="2"/>
      <c r="F27" s="6">
        <f t="shared" si="13"/>
        <v>0</v>
      </c>
      <c r="G27" s="2"/>
      <c r="H27" s="7"/>
      <c r="I27" s="2"/>
      <c r="J27" s="6">
        <f t="shared" si="14"/>
        <v>0</v>
      </c>
      <c r="K27" s="2"/>
      <c r="L27" s="7">
        <f t="shared" si="15"/>
        <v>0</v>
      </c>
      <c r="M27" s="2"/>
      <c r="N27" s="6">
        <f t="shared" si="16"/>
        <v>0</v>
      </c>
      <c r="O27" s="11"/>
      <c r="P27" s="7">
        <v>538.16</v>
      </c>
      <c r="Q27" s="2"/>
      <c r="R27" s="6">
        <f t="shared" si="17"/>
        <v>2.5495295479369918E-3</v>
      </c>
      <c r="S27" s="2"/>
      <c r="T27" s="7"/>
      <c r="U27" s="2"/>
      <c r="V27" s="6">
        <f t="shared" si="18"/>
        <v>0</v>
      </c>
      <c r="W27" s="2"/>
      <c r="X27" s="7">
        <f t="shared" si="19"/>
        <v>538.16</v>
      </c>
      <c r="Y27" s="2"/>
      <c r="Z27" s="6">
        <f t="shared" si="20"/>
        <v>0</v>
      </c>
    </row>
    <row r="28" spans="1:26" s="24" customFormat="1" hidden="1" outlineLevel="2" x14ac:dyDescent="0.25">
      <c r="A28" s="26"/>
      <c r="B28" s="11" t="str">
        <f>CONCATENATE("          ", "6115", " - ", "P.E.R.S.")</f>
        <v xml:space="preserve">          6115 - P.E.R.S.</v>
      </c>
      <c r="C28" s="11"/>
      <c r="D28" s="7"/>
      <c r="E28" s="2"/>
      <c r="F28" s="6">
        <f t="shared" si="13"/>
        <v>0</v>
      </c>
      <c r="G28" s="2"/>
      <c r="H28" s="7"/>
      <c r="I28" s="2"/>
      <c r="J28" s="6">
        <f t="shared" si="14"/>
        <v>0</v>
      </c>
      <c r="K28" s="2"/>
      <c r="L28" s="7">
        <f t="shared" si="15"/>
        <v>0</v>
      </c>
      <c r="M28" s="2"/>
      <c r="N28" s="6">
        <f t="shared" si="16"/>
        <v>0</v>
      </c>
      <c r="O28" s="11"/>
      <c r="P28" s="7">
        <v>10221.48</v>
      </c>
      <c r="Q28" s="2"/>
      <c r="R28" s="6">
        <f t="shared" si="17"/>
        <v>4.8424195933638697E-2</v>
      </c>
      <c r="S28" s="2"/>
      <c r="T28" s="7"/>
      <c r="U28" s="2"/>
      <c r="V28" s="6">
        <f t="shared" si="18"/>
        <v>0</v>
      </c>
      <c r="W28" s="2"/>
      <c r="X28" s="7">
        <f t="shared" si="19"/>
        <v>10221.48</v>
      </c>
      <c r="Y28" s="2"/>
      <c r="Z28" s="6">
        <f t="shared" si="20"/>
        <v>0</v>
      </c>
    </row>
    <row r="29" spans="1:26" s="24" customFormat="1" hidden="1" outlineLevel="2" x14ac:dyDescent="0.25">
      <c r="A29" s="26"/>
      <c r="B29" s="11" t="str">
        <f>CONCATENATE("          ", "6118", " - ", "VACATION")</f>
        <v xml:space="preserve">          6118 - VACATION</v>
      </c>
      <c r="C29" s="11"/>
      <c r="D29" s="7"/>
      <c r="E29" s="2"/>
      <c r="F29" s="6">
        <f t="shared" si="13"/>
        <v>0</v>
      </c>
      <c r="G29" s="2"/>
      <c r="H29" s="7"/>
      <c r="I29" s="2"/>
      <c r="J29" s="6">
        <f t="shared" si="14"/>
        <v>0</v>
      </c>
      <c r="K29" s="2"/>
      <c r="L29" s="7">
        <f t="shared" si="15"/>
        <v>0</v>
      </c>
      <c r="M29" s="2"/>
      <c r="N29" s="6">
        <f t="shared" si="16"/>
        <v>0</v>
      </c>
      <c r="O29" s="11"/>
      <c r="P29" s="7">
        <v>6534.07</v>
      </c>
      <c r="Q29" s="2"/>
      <c r="R29" s="6">
        <f t="shared" si="17"/>
        <v>3.0955114711774676E-2</v>
      </c>
      <c r="S29" s="2"/>
      <c r="T29" s="7"/>
      <c r="U29" s="2"/>
      <c r="V29" s="6">
        <f t="shared" si="18"/>
        <v>0</v>
      </c>
      <c r="W29" s="2"/>
      <c r="X29" s="7">
        <f t="shared" si="19"/>
        <v>6534.07</v>
      </c>
      <c r="Y29" s="2"/>
      <c r="Z29" s="6">
        <f t="shared" si="20"/>
        <v>0</v>
      </c>
    </row>
    <row r="30" spans="1:26" s="24" customFormat="1" hidden="1" outlineLevel="2" x14ac:dyDescent="0.25">
      <c r="A30" s="26"/>
      <c r="B30" s="11" t="str">
        <f>CONCATENATE("          ", "6119", " - ", "SICK LEAVE")</f>
        <v xml:space="preserve">          6119 - SICK LEAVE</v>
      </c>
      <c r="C30" s="11"/>
      <c r="D30" s="7"/>
      <c r="E30" s="2"/>
      <c r="F30" s="6">
        <f t="shared" si="13"/>
        <v>0</v>
      </c>
      <c r="G30" s="2"/>
      <c r="H30" s="7"/>
      <c r="I30" s="2"/>
      <c r="J30" s="6">
        <f t="shared" si="14"/>
        <v>0</v>
      </c>
      <c r="K30" s="2"/>
      <c r="L30" s="7">
        <f t="shared" si="15"/>
        <v>0</v>
      </c>
      <c r="M30" s="2"/>
      <c r="N30" s="6">
        <f t="shared" si="16"/>
        <v>0</v>
      </c>
      <c r="O30" s="11"/>
      <c r="P30" s="7">
        <v>-25661.230000000003</v>
      </c>
      <c r="Q30" s="2"/>
      <c r="R30" s="6">
        <f t="shared" si="17"/>
        <v>-0.12156991251933845</v>
      </c>
      <c r="S30" s="2"/>
      <c r="T30" s="7"/>
      <c r="U30" s="2"/>
      <c r="V30" s="6">
        <f t="shared" si="18"/>
        <v>0</v>
      </c>
      <c r="W30" s="2"/>
      <c r="X30" s="7">
        <f t="shared" si="19"/>
        <v>-25661.230000000003</v>
      </c>
      <c r="Y30" s="2"/>
      <c r="Z30" s="6">
        <f t="shared" si="20"/>
        <v>0</v>
      </c>
    </row>
    <row r="31" spans="1:26" s="24" customFormat="1" hidden="1" outlineLevel="2" x14ac:dyDescent="0.25">
      <c r="A31" s="26"/>
      <c r="B31" s="11" t="str">
        <f>CONCATENATE("          ", "6156", " - ", "EMPLOYEE MEALS")</f>
        <v xml:space="preserve">          6156 - EMPLOYEE MEALS</v>
      </c>
      <c r="C31" s="11"/>
      <c r="D31" s="7"/>
      <c r="E31" s="2"/>
      <c r="F31" s="6">
        <f t="shared" si="13"/>
        <v>0</v>
      </c>
      <c r="G31" s="2"/>
      <c r="H31" s="7"/>
      <c r="I31" s="2"/>
      <c r="J31" s="6">
        <f t="shared" si="14"/>
        <v>0</v>
      </c>
      <c r="K31" s="2"/>
      <c r="L31" s="7">
        <f t="shared" si="15"/>
        <v>0</v>
      </c>
      <c r="M31" s="2"/>
      <c r="N31" s="6">
        <f t="shared" si="16"/>
        <v>0</v>
      </c>
      <c r="O31" s="11"/>
      <c r="P31" s="7">
        <v>1103.18</v>
      </c>
      <c r="Q31" s="2"/>
      <c r="R31" s="6">
        <f t="shared" si="17"/>
        <v>5.2263081735787328E-3</v>
      </c>
      <c r="S31" s="2"/>
      <c r="T31" s="7"/>
      <c r="U31" s="2"/>
      <c r="V31" s="6">
        <f t="shared" si="18"/>
        <v>0</v>
      </c>
      <c r="W31" s="2"/>
      <c r="X31" s="7">
        <f t="shared" si="19"/>
        <v>1103.18</v>
      </c>
      <c r="Y31" s="2"/>
      <c r="Z31" s="6">
        <f t="shared" si="20"/>
        <v>0</v>
      </c>
    </row>
    <row r="32" spans="1:26" s="27" customFormat="1" outlineLevel="1" collapsed="1" x14ac:dyDescent="0.25">
      <c r="A32" s="25"/>
      <c r="B32" s="12" t="str">
        <f>CONCATENATE("     ","*Payroll                                          ")</f>
        <v xml:space="preserve">     *Payroll                                          </v>
      </c>
      <c r="C32" s="12"/>
      <c r="D32" s="1">
        <f>SUM(OSRRefD22_1x_0)</f>
        <v>0</v>
      </c>
      <c r="E32" s="1"/>
      <c r="F32" s="5">
        <f t="shared" ref="F32:F36" si="21">IF(D$12=0,0,D32/D$12)</f>
        <v>0</v>
      </c>
      <c r="G32" s="1"/>
      <c r="H32" s="1">
        <f>SUM(OSRRefH22_1x_0)</f>
        <v>0</v>
      </c>
      <c r="I32" s="1"/>
      <c r="J32" s="5">
        <f t="shared" ref="J32:J36" si="22">IF(H$12=0,0,H32/H$12)</f>
        <v>0</v>
      </c>
      <c r="K32" s="1"/>
      <c r="L32" s="1">
        <f t="shared" ref="L32:L36" si="23">+D32-H32</f>
        <v>0</v>
      </c>
      <c r="M32" s="1"/>
      <c r="N32" s="5">
        <f t="shared" ref="N32:N36" si="24">IF(H32=0,0,L32/H32)</f>
        <v>0</v>
      </c>
      <c r="O32" s="12"/>
      <c r="P32" s="1">
        <f>SUM(OSRRefP22_1x_0)</f>
        <v>160569.98000000001</v>
      </c>
      <c r="Q32" s="1"/>
      <c r="R32" s="5">
        <f t="shared" ref="R32:R36" si="25">IF(P$12=0,0,P32/P$12)</f>
        <v>0.76069925026321517</v>
      </c>
      <c r="S32" s="1"/>
      <c r="T32" s="1">
        <f>SUM(OSRRefT22_1x_0)</f>
        <v>0</v>
      </c>
      <c r="U32" s="1"/>
      <c r="V32" s="5">
        <f t="shared" ref="V32:V36" si="26">IF(T$12=0,0,T32/T$12)</f>
        <v>0</v>
      </c>
      <c r="W32" s="1"/>
      <c r="X32" s="1">
        <f t="shared" ref="X32:X36" si="27">+P32-T32</f>
        <v>160569.98000000001</v>
      </c>
      <c r="Y32" s="1"/>
      <c r="Z32" s="5">
        <f t="shared" ref="Z32:Z36" si="28">IF(T32=0,0,X32/T32)</f>
        <v>0</v>
      </c>
    </row>
    <row r="33" spans="1:26" s="24" customFormat="1" hidden="1" outlineLevel="2" x14ac:dyDescent="0.25">
      <c r="A33" s="26"/>
      <c r="B33" s="11" t="str">
        <f>CONCATENATE("          ", "6002", " - ", "STAFF SALARIES")</f>
        <v xml:space="preserve">          6002 - STAFF SALARIES</v>
      </c>
      <c r="C33" s="11"/>
      <c r="D33" s="7"/>
      <c r="E33" s="2"/>
      <c r="F33" s="6">
        <f t="shared" si="21"/>
        <v>0</v>
      </c>
      <c r="G33" s="2"/>
      <c r="H33" s="7"/>
      <c r="I33" s="2"/>
      <c r="J33" s="6">
        <f t="shared" si="22"/>
        <v>0</v>
      </c>
      <c r="K33" s="2"/>
      <c r="L33" s="7">
        <f t="shared" si="23"/>
        <v>0</v>
      </c>
      <c r="M33" s="2"/>
      <c r="N33" s="6">
        <f t="shared" si="24"/>
        <v>0</v>
      </c>
      <c r="O33" s="11"/>
      <c r="P33" s="7">
        <v>113004.92000000001</v>
      </c>
      <c r="Q33" s="2"/>
      <c r="R33" s="6">
        <f t="shared" si="25"/>
        <v>0.5353600836224468</v>
      </c>
      <c r="S33" s="2"/>
      <c r="T33" s="7"/>
      <c r="U33" s="2"/>
      <c r="V33" s="6">
        <f t="shared" si="26"/>
        <v>0</v>
      </c>
      <c r="W33" s="2"/>
      <c r="X33" s="7">
        <f t="shared" si="27"/>
        <v>113004.92000000001</v>
      </c>
      <c r="Y33" s="2"/>
      <c r="Z33" s="6">
        <f t="shared" si="28"/>
        <v>0</v>
      </c>
    </row>
    <row r="34" spans="1:26" s="24" customFormat="1" hidden="1" outlineLevel="2" x14ac:dyDescent="0.25">
      <c r="A34" s="26"/>
      <c r="B34" s="11" t="str">
        <f>CONCATENATE("          ", "6005", " - ", "TEMPORARY WAGES-HOURLY")</f>
        <v xml:space="preserve">          6005 - TEMPORARY WAGES-HOURLY</v>
      </c>
      <c r="C34" s="11"/>
      <c r="D34" s="7"/>
      <c r="E34" s="2"/>
      <c r="F34" s="6">
        <f t="shared" si="21"/>
        <v>0</v>
      </c>
      <c r="G34" s="2"/>
      <c r="H34" s="7"/>
      <c r="I34" s="2"/>
      <c r="J34" s="6">
        <f t="shared" si="22"/>
        <v>0</v>
      </c>
      <c r="K34" s="2"/>
      <c r="L34" s="7">
        <f t="shared" si="23"/>
        <v>0</v>
      </c>
      <c r="M34" s="2"/>
      <c r="N34" s="6">
        <f t="shared" si="24"/>
        <v>0</v>
      </c>
      <c r="O34" s="11"/>
      <c r="P34" s="7">
        <v>18036.649999999998</v>
      </c>
      <c r="Q34" s="2"/>
      <c r="R34" s="6">
        <f t="shared" si="25"/>
        <v>8.5448513677712459E-2</v>
      </c>
      <c r="S34" s="2"/>
      <c r="T34" s="7"/>
      <c r="U34" s="2"/>
      <c r="V34" s="6">
        <f t="shared" si="26"/>
        <v>0</v>
      </c>
      <c r="W34" s="2"/>
      <c r="X34" s="7">
        <f t="shared" si="27"/>
        <v>18036.649999999998</v>
      </c>
      <c r="Y34" s="2"/>
      <c r="Z34" s="6">
        <f t="shared" si="28"/>
        <v>0</v>
      </c>
    </row>
    <row r="35" spans="1:26" s="24" customFormat="1" hidden="1" outlineLevel="2" x14ac:dyDescent="0.25">
      <c r="A35" s="26"/>
      <c r="B35" s="11" t="str">
        <f>CONCATENATE("          ", "6007", " - ", "STUDENT HOURLY")</f>
        <v xml:space="preserve">          6007 - STUDENT HOURLY</v>
      </c>
      <c r="C35" s="11"/>
      <c r="D35" s="7"/>
      <c r="E35" s="2"/>
      <c r="F35" s="6">
        <f t="shared" si="21"/>
        <v>0</v>
      </c>
      <c r="G35" s="2"/>
      <c r="H35" s="7"/>
      <c r="I35" s="2"/>
      <c r="J35" s="6">
        <f t="shared" si="22"/>
        <v>0</v>
      </c>
      <c r="K35" s="2"/>
      <c r="L35" s="7">
        <f t="shared" si="23"/>
        <v>0</v>
      </c>
      <c r="M35" s="2"/>
      <c r="N35" s="6">
        <f t="shared" si="24"/>
        <v>0</v>
      </c>
      <c r="O35" s="11"/>
      <c r="P35" s="7">
        <v>25720.959999999999</v>
      </c>
      <c r="Q35" s="2"/>
      <c r="R35" s="6">
        <f t="shared" si="25"/>
        <v>0.12185288301119639</v>
      </c>
      <c r="S35" s="2"/>
      <c r="T35" s="7"/>
      <c r="U35" s="2"/>
      <c r="V35" s="6">
        <f t="shared" si="26"/>
        <v>0</v>
      </c>
      <c r="W35" s="2"/>
      <c r="X35" s="7">
        <f t="shared" si="27"/>
        <v>25720.959999999999</v>
      </c>
      <c r="Y35" s="2"/>
      <c r="Z35" s="6">
        <f t="shared" si="28"/>
        <v>0</v>
      </c>
    </row>
    <row r="36" spans="1:26" s="24" customFormat="1" hidden="1" outlineLevel="2" x14ac:dyDescent="0.25">
      <c r="A36" s="26"/>
      <c r="B36" s="11" t="str">
        <f>CONCATENATE("          ", "6008", " - ", "STUDENT HOURLY-FICA EXEMPT")</f>
        <v xml:space="preserve">          6008 - STUDENT HOURLY-FICA EXEMPT</v>
      </c>
      <c r="C36" s="11"/>
      <c r="D36" s="7"/>
      <c r="E36" s="2"/>
      <c r="F36" s="6">
        <f t="shared" si="21"/>
        <v>0</v>
      </c>
      <c r="G36" s="2"/>
      <c r="H36" s="7"/>
      <c r="I36" s="2"/>
      <c r="J36" s="6">
        <f t="shared" si="22"/>
        <v>0</v>
      </c>
      <c r="K36" s="2"/>
      <c r="L36" s="7">
        <f t="shared" si="23"/>
        <v>0</v>
      </c>
      <c r="M36" s="2"/>
      <c r="N36" s="6">
        <f t="shared" si="24"/>
        <v>0</v>
      </c>
      <c r="O36" s="11"/>
      <c r="P36" s="7">
        <v>3807.45</v>
      </c>
      <c r="Q36" s="2"/>
      <c r="R36" s="6">
        <f t="shared" si="25"/>
        <v>1.8037769951859482E-2</v>
      </c>
      <c r="S36" s="2"/>
      <c r="T36" s="7"/>
      <c r="U36" s="2"/>
      <c r="V36" s="6">
        <f t="shared" si="26"/>
        <v>0</v>
      </c>
      <c r="W36" s="2"/>
      <c r="X36" s="7">
        <f t="shared" si="27"/>
        <v>3807.45</v>
      </c>
      <c r="Y36" s="2"/>
      <c r="Z36" s="6">
        <f t="shared" si="28"/>
        <v>0</v>
      </c>
    </row>
    <row r="37" spans="1:26" s="27" customFormat="1" outlineLevel="1" collapsed="1" x14ac:dyDescent="0.25">
      <c r="A37" s="25"/>
      <c r="B37" s="12" t="str">
        <f>CONCATENATE("     ","Advertising/Promo                                 ")</f>
        <v xml:space="preserve">     Advertising/Promo                                 </v>
      </c>
      <c r="C37" s="12"/>
      <c r="D37" s="1">
        <f>SUM(OSRRefD22_2x_0)</f>
        <v>0</v>
      </c>
      <c r="E37" s="1"/>
      <c r="F37" s="5">
        <f t="shared" ref="F37:F47" si="29">IF(D$12=0,0,D37/D$12)</f>
        <v>0</v>
      </c>
      <c r="G37" s="1"/>
      <c r="H37" s="1">
        <f>SUM(OSRRefH22_2x_0)</f>
        <v>0</v>
      </c>
      <c r="I37" s="1"/>
      <c r="J37" s="5">
        <f t="shared" ref="J37:J47" si="30">IF(H$12=0,0,H37/H$12)</f>
        <v>0</v>
      </c>
      <c r="K37" s="1"/>
      <c r="L37" s="1">
        <f t="shared" ref="L37:L47" si="31">+D37-H37</f>
        <v>0</v>
      </c>
      <c r="M37" s="1"/>
      <c r="N37" s="5">
        <f t="shared" ref="N37:N47" si="32">IF(H37=0,0,L37/H37)</f>
        <v>0</v>
      </c>
      <c r="O37" s="12"/>
      <c r="P37" s="1">
        <f>SUM(OSRRefP22_2x_0)</f>
        <v>500</v>
      </c>
      <c r="Q37" s="1"/>
      <c r="R37" s="5">
        <f t="shared" ref="R37:R47" si="33">IF(P$12=0,0,P37/P$12)</f>
        <v>2.3687467927168424E-3</v>
      </c>
      <c r="S37" s="1"/>
      <c r="T37" s="1">
        <f>SUM(OSRRefT22_2x_0)</f>
        <v>0</v>
      </c>
      <c r="U37" s="1"/>
      <c r="V37" s="5">
        <f t="shared" ref="V37:V47" si="34">IF(T$12=0,0,T37/T$12)</f>
        <v>0</v>
      </c>
      <c r="W37" s="1"/>
      <c r="X37" s="1">
        <f t="shared" ref="X37:X47" si="35">+P37-T37</f>
        <v>500</v>
      </c>
      <c r="Y37" s="1"/>
      <c r="Z37" s="5">
        <f t="shared" ref="Z37:Z47" si="36">IF(T37=0,0,X37/T37)</f>
        <v>0</v>
      </c>
    </row>
    <row r="38" spans="1:26" s="24" customFormat="1" hidden="1" outlineLevel="2" x14ac:dyDescent="0.25">
      <c r="A38" s="26"/>
      <c r="B38" s="11" t="str">
        <f>CONCATENATE("          ", "6362", " - ", "ADVERTISING EXPENSE")</f>
        <v xml:space="preserve">          6362 - ADVERTISING EXPENSE</v>
      </c>
      <c r="C38" s="11"/>
      <c r="D38" s="7"/>
      <c r="E38" s="2"/>
      <c r="F38" s="6">
        <f t="shared" si="29"/>
        <v>0</v>
      </c>
      <c r="G38" s="2"/>
      <c r="H38" s="7"/>
      <c r="I38" s="2"/>
      <c r="J38" s="6">
        <f t="shared" si="30"/>
        <v>0</v>
      </c>
      <c r="K38" s="2"/>
      <c r="L38" s="7">
        <f t="shared" si="31"/>
        <v>0</v>
      </c>
      <c r="M38" s="2"/>
      <c r="N38" s="6">
        <f t="shared" si="32"/>
        <v>0</v>
      </c>
      <c r="O38" s="11"/>
      <c r="P38" s="7">
        <v>500</v>
      </c>
      <c r="Q38" s="2"/>
      <c r="R38" s="6">
        <f t="shared" si="33"/>
        <v>2.3687467927168424E-3</v>
      </c>
      <c r="S38" s="2"/>
      <c r="T38" s="7"/>
      <c r="U38" s="2"/>
      <c r="V38" s="6">
        <f t="shared" si="34"/>
        <v>0</v>
      </c>
      <c r="W38" s="2"/>
      <c r="X38" s="7">
        <f t="shared" si="35"/>
        <v>500</v>
      </c>
      <c r="Y38" s="2"/>
      <c r="Z38" s="6">
        <f t="shared" si="36"/>
        <v>0</v>
      </c>
    </row>
    <row r="39" spans="1:26" s="27" customFormat="1" outlineLevel="1" collapsed="1" x14ac:dyDescent="0.25">
      <c r="A39" s="25"/>
      <c r="B39" s="12" t="str">
        <f>CONCATENATE("     ","Bad Debts/Over/Short                              ")</f>
        <v xml:space="preserve">     Bad Debts/Over/Short                              </v>
      </c>
      <c r="C39" s="12"/>
      <c r="D39" s="1">
        <f>SUM(OSRRefD22_3x_0)</f>
        <v>0</v>
      </c>
      <c r="E39" s="1"/>
      <c r="F39" s="5">
        <f t="shared" si="29"/>
        <v>0</v>
      </c>
      <c r="G39" s="1"/>
      <c r="H39" s="1">
        <f>SUM(OSRRefH22_3x_0)</f>
        <v>0</v>
      </c>
      <c r="I39" s="1"/>
      <c r="J39" s="5">
        <f t="shared" si="30"/>
        <v>0</v>
      </c>
      <c r="K39" s="1"/>
      <c r="L39" s="1">
        <f t="shared" si="31"/>
        <v>0</v>
      </c>
      <c r="M39" s="1"/>
      <c r="N39" s="5">
        <f t="shared" si="32"/>
        <v>0</v>
      </c>
      <c r="O39" s="12"/>
      <c r="P39" s="1">
        <f>SUM(OSRRefP22_3x_0)</f>
        <v>-1.98</v>
      </c>
      <c r="Q39" s="1"/>
      <c r="R39" s="5">
        <f t="shared" si="33"/>
        <v>-9.3802372991586962E-6</v>
      </c>
      <c r="S39" s="1"/>
      <c r="T39" s="1">
        <f>SUM(OSRRefT22_3x_0)</f>
        <v>0</v>
      </c>
      <c r="U39" s="1"/>
      <c r="V39" s="5">
        <f t="shared" si="34"/>
        <v>0</v>
      </c>
      <c r="W39" s="1"/>
      <c r="X39" s="1">
        <f t="shared" si="35"/>
        <v>-1.98</v>
      </c>
      <c r="Y39" s="1"/>
      <c r="Z39" s="5">
        <f t="shared" si="36"/>
        <v>0</v>
      </c>
    </row>
    <row r="40" spans="1:26" s="24" customFormat="1" hidden="1" outlineLevel="2" x14ac:dyDescent="0.25">
      <c r="A40" s="26"/>
      <c r="B40" s="11" t="str">
        <f>CONCATENATE("          ", "6272", " - ", "CASH (OVER/SHORT)")</f>
        <v xml:space="preserve">          6272 - CASH (OVER/SHORT)</v>
      </c>
      <c r="C40" s="11"/>
      <c r="D40" s="7"/>
      <c r="E40" s="2"/>
      <c r="F40" s="6">
        <f t="shared" si="29"/>
        <v>0</v>
      </c>
      <c r="G40" s="2"/>
      <c r="H40" s="7"/>
      <c r="I40" s="2"/>
      <c r="J40" s="6">
        <f t="shared" si="30"/>
        <v>0</v>
      </c>
      <c r="K40" s="2"/>
      <c r="L40" s="7">
        <f t="shared" si="31"/>
        <v>0</v>
      </c>
      <c r="M40" s="2"/>
      <c r="N40" s="6">
        <f t="shared" si="32"/>
        <v>0</v>
      </c>
      <c r="O40" s="11"/>
      <c r="P40" s="7">
        <v>-1.98</v>
      </c>
      <c r="Q40" s="2"/>
      <c r="R40" s="6">
        <f t="shared" si="33"/>
        <v>-9.3802372991586962E-6</v>
      </c>
      <c r="S40" s="2"/>
      <c r="T40" s="7"/>
      <c r="U40" s="2"/>
      <c r="V40" s="6">
        <f t="shared" si="34"/>
        <v>0</v>
      </c>
      <c r="W40" s="2"/>
      <c r="X40" s="7">
        <f t="shared" si="35"/>
        <v>-1.98</v>
      </c>
      <c r="Y40" s="2"/>
      <c r="Z40" s="6">
        <f t="shared" si="36"/>
        <v>0</v>
      </c>
    </row>
    <row r="41" spans="1:26" s="27" customFormat="1" outlineLevel="1" collapsed="1" x14ac:dyDescent="0.25">
      <c r="A41" s="25"/>
      <c r="B41" s="12" t="str">
        <f>CONCATENATE("     ","Bank/card Fees                                    ")</f>
        <v xml:space="preserve">     Bank/card Fees                                    </v>
      </c>
      <c r="C41" s="12"/>
      <c r="D41" s="1">
        <f>SUM(OSRRefD22_4x_0)</f>
        <v>0</v>
      </c>
      <c r="E41" s="1"/>
      <c r="F41" s="5">
        <f t="shared" si="29"/>
        <v>0</v>
      </c>
      <c r="G41" s="1"/>
      <c r="H41" s="1">
        <f>SUM(OSRRefH22_4x_0)</f>
        <v>0</v>
      </c>
      <c r="I41" s="1"/>
      <c r="J41" s="5">
        <f t="shared" si="30"/>
        <v>0</v>
      </c>
      <c r="K41" s="1"/>
      <c r="L41" s="1">
        <f t="shared" si="31"/>
        <v>0</v>
      </c>
      <c r="M41" s="1"/>
      <c r="N41" s="5">
        <f t="shared" si="32"/>
        <v>0</v>
      </c>
      <c r="O41" s="12"/>
      <c r="P41" s="1">
        <f>SUM(OSRRefP22_4x_0)</f>
        <v>685.09</v>
      </c>
      <c r="Q41" s="1"/>
      <c r="R41" s="5">
        <f t="shared" si="33"/>
        <v>3.2456094804447634E-3</v>
      </c>
      <c r="S41" s="1"/>
      <c r="T41" s="1">
        <f>SUM(OSRRefT22_4x_0)</f>
        <v>0</v>
      </c>
      <c r="U41" s="1"/>
      <c r="V41" s="5">
        <f t="shared" si="34"/>
        <v>0</v>
      </c>
      <c r="W41" s="1"/>
      <c r="X41" s="1">
        <f t="shared" si="35"/>
        <v>685.09</v>
      </c>
      <c r="Y41" s="1"/>
      <c r="Z41" s="5">
        <f t="shared" si="36"/>
        <v>0</v>
      </c>
    </row>
    <row r="42" spans="1:26" s="24" customFormat="1" hidden="1" outlineLevel="2" x14ac:dyDescent="0.25">
      <c r="A42" s="26"/>
      <c r="B42" s="11" t="str">
        <f>CONCATENATE("          ", "6381", " - ", "BANK/CREDIT CARD FEES")</f>
        <v xml:space="preserve">          6381 - BANK/CREDIT CARD FEES</v>
      </c>
      <c r="C42" s="11"/>
      <c r="D42" s="7"/>
      <c r="E42" s="2"/>
      <c r="F42" s="6">
        <f t="shared" si="29"/>
        <v>0</v>
      </c>
      <c r="G42" s="2"/>
      <c r="H42" s="7"/>
      <c r="I42" s="2"/>
      <c r="J42" s="6">
        <f t="shared" si="30"/>
        <v>0</v>
      </c>
      <c r="K42" s="2"/>
      <c r="L42" s="7">
        <f t="shared" si="31"/>
        <v>0</v>
      </c>
      <c r="M42" s="2"/>
      <c r="N42" s="6">
        <f t="shared" si="32"/>
        <v>0</v>
      </c>
      <c r="O42" s="11"/>
      <c r="P42" s="7">
        <v>685.09</v>
      </c>
      <c r="Q42" s="2"/>
      <c r="R42" s="6">
        <f t="shared" si="33"/>
        <v>3.2456094804447634E-3</v>
      </c>
      <c r="S42" s="2"/>
      <c r="T42" s="7"/>
      <c r="U42" s="2"/>
      <c r="V42" s="6">
        <f t="shared" si="34"/>
        <v>0</v>
      </c>
      <c r="W42" s="2"/>
      <c r="X42" s="7">
        <f t="shared" si="35"/>
        <v>685.09</v>
      </c>
      <c r="Y42" s="2"/>
      <c r="Z42" s="6">
        <f t="shared" si="36"/>
        <v>0</v>
      </c>
    </row>
    <row r="43" spans="1:26" s="27" customFormat="1" outlineLevel="1" collapsed="1" x14ac:dyDescent="0.25">
      <c r="A43" s="25"/>
      <c r="B43" s="12" t="str">
        <f>CONCATENATE("     ","Repair and Maintenance                            ")</f>
        <v xml:space="preserve">     Repair and Maintenance                            </v>
      </c>
      <c r="C43" s="12"/>
      <c r="D43" s="1">
        <f>SUM(OSRRefD22_5x_0)</f>
        <v>0</v>
      </c>
      <c r="E43" s="1"/>
      <c r="F43" s="5">
        <f t="shared" si="29"/>
        <v>0</v>
      </c>
      <c r="G43" s="1"/>
      <c r="H43" s="1">
        <f>SUM(OSRRefH22_5x_0)</f>
        <v>0</v>
      </c>
      <c r="I43" s="1"/>
      <c r="J43" s="5">
        <f t="shared" si="30"/>
        <v>0</v>
      </c>
      <c r="K43" s="1"/>
      <c r="L43" s="1">
        <f t="shared" si="31"/>
        <v>0</v>
      </c>
      <c r="M43" s="1"/>
      <c r="N43" s="5">
        <f t="shared" si="32"/>
        <v>0</v>
      </c>
      <c r="O43" s="12"/>
      <c r="P43" s="1">
        <f>SUM(OSRRefP22_5x_0)</f>
        <v>1151.21</v>
      </c>
      <c r="Q43" s="1"/>
      <c r="R43" s="5">
        <f t="shared" si="33"/>
        <v>5.4538499904871127E-3</v>
      </c>
      <c r="S43" s="1"/>
      <c r="T43" s="1">
        <f>SUM(OSRRefT22_5x_0)</f>
        <v>0</v>
      </c>
      <c r="U43" s="1"/>
      <c r="V43" s="5">
        <f t="shared" si="34"/>
        <v>0</v>
      </c>
      <c r="W43" s="1"/>
      <c r="X43" s="1">
        <f t="shared" si="35"/>
        <v>1151.21</v>
      </c>
      <c r="Y43" s="1"/>
      <c r="Z43" s="5">
        <f t="shared" si="36"/>
        <v>0</v>
      </c>
    </row>
    <row r="44" spans="1:26" s="24" customFormat="1" hidden="1" outlineLevel="2" x14ac:dyDescent="0.25">
      <c r="A44" s="26"/>
      <c r="B44" s="11" t="str">
        <f>CONCATENATE("          ", "6375", " - ", "OUTSIDE REPAIRS &amp; MAINTENANCE")</f>
        <v xml:space="preserve">          6375 - OUTSIDE REPAIRS &amp; MAINTENANCE</v>
      </c>
      <c r="C44" s="11"/>
      <c r="D44" s="7"/>
      <c r="E44" s="2"/>
      <c r="F44" s="6">
        <f t="shared" si="29"/>
        <v>0</v>
      </c>
      <c r="G44" s="2"/>
      <c r="H44" s="7"/>
      <c r="I44" s="2"/>
      <c r="J44" s="6">
        <f t="shared" si="30"/>
        <v>0</v>
      </c>
      <c r="K44" s="2"/>
      <c r="L44" s="7">
        <f t="shared" si="31"/>
        <v>0</v>
      </c>
      <c r="M44" s="2"/>
      <c r="N44" s="6">
        <f t="shared" si="32"/>
        <v>0</v>
      </c>
      <c r="O44" s="11"/>
      <c r="P44" s="7">
        <v>1151.21</v>
      </c>
      <c r="Q44" s="2"/>
      <c r="R44" s="6">
        <f t="shared" si="33"/>
        <v>5.4538499904871127E-3</v>
      </c>
      <c r="S44" s="2"/>
      <c r="T44" s="7"/>
      <c r="U44" s="2"/>
      <c r="V44" s="6">
        <f t="shared" si="34"/>
        <v>0</v>
      </c>
      <c r="W44" s="2"/>
      <c r="X44" s="7">
        <f t="shared" si="35"/>
        <v>1151.21</v>
      </c>
      <c r="Y44" s="2"/>
      <c r="Z44" s="6">
        <f t="shared" si="36"/>
        <v>0</v>
      </c>
    </row>
    <row r="45" spans="1:26" s="27" customFormat="1" outlineLevel="1" collapsed="1" x14ac:dyDescent="0.25">
      <c r="A45" s="25"/>
      <c r="B45" s="12" t="str">
        <f>CONCATENATE("     ","Supplies                                          ")</f>
        <v xml:space="preserve">     Supplies                                          </v>
      </c>
      <c r="C45" s="12"/>
      <c r="D45" s="1">
        <f>SUM(OSRRefD22_6x_0)</f>
        <v>0</v>
      </c>
      <c r="E45" s="1"/>
      <c r="F45" s="5">
        <f t="shared" si="29"/>
        <v>0</v>
      </c>
      <c r="G45" s="1"/>
      <c r="H45" s="1">
        <f>SUM(OSRRefH22_6x_0)</f>
        <v>0</v>
      </c>
      <c r="I45" s="1"/>
      <c r="J45" s="5">
        <f t="shared" si="30"/>
        <v>0</v>
      </c>
      <c r="K45" s="1"/>
      <c r="L45" s="1">
        <f t="shared" si="31"/>
        <v>0</v>
      </c>
      <c r="M45" s="1"/>
      <c r="N45" s="5">
        <f t="shared" si="32"/>
        <v>0</v>
      </c>
      <c r="O45" s="12"/>
      <c r="P45" s="1">
        <f>SUM(OSRRefP22_6x_0)</f>
        <v>1137.47</v>
      </c>
      <c r="Q45" s="1"/>
      <c r="R45" s="5">
        <f t="shared" si="33"/>
        <v>5.388756828623254E-3</v>
      </c>
      <c r="S45" s="1"/>
      <c r="T45" s="1">
        <f>SUM(OSRRefT22_6x_0)</f>
        <v>0</v>
      </c>
      <c r="U45" s="1"/>
      <c r="V45" s="5">
        <f t="shared" si="34"/>
        <v>0</v>
      </c>
      <c r="W45" s="1"/>
      <c r="X45" s="1">
        <f t="shared" si="35"/>
        <v>1137.47</v>
      </c>
      <c r="Y45" s="1"/>
      <c r="Z45" s="5">
        <f t="shared" si="36"/>
        <v>0</v>
      </c>
    </row>
    <row r="46" spans="1:26" s="24" customFormat="1" hidden="1" outlineLevel="2" x14ac:dyDescent="0.25">
      <c r="A46" s="26"/>
      <c r="B46" s="11" t="str">
        <f>CONCATENATE("          ", "6241", " - ", "OFFICE EXPENSE")</f>
        <v xml:space="preserve">          6241 - OFFICE EXPENSE</v>
      </c>
      <c r="C46" s="11"/>
      <c r="D46" s="7"/>
      <c r="E46" s="2"/>
      <c r="F46" s="6">
        <f t="shared" si="29"/>
        <v>0</v>
      </c>
      <c r="G46" s="2"/>
      <c r="H46" s="7"/>
      <c r="I46" s="2"/>
      <c r="J46" s="6">
        <f t="shared" si="30"/>
        <v>0</v>
      </c>
      <c r="K46" s="2"/>
      <c r="L46" s="7">
        <f t="shared" si="31"/>
        <v>0</v>
      </c>
      <c r="M46" s="2"/>
      <c r="N46" s="6">
        <f t="shared" si="32"/>
        <v>0</v>
      </c>
      <c r="O46" s="11"/>
      <c r="P46" s="7">
        <v>914.08</v>
      </c>
      <c r="Q46" s="2"/>
      <c r="R46" s="6">
        <f t="shared" si="33"/>
        <v>4.330448136573223E-3</v>
      </c>
      <c r="S46" s="2"/>
      <c r="T46" s="7"/>
      <c r="U46" s="2"/>
      <c r="V46" s="6">
        <f t="shared" si="34"/>
        <v>0</v>
      </c>
      <c r="W46" s="2"/>
      <c r="X46" s="7">
        <f t="shared" si="35"/>
        <v>914.08</v>
      </c>
      <c r="Y46" s="2"/>
      <c r="Z46" s="6">
        <f t="shared" si="36"/>
        <v>0</v>
      </c>
    </row>
    <row r="47" spans="1:26" s="24" customFormat="1" hidden="1" outlineLevel="2" x14ac:dyDescent="0.25">
      <c r="A47" s="26"/>
      <c r="B47" s="11" t="str">
        <f>CONCATENATE("          ", "6247", " - ", "STORE SUPPLIES")</f>
        <v xml:space="preserve">          6247 - STORE SUPPLIES</v>
      </c>
      <c r="C47" s="11"/>
      <c r="D47" s="7"/>
      <c r="E47" s="2"/>
      <c r="F47" s="6">
        <f t="shared" si="29"/>
        <v>0</v>
      </c>
      <c r="G47" s="2"/>
      <c r="H47" s="7"/>
      <c r="I47" s="2"/>
      <c r="J47" s="6">
        <f t="shared" si="30"/>
        <v>0</v>
      </c>
      <c r="K47" s="2"/>
      <c r="L47" s="7">
        <f t="shared" si="31"/>
        <v>0</v>
      </c>
      <c r="M47" s="2"/>
      <c r="N47" s="6">
        <f t="shared" si="32"/>
        <v>0</v>
      </c>
      <c r="O47" s="11"/>
      <c r="P47" s="7">
        <v>223.39</v>
      </c>
      <c r="Q47" s="2"/>
      <c r="R47" s="6">
        <f t="shared" si="33"/>
        <v>1.0583086920500308E-3</v>
      </c>
      <c r="S47" s="2"/>
      <c r="T47" s="7"/>
      <c r="U47" s="2"/>
      <c r="V47" s="6">
        <f t="shared" si="34"/>
        <v>0</v>
      </c>
      <c r="W47" s="2"/>
      <c r="X47" s="7">
        <f t="shared" si="35"/>
        <v>223.39</v>
      </c>
      <c r="Y47" s="2"/>
      <c r="Z47" s="6">
        <f t="shared" si="36"/>
        <v>0</v>
      </c>
    </row>
    <row r="48" spans="1:26" s="27" customFormat="1" outlineLevel="1" collapsed="1" x14ac:dyDescent="0.25">
      <c r="A48" s="25"/>
      <c r="B48" s="12" t="str">
        <f>CONCATENATE("     ","Travel                                            ")</f>
        <v xml:space="preserve">     Travel                                            </v>
      </c>
      <c r="C48" s="12"/>
      <c r="D48" s="1">
        <f>SUM(OSRRefD22_7x_0)</f>
        <v>0</v>
      </c>
      <c r="E48" s="1"/>
      <c r="F48" s="5">
        <f t="shared" ref="F48:F49" si="37">IF(D$12=0,0,D48/D$12)</f>
        <v>0</v>
      </c>
      <c r="G48" s="1"/>
      <c r="H48" s="1">
        <f>SUM(OSRRefH22_7x_0)</f>
        <v>0</v>
      </c>
      <c r="I48" s="1"/>
      <c r="J48" s="5">
        <f t="shared" ref="J48:J49" si="38">IF(H$12=0,0,H48/H$12)</f>
        <v>0</v>
      </c>
      <c r="K48" s="1"/>
      <c r="L48" s="1">
        <f t="shared" ref="L48:L49" si="39">+D48-H48</f>
        <v>0</v>
      </c>
      <c r="M48" s="1"/>
      <c r="N48" s="5">
        <f t="shared" ref="N48:N49" si="40">IF(H48=0,0,L48/H48)</f>
        <v>0</v>
      </c>
      <c r="O48" s="12"/>
      <c r="P48" s="1">
        <f>SUM(OSRRefP22_7x_0)</f>
        <v>1269.1500000000001</v>
      </c>
      <c r="Q48" s="1"/>
      <c r="R48" s="5">
        <f t="shared" ref="R48:R49" si="41">IF(P$12=0,0,P48/P$12)</f>
        <v>6.0125899839531616E-3</v>
      </c>
      <c r="S48" s="1"/>
      <c r="T48" s="1">
        <f>SUM(OSRRefT22_7x_0)</f>
        <v>0</v>
      </c>
      <c r="U48" s="1"/>
      <c r="V48" s="5">
        <f t="shared" ref="V48:V49" si="42">IF(T$12=0,0,T48/T$12)</f>
        <v>0</v>
      </c>
      <c r="W48" s="1"/>
      <c r="X48" s="1">
        <f t="shared" ref="X48:X49" si="43">+P48-T48</f>
        <v>1269.1500000000001</v>
      </c>
      <c r="Y48" s="1"/>
      <c r="Z48" s="5">
        <f t="shared" ref="Z48:Z49" si="44">IF(T48=0,0,X48/T48)</f>
        <v>0</v>
      </c>
    </row>
    <row r="49" spans="1:26" s="24" customFormat="1" hidden="1" outlineLevel="2" x14ac:dyDescent="0.25">
      <c r="A49" s="26"/>
      <c r="B49" s="11" t="str">
        <f>CONCATENATE("          ", "6292", " - ", "TRAVEL/CONFERENCE")</f>
        <v xml:space="preserve">          6292 - TRAVEL/CONFERENCE</v>
      </c>
      <c r="C49" s="11"/>
      <c r="D49" s="7"/>
      <c r="E49" s="2"/>
      <c r="F49" s="6">
        <f t="shared" si="37"/>
        <v>0</v>
      </c>
      <c r="G49" s="2"/>
      <c r="H49" s="7"/>
      <c r="I49" s="2"/>
      <c r="J49" s="6">
        <f t="shared" si="38"/>
        <v>0</v>
      </c>
      <c r="K49" s="2"/>
      <c r="L49" s="7">
        <f t="shared" si="39"/>
        <v>0</v>
      </c>
      <c r="M49" s="2"/>
      <c r="N49" s="6">
        <f t="shared" si="40"/>
        <v>0</v>
      </c>
      <c r="O49" s="11"/>
      <c r="P49" s="7">
        <v>1269.1500000000001</v>
      </c>
      <c r="Q49" s="2"/>
      <c r="R49" s="6">
        <f t="shared" si="41"/>
        <v>6.0125899839531616E-3</v>
      </c>
      <c r="S49" s="2"/>
      <c r="T49" s="7"/>
      <c r="U49" s="2"/>
      <c r="V49" s="6">
        <f t="shared" si="42"/>
        <v>0</v>
      </c>
      <c r="W49" s="2"/>
      <c r="X49" s="7">
        <f t="shared" si="43"/>
        <v>1269.1500000000001</v>
      </c>
      <c r="Y49" s="2"/>
      <c r="Z49" s="6">
        <f t="shared" si="44"/>
        <v>0</v>
      </c>
    </row>
    <row r="50" spans="1:26" s="62" customFormat="1" x14ac:dyDescent="0.25">
      <c r="A50" s="36"/>
      <c r="B50" s="36"/>
      <c r="C50" s="36"/>
      <c r="D50" s="1"/>
      <c r="E50" s="1"/>
      <c r="F50" s="5"/>
      <c r="G50" s="1"/>
      <c r="H50" s="1"/>
      <c r="I50" s="1"/>
      <c r="J50" s="5"/>
      <c r="K50" s="1"/>
      <c r="L50" s="1"/>
      <c r="M50" s="1"/>
      <c r="N50" s="5"/>
      <c r="O50" s="36"/>
      <c r="P50" s="1"/>
      <c r="Q50" s="1"/>
      <c r="R50" s="5"/>
      <c r="S50" s="1"/>
      <c r="T50" s="1"/>
      <c r="U50" s="1"/>
      <c r="V50" s="5"/>
      <c r="W50" s="1"/>
      <c r="X50" s="1"/>
      <c r="Y50" s="1"/>
      <c r="Z50" s="5"/>
    </row>
    <row r="51" spans="1:26" s="23" customFormat="1" x14ac:dyDescent="0.25">
      <c r="A51" s="10"/>
      <c r="B51" s="28" t="s">
        <v>0</v>
      </c>
      <c r="C51" s="10"/>
      <c r="D51" s="4">
        <f>SUM(0)</f>
        <v>0</v>
      </c>
      <c r="E51" s="4"/>
      <c r="F51" s="13">
        <f>IF(D$12=0,0,D51/D$12)</f>
        <v>0</v>
      </c>
      <c r="G51" s="4"/>
      <c r="H51" s="4">
        <f>SUM(0)</f>
        <v>0</v>
      </c>
      <c r="I51" s="4"/>
      <c r="J51" s="13">
        <f>IF(H$12=0,0,H51/H$12)</f>
        <v>0</v>
      </c>
      <c r="K51" s="4"/>
      <c r="L51" s="4">
        <f>+D51-H51</f>
        <v>0</v>
      </c>
      <c r="M51" s="4"/>
      <c r="N51" s="13">
        <f>IF(H51=0,0,L51/H51)</f>
        <v>0</v>
      </c>
      <c r="O51" s="10"/>
      <c r="P51" s="4">
        <f>SUM(0)</f>
        <v>0</v>
      </c>
      <c r="Q51" s="4"/>
      <c r="R51" s="13">
        <f>IF(P$12=0,0,P51/P$12)</f>
        <v>0</v>
      </c>
      <c r="S51" s="4"/>
      <c r="T51" s="4">
        <f>SUM(0)</f>
        <v>0</v>
      </c>
      <c r="U51" s="4"/>
      <c r="V51" s="13">
        <f>IF(T$12=0,0,T51/T$12)</f>
        <v>0</v>
      </c>
      <c r="W51" s="4"/>
      <c r="X51" s="4">
        <f>+P51-T51</f>
        <v>0</v>
      </c>
      <c r="Y51" s="4"/>
      <c r="Z51" s="13">
        <f>IF(T51=0,0,X51/T51)</f>
        <v>0</v>
      </c>
    </row>
    <row r="52" spans="1:26" x14ac:dyDescent="0.25">
      <c r="A52" s="9"/>
      <c r="B52" s="10"/>
      <c r="C52" s="10"/>
      <c r="D52" s="3"/>
      <c r="E52" s="3"/>
      <c r="F52" s="8"/>
      <c r="G52" s="3"/>
      <c r="H52" s="3"/>
      <c r="I52" s="3"/>
      <c r="J52" s="8"/>
      <c r="K52" s="3"/>
      <c r="L52" s="3"/>
      <c r="M52" s="3"/>
      <c r="N52" s="8"/>
      <c r="O52" s="10"/>
      <c r="P52" s="3"/>
      <c r="Q52" s="3"/>
      <c r="R52" s="8"/>
      <c r="S52" s="3"/>
      <c r="T52" s="3"/>
      <c r="U52" s="3"/>
      <c r="V52" s="8"/>
      <c r="W52" s="3"/>
      <c r="X52" s="3"/>
      <c r="Y52" s="3"/>
      <c r="Z52" s="8"/>
    </row>
    <row r="53" spans="1:26" s="23" customFormat="1" x14ac:dyDescent="0.25">
      <c r="A53" s="10"/>
      <c r="B53" s="29" t="s">
        <v>3</v>
      </c>
      <c r="C53" s="29"/>
      <c r="D53" s="20">
        <f>+D20-D22+D51</f>
        <v>0</v>
      </c>
      <c r="E53" s="14"/>
      <c r="F53" s="22">
        <f>IF(D$12=0,0,D53/D$12)</f>
        <v>0</v>
      </c>
      <c r="G53" s="14"/>
      <c r="H53" s="20">
        <f>+H20-H22+H51</f>
        <v>0</v>
      </c>
      <c r="I53" s="14"/>
      <c r="J53" s="22">
        <f>IF(H$12=0,0,H53/H$12)</f>
        <v>0</v>
      </c>
      <c r="K53" s="16"/>
      <c r="L53" s="20">
        <f>+D53-H53</f>
        <v>0</v>
      </c>
      <c r="M53" s="16"/>
      <c r="N53" s="22">
        <f>IF(H53=0,0,L53/H53)</f>
        <v>0</v>
      </c>
      <c r="O53" s="28"/>
      <c r="P53" s="20">
        <f>+P20-P22+P51</f>
        <v>1161.3000000000466</v>
      </c>
      <c r="Q53" s="14"/>
      <c r="R53" s="22">
        <f>IF(P$12=0,0,P53/P$12)</f>
        <v>5.5016513007643594E-3</v>
      </c>
      <c r="S53" s="14"/>
      <c r="T53" s="20">
        <f>+T20-T22+T51</f>
        <v>0</v>
      </c>
      <c r="U53" s="14"/>
      <c r="V53" s="22">
        <f>IF(T$12=0,0,T53/T$12)</f>
        <v>0</v>
      </c>
      <c r="W53" s="16"/>
      <c r="X53" s="20">
        <f>+P53-T53</f>
        <v>1161.3000000000466</v>
      </c>
      <c r="Y53" s="16"/>
      <c r="Z53" s="22">
        <f>IF(T53=0,0,X53/T53)</f>
        <v>0</v>
      </c>
    </row>
    <row r="54" spans="1:26" x14ac:dyDescent="0.25">
      <c r="A54" s="9"/>
      <c r="B54" s="10"/>
      <c r="C54" s="9"/>
      <c r="D54" s="3"/>
      <c r="E54" s="3"/>
      <c r="F54" s="8"/>
      <c r="G54" s="3"/>
      <c r="H54" s="3"/>
      <c r="I54" s="3"/>
      <c r="J54" s="8"/>
      <c r="K54" s="3"/>
      <c r="L54" s="3"/>
      <c r="M54" s="3"/>
      <c r="N54" s="8"/>
      <c r="P54" s="3"/>
      <c r="Q54" s="3"/>
      <c r="R54" s="8"/>
      <c r="S54" s="3"/>
      <c r="T54" s="3"/>
      <c r="U54" s="3"/>
      <c r="V54" s="8"/>
      <c r="W54" s="3"/>
      <c r="X54" s="3"/>
      <c r="Y54" s="3"/>
      <c r="Z54" s="8"/>
    </row>
    <row r="55" spans="1:26" s="23" customFormat="1" x14ac:dyDescent="0.25">
      <c r="A55" s="52"/>
      <c r="B55" s="10" t="s">
        <v>14</v>
      </c>
      <c r="C55" s="10"/>
      <c r="D55" s="4">
        <v>1028.55</v>
      </c>
      <c r="E55" s="4"/>
      <c r="F55" s="13">
        <f>IF(D$12=0,0,D55/D$12)</f>
        <v>0</v>
      </c>
      <c r="G55" s="4"/>
      <c r="H55" s="4"/>
      <c r="I55" s="4"/>
      <c r="J55" s="13">
        <f>IF(H$12=0,0,H55/H$12)</f>
        <v>0</v>
      </c>
      <c r="K55" s="4"/>
      <c r="L55" s="4">
        <f>+D55-H55</f>
        <v>1028.55</v>
      </c>
      <c r="M55" s="4"/>
      <c r="N55" s="13">
        <f>IF(H55=0,0,L55/H55)</f>
        <v>0</v>
      </c>
      <c r="O55" s="10"/>
      <c r="P55" s="4">
        <v>24995.41</v>
      </c>
      <c r="Q55" s="4"/>
      <c r="R55" s="13">
        <f>IF(P$12=0,0,P55/P$12)</f>
        <v>0.11841559454028498</v>
      </c>
      <c r="S55" s="4"/>
      <c r="T55" s="4"/>
      <c r="U55" s="4"/>
      <c r="V55" s="13">
        <f>IF(T$12=0,0,T55/T$12)</f>
        <v>0</v>
      </c>
      <c r="W55" s="4"/>
      <c r="X55" s="4">
        <f>+P55-T55</f>
        <v>24995.41</v>
      </c>
      <c r="Y55" s="4"/>
      <c r="Z55" s="13">
        <f>IF(T55=0,0,X55/T55)</f>
        <v>0</v>
      </c>
    </row>
    <row r="56" spans="1:26" x14ac:dyDescent="0.25">
      <c r="A56" s="9"/>
      <c r="B56" s="10"/>
      <c r="C56" s="10"/>
      <c r="D56" s="3"/>
      <c r="E56" s="3"/>
      <c r="F56" s="8"/>
      <c r="G56" s="3"/>
      <c r="H56" s="3"/>
      <c r="I56" s="3"/>
      <c r="J56" s="8"/>
      <c r="K56" s="3"/>
      <c r="L56" s="3"/>
      <c r="M56" s="3"/>
      <c r="N56" s="8"/>
      <c r="O56" s="10"/>
      <c r="P56" s="3"/>
      <c r="Q56" s="3"/>
      <c r="R56" s="8"/>
      <c r="S56" s="3"/>
      <c r="T56" s="3"/>
      <c r="U56" s="3"/>
      <c r="V56" s="8"/>
      <c r="W56" s="3"/>
      <c r="X56" s="3"/>
      <c r="Y56" s="3"/>
      <c r="Z56" s="8"/>
    </row>
    <row r="57" spans="1:26" s="23" customFormat="1" ht="15.75" thickBot="1" x14ac:dyDescent="0.3">
      <c r="A57" s="10"/>
      <c r="B57" s="29" t="s">
        <v>4</v>
      </c>
      <c r="C57" s="29"/>
      <c r="D57" s="35">
        <f>+D53-D55</f>
        <v>-1028.55</v>
      </c>
      <c r="E57" s="14"/>
      <c r="F57" s="32">
        <f>IF(D$12=0,0,D57/D$12)</f>
        <v>0</v>
      </c>
      <c r="G57" s="14"/>
      <c r="H57" s="35">
        <f>+H53-H55</f>
        <v>0</v>
      </c>
      <c r="I57" s="14"/>
      <c r="J57" s="32">
        <f>IF(H$12=0,0,H57/H$12)</f>
        <v>0</v>
      </c>
      <c r="K57" s="16"/>
      <c r="L57" s="35">
        <f>D57-H57</f>
        <v>-1028.55</v>
      </c>
      <c r="M57" s="16"/>
      <c r="N57" s="32">
        <f>IF(H57=0,0,L57/H57)</f>
        <v>0</v>
      </c>
      <c r="O57" s="28"/>
      <c r="P57" s="35">
        <f>+P53-P55</f>
        <v>-23834.109999999953</v>
      </c>
      <c r="Q57" s="14"/>
      <c r="R57" s="32">
        <f>IF(P$12=0,0,P57/P$12)</f>
        <v>-0.11291394323952063</v>
      </c>
      <c r="S57" s="14"/>
      <c r="T57" s="35">
        <f>+T53-T55</f>
        <v>0</v>
      </c>
      <c r="U57" s="14"/>
      <c r="V57" s="32">
        <f>IF(T$12=0,0,T57/T$12)</f>
        <v>0</v>
      </c>
      <c r="W57" s="16"/>
      <c r="X57" s="35">
        <f>P57-T57</f>
        <v>-23834.109999999953</v>
      </c>
      <c r="Y57" s="16"/>
      <c r="Z57" s="32">
        <f>IF(T57=0,0,X57/T57)</f>
        <v>0</v>
      </c>
    </row>
    <row r="58" spans="1:26" ht="15.75" thickTop="1" x14ac:dyDescent="0.25">
      <c r="A58" s="9"/>
      <c r="B58" s="9"/>
      <c r="C58" s="9"/>
      <c r="D58" s="3"/>
      <c r="E58" s="3"/>
      <c r="F58" s="8"/>
      <c r="G58" s="3"/>
      <c r="H58" s="3"/>
      <c r="I58" s="3"/>
      <c r="J58" s="8"/>
      <c r="K58" s="3"/>
      <c r="L58" s="3"/>
      <c r="M58" s="3"/>
      <c r="N58" s="8"/>
      <c r="P58" s="3"/>
      <c r="Q58" s="3"/>
      <c r="R58" s="8"/>
      <c r="S58" s="3"/>
      <c r="T58" s="3"/>
      <c r="U58" s="3"/>
      <c r="V58" s="8"/>
      <c r="W58" s="3"/>
      <c r="X58" s="3"/>
      <c r="Y58" s="3"/>
      <c r="Z58" s="8"/>
    </row>
    <row r="59" spans="1:26" x14ac:dyDescent="0.25">
      <c r="A59" s="9"/>
      <c r="B59" s="9"/>
      <c r="C59" s="9"/>
      <c r="D59" s="3"/>
      <c r="E59" s="3"/>
      <c r="F59" s="8"/>
      <c r="G59" s="3"/>
      <c r="H59" s="3"/>
      <c r="I59" s="3"/>
      <c r="J59" s="8"/>
      <c r="K59" s="3"/>
      <c r="L59" s="3"/>
      <c r="M59" s="3"/>
      <c r="N59" s="8"/>
      <c r="P59" s="3"/>
      <c r="Q59" s="3"/>
      <c r="R59" s="8"/>
      <c r="S59" s="3"/>
      <c r="T59" s="3"/>
      <c r="U59" s="3"/>
      <c r="V59" s="8"/>
      <c r="W59" s="3"/>
      <c r="X59" s="3"/>
      <c r="Y59" s="3"/>
      <c r="Z59" s="8"/>
    </row>
    <row r="60" spans="1:26" s="23" customFormat="1" ht="15.75" thickBot="1" x14ac:dyDescent="0.3">
      <c r="A60" s="10"/>
      <c r="B60" s="29" t="s">
        <v>5</v>
      </c>
      <c r="C60" s="29"/>
      <c r="D60" s="34">
        <f>SUM(D57:D59)</f>
        <v>-1028.55</v>
      </c>
      <c r="E60" s="14"/>
      <c r="F60" s="31">
        <f>IF(D$12=0,0,D60/D$12)</f>
        <v>0</v>
      </c>
      <c r="G60" s="14"/>
      <c r="H60" s="34">
        <f>SUM(H57:H59)</f>
        <v>0</v>
      </c>
      <c r="I60" s="14"/>
      <c r="J60" s="31">
        <f>IF(H$12=0,0,H60/H$12)</f>
        <v>0</v>
      </c>
      <c r="K60" s="16"/>
      <c r="L60" s="34">
        <f>+D60-H60</f>
        <v>-1028.55</v>
      </c>
      <c r="M60" s="16"/>
      <c r="N60" s="31">
        <f>IF(H60=0,0,L60/H60)</f>
        <v>0</v>
      </c>
      <c r="O60" s="28"/>
      <c r="P60" s="34">
        <f>SUM(P57:P59)</f>
        <v>-23834.109999999953</v>
      </c>
      <c r="Q60" s="14"/>
      <c r="R60" s="31">
        <f>IF(P$12=0,0,P60/P$12)</f>
        <v>-0.11291394323952063</v>
      </c>
      <c r="S60" s="14"/>
      <c r="T60" s="34">
        <f>SUM(T57:T59)</f>
        <v>0</v>
      </c>
      <c r="U60" s="14"/>
      <c r="V60" s="31">
        <f>IF(T$12=0,0,T60/T$12)</f>
        <v>0</v>
      </c>
      <c r="W60" s="16"/>
      <c r="X60" s="34">
        <f>+P60-T60</f>
        <v>-23834.109999999953</v>
      </c>
      <c r="Y60" s="16"/>
      <c r="Z60" s="31">
        <f>IF(T60=0,0,X60/T60)</f>
        <v>0</v>
      </c>
    </row>
    <row r="61" spans="1:26" ht="15.75" thickTop="1" x14ac:dyDescent="0.25">
      <c r="A61" s="9"/>
      <c r="C61" s="9"/>
      <c r="D61" s="18"/>
      <c r="E61" s="18"/>
      <c r="G61" s="18"/>
      <c r="H61" s="18"/>
      <c r="I61" s="18"/>
      <c r="J61" s="42"/>
      <c r="K61" s="18"/>
      <c r="L61" s="18"/>
      <c r="M61" s="18"/>
      <c r="P61" s="18"/>
      <c r="Q61" s="18"/>
      <c r="R61" s="42"/>
      <c r="S61" s="18"/>
      <c r="T61" s="18"/>
      <c r="U61" s="18"/>
      <c r="V61" s="42"/>
      <c r="W61" s="18"/>
      <c r="X61" s="18"/>
    </row>
    <row r="62" spans="1:26" x14ac:dyDescent="0.25">
      <c r="A62" s="9"/>
      <c r="B62" s="59">
        <v>43992.37217141204</v>
      </c>
      <c r="D62" s="18"/>
      <c r="E62" s="18"/>
      <c r="G62" s="18"/>
      <c r="H62" s="18"/>
      <c r="I62" s="18"/>
      <c r="J62" s="42"/>
      <c r="K62" s="18"/>
      <c r="L62" s="18"/>
      <c r="M62" s="18"/>
      <c r="P62" s="18"/>
      <c r="Q62" s="18"/>
      <c r="R62" s="42"/>
      <c r="S62" s="18"/>
      <c r="T62" s="18"/>
      <c r="U62" s="18"/>
      <c r="V62" s="42"/>
      <c r="W62" s="18"/>
      <c r="X62" s="18"/>
    </row>
    <row r="63" spans="1:26" x14ac:dyDescent="0.25">
      <c r="A63" s="9"/>
      <c r="B63" s="56" t="s">
        <v>314</v>
      </c>
      <c r="D63" s="18"/>
      <c r="E63" s="18"/>
      <c r="G63" s="18"/>
      <c r="H63" s="18"/>
      <c r="I63" s="18"/>
      <c r="J63" s="42"/>
      <c r="K63" s="18"/>
      <c r="L63" s="18"/>
      <c r="M63" s="18"/>
      <c r="P63" s="18"/>
      <c r="Q63" s="18"/>
      <c r="R63" s="42"/>
      <c r="S63" s="18"/>
      <c r="T63" s="18"/>
      <c r="U63" s="18"/>
      <c r="V63" s="42"/>
      <c r="W63" s="18"/>
      <c r="X63" s="18"/>
    </row>
    <row r="64" spans="1:26" x14ac:dyDescent="0.25">
      <c r="A64" s="9"/>
      <c r="B64" s="54"/>
      <c r="D64" s="18"/>
      <c r="E64" s="18"/>
      <c r="G64" s="18"/>
      <c r="H64" s="18"/>
      <c r="I64" s="18"/>
      <c r="J64" s="42"/>
      <c r="K64" s="18"/>
      <c r="L64" s="18"/>
      <c r="M64" s="18"/>
      <c r="P64" s="18"/>
      <c r="Q64" s="18"/>
      <c r="R64" s="42"/>
      <c r="S64" s="18"/>
      <c r="T64" s="18"/>
      <c r="U64" s="18"/>
      <c r="V64" s="42"/>
      <c r="W64" s="18"/>
      <c r="X64" s="18"/>
    </row>
    <row r="65" spans="4:24" x14ac:dyDescent="0.25">
      <c r="D65" s="18"/>
      <c r="E65" s="18"/>
      <c r="G65" s="18"/>
      <c r="H65" s="18"/>
      <c r="I65" s="18"/>
      <c r="J65" s="42"/>
      <c r="K65" s="18"/>
      <c r="L65" s="18"/>
      <c r="M65" s="18"/>
      <c r="P65" s="18"/>
      <c r="Q65" s="18"/>
      <c r="R65" s="42"/>
      <c r="S65" s="18"/>
      <c r="T65" s="18"/>
      <c r="U65" s="18"/>
      <c r="V65" s="42"/>
      <c r="W65" s="18"/>
      <c r="X65" s="18"/>
    </row>
  </sheetData>
  <pageMargins left="0.25" right="0.25" top="0.75" bottom="0.75" header="0.3" footer="0.3"/>
  <pageSetup scale="55" fitToWidth="2" orientation="landscape"/>
  <drawing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97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63" t="s">
        <v>13</v>
      </c>
    </row>
    <row r="3" spans="1:26" x14ac:dyDescent="0.25">
      <c r="D3" s="63" t="s">
        <v>296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61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63" t="str">
        <f>CONCATENATE("Period ",RIGHT(202011,2),", ",2020)</f>
        <v>Period 11, 2020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61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4">
        <v>43981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61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51"/>
      <c r="C6" s="51"/>
      <c r="D6" s="23" t="str">
        <f>CONCATENATE("Department ","413", " - ", "Beach Walk")</f>
        <v>Department 413 - Beach Walk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57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5" t="s">
        <v>294</v>
      </c>
      <c r="E9" s="15"/>
      <c r="F9" s="38"/>
      <c r="G9" s="15"/>
      <c r="H9" s="15"/>
      <c r="I9" s="15"/>
      <c r="J9" s="46"/>
      <c r="K9" s="15"/>
      <c r="L9" s="15"/>
      <c r="M9" s="15"/>
      <c r="N9" s="38"/>
      <c r="P9" s="15" t="s">
        <v>295</v>
      </c>
      <c r="Q9" s="15"/>
      <c r="R9" s="38"/>
      <c r="S9" s="15"/>
      <c r="T9" s="15"/>
      <c r="U9" s="15"/>
      <c r="V9" s="46"/>
      <c r="W9" s="15"/>
      <c r="X9" s="15"/>
      <c r="Y9" s="15"/>
      <c r="Z9" s="38"/>
    </row>
    <row r="10" spans="1:26" x14ac:dyDescent="0.25">
      <c r="A10" s="10"/>
      <c r="B10" s="55"/>
      <c r="C10" s="10"/>
      <c r="D10" s="43" t="s">
        <v>10</v>
      </c>
      <c r="E10" s="33"/>
      <c r="F10" s="40" t="s">
        <v>15</v>
      </c>
      <c r="G10" s="33"/>
      <c r="H10" s="47" t="s">
        <v>11</v>
      </c>
      <c r="I10" s="33"/>
      <c r="J10" s="45" t="s">
        <v>16</v>
      </c>
      <c r="K10" s="10"/>
      <c r="L10" s="43" t="s">
        <v>12</v>
      </c>
      <c r="M10" s="10"/>
      <c r="N10" s="40" t="s">
        <v>17</v>
      </c>
      <c r="O10" s="10"/>
      <c r="P10" s="53" t="s">
        <v>10</v>
      </c>
      <c r="Q10" s="33"/>
      <c r="R10" s="40" t="s">
        <v>15</v>
      </c>
      <c r="S10" s="33"/>
      <c r="T10" s="47" t="s">
        <v>11</v>
      </c>
      <c r="U10" s="33"/>
      <c r="V10" s="45" t="s">
        <v>16</v>
      </c>
      <c r="W10" s="10"/>
      <c r="X10" s="43" t="s">
        <v>12</v>
      </c>
      <c r="Y10" s="10"/>
      <c r="Z10" s="40" t="s">
        <v>17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0</v>
      </c>
      <c r="E12" s="4"/>
      <c r="F12" s="13"/>
      <c r="G12" s="4"/>
      <c r="H12" s="4">
        <f>SUM(OSRRefH13x_0)</f>
        <v>22614</v>
      </c>
      <c r="I12" s="4"/>
      <c r="J12" s="13"/>
      <c r="K12" s="4"/>
      <c r="L12" s="4">
        <f t="shared" ref="L12:L16" si="0">+D12-H12</f>
        <v>-22614</v>
      </c>
      <c r="M12" s="4"/>
      <c r="N12" s="13">
        <f t="shared" ref="N12:N16" si="1">IF(H12=0,0,L12/H12)</f>
        <v>-1</v>
      </c>
      <c r="O12" s="10"/>
      <c r="P12" s="4">
        <f>SUM(OSRRefP13x_0)</f>
        <v>255048.55</v>
      </c>
      <c r="Q12" s="4"/>
      <c r="R12" s="13"/>
      <c r="S12" s="4"/>
      <c r="T12" s="4">
        <f>SUM(OSRRefT13x_0)</f>
        <v>419036</v>
      </c>
      <c r="U12" s="4"/>
      <c r="V12" s="13"/>
      <c r="W12" s="4"/>
      <c r="X12" s="4">
        <f t="shared" ref="X12:X16" si="2">+P12-T12</f>
        <v>-163987.45000000001</v>
      </c>
      <c r="Y12" s="4"/>
      <c r="Z12" s="13">
        <f t="shared" ref="Z12:Z16" si="3">IF(T12=0,0,X12/T12)</f>
        <v>-0.39134453841674705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 t="shared" ref="D13:D16" si="4">0</f>
        <v>0</v>
      </c>
      <c r="E13" s="2"/>
      <c r="F13" s="19"/>
      <c r="G13" s="2"/>
      <c r="H13" s="2">
        <v>5364</v>
      </c>
      <c r="I13" s="2"/>
      <c r="J13" s="19"/>
      <c r="K13" s="2"/>
      <c r="L13" s="2">
        <f t="shared" si="0"/>
        <v>-5364</v>
      </c>
      <c r="M13" s="2"/>
      <c r="N13" s="19">
        <f t="shared" si="1"/>
        <v>-1</v>
      </c>
      <c r="O13" s="11"/>
      <c r="P13" s="2">
        <f>0</f>
        <v>0</v>
      </c>
      <c r="Q13" s="2"/>
      <c r="R13" s="19"/>
      <c r="S13" s="2"/>
      <c r="T13" s="2">
        <v>86211</v>
      </c>
      <c r="U13" s="2"/>
      <c r="V13" s="19"/>
      <c r="W13" s="2"/>
      <c r="X13" s="2">
        <f t="shared" si="2"/>
        <v>-86211</v>
      </c>
      <c r="Y13" s="2"/>
      <c r="Z13" s="19">
        <f t="shared" si="3"/>
        <v>-1</v>
      </c>
    </row>
    <row r="14" spans="1:26" s="24" customFormat="1" hidden="1" outlineLevel="1" x14ac:dyDescent="0.25">
      <c r="A14" s="44"/>
      <c r="B14" s="11" t="str">
        <f>CONCATENATE("          ", "4051", " - ", "TAXABLE SALES-FOOD")</f>
        <v xml:space="preserve">          4051 - TAXABLE SALES-FOOD</v>
      </c>
      <c r="C14" s="11"/>
      <c r="D14" s="2">
        <f t="shared" si="4"/>
        <v>0</v>
      </c>
      <c r="E14" s="2"/>
      <c r="F14" s="19"/>
      <c r="G14" s="2"/>
      <c r="H14" s="2"/>
      <c r="I14" s="2"/>
      <c r="J14" s="19"/>
      <c r="K14" s="2"/>
      <c r="L14" s="2">
        <f t="shared" si="0"/>
        <v>0</v>
      </c>
      <c r="M14" s="2"/>
      <c r="N14" s="19">
        <f t="shared" si="1"/>
        <v>0</v>
      </c>
      <c r="O14" s="11"/>
      <c r="P14" s="2">
        <f>--57510.69</f>
        <v>57510.69</v>
      </c>
      <c r="Q14" s="2"/>
      <c r="R14" s="19"/>
      <c r="S14" s="2"/>
      <c r="T14" s="2"/>
      <c r="U14" s="2"/>
      <c r="V14" s="19"/>
      <c r="W14" s="2"/>
      <c r="X14" s="2">
        <f t="shared" si="2"/>
        <v>57510.69</v>
      </c>
      <c r="Y14" s="2"/>
      <c r="Z14" s="19">
        <f t="shared" si="3"/>
        <v>0</v>
      </c>
    </row>
    <row r="15" spans="1:26" s="24" customFormat="1" hidden="1" outlineLevel="1" x14ac:dyDescent="0.25">
      <c r="A15" s="44"/>
      <c r="B15" s="11" t="str">
        <f>CONCATENATE("          ", "4100", " - ", "NON-TAXABLE SALES")</f>
        <v xml:space="preserve">          4100 - NON-TAXABLE SALES</v>
      </c>
      <c r="C15" s="11"/>
      <c r="D15" s="2">
        <f t="shared" si="4"/>
        <v>0</v>
      </c>
      <c r="E15" s="2"/>
      <c r="F15" s="19"/>
      <c r="G15" s="2"/>
      <c r="H15" s="2">
        <v>17250</v>
      </c>
      <c r="I15" s="2"/>
      <c r="J15" s="19"/>
      <c r="K15" s="2"/>
      <c r="L15" s="2">
        <f t="shared" si="0"/>
        <v>-17250</v>
      </c>
      <c r="M15" s="2"/>
      <c r="N15" s="19">
        <f t="shared" si="1"/>
        <v>-1</v>
      </c>
      <c r="O15" s="11"/>
      <c r="P15" s="2">
        <f>0</f>
        <v>0</v>
      </c>
      <c r="Q15" s="2"/>
      <c r="R15" s="19"/>
      <c r="S15" s="2"/>
      <c r="T15" s="2">
        <v>332825</v>
      </c>
      <c r="U15" s="2"/>
      <c r="V15" s="19"/>
      <c r="W15" s="2"/>
      <c r="X15" s="2">
        <f t="shared" si="2"/>
        <v>-332825</v>
      </c>
      <c r="Y15" s="2"/>
      <c r="Z15" s="19">
        <f t="shared" si="3"/>
        <v>-1</v>
      </c>
    </row>
    <row r="16" spans="1:26" s="24" customFormat="1" hidden="1" outlineLevel="1" x14ac:dyDescent="0.25">
      <c r="A16" s="44"/>
      <c r="B16" s="11" t="str">
        <f>CONCATENATE("          ", "4151", " - ", "NON-TAXABLE SALES-FOOD")</f>
        <v xml:space="preserve">          4151 - NON-TAXABLE SALES-FOOD</v>
      </c>
      <c r="C16" s="11"/>
      <c r="D16" s="2">
        <f t="shared" si="4"/>
        <v>0</v>
      </c>
      <c r="E16" s="2"/>
      <c r="F16" s="19"/>
      <c r="G16" s="2"/>
      <c r="H16" s="2"/>
      <c r="I16" s="2"/>
      <c r="J16" s="19"/>
      <c r="K16" s="2"/>
      <c r="L16" s="2">
        <f t="shared" si="0"/>
        <v>0</v>
      </c>
      <c r="M16" s="2"/>
      <c r="N16" s="19">
        <f t="shared" si="1"/>
        <v>0</v>
      </c>
      <c r="O16" s="11"/>
      <c r="P16" s="2">
        <f>--197537.86</f>
        <v>197537.86</v>
      </c>
      <c r="Q16" s="2"/>
      <c r="R16" s="19"/>
      <c r="S16" s="2"/>
      <c r="T16" s="2"/>
      <c r="U16" s="2"/>
      <c r="V16" s="19"/>
      <c r="W16" s="2"/>
      <c r="X16" s="2">
        <f t="shared" si="2"/>
        <v>197537.86</v>
      </c>
      <c r="Y16" s="2"/>
      <c r="Z16" s="19">
        <f t="shared" si="3"/>
        <v>0</v>
      </c>
    </row>
    <row r="17" spans="1:26" x14ac:dyDescent="0.25">
      <c r="A17" s="9"/>
      <c r="B17" s="10"/>
      <c r="C17" s="9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collapsed="1" x14ac:dyDescent="0.25">
      <c r="A18" s="10"/>
      <c r="B18" s="28" t="s">
        <v>8</v>
      </c>
      <c r="C18" s="10"/>
      <c r="D18" s="4">
        <f>SUM(OSRRefD16x_0)</f>
        <v>0</v>
      </c>
      <c r="E18" s="4"/>
      <c r="F18" s="13">
        <f t="shared" ref="F18:F21" si="5">IF(D$12=0,0,D18/D$12)</f>
        <v>0</v>
      </c>
      <c r="G18" s="4"/>
      <c r="H18" s="4">
        <f>SUM(OSRRefH16x_0)</f>
        <v>6105</v>
      </c>
      <c r="I18" s="4"/>
      <c r="J18" s="13">
        <f t="shared" ref="J18:J21" si="6">IF(H$12=0,0,H18/H$12)</f>
        <v>0.26996550809233216</v>
      </c>
      <c r="K18" s="4"/>
      <c r="L18" s="4">
        <f t="shared" ref="L18:L21" si="7">+D18-H18</f>
        <v>-6105</v>
      </c>
      <c r="M18" s="4"/>
      <c r="N18" s="13">
        <f t="shared" ref="N18:N21" si="8">IF(H18=0,0,L18/H18)</f>
        <v>-1</v>
      </c>
      <c r="O18" s="10"/>
      <c r="P18" s="4">
        <f>SUM(OSRRefP16x_0)</f>
        <v>92282.459999999992</v>
      </c>
      <c r="Q18" s="4"/>
      <c r="R18" s="13">
        <f t="shared" ref="R18:R21" si="9">IF(P$12=0,0,P18/P$12)</f>
        <v>0.36182311171735732</v>
      </c>
      <c r="S18" s="4"/>
      <c r="T18" s="4">
        <f>SUM(OSRRefT16x_0)</f>
        <v>125869</v>
      </c>
      <c r="U18" s="4"/>
      <c r="V18" s="13">
        <f t="shared" ref="V18:V21" si="10">IF(T$12=0,0,T18/T$12)</f>
        <v>0.30037753319523858</v>
      </c>
      <c r="W18" s="4"/>
      <c r="X18" s="4">
        <f t="shared" ref="X18:X21" si="11">+P18-T18</f>
        <v>-33586.540000000008</v>
      </c>
      <c r="Y18" s="4"/>
      <c r="Z18" s="13">
        <f t="shared" ref="Z18:Z21" si="12">IF(T18=0,0,X18/T18)</f>
        <v>-0.26683726731760804</v>
      </c>
    </row>
    <row r="19" spans="1:26" s="24" customFormat="1" hidden="1" outlineLevel="1" x14ac:dyDescent="0.25">
      <c r="A19" s="44"/>
      <c r="B19" s="11" t="str">
        <f>CONCATENATE("          ", "5000", " - ", "PURCHASES @ COST")</f>
        <v xml:space="preserve">          5000 - PURCHASES @ COST</v>
      </c>
      <c r="C19" s="11"/>
      <c r="D19" s="2"/>
      <c r="E19" s="2"/>
      <c r="F19" s="19">
        <f t="shared" si="5"/>
        <v>0</v>
      </c>
      <c r="G19" s="2"/>
      <c r="H19" s="2">
        <v>6105</v>
      </c>
      <c r="I19" s="2"/>
      <c r="J19" s="19">
        <f t="shared" si="6"/>
        <v>0.26996550809233216</v>
      </c>
      <c r="K19" s="2"/>
      <c r="L19" s="2">
        <f t="shared" si="7"/>
        <v>-6105</v>
      </c>
      <c r="M19" s="2"/>
      <c r="N19" s="19">
        <f t="shared" si="8"/>
        <v>-1</v>
      </c>
      <c r="O19" s="11"/>
      <c r="P19" s="2"/>
      <c r="Q19" s="2"/>
      <c r="R19" s="19">
        <f t="shared" si="9"/>
        <v>0</v>
      </c>
      <c r="S19" s="2"/>
      <c r="T19" s="2">
        <v>125869</v>
      </c>
      <c r="U19" s="2"/>
      <c r="V19" s="19">
        <f t="shared" si="10"/>
        <v>0.30037753319523858</v>
      </c>
      <c r="W19" s="2"/>
      <c r="X19" s="2">
        <f t="shared" si="11"/>
        <v>-125869</v>
      </c>
      <c r="Y19" s="2"/>
      <c r="Z19" s="19">
        <f t="shared" si="12"/>
        <v>-1</v>
      </c>
    </row>
    <row r="20" spans="1:26" s="24" customFormat="1" hidden="1" outlineLevel="1" x14ac:dyDescent="0.25">
      <c r="A20" s="44"/>
      <c r="B20" s="11" t="str">
        <f>CONCATENATE("          ", "5053", " - ", "PURCHASES @ COST-FOOD")</f>
        <v xml:space="preserve">          5053 - PURCHASES @ COST-FOOD</v>
      </c>
      <c r="C20" s="11"/>
      <c r="D20" s="2"/>
      <c r="E20" s="2"/>
      <c r="F20" s="19">
        <f t="shared" si="5"/>
        <v>0</v>
      </c>
      <c r="G20" s="2"/>
      <c r="H20" s="2"/>
      <c r="I20" s="2"/>
      <c r="J20" s="19">
        <f t="shared" si="6"/>
        <v>0</v>
      </c>
      <c r="K20" s="2"/>
      <c r="L20" s="2">
        <f t="shared" si="7"/>
        <v>0</v>
      </c>
      <c r="M20" s="2"/>
      <c r="N20" s="19">
        <f t="shared" si="8"/>
        <v>0</v>
      </c>
      <c r="O20" s="11"/>
      <c r="P20" s="2">
        <v>90960.51999999999</v>
      </c>
      <c r="Q20" s="2"/>
      <c r="R20" s="19">
        <f t="shared" si="9"/>
        <v>0.3566400201059759</v>
      </c>
      <c r="S20" s="2"/>
      <c r="T20" s="2"/>
      <c r="U20" s="2"/>
      <c r="V20" s="19">
        <f t="shared" si="10"/>
        <v>0</v>
      </c>
      <c r="W20" s="2"/>
      <c r="X20" s="2">
        <f t="shared" si="11"/>
        <v>90960.51999999999</v>
      </c>
      <c r="Y20" s="2"/>
      <c r="Z20" s="19">
        <f t="shared" si="12"/>
        <v>0</v>
      </c>
    </row>
    <row r="21" spans="1:26" s="24" customFormat="1" hidden="1" outlineLevel="1" x14ac:dyDescent="0.25">
      <c r="A21" s="44"/>
      <c r="B21" s="11" t="str">
        <f>CONCATENATE("          ", "5059", " - ", "PURCHASES @ COST-FOOD")</f>
        <v xml:space="preserve">          5059 - PURCHASES @ COST-FOOD</v>
      </c>
      <c r="C21" s="11"/>
      <c r="D21" s="2"/>
      <c r="E21" s="2"/>
      <c r="F21" s="19">
        <f t="shared" si="5"/>
        <v>0</v>
      </c>
      <c r="G21" s="2"/>
      <c r="H21" s="2"/>
      <c r="I21" s="2"/>
      <c r="J21" s="19">
        <f t="shared" si="6"/>
        <v>0</v>
      </c>
      <c r="K21" s="2"/>
      <c r="L21" s="2">
        <f t="shared" si="7"/>
        <v>0</v>
      </c>
      <c r="M21" s="2"/>
      <c r="N21" s="19">
        <f t="shared" si="8"/>
        <v>0</v>
      </c>
      <c r="O21" s="11"/>
      <c r="P21" s="2">
        <v>1321.94</v>
      </c>
      <c r="Q21" s="2"/>
      <c r="R21" s="19">
        <f t="shared" si="9"/>
        <v>5.183091611381441E-3</v>
      </c>
      <c r="S21" s="2"/>
      <c r="T21" s="2"/>
      <c r="U21" s="2"/>
      <c r="V21" s="19">
        <f t="shared" si="10"/>
        <v>0</v>
      </c>
      <c r="W21" s="2"/>
      <c r="X21" s="2">
        <f t="shared" si="11"/>
        <v>1321.94</v>
      </c>
      <c r="Y21" s="2"/>
      <c r="Z21" s="19">
        <f t="shared" si="12"/>
        <v>0</v>
      </c>
    </row>
    <row r="22" spans="1:26" x14ac:dyDescent="0.25">
      <c r="A22" s="9"/>
      <c r="B22" s="10"/>
      <c r="C22" s="10"/>
      <c r="D22" s="3"/>
      <c r="E22" s="3"/>
      <c r="F22" s="8"/>
      <c r="G22" s="3"/>
      <c r="H22" s="3"/>
      <c r="I22" s="3"/>
      <c r="J22" s="8"/>
      <c r="K22" s="3"/>
      <c r="L22" s="3"/>
      <c r="M22" s="3"/>
      <c r="N22" s="8"/>
      <c r="O22" s="10"/>
      <c r="P22" s="3"/>
      <c r="Q22" s="3"/>
      <c r="R22" s="8"/>
      <c r="S22" s="3"/>
      <c r="T22" s="3"/>
      <c r="U22" s="3"/>
      <c r="V22" s="8"/>
      <c r="W22" s="3"/>
      <c r="X22" s="3"/>
      <c r="Y22" s="3"/>
      <c r="Z22" s="8"/>
    </row>
    <row r="23" spans="1:26" s="23" customFormat="1" x14ac:dyDescent="0.25">
      <c r="A23" s="10"/>
      <c r="B23" s="29" t="s">
        <v>6</v>
      </c>
      <c r="C23" s="29"/>
      <c r="D23" s="20">
        <f>D12-D18</f>
        <v>0</v>
      </c>
      <c r="E23" s="14"/>
      <c r="F23" s="22">
        <f>IF(D$12=0,0,D23/D$12)</f>
        <v>0</v>
      </c>
      <c r="G23" s="14"/>
      <c r="H23" s="20">
        <f>H12-H18</f>
        <v>16509</v>
      </c>
      <c r="I23" s="14"/>
      <c r="J23" s="22">
        <f>IF(H$12=0,0,H23/H$12)</f>
        <v>0.73003449190766778</v>
      </c>
      <c r="K23" s="16"/>
      <c r="L23" s="20">
        <f>+D23-H23</f>
        <v>-16509</v>
      </c>
      <c r="M23" s="16"/>
      <c r="N23" s="22">
        <f>IF(H23=0,0,L23/H23)</f>
        <v>-1</v>
      </c>
      <c r="O23" s="28"/>
      <c r="P23" s="20">
        <f>P12-P18</f>
        <v>162766.09</v>
      </c>
      <c r="Q23" s="14"/>
      <c r="R23" s="22">
        <f>IF(P$12=0,0,P23/P$12)</f>
        <v>0.63817688828264263</v>
      </c>
      <c r="S23" s="14"/>
      <c r="T23" s="20">
        <f>T12-T18</f>
        <v>293167</v>
      </c>
      <c r="U23" s="14"/>
      <c r="V23" s="22">
        <f>IF(T$12=0,0,T23/T$12)</f>
        <v>0.69962246680476137</v>
      </c>
      <c r="W23" s="16"/>
      <c r="X23" s="20">
        <f>+P23-T23</f>
        <v>-130400.91</v>
      </c>
      <c r="Y23" s="16"/>
      <c r="Z23" s="22">
        <f>IF(T23=0,0,X23/T23)</f>
        <v>-0.44480077907813637</v>
      </c>
    </row>
    <row r="24" spans="1:26" x14ac:dyDescent="0.25">
      <c r="A24" s="9"/>
      <c r="B24" s="10"/>
      <c r="C24" s="9"/>
      <c r="D24" s="1"/>
      <c r="E24" s="1"/>
      <c r="F24" s="5"/>
      <c r="G24" s="1"/>
      <c r="H24" s="1"/>
      <c r="I24" s="1"/>
      <c r="J24" s="5"/>
      <c r="K24" s="1"/>
      <c r="L24" s="1"/>
      <c r="M24" s="1"/>
      <c r="N24" s="5"/>
      <c r="O24" s="36"/>
      <c r="P24" s="1"/>
      <c r="Q24" s="1"/>
      <c r="R24" s="5"/>
      <c r="S24" s="1"/>
      <c r="T24" s="1"/>
      <c r="U24" s="1"/>
      <c r="V24" s="5"/>
      <c r="W24" s="1"/>
      <c r="X24" s="1"/>
      <c r="Y24" s="1"/>
      <c r="Z24" s="5"/>
    </row>
    <row r="25" spans="1:26" s="23" customFormat="1" x14ac:dyDescent="0.25">
      <c r="A25" s="10"/>
      <c r="B25" s="28" t="s">
        <v>9</v>
      </c>
      <c r="C25" s="10"/>
      <c r="D25" s="21">
        <f>SUM(OSRRefD22x_0)</f>
        <v>7367.27</v>
      </c>
      <c r="E25" s="21"/>
      <c r="F25" s="30">
        <f t="shared" ref="F25:F35" si="13">IF(D$12=0,0,D25/D$12)</f>
        <v>0</v>
      </c>
      <c r="G25" s="21"/>
      <c r="H25" s="21">
        <f>SUM(OSRRefH22x_0)</f>
        <v>14137.5609637</v>
      </c>
      <c r="I25" s="21"/>
      <c r="J25" s="30">
        <f t="shared" ref="J25:J35" si="14">IF(H$12=0,0,H25/H$12)</f>
        <v>0.6251685223180331</v>
      </c>
      <c r="K25" s="4"/>
      <c r="L25" s="21">
        <f t="shared" ref="L25:L35" si="15">+D25-H25</f>
        <v>-6770.2909636999993</v>
      </c>
      <c r="M25" s="4"/>
      <c r="N25" s="30">
        <f t="shared" ref="N25:N35" si="16">IF(H25=0,0,L25/H25)</f>
        <v>-0.47888677411072456</v>
      </c>
      <c r="O25" s="10"/>
      <c r="P25" s="21">
        <f>SUM(OSRRefP22x_0)</f>
        <v>196210.80999999994</v>
      </c>
      <c r="Q25" s="21"/>
      <c r="R25" s="30">
        <f t="shared" ref="R25:R35" si="17">IF(P$12=0,0,P25/P$12)</f>
        <v>0.76930768671298055</v>
      </c>
      <c r="S25" s="21"/>
      <c r="T25" s="21">
        <f>SUM(OSRRefT22x_0)</f>
        <v>201555.25097989998</v>
      </c>
      <c r="U25" s="21"/>
      <c r="V25" s="30">
        <f t="shared" ref="V25:V35" si="18">IF(T$12=0,0,T25/T$12)</f>
        <v>0.48099745840428981</v>
      </c>
      <c r="W25" s="4"/>
      <c r="X25" s="21">
        <f t="shared" ref="X25:X35" si="19">+P25-T25</f>
        <v>-5344.4409799000423</v>
      </c>
      <c r="Y25" s="4"/>
      <c r="Z25" s="30">
        <f t="shared" ref="Z25:Z35" si="20">IF(T25=0,0,X25/T25)</f>
        <v>-2.6516009649547728E-2</v>
      </c>
    </row>
    <row r="26" spans="1:26" s="27" customFormat="1" outlineLevel="1" collapsed="1" x14ac:dyDescent="0.25">
      <c r="A26" s="25"/>
      <c r="B26" s="12" t="str">
        <f>CONCATENATE("     ","*Benefits                                         ")</f>
        <v xml:space="preserve">     *Benefits                                         </v>
      </c>
      <c r="C26" s="12"/>
      <c r="D26" s="1">
        <f>SUM(OSRRefD22_0x_0)</f>
        <v>2349.39</v>
      </c>
      <c r="E26" s="1"/>
      <c r="F26" s="5">
        <f t="shared" si="13"/>
        <v>0</v>
      </c>
      <c r="G26" s="1"/>
      <c r="H26" s="1">
        <f>SUM(OSRRefH22_0x_0)</f>
        <v>3217.4084252384619</v>
      </c>
      <c r="I26" s="1"/>
      <c r="J26" s="5">
        <f t="shared" si="14"/>
        <v>0.14227506965766612</v>
      </c>
      <c r="K26" s="1"/>
      <c r="L26" s="1">
        <f t="shared" si="15"/>
        <v>-868.01842523846199</v>
      </c>
      <c r="M26" s="1"/>
      <c r="N26" s="5">
        <f t="shared" si="16"/>
        <v>-0.26978807490818574</v>
      </c>
      <c r="O26" s="12"/>
      <c r="P26" s="1">
        <f>SUM(OSRRefP22_0x_0)</f>
        <v>37630.449999999997</v>
      </c>
      <c r="Q26" s="1"/>
      <c r="R26" s="5">
        <f t="shared" si="17"/>
        <v>0.14754230125989737</v>
      </c>
      <c r="S26" s="1"/>
      <c r="T26" s="1">
        <f>SUM(OSRRefT22_0x_0)</f>
        <v>41588.050518361546</v>
      </c>
      <c r="U26" s="1"/>
      <c r="V26" s="5">
        <f t="shared" si="18"/>
        <v>9.9246963311890979E-2</v>
      </c>
      <c r="W26" s="1"/>
      <c r="X26" s="1">
        <f t="shared" si="19"/>
        <v>-3957.6005183615489</v>
      </c>
      <c r="Y26" s="1"/>
      <c r="Z26" s="5">
        <f t="shared" si="20"/>
        <v>-9.51619628483001E-2</v>
      </c>
    </row>
    <row r="27" spans="1:26" s="24" customFormat="1" hidden="1" outlineLevel="2" x14ac:dyDescent="0.25">
      <c r="A27" s="26"/>
      <c r="B27" s="11" t="str">
        <f>CONCATENATE("          ", "6111", " - ", "F.I.C.A.")</f>
        <v xml:space="preserve">          6111 - F.I.C.A.</v>
      </c>
      <c r="C27" s="11"/>
      <c r="D27" s="7">
        <v>383.02</v>
      </c>
      <c r="E27" s="2"/>
      <c r="F27" s="6">
        <f t="shared" si="13"/>
        <v>0</v>
      </c>
      <c r="G27" s="2"/>
      <c r="H27" s="7">
        <v>478.03210585384602</v>
      </c>
      <c r="I27" s="2"/>
      <c r="J27" s="6">
        <f t="shared" si="14"/>
        <v>2.1138768278670117E-2</v>
      </c>
      <c r="K27" s="2"/>
      <c r="L27" s="7">
        <f t="shared" si="15"/>
        <v>-95.012105853846037</v>
      </c>
      <c r="M27" s="2"/>
      <c r="N27" s="6">
        <f t="shared" si="16"/>
        <v>-0.19875674602260945</v>
      </c>
      <c r="O27" s="11"/>
      <c r="P27" s="7">
        <v>7298.78</v>
      </c>
      <c r="Q27" s="2"/>
      <c r="R27" s="6">
        <f t="shared" si="17"/>
        <v>2.8617218172775339E-2</v>
      </c>
      <c r="S27" s="2"/>
      <c r="T27" s="7">
        <v>7828.7728677461537</v>
      </c>
      <c r="U27" s="2"/>
      <c r="V27" s="6">
        <f t="shared" si="18"/>
        <v>1.8682816912499532E-2</v>
      </c>
      <c r="W27" s="2"/>
      <c r="X27" s="7">
        <f t="shared" si="19"/>
        <v>-529.99286774615393</v>
      </c>
      <c r="Y27" s="2"/>
      <c r="Z27" s="6">
        <f t="shared" si="20"/>
        <v>-6.7698076914413666E-2</v>
      </c>
    </row>
    <row r="28" spans="1:26" s="24" customFormat="1" hidden="1" outlineLevel="2" x14ac:dyDescent="0.25">
      <c r="A28" s="26"/>
      <c r="B28" s="11" t="str">
        <f>CONCATENATE("          ", "6112", " - ", "COMPENSATION INSURANCE")</f>
        <v xml:space="preserve">          6112 - COMPENSATION INSURANCE</v>
      </c>
      <c r="C28" s="11"/>
      <c r="D28" s="7">
        <v>291.39</v>
      </c>
      <c r="E28" s="2"/>
      <c r="F28" s="6">
        <f t="shared" si="13"/>
        <v>0</v>
      </c>
      <c r="G28" s="2"/>
      <c r="H28" s="7">
        <v>341.89031876923099</v>
      </c>
      <c r="I28" s="2"/>
      <c r="J28" s="6">
        <f t="shared" si="14"/>
        <v>1.5118524753216194E-2</v>
      </c>
      <c r="K28" s="2"/>
      <c r="L28" s="7">
        <f t="shared" si="15"/>
        <v>-50.500318769231001</v>
      </c>
      <c r="M28" s="2"/>
      <c r="N28" s="6">
        <f t="shared" si="16"/>
        <v>-0.14770912189332183</v>
      </c>
      <c r="O28" s="11"/>
      <c r="P28" s="7">
        <v>4578.57</v>
      </c>
      <c r="Q28" s="2"/>
      <c r="R28" s="6">
        <f t="shared" si="17"/>
        <v>1.7951758596549558E-2</v>
      </c>
      <c r="S28" s="2"/>
      <c r="T28" s="7">
        <v>5335.0249812307702</v>
      </c>
      <c r="U28" s="2"/>
      <c r="V28" s="6">
        <f t="shared" si="18"/>
        <v>1.2731662628582677E-2</v>
      </c>
      <c r="W28" s="2"/>
      <c r="X28" s="7">
        <f t="shared" si="19"/>
        <v>-756.4549812307705</v>
      </c>
      <c r="Y28" s="2"/>
      <c r="Z28" s="6">
        <f t="shared" si="20"/>
        <v>-0.14179033535776606</v>
      </c>
    </row>
    <row r="29" spans="1:26" s="24" customFormat="1" hidden="1" outlineLevel="2" x14ac:dyDescent="0.25">
      <c r="A29" s="26"/>
      <c r="B29" s="11" t="str">
        <f>CONCATENATE("          ", "6113", " - ", "GROUP INSURANCE")</f>
        <v xml:space="preserve">          6113 - GROUP INSURANCE</v>
      </c>
      <c r="C29" s="11"/>
      <c r="D29" s="7">
        <v>801.06</v>
      </c>
      <c r="E29" s="2"/>
      <c r="F29" s="6">
        <f t="shared" si="13"/>
        <v>0</v>
      </c>
      <c r="G29" s="2"/>
      <c r="H29" s="7">
        <v>1381</v>
      </c>
      <c r="I29" s="2"/>
      <c r="J29" s="6">
        <f t="shared" si="14"/>
        <v>6.106836472981339E-2</v>
      </c>
      <c r="K29" s="2"/>
      <c r="L29" s="7">
        <f t="shared" si="15"/>
        <v>-579.94000000000005</v>
      </c>
      <c r="M29" s="2"/>
      <c r="N29" s="6">
        <f t="shared" si="16"/>
        <v>-0.41994207096307029</v>
      </c>
      <c r="O29" s="11"/>
      <c r="P29" s="7">
        <v>13382.42</v>
      </c>
      <c r="Q29" s="2"/>
      <c r="R29" s="6">
        <f t="shared" si="17"/>
        <v>5.2470088538045016E-2</v>
      </c>
      <c r="S29" s="2"/>
      <c r="T29" s="7">
        <v>15191</v>
      </c>
      <c r="U29" s="2"/>
      <c r="V29" s="6">
        <f t="shared" si="18"/>
        <v>3.6252255176166245E-2</v>
      </c>
      <c r="W29" s="2"/>
      <c r="X29" s="7">
        <f t="shared" si="19"/>
        <v>-1808.58</v>
      </c>
      <c r="Y29" s="2"/>
      <c r="Z29" s="6">
        <f t="shared" si="20"/>
        <v>-0.11905602001184912</v>
      </c>
    </row>
    <row r="30" spans="1:26" s="24" customFormat="1" hidden="1" outlineLevel="2" x14ac:dyDescent="0.25">
      <c r="A30" s="26"/>
      <c r="B30" s="11" t="str">
        <f>CONCATENATE("          ", "6114", " - ", "STATE UNEMPLOYMENT INSURANCE")</f>
        <v xml:space="preserve">          6114 - STATE UNEMPLOYMENT INSURANCE</v>
      </c>
      <c r="C30" s="11"/>
      <c r="D30" s="7">
        <v>19.53</v>
      </c>
      <c r="E30" s="2"/>
      <c r="F30" s="6">
        <f t="shared" si="13"/>
        <v>0</v>
      </c>
      <c r="G30" s="2"/>
      <c r="H30" s="7">
        <v>22.910176</v>
      </c>
      <c r="I30" s="2"/>
      <c r="J30" s="6">
        <f t="shared" si="14"/>
        <v>1.0130970195454142E-3</v>
      </c>
      <c r="K30" s="2"/>
      <c r="L30" s="7">
        <f t="shared" si="15"/>
        <v>-3.3801759999999987</v>
      </c>
      <c r="M30" s="2"/>
      <c r="N30" s="6">
        <f t="shared" si="16"/>
        <v>-0.14754037681770751</v>
      </c>
      <c r="O30" s="11"/>
      <c r="P30" s="7">
        <v>356.65</v>
      </c>
      <c r="Q30" s="2"/>
      <c r="R30" s="6">
        <f t="shared" si="17"/>
        <v>1.3983612139727907E-3</v>
      </c>
      <c r="S30" s="2"/>
      <c r="T30" s="7">
        <v>357.50167399999998</v>
      </c>
      <c r="U30" s="2"/>
      <c r="V30" s="6">
        <f t="shared" si="18"/>
        <v>8.53152650368942E-4</v>
      </c>
      <c r="W30" s="2"/>
      <c r="X30" s="7">
        <f t="shared" si="19"/>
        <v>-0.85167400000000271</v>
      </c>
      <c r="Y30" s="2"/>
      <c r="Z30" s="6">
        <f t="shared" si="20"/>
        <v>-2.3822937399728167E-3</v>
      </c>
    </row>
    <row r="31" spans="1:26" s="24" customFormat="1" hidden="1" outlineLevel="2" x14ac:dyDescent="0.25">
      <c r="A31" s="26"/>
      <c r="B31" s="11" t="str">
        <f>CONCATENATE("          ", "6115", " - ", "P.E.R.S.")</f>
        <v xml:space="preserve">          6115 - P.E.R.S.</v>
      </c>
      <c r="C31" s="11"/>
      <c r="D31" s="7">
        <v>340.69</v>
      </c>
      <c r="E31" s="2"/>
      <c r="F31" s="6">
        <f t="shared" si="13"/>
        <v>0</v>
      </c>
      <c r="G31" s="2"/>
      <c r="H31" s="7">
        <v>402.01010923076899</v>
      </c>
      <c r="I31" s="2"/>
      <c r="J31" s="6">
        <f t="shared" si="14"/>
        <v>1.7777045601431368E-2</v>
      </c>
      <c r="K31" s="2"/>
      <c r="L31" s="7">
        <f t="shared" si="15"/>
        <v>-61.320109230768992</v>
      </c>
      <c r="M31" s="2"/>
      <c r="N31" s="6">
        <f t="shared" si="16"/>
        <v>-0.15253374933307692</v>
      </c>
      <c r="O31" s="11"/>
      <c r="P31" s="7">
        <v>3790.41</v>
      </c>
      <c r="Q31" s="2"/>
      <c r="R31" s="6">
        <f t="shared" si="17"/>
        <v>1.486152342367757E-2</v>
      </c>
      <c r="S31" s="2"/>
      <c r="T31" s="7">
        <v>4824.1213107692311</v>
      </c>
      <c r="U31" s="2"/>
      <c r="V31" s="6">
        <f t="shared" si="18"/>
        <v>1.1512426881626474E-2</v>
      </c>
      <c r="W31" s="2"/>
      <c r="X31" s="7">
        <f t="shared" si="19"/>
        <v>-1033.7113107692312</v>
      </c>
      <c r="Y31" s="2"/>
      <c r="Z31" s="6">
        <f t="shared" si="20"/>
        <v>-0.21427970902423277</v>
      </c>
    </row>
    <row r="32" spans="1:26" s="24" customFormat="1" hidden="1" outlineLevel="2" x14ac:dyDescent="0.25">
      <c r="A32" s="26"/>
      <c r="B32" s="11" t="str">
        <f>CONCATENATE("          ", "6116", " - ", "EDUCATIONAL BENEFITS")</f>
        <v xml:space="preserve">          6116 - EDUCATIONAL BENEFITS</v>
      </c>
      <c r="C32" s="11"/>
      <c r="D32" s="7"/>
      <c r="E32" s="2"/>
      <c r="F32" s="6">
        <f t="shared" si="13"/>
        <v>0</v>
      </c>
      <c r="G32" s="2"/>
      <c r="H32" s="7">
        <v>0</v>
      </c>
      <c r="I32" s="2"/>
      <c r="J32" s="6">
        <f t="shared" si="14"/>
        <v>0</v>
      </c>
      <c r="K32" s="2"/>
      <c r="L32" s="7">
        <f t="shared" si="15"/>
        <v>0</v>
      </c>
      <c r="M32" s="2"/>
      <c r="N32" s="6">
        <f t="shared" si="16"/>
        <v>0</v>
      </c>
      <c r="O32" s="11"/>
      <c r="P32" s="7"/>
      <c r="Q32" s="2"/>
      <c r="R32" s="6">
        <f t="shared" si="17"/>
        <v>0</v>
      </c>
      <c r="S32" s="2"/>
      <c r="T32" s="7">
        <v>0</v>
      </c>
      <c r="U32" s="2"/>
      <c r="V32" s="6">
        <f t="shared" si="18"/>
        <v>0</v>
      </c>
      <c r="W32" s="2"/>
      <c r="X32" s="7">
        <f t="shared" si="19"/>
        <v>0</v>
      </c>
      <c r="Y32" s="2"/>
      <c r="Z32" s="6">
        <f t="shared" si="20"/>
        <v>0</v>
      </c>
    </row>
    <row r="33" spans="1:26" s="24" customFormat="1" hidden="1" outlineLevel="2" x14ac:dyDescent="0.25">
      <c r="A33" s="26"/>
      <c r="B33" s="11" t="str">
        <f>CONCATENATE("          ", "6118", " - ", "VACATION")</f>
        <v xml:space="preserve">          6118 - VACATION</v>
      </c>
      <c r="C33" s="11"/>
      <c r="D33" s="7">
        <v>187.78</v>
      </c>
      <c r="E33" s="2"/>
      <c r="F33" s="6">
        <f t="shared" si="13"/>
        <v>0</v>
      </c>
      <c r="G33" s="2"/>
      <c r="H33" s="7">
        <v>233.72680769230803</v>
      </c>
      <c r="I33" s="2"/>
      <c r="J33" s="6">
        <f t="shared" si="14"/>
        <v>1.033549162873919E-2</v>
      </c>
      <c r="K33" s="2"/>
      <c r="L33" s="7">
        <f t="shared" si="15"/>
        <v>-45.946807692308028</v>
      </c>
      <c r="M33" s="2"/>
      <c r="N33" s="6">
        <f t="shared" si="16"/>
        <v>-0.19658338787048835</v>
      </c>
      <c r="O33" s="11"/>
      <c r="P33" s="7">
        <v>3424.72</v>
      </c>
      <c r="Q33" s="2"/>
      <c r="R33" s="6">
        <f t="shared" si="17"/>
        <v>1.3427717977616419E-2</v>
      </c>
      <c r="S33" s="2"/>
      <c r="T33" s="7">
        <v>2804.7216923076962</v>
      </c>
      <c r="U33" s="2"/>
      <c r="V33" s="6">
        <f t="shared" si="18"/>
        <v>6.693271442806098E-3</v>
      </c>
      <c r="W33" s="2"/>
      <c r="X33" s="7">
        <f t="shared" si="19"/>
        <v>619.99830769230357</v>
      </c>
      <c r="Y33" s="2"/>
      <c r="Z33" s="6">
        <f t="shared" si="20"/>
        <v>0.22105519752377831</v>
      </c>
    </row>
    <row r="34" spans="1:26" s="24" customFormat="1" hidden="1" outlineLevel="2" x14ac:dyDescent="0.25">
      <c r="A34" s="26"/>
      <c r="B34" s="11" t="str">
        <f>CONCATENATE("          ", "6119", " - ", "SICK LEAVE")</f>
        <v xml:space="preserve">          6119 - SICK LEAVE</v>
      </c>
      <c r="C34" s="11"/>
      <c r="D34" s="7">
        <v>224.98</v>
      </c>
      <c r="E34" s="2"/>
      <c r="F34" s="6">
        <f t="shared" si="13"/>
        <v>0</v>
      </c>
      <c r="G34" s="2"/>
      <c r="H34" s="7">
        <v>357.838907692308</v>
      </c>
      <c r="I34" s="2"/>
      <c r="J34" s="6">
        <f t="shared" si="14"/>
        <v>1.5823777646250464E-2</v>
      </c>
      <c r="K34" s="2"/>
      <c r="L34" s="7">
        <f t="shared" si="15"/>
        <v>-132.85890769230801</v>
      </c>
      <c r="M34" s="2"/>
      <c r="N34" s="6">
        <f t="shared" si="16"/>
        <v>-0.37128133592043128</v>
      </c>
      <c r="O34" s="11"/>
      <c r="P34" s="7">
        <v>3517.84</v>
      </c>
      <c r="Q34" s="2"/>
      <c r="R34" s="6">
        <f t="shared" si="17"/>
        <v>1.379282493470361E-2</v>
      </c>
      <c r="S34" s="2"/>
      <c r="T34" s="7">
        <v>5246.9079923076952</v>
      </c>
      <c r="U34" s="2"/>
      <c r="V34" s="6">
        <f t="shared" si="18"/>
        <v>1.2521377619841005E-2</v>
      </c>
      <c r="W34" s="2"/>
      <c r="X34" s="7">
        <f t="shared" si="19"/>
        <v>-1729.067992307695</v>
      </c>
      <c r="Y34" s="2"/>
      <c r="Z34" s="6">
        <f t="shared" si="20"/>
        <v>-0.32954036831646755</v>
      </c>
    </row>
    <row r="35" spans="1:26" s="24" customFormat="1" hidden="1" outlineLevel="2" x14ac:dyDescent="0.25">
      <c r="A35" s="26"/>
      <c r="B35" s="11" t="str">
        <f>CONCATENATE("          ", "6156", " - ", "EMPLOYEE MEALS")</f>
        <v xml:space="preserve">          6156 - EMPLOYEE MEALS</v>
      </c>
      <c r="C35" s="11"/>
      <c r="D35" s="7">
        <v>100.94</v>
      </c>
      <c r="E35" s="2"/>
      <c r="F35" s="6">
        <f t="shared" si="13"/>
        <v>0</v>
      </c>
      <c r="G35" s="2"/>
      <c r="H35" s="7"/>
      <c r="I35" s="2"/>
      <c r="J35" s="6">
        <f t="shared" si="14"/>
        <v>0</v>
      </c>
      <c r="K35" s="2"/>
      <c r="L35" s="7">
        <f t="shared" si="15"/>
        <v>100.94</v>
      </c>
      <c r="M35" s="2"/>
      <c r="N35" s="6">
        <f t="shared" si="16"/>
        <v>0</v>
      </c>
      <c r="O35" s="11"/>
      <c r="P35" s="7">
        <v>1281.06</v>
      </c>
      <c r="Q35" s="2"/>
      <c r="R35" s="6">
        <f t="shared" si="17"/>
        <v>5.0228084025570816E-3</v>
      </c>
      <c r="S35" s="2"/>
      <c r="T35" s="7"/>
      <c r="U35" s="2"/>
      <c r="V35" s="6">
        <f t="shared" si="18"/>
        <v>0</v>
      </c>
      <c r="W35" s="2"/>
      <c r="X35" s="7">
        <f t="shared" si="19"/>
        <v>1281.06</v>
      </c>
      <c r="Y35" s="2"/>
      <c r="Z35" s="6">
        <f t="shared" si="20"/>
        <v>0</v>
      </c>
    </row>
    <row r="36" spans="1:26" s="27" customFormat="1" outlineLevel="1" collapsed="1" x14ac:dyDescent="0.25">
      <c r="A36" s="25"/>
      <c r="B36" s="12" t="str">
        <f>CONCATENATE("     ","*Payroll                                          ")</f>
        <v xml:space="preserve">     *Payroll                                          </v>
      </c>
      <c r="C36" s="12"/>
      <c r="D36" s="1">
        <f>SUM(OSRRefD22_1x_0)</f>
        <v>4823.8</v>
      </c>
      <c r="E36" s="1"/>
      <c r="F36" s="5">
        <f t="shared" ref="F36:F46" si="21">IF(D$12=0,0,D36/D$12)</f>
        <v>0</v>
      </c>
      <c r="G36" s="1"/>
      <c r="H36" s="1">
        <f>SUM(OSRRefH22_1x_0)</f>
        <v>8344.1525384615397</v>
      </c>
      <c r="I36" s="1"/>
      <c r="J36" s="5">
        <f t="shared" ref="J36:J46" si="22">IF(H$12=0,0,H36/H$12)</f>
        <v>0.36898171656768108</v>
      </c>
      <c r="K36" s="1"/>
      <c r="L36" s="1">
        <f t="shared" ref="L36:L46" si="23">+D36-H36</f>
        <v>-3520.3525384615396</v>
      </c>
      <c r="M36" s="1"/>
      <c r="N36" s="5">
        <f t="shared" ref="N36:N46" si="24">IF(H36=0,0,L36/H36)</f>
        <v>-0.42189455696487155</v>
      </c>
      <c r="O36" s="12"/>
      <c r="P36" s="1">
        <f>SUM(OSRRefP22_1x_0)</f>
        <v>123542.23999999999</v>
      </c>
      <c r="Q36" s="1"/>
      <c r="R36" s="5">
        <f t="shared" ref="R36:R46" si="25">IF(P$12=0,0,P36/P$12)</f>
        <v>0.48438714903495822</v>
      </c>
      <c r="S36" s="1"/>
      <c r="T36" s="1">
        <f>SUM(OSRRefT22_1x_0)</f>
        <v>131891.20046153845</v>
      </c>
      <c r="U36" s="1"/>
      <c r="V36" s="5">
        <f t="shared" ref="V36:V46" si="26">IF(T$12=0,0,T36/T$12)</f>
        <v>0.31474909187167321</v>
      </c>
      <c r="W36" s="1"/>
      <c r="X36" s="1">
        <f t="shared" ref="X36:X46" si="27">+P36-T36</f>
        <v>-8348.9604615384596</v>
      </c>
      <c r="Y36" s="1"/>
      <c r="Z36" s="5">
        <f t="shared" ref="Z36:Z46" si="28">IF(T36=0,0,X36/T36)</f>
        <v>-6.3301876336876228E-2</v>
      </c>
    </row>
    <row r="37" spans="1:26" s="24" customFormat="1" hidden="1" outlineLevel="2" x14ac:dyDescent="0.25">
      <c r="A37" s="26"/>
      <c r="B37" s="11" t="str">
        <f>CONCATENATE("          ", "6001", " - ", "ADMINISTRATIVE SALARIES")</f>
        <v xml:space="preserve">          6001 - ADMINISTRATIVE SALARIES</v>
      </c>
      <c r="C37" s="11"/>
      <c r="D37" s="7"/>
      <c r="E37" s="2"/>
      <c r="F37" s="6">
        <f t="shared" si="21"/>
        <v>0</v>
      </c>
      <c r="G37" s="2"/>
      <c r="H37" s="7">
        <v>0</v>
      </c>
      <c r="I37" s="2"/>
      <c r="J37" s="6">
        <f t="shared" si="22"/>
        <v>0</v>
      </c>
      <c r="K37" s="2"/>
      <c r="L37" s="7">
        <f t="shared" si="23"/>
        <v>0</v>
      </c>
      <c r="M37" s="2"/>
      <c r="N37" s="6">
        <f t="shared" si="24"/>
        <v>0</v>
      </c>
      <c r="O37" s="11"/>
      <c r="P37" s="7"/>
      <c r="Q37" s="2"/>
      <c r="R37" s="6">
        <f t="shared" si="25"/>
        <v>0</v>
      </c>
      <c r="S37" s="2"/>
      <c r="T37" s="7">
        <v>0</v>
      </c>
      <c r="U37" s="2"/>
      <c r="V37" s="6">
        <f t="shared" si="26"/>
        <v>0</v>
      </c>
      <c r="W37" s="2"/>
      <c r="X37" s="7">
        <f t="shared" si="27"/>
        <v>0</v>
      </c>
      <c r="Y37" s="2"/>
      <c r="Z37" s="6">
        <f t="shared" si="28"/>
        <v>0</v>
      </c>
    </row>
    <row r="38" spans="1:26" s="24" customFormat="1" hidden="1" outlineLevel="2" x14ac:dyDescent="0.25">
      <c r="A38" s="26"/>
      <c r="B38" s="11" t="str">
        <f>CONCATENATE("          ", "6002", " - ", "STAFF SALARIES")</f>
        <v xml:space="preserve">          6002 - STAFF SALARIES</v>
      </c>
      <c r="C38" s="11"/>
      <c r="D38" s="7">
        <v>4823.8</v>
      </c>
      <c r="E38" s="2"/>
      <c r="F38" s="6">
        <f t="shared" si="21"/>
        <v>0</v>
      </c>
      <c r="G38" s="2"/>
      <c r="H38" s="7">
        <v>4207.08253846154</v>
      </c>
      <c r="I38" s="2"/>
      <c r="J38" s="6">
        <f t="shared" si="22"/>
        <v>0.18603884931730522</v>
      </c>
      <c r="K38" s="2"/>
      <c r="L38" s="7">
        <f t="shared" si="23"/>
        <v>616.71746153846016</v>
      </c>
      <c r="M38" s="2"/>
      <c r="N38" s="6">
        <f t="shared" si="24"/>
        <v>0.14659029289308487</v>
      </c>
      <c r="O38" s="11"/>
      <c r="P38" s="7">
        <v>50095.420000000006</v>
      </c>
      <c r="Q38" s="2"/>
      <c r="R38" s="6">
        <f t="shared" si="25"/>
        <v>0.19641523153140847</v>
      </c>
      <c r="S38" s="2"/>
      <c r="T38" s="7">
        <v>50484.990461538458</v>
      </c>
      <c r="U38" s="2"/>
      <c r="V38" s="6">
        <f t="shared" si="26"/>
        <v>0.1204788859705096</v>
      </c>
      <c r="W38" s="2"/>
      <c r="X38" s="7">
        <f t="shared" si="27"/>
        <v>-389.57046153845295</v>
      </c>
      <c r="Y38" s="2"/>
      <c r="Z38" s="6">
        <f t="shared" si="28"/>
        <v>-7.7165600701706331E-3</v>
      </c>
    </row>
    <row r="39" spans="1:26" s="24" customFormat="1" hidden="1" outlineLevel="2" x14ac:dyDescent="0.25">
      <c r="A39" s="26"/>
      <c r="B39" s="11" t="str">
        <f>CONCATENATE("          ", "6003", " - ", "STAFF HOURLY-9 MONTH")</f>
        <v xml:space="preserve">          6003 - STAFF HOURLY-9 MONTH</v>
      </c>
      <c r="C39" s="11"/>
      <c r="D39" s="7"/>
      <c r="E39" s="2"/>
      <c r="F39" s="6">
        <f t="shared" si="21"/>
        <v>0</v>
      </c>
      <c r="G39" s="2"/>
      <c r="H39" s="7">
        <v>0</v>
      </c>
      <c r="I39" s="2"/>
      <c r="J39" s="6">
        <f t="shared" si="22"/>
        <v>0</v>
      </c>
      <c r="K39" s="2"/>
      <c r="L39" s="7">
        <f t="shared" si="23"/>
        <v>0</v>
      </c>
      <c r="M39" s="2"/>
      <c r="N39" s="6">
        <f t="shared" si="24"/>
        <v>0</v>
      </c>
      <c r="O39" s="11"/>
      <c r="P39" s="7"/>
      <c r="Q39" s="2"/>
      <c r="R39" s="6">
        <f t="shared" si="25"/>
        <v>0</v>
      </c>
      <c r="S39" s="2"/>
      <c r="T39" s="7">
        <v>0</v>
      </c>
      <c r="U39" s="2"/>
      <c r="V39" s="6">
        <f t="shared" si="26"/>
        <v>0</v>
      </c>
      <c r="W39" s="2"/>
      <c r="X39" s="7">
        <f t="shared" si="27"/>
        <v>0</v>
      </c>
      <c r="Y39" s="2"/>
      <c r="Z39" s="6">
        <f t="shared" si="28"/>
        <v>0</v>
      </c>
    </row>
    <row r="40" spans="1:26" s="24" customFormat="1" hidden="1" outlineLevel="2" x14ac:dyDescent="0.25">
      <c r="A40" s="26"/>
      <c r="B40" s="11" t="str">
        <f>CONCATENATE("          ", "6004", " - ", "STAFF HOURLY")</f>
        <v xml:space="preserve">          6004 - STAFF HOURLY</v>
      </c>
      <c r="C40" s="11"/>
      <c r="D40" s="7"/>
      <c r="E40" s="2"/>
      <c r="F40" s="6">
        <f t="shared" si="21"/>
        <v>0</v>
      </c>
      <c r="G40" s="2"/>
      <c r="H40" s="7">
        <v>1571.8</v>
      </c>
      <c r="I40" s="2"/>
      <c r="J40" s="6">
        <f t="shared" si="22"/>
        <v>6.9505615990094624E-2</v>
      </c>
      <c r="K40" s="2"/>
      <c r="L40" s="7">
        <f t="shared" si="23"/>
        <v>-1571.8</v>
      </c>
      <c r="M40" s="2"/>
      <c r="N40" s="6">
        <f t="shared" si="24"/>
        <v>-1</v>
      </c>
      <c r="O40" s="11"/>
      <c r="P40" s="7">
        <v>2483.52</v>
      </c>
      <c r="Q40" s="2"/>
      <c r="R40" s="6">
        <f t="shared" si="25"/>
        <v>9.7374401854078366E-3</v>
      </c>
      <c r="S40" s="2"/>
      <c r="T40" s="7">
        <v>42482.35</v>
      </c>
      <c r="U40" s="2"/>
      <c r="V40" s="6">
        <f t="shared" si="26"/>
        <v>0.10138114624996419</v>
      </c>
      <c r="W40" s="2"/>
      <c r="X40" s="7">
        <f t="shared" si="27"/>
        <v>-39998.83</v>
      </c>
      <c r="Y40" s="2"/>
      <c r="Z40" s="6">
        <f t="shared" si="28"/>
        <v>-0.94153995718221806</v>
      </c>
    </row>
    <row r="41" spans="1:26" s="24" customFormat="1" hidden="1" outlineLevel="2" x14ac:dyDescent="0.25">
      <c r="A41" s="26"/>
      <c r="B41" s="11" t="str">
        <f>CONCATENATE("          ", "6005", " - ", "TEMPORARY WAGES-HOURLY")</f>
        <v xml:space="preserve">          6005 - TEMPORARY WAGES-HOURLY</v>
      </c>
      <c r="C41" s="11"/>
      <c r="D41" s="7"/>
      <c r="E41" s="2"/>
      <c r="F41" s="6">
        <f t="shared" si="21"/>
        <v>0</v>
      </c>
      <c r="G41" s="2"/>
      <c r="H41" s="7">
        <v>206.55</v>
      </c>
      <c r="I41" s="2"/>
      <c r="J41" s="6">
        <f t="shared" si="22"/>
        <v>9.1337224728044574E-3</v>
      </c>
      <c r="K41" s="2"/>
      <c r="L41" s="7">
        <f t="shared" si="23"/>
        <v>-206.55</v>
      </c>
      <c r="M41" s="2"/>
      <c r="N41" s="6">
        <f t="shared" si="24"/>
        <v>-1</v>
      </c>
      <c r="O41" s="11"/>
      <c r="P41" s="7">
        <v>29725.459999999995</v>
      </c>
      <c r="Q41" s="2"/>
      <c r="R41" s="6">
        <f t="shared" si="25"/>
        <v>0.11654824150147099</v>
      </c>
      <c r="S41" s="2"/>
      <c r="T41" s="7">
        <v>6726.9</v>
      </c>
      <c r="U41" s="2"/>
      <c r="V41" s="6">
        <f t="shared" si="26"/>
        <v>1.605327465897918E-2</v>
      </c>
      <c r="W41" s="2"/>
      <c r="X41" s="7">
        <f t="shared" si="27"/>
        <v>22998.559999999998</v>
      </c>
      <c r="Y41" s="2"/>
      <c r="Z41" s="6">
        <f t="shared" si="28"/>
        <v>3.4188942900890451</v>
      </c>
    </row>
    <row r="42" spans="1:26" s="24" customFormat="1" hidden="1" outlineLevel="2" x14ac:dyDescent="0.25">
      <c r="A42" s="26"/>
      <c r="B42" s="11" t="str">
        <f>CONCATENATE("          ", "6006", " - ", "TEMPORARY PART TIME")</f>
        <v xml:space="preserve">          6006 - TEMPORARY PART TIME</v>
      </c>
      <c r="C42" s="11"/>
      <c r="D42" s="7"/>
      <c r="E42" s="2"/>
      <c r="F42" s="6">
        <f t="shared" si="21"/>
        <v>0</v>
      </c>
      <c r="G42" s="2"/>
      <c r="H42" s="7">
        <v>0</v>
      </c>
      <c r="I42" s="2"/>
      <c r="J42" s="6">
        <f t="shared" si="22"/>
        <v>0</v>
      </c>
      <c r="K42" s="2"/>
      <c r="L42" s="7">
        <f t="shared" si="23"/>
        <v>0</v>
      </c>
      <c r="M42" s="2"/>
      <c r="N42" s="6">
        <f t="shared" si="24"/>
        <v>0</v>
      </c>
      <c r="O42" s="11"/>
      <c r="P42" s="7"/>
      <c r="Q42" s="2"/>
      <c r="R42" s="6">
        <f t="shared" si="25"/>
        <v>0</v>
      </c>
      <c r="S42" s="2"/>
      <c r="T42" s="7">
        <v>0</v>
      </c>
      <c r="U42" s="2"/>
      <c r="V42" s="6">
        <f t="shared" si="26"/>
        <v>0</v>
      </c>
      <c r="W42" s="2"/>
      <c r="X42" s="7">
        <f t="shared" si="27"/>
        <v>0</v>
      </c>
      <c r="Y42" s="2"/>
      <c r="Z42" s="6">
        <f t="shared" si="28"/>
        <v>0</v>
      </c>
    </row>
    <row r="43" spans="1:26" s="24" customFormat="1" hidden="1" outlineLevel="2" x14ac:dyDescent="0.25">
      <c r="A43" s="26"/>
      <c r="B43" s="11" t="str">
        <f>CONCATENATE("          ", "6007", " - ", "STUDENT HOURLY")</f>
        <v xml:space="preserve">          6007 - STUDENT HOURLY</v>
      </c>
      <c r="C43" s="11"/>
      <c r="D43" s="7"/>
      <c r="E43" s="2"/>
      <c r="F43" s="6">
        <f t="shared" si="21"/>
        <v>0</v>
      </c>
      <c r="G43" s="2"/>
      <c r="H43" s="7">
        <v>0</v>
      </c>
      <c r="I43" s="2"/>
      <c r="J43" s="6">
        <f t="shared" si="22"/>
        <v>0</v>
      </c>
      <c r="K43" s="2"/>
      <c r="L43" s="7">
        <f t="shared" si="23"/>
        <v>0</v>
      </c>
      <c r="M43" s="2"/>
      <c r="N43" s="6">
        <f t="shared" si="24"/>
        <v>0</v>
      </c>
      <c r="O43" s="11"/>
      <c r="P43" s="7">
        <v>36868.25</v>
      </c>
      <c r="Q43" s="2"/>
      <c r="R43" s="6">
        <f t="shared" si="25"/>
        <v>0.14455385062961543</v>
      </c>
      <c r="S43" s="2"/>
      <c r="T43" s="7">
        <v>3720</v>
      </c>
      <c r="U43" s="2"/>
      <c r="V43" s="6">
        <f t="shared" si="26"/>
        <v>8.8775188766597613E-3</v>
      </c>
      <c r="W43" s="2"/>
      <c r="X43" s="7">
        <f t="shared" si="27"/>
        <v>33148.25</v>
      </c>
      <c r="Y43" s="2"/>
      <c r="Z43" s="6">
        <f t="shared" si="28"/>
        <v>8.9108198924731177</v>
      </c>
    </row>
    <row r="44" spans="1:26" s="24" customFormat="1" hidden="1" outlineLevel="2" x14ac:dyDescent="0.25">
      <c r="A44" s="26"/>
      <c r="B44" s="11" t="str">
        <f>CONCATENATE("          ", "6008", " - ", "STUDENT HOURLY-FICA EXEMPT")</f>
        <v xml:space="preserve">          6008 - STUDENT HOURLY-FICA EXEMPT</v>
      </c>
      <c r="C44" s="11"/>
      <c r="D44" s="7"/>
      <c r="E44" s="2"/>
      <c r="F44" s="6">
        <f t="shared" si="21"/>
        <v>0</v>
      </c>
      <c r="G44" s="2"/>
      <c r="H44" s="7">
        <v>2358.7199999999998</v>
      </c>
      <c r="I44" s="2"/>
      <c r="J44" s="6">
        <f t="shared" si="22"/>
        <v>0.10430352878747677</v>
      </c>
      <c r="K44" s="2"/>
      <c r="L44" s="7">
        <f t="shared" si="23"/>
        <v>-2358.7199999999998</v>
      </c>
      <c r="M44" s="2"/>
      <c r="N44" s="6">
        <f t="shared" si="24"/>
        <v>-1</v>
      </c>
      <c r="O44" s="11"/>
      <c r="P44" s="7">
        <v>4369.59</v>
      </c>
      <c r="Q44" s="2"/>
      <c r="R44" s="6">
        <f t="shared" si="25"/>
        <v>1.7132385187055565E-2</v>
      </c>
      <c r="S44" s="2"/>
      <c r="T44" s="7">
        <v>28476.959999999999</v>
      </c>
      <c r="U44" s="2"/>
      <c r="V44" s="6">
        <f t="shared" si="26"/>
        <v>6.7958266115560481E-2</v>
      </c>
      <c r="W44" s="2"/>
      <c r="X44" s="7">
        <f t="shared" si="27"/>
        <v>-24107.37</v>
      </c>
      <c r="Y44" s="2"/>
      <c r="Z44" s="6">
        <f t="shared" si="28"/>
        <v>-0.84655700608491913</v>
      </c>
    </row>
    <row r="45" spans="1:26" s="24" customFormat="1" hidden="1" outlineLevel="2" x14ac:dyDescent="0.25">
      <c r="A45" s="26"/>
      <c r="B45" s="11" t="str">
        <f>CONCATENATE("          ", "6009", " - ", "TEMPORARY-SEASONAL")</f>
        <v xml:space="preserve">          6009 - TEMPORARY-SEASONAL</v>
      </c>
      <c r="C45" s="11"/>
      <c r="D45" s="7"/>
      <c r="E45" s="2"/>
      <c r="F45" s="6">
        <f t="shared" si="21"/>
        <v>0</v>
      </c>
      <c r="G45" s="2"/>
      <c r="H45" s="7">
        <v>0</v>
      </c>
      <c r="I45" s="2"/>
      <c r="J45" s="6">
        <f t="shared" si="22"/>
        <v>0</v>
      </c>
      <c r="K45" s="2"/>
      <c r="L45" s="7">
        <f t="shared" si="23"/>
        <v>0</v>
      </c>
      <c r="M45" s="2"/>
      <c r="N45" s="6">
        <f t="shared" si="24"/>
        <v>0</v>
      </c>
      <c r="O45" s="11"/>
      <c r="P45" s="7"/>
      <c r="Q45" s="2"/>
      <c r="R45" s="6">
        <f t="shared" si="25"/>
        <v>0</v>
      </c>
      <c r="S45" s="2"/>
      <c r="T45" s="7">
        <v>0</v>
      </c>
      <c r="U45" s="2"/>
      <c r="V45" s="6">
        <f t="shared" si="26"/>
        <v>0</v>
      </c>
      <c r="W45" s="2"/>
      <c r="X45" s="7">
        <f t="shared" si="27"/>
        <v>0</v>
      </c>
      <c r="Y45" s="2"/>
      <c r="Z45" s="6">
        <f t="shared" si="28"/>
        <v>0</v>
      </c>
    </row>
    <row r="46" spans="1:26" s="24" customFormat="1" hidden="1" outlineLevel="2" x14ac:dyDescent="0.25">
      <c r="A46" s="26"/>
      <c r="B46" s="11" t="str">
        <f>CONCATENATE("          ", "6010", " - ", "GRATUITY")</f>
        <v xml:space="preserve">          6010 - GRATUITY</v>
      </c>
      <c r="C46" s="11"/>
      <c r="D46" s="7"/>
      <c r="E46" s="2"/>
      <c r="F46" s="6">
        <f t="shared" si="21"/>
        <v>0</v>
      </c>
      <c r="G46" s="2"/>
      <c r="H46" s="7">
        <v>0</v>
      </c>
      <c r="I46" s="2"/>
      <c r="J46" s="6">
        <f t="shared" si="22"/>
        <v>0</v>
      </c>
      <c r="K46" s="2"/>
      <c r="L46" s="7">
        <f t="shared" si="23"/>
        <v>0</v>
      </c>
      <c r="M46" s="2"/>
      <c r="N46" s="6">
        <f t="shared" si="24"/>
        <v>0</v>
      </c>
      <c r="O46" s="11"/>
      <c r="P46" s="7"/>
      <c r="Q46" s="2"/>
      <c r="R46" s="6">
        <f t="shared" si="25"/>
        <v>0</v>
      </c>
      <c r="S46" s="2"/>
      <c r="T46" s="7">
        <v>0</v>
      </c>
      <c r="U46" s="2"/>
      <c r="V46" s="6">
        <f t="shared" si="26"/>
        <v>0</v>
      </c>
      <c r="W46" s="2"/>
      <c r="X46" s="7">
        <f t="shared" si="27"/>
        <v>0</v>
      </c>
      <c r="Y46" s="2"/>
      <c r="Z46" s="6">
        <f t="shared" si="28"/>
        <v>0</v>
      </c>
    </row>
    <row r="47" spans="1:26" s="27" customFormat="1" outlineLevel="1" collapsed="1" x14ac:dyDescent="0.25">
      <c r="A47" s="25"/>
      <c r="B47" s="12" t="str">
        <f>CONCATENATE("     ","Advertising/Promo                                 ")</f>
        <v xml:space="preserve">     Advertising/Promo                                 </v>
      </c>
      <c r="C47" s="12"/>
      <c r="D47" s="1">
        <f>SUM(OSRRefD22_2x_0)</f>
        <v>0</v>
      </c>
      <c r="E47" s="1"/>
      <c r="F47" s="5">
        <f t="shared" ref="F47:F62" si="29">IF(D$12=0,0,D47/D$12)</f>
        <v>0</v>
      </c>
      <c r="G47" s="1"/>
      <c r="H47" s="1">
        <f>SUM(OSRRefH22_2x_0)</f>
        <v>75</v>
      </c>
      <c r="I47" s="1"/>
      <c r="J47" s="5">
        <f t="shared" ref="J47:J62" si="30">IF(H$12=0,0,H47/H$12)</f>
        <v>3.3165295834438843E-3</v>
      </c>
      <c r="K47" s="1"/>
      <c r="L47" s="1">
        <f t="shared" ref="L47:L62" si="31">+D47-H47</f>
        <v>-75</v>
      </c>
      <c r="M47" s="1"/>
      <c r="N47" s="5">
        <f t="shared" ref="N47:N62" si="32">IF(H47=0,0,L47/H47)</f>
        <v>-1</v>
      </c>
      <c r="O47" s="12"/>
      <c r="P47" s="1">
        <f>SUM(OSRRefP22_2x_0)</f>
        <v>2599.63</v>
      </c>
      <c r="Q47" s="1"/>
      <c r="R47" s="5">
        <f t="shared" ref="R47:R62" si="33">IF(P$12=0,0,P47/P$12)</f>
        <v>1.0192686843348061E-2</v>
      </c>
      <c r="S47" s="1"/>
      <c r="T47" s="1">
        <f>SUM(OSRRefT22_2x_0)</f>
        <v>1125</v>
      </c>
      <c r="U47" s="1"/>
      <c r="V47" s="5">
        <f t="shared" ref="V47:V62" si="34">IF(T$12=0,0,T47/T$12)</f>
        <v>2.6847335312479119E-3</v>
      </c>
      <c r="W47" s="1"/>
      <c r="X47" s="1">
        <f t="shared" ref="X47:X62" si="35">+P47-T47</f>
        <v>1474.63</v>
      </c>
      <c r="Y47" s="1"/>
      <c r="Z47" s="5">
        <f t="shared" ref="Z47:Z62" si="36">IF(T47=0,0,X47/T47)</f>
        <v>1.3107822222222223</v>
      </c>
    </row>
    <row r="48" spans="1:26" s="24" customFormat="1" hidden="1" outlineLevel="2" x14ac:dyDescent="0.25">
      <c r="A48" s="26"/>
      <c r="B48" s="11" t="str">
        <f>CONCATENATE("          ", "6362", " - ", "ADVERTISING EXPENSE")</f>
        <v xml:space="preserve">          6362 - ADVERTISING EXPENSE</v>
      </c>
      <c r="C48" s="11"/>
      <c r="D48" s="7"/>
      <c r="E48" s="2"/>
      <c r="F48" s="6">
        <f t="shared" si="29"/>
        <v>0</v>
      </c>
      <c r="G48" s="2"/>
      <c r="H48" s="7">
        <v>75</v>
      </c>
      <c r="I48" s="2"/>
      <c r="J48" s="6">
        <f t="shared" si="30"/>
        <v>3.3165295834438843E-3</v>
      </c>
      <c r="K48" s="2"/>
      <c r="L48" s="7">
        <f t="shared" si="31"/>
        <v>-75</v>
      </c>
      <c r="M48" s="2"/>
      <c r="N48" s="6">
        <f t="shared" si="32"/>
        <v>-1</v>
      </c>
      <c r="O48" s="11"/>
      <c r="P48" s="7">
        <v>2599.63</v>
      </c>
      <c r="Q48" s="2"/>
      <c r="R48" s="6">
        <f t="shared" si="33"/>
        <v>1.0192686843348061E-2</v>
      </c>
      <c r="S48" s="2"/>
      <c r="T48" s="7">
        <v>1125</v>
      </c>
      <c r="U48" s="2"/>
      <c r="V48" s="6">
        <f t="shared" si="34"/>
        <v>2.6847335312479119E-3</v>
      </c>
      <c r="W48" s="2"/>
      <c r="X48" s="7">
        <f t="shared" si="35"/>
        <v>1474.63</v>
      </c>
      <c r="Y48" s="2"/>
      <c r="Z48" s="6">
        <f t="shared" si="36"/>
        <v>1.3107822222222223</v>
      </c>
    </row>
    <row r="49" spans="1:26" s="27" customFormat="1" outlineLevel="1" collapsed="1" x14ac:dyDescent="0.25">
      <c r="A49" s="25"/>
      <c r="B49" s="12" t="str">
        <f>CONCATENATE("     ","Bad Debts/Over/Short                              ")</f>
        <v xml:space="preserve">     Bad Debts/Over/Short                              </v>
      </c>
      <c r="C49" s="12"/>
      <c r="D49" s="1">
        <f>SUM(OSRRefD22_3x_0)</f>
        <v>0</v>
      </c>
      <c r="E49" s="1"/>
      <c r="F49" s="5">
        <f t="shared" si="29"/>
        <v>0</v>
      </c>
      <c r="G49" s="1"/>
      <c r="H49" s="1">
        <f>SUM(OSRRefH22_3x_0)</f>
        <v>20</v>
      </c>
      <c r="I49" s="1"/>
      <c r="J49" s="5">
        <f t="shared" si="30"/>
        <v>8.8440788891836917E-4</v>
      </c>
      <c r="K49" s="1"/>
      <c r="L49" s="1">
        <f t="shared" si="31"/>
        <v>-20</v>
      </c>
      <c r="M49" s="1"/>
      <c r="N49" s="5">
        <f t="shared" si="32"/>
        <v>-1</v>
      </c>
      <c r="O49" s="12"/>
      <c r="P49" s="1">
        <f>SUM(OSRRefP22_3x_0)</f>
        <v>-48.26</v>
      </c>
      <c r="Q49" s="1"/>
      <c r="R49" s="5">
        <f t="shared" si="33"/>
        <v>-1.8921887617083101E-4</v>
      </c>
      <c r="S49" s="1"/>
      <c r="T49" s="1">
        <f>SUM(OSRRefT22_3x_0)</f>
        <v>220</v>
      </c>
      <c r="U49" s="1"/>
      <c r="V49" s="5">
        <f t="shared" si="34"/>
        <v>5.2501455722181391E-4</v>
      </c>
      <c r="W49" s="1"/>
      <c r="X49" s="1">
        <f t="shared" si="35"/>
        <v>-268.26</v>
      </c>
      <c r="Y49" s="1"/>
      <c r="Z49" s="5">
        <f t="shared" si="36"/>
        <v>-1.2193636363636364</v>
      </c>
    </row>
    <row r="50" spans="1:26" s="24" customFormat="1" hidden="1" outlineLevel="2" x14ac:dyDescent="0.25">
      <c r="A50" s="26"/>
      <c r="B50" s="11" t="str">
        <f>CONCATENATE("          ", "6272", " - ", "CASH (OVER/SHORT)")</f>
        <v xml:space="preserve">          6272 - CASH (OVER/SHORT)</v>
      </c>
      <c r="C50" s="11"/>
      <c r="D50" s="7"/>
      <c r="E50" s="2"/>
      <c r="F50" s="6">
        <f t="shared" si="29"/>
        <v>0</v>
      </c>
      <c r="G50" s="2"/>
      <c r="H50" s="7">
        <v>20</v>
      </c>
      <c r="I50" s="2"/>
      <c r="J50" s="6">
        <f t="shared" si="30"/>
        <v>8.8440788891836917E-4</v>
      </c>
      <c r="K50" s="2"/>
      <c r="L50" s="7">
        <f t="shared" si="31"/>
        <v>-20</v>
      </c>
      <c r="M50" s="2"/>
      <c r="N50" s="6">
        <f t="shared" si="32"/>
        <v>-1</v>
      </c>
      <c r="O50" s="11"/>
      <c r="P50" s="7">
        <v>-48.26</v>
      </c>
      <c r="Q50" s="2"/>
      <c r="R50" s="6">
        <f t="shared" si="33"/>
        <v>-1.8921887617083101E-4</v>
      </c>
      <c r="S50" s="2"/>
      <c r="T50" s="7">
        <v>220</v>
      </c>
      <c r="U50" s="2"/>
      <c r="V50" s="6">
        <f t="shared" si="34"/>
        <v>5.2501455722181391E-4</v>
      </c>
      <c r="W50" s="2"/>
      <c r="X50" s="7">
        <f t="shared" si="35"/>
        <v>-268.26</v>
      </c>
      <c r="Y50" s="2"/>
      <c r="Z50" s="6">
        <f t="shared" si="36"/>
        <v>-1.2193636363636364</v>
      </c>
    </row>
    <row r="51" spans="1:26" s="27" customFormat="1" outlineLevel="1" collapsed="1" x14ac:dyDescent="0.25">
      <c r="A51" s="25"/>
      <c r="B51" s="12" t="str">
        <f>CONCATENATE("     ","Bank/card Fees                                    ")</f>
        <v xml:space="preserve">     Bank/card Fees                                    </v>
      </c>
      <c r="C51" s="12"/>
      <c r="D51" s="1">
        <f>SUM(OSRRefD22_4x_0)</f>
        <v>0</v>
      </c>
      <c r="E51" s="1"/>
      <c r="F51" s="5">
        <f t="shared" si="29"/>
        <v>0</v>
      </c>
      <c r="G51" s="1"/>
      <c r="H51" s="1">
        <f>SUM(OSRRefH22_4x_0)</f>
        <v>800</v>
      </c>
      <c r="I51" s="1"/>
      <c r="J51" s="5">
        <f t="shared" si="30"/>
        <v>3.5376315556734768E-2</v>
      </c>
      <c r="K51" s="1"/>
      <c r="L51" s="1">
        <f t="shared" si="31"/>
        <v>-800</v>
      </c>
      <c r="M51" s="1"/>
      <c r="N51" s="5">
        <f t="shared" si="32"/>
        <v>-1</v>
      </c>
      <c r="O51" s="12"/>
      <c r="P51" s="1">
        <f>SUM(OSRRefP22_4x_0)</f>
        <v>10000.31</v>
      </c>
      <c r="Q51" s="1"/>
      <c r="R51" s="5">
        <f t="shared" si="33"/>
        <v>3.9209436791544199E-2</v>
      </c>
      <c r="S51" s="1"/>
      <c r="T51" s="1">
        <f>SUM(OSRRefT22_4x_0)</f>
        <v>9700</v>
      </c>
      <c r="U51" s="1"/>
      <c r="V51" s="5">
        <f t="shared" si="34"/>
        <v>2.3148369113870883E-2</v>
      </c>
      <c r="W51" s="1"/>
      <c r="X51" s="1">
        <f t="shared" si="35"/>
        <v>300.30999999999949</v>
      </c>
      <c r="Y51" s="1"/>
      <c r="Z51" s="5">
        <f t="shared" si="36"/>
        <v>3.0959793814432937E-2</v>
      </c>
    </row>
    <row r="52" spans="1:26" s="24" customFormat="1" hidden="1" outlineLevel="2" x14ac:dyDescent="0.25">
      <c r="A52" s="26"/>
      <c r="B52" s="11" t="str">
        <f>CONCATENATE("          ", "6381", " - ", "BANK/CREDIT CARD FEES")</f>
        <v xml:space="preserve">          6381 - BANK/CREDIT CARD FEES</v>
      </c>
      <c r="C52" s="11"/>
      <c r="D52" s="7"/>
      <c r="E52" s="2"/>
      <c r="F52" s="6">
        <f t="shared" si="29"/>
        <v>0</v>
      </c>
      <c r="G52" s="2"/>
      <c r="H52" s="7">
        <v>800</v>
      </c>
      <c r="I52" s="2"/>
      <c r="J52" s="6">
        <f t="shared" si="30"/>
        <v>3.5376315556734768E-2</v>
      </c>
      <c r="K52" s="2"/>
      <c r="L52" s="7">
        <f t="shared" si="31"/>
        <v>-800</v>
      </c>
      <c r="M52" s="2"/>
      <c r="N52" s="6">
        <f t="shared" si="32"/>
        <v>-1</v>
      </c>
      <c r="O52" s="11"/>
      <c r="P52" s="7">
        <v>10000.31</v>
      </c>
      <c r="Q52" s="2"/>
      <c r="R52" s="6">
        <f t="shared" si="33"/>
        <v>3.9209436791544199E-2</v>
      </c>
      <c r="S52" s="2"/>
      <c r="T52" s="7">
        <v>9700</v>
      </c>
      <c r="U52" s="2"/>
      <c r="V52" s="6">
        <f t="shared" si="34"/>
        <v>2.3148369113870883E-2</v>
      </c>
      <c r="W52" s="2"/>
      <c r="X52" s="7">
        <f t="shared" si="35"/>
        <v>300.30999999999949</v>
      </c>
      <c r="Y52" s="2"/>
      <c r="Z52" s="6">
        <f t="shared" si="36"/>
        <v>3.0959793814432937E-2</v>
      </c>
    </row>
    <row r="53" spans="1:26" s="27" customFormat="1" outlineLevel="1" collapsed="1" x14ac:dyDescent="0.25">
      <c r="A53" s="25"/>
      <c r="B53" s="12" t="str">
        <f>CONCATENATE("     ","Depreciation                                      ")</f>
        <v xml:space="preserve">     Depreciation                                      </v>
      </c>
      <c r="C53" s="12"/>
      <c r="D53" s="1">
        <f>SUM(OSRRefD22_5x_0)</f>
        <v>58.03</v>
      </c>
      <c r="E53" s="1"/>
      <c r="F53" s="5">
        <f t="shared" si="29"/>
        <v>0</v>
      </c>
      <c r="G53" s="1"/>
      <c r="H53" s="1">
        <f>SUM(OSRRefH22_5x_0)</f>
        <v>636</v>
      </c>
      <c r="I53" s="1"/>
      <c r="J53" s="5">
        <f t="shared" si="30"/>
        <v>2.8124170867604138E-2</v>
      </c>
      <c r="K53" s="1"/>
      <c r="L53" s="1">
        <f t="shared" si="31"/>
        <v>-577.97</v>
      </c>
      <c r="M53" s="1"/>
      <c r="N53" s="5">
        <f t="shared" si="32"/>
        <v>-0.90875786163522021</v>
      </c>
      <c r="O53" s="12"/>
      <c r="P53" s="1">
        <f>SUM(OSRRefP22_5x_0)</f>
        <v>5787.99</v>
      </c>
      <c r="Q53" s="1"/>
      <c r="R53" s="5">
        <f t="shared" si="33"/>
        <v>2.2693679301450647E-2</v>
      </c>
      <c r="S53" s="1"/>
      <c r="T53" s="1">
        <f>SUM(OSRRefT22_5x_0)</f>
        <v>6996</v>
      </c>
      <c r="U53" s="1"/>
      <c r="V53" s="5">
        <f t="shared" si="34"/>
        <v>1.6695462919653681E-2</v>
      </c>
      <c r="W53" s="1"/>
      <c r="X53" s="1">
        <f t="shared" si="35"/>
        <v>-1208.0100000000002</v>
      </c>
      <c r="Y53" s="1"/>
      <c r="Z53" s="5">
        <f t="shared" si="36"/>
        <v>-0.17267152658662097</v>
      </c>
    </row>
    <row r="54" spans="1:26" s="24" customFormat="1" hidden="1" outlineLevel="2" x14ac:dyDescent="0.25">
      <c r="A54" s="26"/>
      <c r="B54" s="11" t="str">
        <f>CONCATENATE("          ", "6322", " - ", "EQUIPMENT DEPRECIATION EXPENSE")</f>
        <v xml:space="preserve">          6322 - EQUIPMENT DEPRECIATION EXPENSE</v>
      </c>
      <c r="C54" s="11"/>
      <c r="D54" s="7">
        <v>58.03</v>
      </c>
      <c r="E54" s="2"/>
      <c r="F54" s="6">
        <f t="shared" si="29"/>
        <v>0</v>
      </c>
      <c r="G54" s="2"/>
      <c r="H54" s="7">
        <v>636</v>
      </c>
      <c r="I54" s="2"/>
      <c r="J54" s="6">
        <f t="shared" si="30"/>
        <v>2.8124170867604138E-2</v>
      </c>
      <c r="K54" s="2"/>
      <c r="L54" s="7">
        <f t="shared" si="31"/>
        <v>-577.97</v>
      </c>
      <c r="M54" s="2"/>
      <c r="N54" s="6">
        <f t="shared" si="32"/>
        <v>-0.90875786163522021</v>
      </c>
      <c r="O54" s="11"/>
      <c r="P54" s="7">
        <v>5787.99</v>
      </c>
      <c r="Q54" s="2"/>
      <c r="R54" s="6">
        <f t="shared" si="33"/>
        <v>2.2693679301450647E-2</v>
      </c>
      <c r="S54" s="2"/>
      <c r="T54" s="7">
        <v>6996</v>
      </c>
      <c r="U54" s="2"/>
      <c r="V54" s="6">
        <f t="shared" si="34"/>
        <v>1.6695462919653681E-2</v>
      </c>
      <c r="W54" s="2"/>
      <c r="X54" s="7">
        <f t="shared" si="35"/>
        <v>-1208.0100000000002</v>
      </c>
      <c r="Y54" s="2"/>
      <c r="Z54" s="6">
        <f t="shared" si="36"/>
        <v>-0.17267152658662097</v>
      </c>
    </row>
    <row r="55" spans="1:26" s="27" customFormat="1" outlineLevel="1" collapsed="1" x14ac:dyDescent="0.25">
      <c r="A55" s="25"/>
      <c r="B55" s="12" t="str">
        <f>CONCATENATE("     ","Employees' Appreciation                           ")</f>
        <v xml:space="preserve">     Employees' Appreciation                           </v>
      </c>
      <c r="C55" s="12"/>
      <c r="D55" s="1">
        <f>SUM(OSRRefD22_6x_0)</f>
        <v>0</v>
      </c>
      <c r="E55" s="1"/>
      <c r="F55" s="5">
        <f t="shared" si="29"/>
        <v>0</v>
      </c>
      <c r="G55" s="1"/>
      <c r="H55" s="1">
        <f>SUM(OSRRefH22_6x_0)</f>
        <v>250</v>
      </c>
      <c r="I55" s="1"/>
      <c r="J55" s="5">
        <f t="shared" si="30"/>
        <v>1.1055098611479615E-2</v>
      </c>
      <c r="K55" s="1"/>
      <c r="L55" s="1">
        <f t="shared" si="31"/>
        <v>-250</v>
      </c>
      <c r="M55" s="1"/>
      <c r="N55" s="5">
        <f t="shared" si="32"/>
        <v>-1</v>
      </c>
      <c r="O55" s="12"/>
      <c r="P55" s="1">
        <f>SUM(OSRRefP22_6x_0)</f>
        <v>0</v>
      </c>
      <c r="Q55" s="1"/>
      <c r="R55" s="5">
        <f t="shared" si="33"/>
        <v>0</v>
      </c>
      <c r="S55" s="1"/>
      <c r="T55" s="1">
        <f>SUM(OSRRefT22_6x_0)</f>
        <v>500</v>
      </c>
      <c r="U55" s="1"/>
      <c r="V55" s="5">
        <f t="shared" si="34"/>
        <v>1.1932149027768498E-3</v>
      </c>
      <c r="W55" s="1"/>
      <c r="X55" s="1">
        <f t="shared" si="35"/>
        <v>-500</v>
      </c>
      <c r="Y55" s="1"/>
      <c r="Z55" s="5">
        <f t="shared" si="36"/>
        <v>-1</v>
      </c>
    </row>
    <row r="56" spans="1:26" s="24" customFormat="1" hidden="1" outlineLevel="2" x14ac:dyDescent="0.25">
      <c r="A56" s="26"/>
      <c r="B56" s="11" t="str">
        <f>CONCATENATE("          ", "6277", " - ", "EMPLOYEE APPRECIATION")</f>
        <v xml:space="preserve">          6277 - EMPLOYEE APPRECIATION</v>
      </c>
      <c r="C56" s="11"/>
      <c r="D56" s="7"/>
      <c r="E56" s="2"/>
      <c r="F56" s="6">
        <f t="shared" si="29"/>
        <v>0</v>
      </c>
      <c r="G56" s="2"/>
      <c r="H56" s="7">
        <v>250</v>
      </c>
      <c r="I56" s="2"/>
      <c r="J56" s="6">
        <f t="shared" si="30"/>
        <v>1.1055098611479615E-2</v>
      </c>
      <c r="K56" s="2"/>
      <c r="L56" s="7">
        <f t="shared" si="31"/>
        <v>-250</v>
      </c>
      <c r="M56" s="2"/>
      <c r="N56" s="6">
        <f t="shared" si="32"/>
        <v>-1</v>
      </c>
      <c r="O56" s="11"/>
      <c r="P56" s="7"/>
      <c r="Q56" s="2"/>
      <c r="R56" s="6">
        <f t="shared" si="33"/>
        <v>0</v>
      </c>
      <c r="S56" s="2"/>
      <c r="T56" s="7">
        <v>500</v>
      </c>
      <c r="U56" s="2"/>
      <c r="V56" s="6">
        <f t="shared" si="34"/>
        <v>1.1932149027768498E-3</v>
      </c>
      <c r="W56" s="2"/>
      <c r="X56" s="7">
        <f t="shared" si="35"/>
        <v>-500</v>
      </c>
      <c r="Y56" s="2"/>
      <c r="Z56" s="6">
        <f t="shared" si="36"/>
        <v>-1</v>
      </c>
    </row>
    <row r="57" spans="1:26" s="27" customFormat="1" outlineLevel="1" collapsed="1" x14ac:dyDescent="0.25">
      <c r="A57" s="25"/>
      <c r="B57" s="12" t="str">
        <f>CONCATENATE("     ","General                                           ")</f>
        <v xml:space="preserve">     General                                           </v>
      </c>
      <c r="C57" s="12"/>
      <c r="D57" s="1">
        <f>SUM(OSRRefD22_7x_0)</f>
        <v>0</v>
      </c>
      <c r="E57" s="1"/>
      <c r="F57" s="5">
        <f t="shared" si="29"/>
        <v>0</v>
      </c>
      <c r="G57" s="1"/>
      <c r="H57" s="1">
        <f>SUM(OSRRefH22_7x_0)</f>
        <v>0</v>
      </c>
      <c r="I57" s="1"/>
      <c r="J57" s="5">
        <f t="shared" si="30"/>
        <v>0</v>
      </c>
      <c r="K57" s="1"/>
      <c r="L57" s="1">
        <f t="shared" si="31"/>
        <v>0</v>
      </c>
      <c r="M57" s="1"/>
      <c r="N57" s="5">
        <f t="shared" si="32"/>
        <v>0</v>
      </c>
      <c r="O57" s="12"/>
      <c r="P57" s="1">
        <f>SUM(OSRRefP22_7x_0)</f>
        <v>901.75</v>
      </c>
      <c r="Q57" s="1"/>
      <c r="R57" s="5">
        <f t="shared" si="33"/>
        <v>3.535601359035368E-3</v>
      </c>
      <c r="S57" s="1"/>
      <c r="T57" s="1">
        <f>SUM(OSRRefT22_7x_0)</f>
        <v>0</v>
      </c>
      <c r="U57" s="1"/>
      <c r="V57" s="5">
        <f t="shared" si="34"/>
        <v>0</v>
      </c>
      <c r="W57" s="1"/>
      <c r="X57" s="1">
        <f t="shared" si="35"/>
        <v>901.75</v>
      </c>
      <c r="Y57" s="1"/>
      <c r="Z57" s="5">
        <f t="shared" si="36"/>
        <v>0</v>
      </c>
    </row>
    <row r="58" spans="1:26" s="24" customFormat="1" hidden="1" outlineLevel="2" x14ac:dyDescent="0.25">
      <c r="A58" s="26"/>
      <c r="B58" s="11" t="str">
        <f>CONCATENATE("          ", "6279", " - ", "GENERAL EXPENSE")</f>
        <v xml:space="preserve">          6279 - GENERAL EXPENSE</v>
      </c>
      <c r="C58" s="11"/>
      <c r="D58" s="7"/>
      <c r="E58" s="2"/>
      <c r="F58" s="6">
        <f t="shared" si="29"/>
        <v>0</v>
      </c>
      <c r="G58" s="2"/>
      <c r="H58" s="7"/>
      <c r="I58" s="2"/>
      <c r="J58" s="6">
        <f t="shared" si="30"/>
        <v>0</v>
      </c>
      <c r="K58" s="2"/>
      <c r="L58" s="7">
        <f t="shared" si="31"/>
        <v>0</v>
      </c>
      <c r="M58" s="2"/>
      <c r="N58" s="6">
        <f t="shared" si="32"/>
        <v>0</v>
      </c>
      <c r="O58" s="11"/>
      <c r="P58" s="7">
        <v>901.75</v>
      </c>
      <c r="Q58" s="2"/>
      <c r="R58" s="6">
        <f t="shared" si="33"/>
        <v>3.535601359035368E-3</v>
      </c>
      <c r="S58" s="2"/>
      <c r="T58" s="7"/>
      <c r="U58" s="2"/>
      <c r="V58" s="6">
        <f t="shared" si="34"/>
        <v>0</v>
      </c>
      <c r="W58" s="2"/>
      <c r="X58" s="7">
        <f t="shared" si="35"/>
        <v>901.75</v>
      </c>
      <c r="Y58" s="2"/>
      <c r="Z58" s="6">
        <f t="shared" si="36"/>
        <v>0</v>
      </c>
    </row>
    <row r="59" spans="1:26" s="27" customFormat="1" outlineLevel="1" collapsed="1" x14ac:dyDescent="0.25">
      <c r="A59" s="25"/>
      <c r="B59" s="12" t="str">
        <f>CONCATENATE("     ","Repair and Maintenance                            ")</f>
        <v xml:space="preserve">     Repair and Maintenance                            </v>
      </c>
      <c r="C59" s="12"/>
      <c r="D59" s="1">
        <f>SUM(OSRRefD22_8x_0)</f>
        <v>0</v>
      </c>
      <c r="E59" s="1"/>
      <c r="F59" s="5">
        <f t="shared" si="29"/>
        <v>0</v>
      </c>
      <c r="G59" s="1"/>
      <c r="H59" s="1">
        <f>SUM(OSRRefH22_8x_0)</f>
        <v>0</v>
      </c>
      <c r="I59" s="1"/>
      <c r="J59" s="5">
        <f t="shared" si="30"/>
        <v>0</v>
      </c>
      <c r="K59" s="1"/>
      <c r="L59" s="1">
        <f t="shared" si="31"/>
        <v>0</v>
      </c>
      <c r="M59" s="1"/>
      <c r="N59" s="5">
        <f t="shared" si="32"/>
        <v>0</v>
      </c>
      <c r="O59" s="12"/>
      <c r="P59" s="1">
        <f>SUM(OSRRefP22_8x_0)</f>
        <v>8877.11</v>
      </c>
      <c r="Q59" s="1"/>
      <c r="R59" s="5">
        <f t="shared" si="33"/>
        <v>3.4805569371007997E-2</v>
      </c>
      <c r="S59" s="1"/>
      <c r="T59" s="1">
        <f>SUM(OSRRefT22_8x_0)</f>
        <v>0</v>
      </c>
      <c r="U59" s="1"/>
      <c r="V59" s="5">
        <f t="shared" si="34"/>
        <v>0</v>
      </c>
      <c r="W59" s="1"/>
      <c r="X59" s="1">
        <f t="shared" si="35"/>
        <v>8877.11</v>
      </c>
      <c r="Y59" s="1"/>
      <c r="Z59" s="5">
        <f t="shared" si="36"/>
        <v>0</v>
      </c>
    </row>
    <row r="60" spans="1:26" s="24" customFormat="1" hidden="1" outlineLevel="2" x14ac:dyDescent="0.25">
      <c r="A60" s="26"/>
      <c r="B60" s="11" t="str">
        <f>CONCATENATE("          ", "6371", " - ", "COMPUTER SOFTWARE MAINTENANCE")</f>
        <v xml:space="preserve">          6371 - COMPUTER SOFTWARE MAINTENANCE</v>
      </c>
      <c r="C60" s="11"/>
      <c r="D60" s="7"/>
      <c r="E60" s="2"/>
      <c r="F60" s="6">
        <f t="shared" si="29"/>
        <v>0</v>
      </c>
      <c r="G60" s="2"/>
      <c r="H60" s="7"/>
      <c r="I60" s="2"/>
      <c r="J60" s="6">
        <f t="shared" si="30"/>
        <v>0</v>
      </c>
      <c r="K60" s="2"/>
      <c r="L60" s="7">
        <f t="shared" si="31"/>
        <v>0</v>
      </c>
      <c r="M60" s="2"/>
      <c r="N60" s="6">
        <f t="shared" si="32"/>
        <v>0</v>
      </c>
      <c r="O60" s="11"/>
      <c r="P60" s="7">
        <v>874.62</v>
      </c>
      <c r="Q60" s="2"/>
      <c r="R60" s="6">
        <f t="shared" si="33"/>
        <v>3.4292294545489477E-3</v>
      </c>
      <c r="S60" s="2"/>
      <c r="T60" s="7"/>
      <c r="U60" s="2"/>
      <c r="V60" s="6">
        <f t="shared" si="34"/>
        <v>0</v>
      </c>
      <c r="W60" s="2"/>
      <c r="X60" s="7">
        <f t="shared" si="35"/>
        <v>874.62</v>
      </c>
      <c r="Y60" s="2"/>
      <c r="Z60" s="6">
        <f t="shared" si="36"/>
        <v>0</v>
      </c>
    </row>
    <row r="61" spans="1:26" s="24" customFormat="1" hidden="1" outlineLevel="2" x14ac:dyDescent="0.25">
      <c r="A61" s="26"/>
      <c r="B61" s="11" t="str">
        <f>CONCATENATE("          ", "6373", " - ", "MAINTENANCE CONTRACTS")</f>
        <v xml:space="preserve">          6373 - MAINTENANCE CONTRACTS</v>
      </c>
      <c r="C61" s="11"/>
      <c r="D61" s="7"/>
      <c r="E61" s="2"/>
      <c r="F61" s="6">
        <f t="shared" si="29"/>
        <v>0</v>
      </c>
      <c r="G61" s="2"/>
      <c r="H61" s="7"/>
      <c r="I61" s="2"/>
      <c r="J61" s="6">
        <f t="shared" si="30"/>
        <v>0</v>
      </c>
      <c r="K61" s="2"/>
      <c r="L61" s="7">
        <f t="shared" si="31"/>
        <v>0</v>
      </c>
      <c r="M61" s="2"/>
      <c r="N61" s="6">
        <f t="shared" si="32"/>
        <v>0</v>
      </c>
      <c r="O61" s="11"/>
      <c r="P61" s="7">
        <v>1031.97</v>
      </c>
      <c r="Q61" s="2"/>
      <c r="R61" s="6">
        <f t="shared" si="33"/>
        <v>4.0461708172816512E-3</v>
      </c>
      <c r="S61" s="2"/>
      <c r="T61" s="7"/>
      <c r="U61" s="2"/>
      <c r="V61" s="6">
        <f t="shared" si="34"/>
        <v>0</v>
      </c>
      <c r="W61" s="2"/>
      <c r="X61" s="7">
        <f t="shared" si="35"/>
        <v>1031.97</v>
      </c>
      <c r="Y61" s="2"/>
      <c r="Z61" s="6">
        <f t="shared" si="36"/>
        <v>0</v>
      </c>
    </row>
    <row r="62" spans="1:26" s="24" customFormat="1" hidden="1" outlineLevel="2" x14ac:dyDescent="0.25">
      <c r="A62" s="26"/>
      <c r="B62" s="11" t="str">
        <f>CONCATENATE("          ", "6375", " - ", "OUTSIDE REPAIRS &amp; MAINTENANCE")</f>
        <v xml:space="preserve">          6375 - OUTSIDE REPAIRS &amp; MAINTENANCE</v>
      </c>
      <c r="C62" s="11"/>
      <c r="D62" s="7"/>
      <c r="E62" s="2"/>
      <c r="F62" s="6">
        <f t="shared" si="29"/>
        <v>0</v>
      </c>
      <c r="G62" s="2"/>
      <c r="H62" s="7"/>
      <c r="I62" s="2"/>
      <c r="J62" s="6">
        <f t="shared" si="30"/>
        <v>0</v>
      </c>
      <c r="K62" s="2"/>
      <c r="L62" s="7">
        <f t="shared" si="31"/>
        <v>0</v>
      </c>
      <c r="M62" s="2"/>
      <c r="N62" s="6">
        <f t="shared" si="32"/>
        <v>0</v>
      </c>
      <c r="O62" s="11"/>
      <c r="P62" s="7">
        <v>6970.52</v>
      </c>
      <c r="Q62" s="2"/>
      <c r="R62" s="6">
        <f t="shared" si="33"/>
        <v>2.7330169099177393E-2</v>
      </c>
      <c r="S62" s="2"/>
      <c r="T62" s="7"/>
      <c r="U62" s="2"/>
      <c r="V62" s="6">
        <f t="shared" si="34"/>
        <v>0</v>
      </c>
      <c r="W62" s="2"/>
      <c r="X62" s="7">
        <f t="shared" si="35"/>
        <v>6970.52</v>
      </c>
      <c r="Y62" s="2"/>
      <c r="Z62" s="6">
        <f t="shared" si="36"/>
        <v>0</v>
      </c>
    </row>
    <row r="63" spans="1:26" s="27" customFormat="1" outlineLevel="1" collapsed="1" x14ac:dyDescent="0.25">
      <c r="A63" s="25"/>
      <c r="B63" s="12" t="str">
        <f>CONCATENATE("     ","Services                                          ")</f>
        <v xml:space="preserve">     Services                                          </v>
      </c>
      <c r="C63" s="12"/>
      <c r="D63" s="1">
        <f>SUM(OSRRefD22_9x_0)</f>
        <v>0</v>
      </c>
      <c r="E63" s="1"/>
      <c r="F63" s="5">
        <f t="shared" ref="F63:F65" si="37">IF(D$12=0,0,D63/D$12)</f>
        <v>0</v>
      </c>
      <c r="G63" s="1"/>
      <c r="H63" s="1">
        <f>SUM(OSRRefH22_9x_0)</f>
        <v>0</v>
      </c>
      <c r="I63" s="1"/>
      <c r="J63" s="5">
        <f t="shared" ref="J63:J65" si="38">IF(H$12=0,0,H63/H$12)</f>
        <v>0</v>
      </c>
      <c r="K63" s="1"/>
      <c r="L63" s="1">
        <f t="shared" ref="L63:L65" si="39">+D63-H63</f>
        <v>0</v>
      </c>
      <c r="M63" s="1"/>
      <c r="N63" s="5">
        <f t="shared" ref="N63:N65" si="40">IF(H63=0,0,L63/H63)</f>
        <v>0</v>
      </c>
      <c r="O63" s="12"/>
      <c r="P63" s="1">
        <f>SUM(OSRRefP22_9x_0)</f>
        <v>1368.82</v>
      </c>
      <c r="Q63" s="1"/>
      <c r="R63" s="5">
        <f t="shared" ref="R63:R65" si="41">IF(P$12=0,0,P63/P$12)</f>
        <v>5.3668997530078094E-3</v>
      </c>
      <c r="S63" s="1"/>
      <c r="T63" s="1">
        <f>SUM(OSRRefT22_9x_0)</f>
        <v>90</v>
      </c>
      <c r="U63" s="1"/>
      <c r="V63" s="5">
        <f t="shared" ref="V63:V65" si="42">IF(T$12=0,0,T63/T$12)</f>
        <v>2.1477868249983296E-4</v>
      </c>
      <c r="W63" s="1"/>
      <c r="X63" s="1">
        <f t="shared" ref="X63:X65" si="43">+P63-T63</f>
        <v>1278.82</v>
      </c>
      <c r="Y63" s="1"/>
      <c r="Z63" s="5">
        <f t="shared" ref="Z63:Z65" si="44">IF(T63=0,0,X63/T63)</f>
        <v>14.20911111111111</v>
      </c>
    </row>
    <row r="64" spans="1:26" s="24" customFormat="1" hidden="1" outlineLevel="2" x14ac:dyDescent="0.25">
      <c r="A64" s="26"/>
      <c r="B64" s="11" t="str">
        <f>CONCATENATE("          ", "6285", " - ", "JANITORIAL SERVICES")</f>
        <v xml:space="preserve">          6285 - JANITORIAL SERVICES</v>
      </c>
      <c r="C64" s="11"/>
      <c r="D64" s="7"/>
      <c r="E64" s="2"/>
      <c r="F64" s="6">
        <f t="shared" si="37"/>
        <v>0</v>
      </c>
      <c r="G64" s="2"/>
      <c r="H64" s="7"/>
      <c r="I64" s="2"/>
      <c r="J64" s="6">
        <f t="shared" si="38"/>
        <v>0</v>
      </c>
      <c r="K64" s="2"/>
      <c r="L64" s="7">
        <f t="shared" si="39"/>
        <v>0</v>
      </c>
      <c r="M64" s="2"/>
      <c r="N64" s="6">
        <f t="shared" si="40"/>
        <v>0</v>
      </c>
      <c r="O64" s="11"/>
      <c r="P64" s="7">
        <v>712.8</v>
      </c>
      <c r="Q64" s="2"/>
      <c r="R64" s="6">
        <f t="shared" si="41"/>
        <v>2.7947620168787472E-3</v>
      </c>
      <c r="S64" s="2"/>
      <c r="T64" s="7"/>
      <c r="U64" s="2"/>
      <c r="V64" s="6">
        <f t="shared" si="42"/>
        <v>0</v>
      </c>
      <c r="W64" s="2"/>
      <c r="X64" s="7">
        <f t="shared" si="43"/>
        <v>712.8</v>
      </c>
      <c r="Y64" s="2"/>
      <c r="Z64" s="6">
        <f t="shared" si="44"/>
        <v>0</v>
      </c>
    </row>
    <row r="65" spans="1:26" s="24" customFormat="1" hidden="1" outlineLevel="2" x14ac:dyDescent="0.25">
      <c r="A65" s="26"/>
      <c r="B65" s="11" t="str">
        <f>CONCATENATE("          ", "6286", " - ", "LAUNDRY EXPENSE")</f>
        <v xml:space="preserve">          6286 - LAUNDRY EXPENSE</v>
      </c>
      <c r="C65" s="11"/>
      <c r="D65" s="7"/>
      <c r="E65" s="2"/>
      <c r="F65" s="6">
        <f t="shared" si="37"/>
        <v>0</v>
      </c>
      <c r="G65" s="2"/>
      <c r="H65" s="7"/>
      <c r="I65" s="2"/>
      <c r="J65" s="6">
        <f t="shared" si="38"/>
        <v>0</v>
      </c>
      <c r="K65" s="2"/>
      <c r="L65" s="7">
        <f t="shared" si="39"/>
        <v>0</v>
      </c>
      <c r="M65" s="2"/>
      <c r="N65" s="6">
        <f t="shared" si="40"/>
        <v>0</v>
      </c>
      <c r="O65" s="11"/>
      <c r="P65" s="7">
        <v>656.02</v>
      </c>
      <c r="Q65" s="2"/>
      <c r="R65" s="6">
        <f t="shared" si="41"/>
        <v>2.5721377361290626E-3</v>
      </c>
      <c r="S65" s="2"/>
      <c r="T65" s="7">
        <v>90</v>
      </c>
      <c r="U65" s="2"/>
      <c r="V65" s="6">
        <f t="shared" si="42"/>
        <v>2.1477868249983296E-4</v>
      </c>
      <c r="W65" s="2"/>
      <c r="X65" s="7">
        <f t="shared" si="43"/>
        <v>566.02</v>
      </c>
      <c r="Y65" s="2"/>
      <c r="Z65" s="6">
        <f t="shared" si="44"/>
        <v>6.2891111111111107</v>
      </c>
    </row>
    <row r="66" spans="1:26" s="27" customFormat="1" outlineLevel="1" collapsed="1" x14ac:dyDescent="0.25">
      <c r="A66" s="25"/>
      <c r="B66" s="12" t="str">
        <f>CONCATENATE("     ","Supplies                                          ")</f>
        <v xml:space="preserve">     Supplies                                          </v>
      </c>
      <c r="C66" s="12"/>
      <c r="D66" s="1">
        <f>SUM(OSRRefD22_10x_0)</f>
        <v>65.05</v>
      </c>
      <c r="E66" s="1"/>
      <c r="F66" s="5">
        <f t="shared" ref="F66:F73" si="45">IF(D$12=0,0,D66/D$12)</f>
        <v>0</v>
      </c>
      <c r="G66" s="1"/>
      <c r="H66" s="1">
        <f>SUM(OSRRefH22_10x_0)</f>
        <v>700</v>
      </c>
      <c r="I66" s="1"/>
      <c r="J66" s="5">
        <f t="shared" ref="J66:J73" si="46">IF(H$12=0,0,H66/H$12)</f>
        <v>3.0954276112142919E-2</v>
      </c>
      <c r="K66" s="1"/>
      <c r="L66" s="1">
        <f t="shared" ref="L66:L73" si="47">+D66-H66</f>
        <v>-634.95000000000005</v>
      </c>
      <c r="M66" s="1"/>
      <c r="N66" s="5">
        <f t="shared" ref="N66:N73" si="48">IF(H66=0,0,L66/H66)</f>
        <v>-0.90707142857142864</v>
      </c>
      <c r="O66" s="12"/>
      <c r="P66" s="1">
        <f>SUM(OSRRefP22_10x_0)</f>
        <v>4661.3099999999995</v>
      </c>
      <c r="Q66" s="1"/>
      <c r="R66" s="5">
        <f t="shared" ref="R66:R73" si="49">IF(P$12=0,0,P66/P$12)</f>
        <v>1.8276167419889272E-2</v>
      </c>
      <c r="S66" s="1"/>
      <c r="T66" s="1">
        <f>SUM(OSRRefT22_10x_0)</f>
        <v>6800</v>
      </c>
      <c r="U66" s="1"/>
      <c r="V66" s="5">
        <f t="shared" ref="V66:V73" si="50">IF(T$12=0,0,T66/T$12)</f>
        <v>1.6227722677765156E-2</v>
      </c>
      <c r="W66" s="1"/>
      <c r="X66" s="1">
        <f t="shared" ref="X66:X73" si="51">+P66-T66</f>
        <v>-2138.6900000000005</v>
      </c>
      <c r="Y66" s="1"/>
      <c r="Z66" s="5">
        <f t="shared" ref="Z66:Z73" si="52">IF(T66=0,0,X66/T66)</f>
        <v>-0.31451323529411773</v>
      </c>
    </row>
    <row r="67" spans="1:26" s="24" customFormat="1" hidden="1" outlineLevel="2" x14ac:dyDescent="0.25">
      <c r="A67" s="26"/>
      <c r="B67" s="11" t="str">
        <f>CONCATENATE("          ", "6237", " - ", "JANITORIAL SUPPLIES")</f>
        <v xml:space="preserve">          6237 - JANITORIAL SUPPLIES</v>
      </c>
      <c r="C67" s="11"/>
      <c r="D67" s="7"/>
      <c r="E67" s="2"/>
      <c r="F67" s="6">
        <f t="shared" si="45"/>
        <v>0</v>
      </c>
      <c r="G67" s="2"/>
      <c r="H67" s="7">
        <v>200</v>
      </c>
      <c r="I67" s="2"/>
      <c r="J67" s="6">
        <f t="shared" si="46"/>
        <v>8.844078889183692E-3</v>
      </c>
      <c r="K67" s="2"/>
      <c r="L67" s="7">
        <f t="shared" si="47"/>
        <v>-200</v>
      </c>
      <c r="M67" s="2"/>
      <c r="N67" s="6">
        <f t="shared" si="48"/>
        <v>-1</v>
      </c>
      <c r="O67" s="11"/>
      <c r="P67" s="7"/>
      <c r="Q67" s="2"/>
      <c r="R67" s="6">
        <f t="shared" si="49"/>
        <v>0</v>
      </c>
      <c r="S67" s="2"/>
      <c r="T67" s="7">
        <v>840</v>
      </c>
      <c r="U67" s="2"/>
      <c r="V67" s="6">
        <f t="shared" si="50"/>
        <v>2.0046010366651075E-3</v>
      </c>
      <c r="W67" s="2"/>
      <c r="X67" s="7">
        <f t="shared" si="51"/>
        <v>-840</v>
      </c>
      <c r="Y67" s="2"/>
      <c r="Z67" s="6">
        <f t="shared" si="52"/>
        <v>-1</v>
      </c>
    </row>
    <row r="68" spans="1:26" s="24" customFormat="1" hidden="1" outlineLevel="2" x14ac:dyDescent="0.25">
      <c r="A68" s="26"/>
      <c r="B68" s="11" t="str">
        <f>CONCATENATE("          ", "6239", " - ", "KITCHEN SUPPLIES")</f>
        <v xml:space="preserve">          6239 - KITCHEN SUPPLIES</v>
      </c>
      <c r="C68" s="11"/>
      <c r="D68" s="7"/>
      <c r="E68" s="2"/>
      <c r="F68" s="6">
        <f t="shared" si="45"/>
        <v>0</v>
      </c>
      <c r="G68" s="2"/>
      <c r="H68" s="7">
        <v>100</v>
      </c>
      <c r="I68" s="2"/>
      <c r="J68" s="6">
        <f t="shared" si="46"/>
        <v>4.422039444591846E-3</v>
      </c>
      <c r="K68" s="2"/>
      <c r="L68" s="7">
        <f t="shared" si="47"/>
        <v>-100</v>
      </c>
      <c r="M68" s="2"/>
      <c r="N68" s="6">
        <f t="shared" si="48"/>
        <v>-1</v>
      </c>
      <c r="O68" s="11"/>
      <c r="P68" s="7">
        <v>960.31</v>
      </c>
      <c r="Q68" s="2"/>
      <c r="R68" s="6">
        <f t="shared" si="49"/>
        <v>3.7652047031829822E-3</v>
      </c>
      <c r="S68" s="2"/>
      <c r="T68" s="7">
        <v>990</v>
      </c>
      <c r="U68" s="2"/>
      <c r="V68" s="6">
        <f t="shared" si="50"/>
        <v>2.3625655074981625E-3</v>
      </c>
      <c r="W68" s="2"/>
      <c r="X68" s="7">
        <f t="shared" si="51"/>
        <v>-29.690000000000055</v>
      </c>
      <c r="Y68" s="2"/>
      <c r="Z68" s="6">
        <f t="shared" si="52"/>
        <v>-2.9989898989899046E-2</v>
      </c>
    </row>
    <row r="69" spans="1:26" s="24" customFormat="1" hidden="1" outlineLevel="2" x14ac:dyDescent="0.25">
      <c r="A69" s="26"/>
      <c r="B69" s="11" t="str">
        <f>CONCATENATE("          ", "6241", " - ", "OFFICE EXPENSE")</f>
        <v xml:space="preserve">          6241 - OFFICE EXPENSE</v>
      </c>
      <c r="C69" s="11"/>
      <c r="D69" s="7">
        <v>65.05</v>
      </c>
      <c r="E69" s="2"/>
      <c r="F69" s="6">
        <f t="shared" si="45"/>
        <v>0</v>
      </c>
      <c r="G69" s="2"/>
      <c r="H69" s="7">
        <v>50</v>
      </c>
      <c r="I69" s="2"/>
      <c r="J69" s="6">
        <f t="shared" si="46"/>
        <v>2.211019722295923E-3</v>
      </c>
      <c r="K69" s="2"/>
      <c r="L69" s="7">
        <f t="shared" si="47"/>
        <v>15.049999999999997</v>
      </c>
      <c r="M69" s="2"/>
      <c r="N69" s="6">
        <f t="shared" si="48"/>
        <v>0.30099999999999993</v>
      </c>
      <c r="O69" s="11"/>
      <c r="P69" s="7">
        <v>1218.29</v>
      </c>
      <c r="Q69" s="2"/>
      <c r="R69" s="6">
        <f t="shared" si="49"/>
        <v>4.776698397226724E-3</v>
      </c>
      <c r="S69" s="2"/>
      <c r="T69" s="7">
        <v>490</v>
      </c>
      <c r="U69" s="2"/>
      <c r="V69" s="6">
        <f t="shared" si="50"/>
        <v>1.1693506047213127E-3</v>
      </c>
      <c r="W69" s="2"/>
      <c r="X69" s="7">
        <f t="shared" si="51"/>
        <v>728.29</v>
      </c>
      <c r="Y69" s="2"/>
      <c r="Z69" s="6">
        <f t="shared" si="52"/>
        <v>1.4863061224489795</v>
      </c>
    </row>
    <row r="70" spans="1:26" s="24" customFormat="1" hidden="1" outlineLevel="2" x14ac:dyDescent="0.25">
      <c r="A70" s="26"/>
      <c r="B70" s="11" t="str">
        <f>CONCATENATE("          ", "6243", " - ", "PAPER SUPPLIES")</f>
        <v xml:space="preserve">          6243 - PAPER SUPPLIES</v>
      </c>
      <c r="C70" s="11"/>
      <c r="D70" s="7"/>
      <c r="E70" s="2"/>
      <c r="F70" s="6">
        <f t="shared" si="45"/>
        <v>0</v>
      </c>
      <c r="G70" s="2"/>
      <c r="H70" s="7">
        <v>300</v>
      </c>
      <c r="I70" s="2"/>
      <c r="J70" s="6">
        <f t="shared" si="46"/>
        <v>1.3266118333775537E-2</v>
      </c>
      <c r="K70" s="2"/>
      <c r="L70" s="7">
        <f t="shared" si="47"/>
        <v>-300</v>
      </c>
      <c r="M70" s="2"/>
      <c r="N70" s="6">
        <f t="shared" si="48"/>
        <v>-1</v>
      </c>
      <c r="O70" s="11"/>
      <c r="P70" s="7">
        <v>1490.35</v>
      </c>
      <c r="Q70" s="2"/>
      <c r="R70" s="6">
        <f t="shared" si="49"/>
        <v>5.8433972669125148E-3</v>
      </c>
      <c r="S70" s="2"/>
      <c r="T70" s="7">
        <v>2745</v>
      </c>
      <c r="U70" s="2"/>
      <c r="V70" s="6">
        <f t="shared" si="50"/>
        <v>6.5507498162449048E-3</v>
      </c>
      <c r="W70" s="2"/>
      <c r="X70" s="7">
        <f t="shared" si="51"/>
        <v>-1254.6500000000001</v>
      </c>
      <c r="Y70" s="2"/>
      <c r="Z70" s="6">
        <f t="shared" si="52"/>
        <v>-0.4570673952641166</v>
      </c>
    </row>
    <row r="71" spans="1:26" s="24" customFormat="1" hidden="1" outlineLevel="2" x14ac:dyDescent="0.25">
      <c r="A71" s="26"/>
      <c r="B71" s="11" t="str">
        <f>CONCATENATE("          ", "6245", " - ", "PRINTING")</f>
        <v xml:space="preserve">          6245 - PRINTING</v>
      </c>
      <c r="C71" s="11"/>
      <c r="D71" s="7"/>
      <c r="E71" s="2"/>
      <c r="F71" s="6">
        <f t="shared" si="45"/>
        <v>0</v>
      </c>
      <c r="G71" s="2"/>
      <c r="H71" s="7"/>
      <c r="I71" s="2"/>
      <c r="J71" s="6">
        <f t="shared" si="46"/>
        <v>0</v>
      </c>
      <c r="K71" s="2"/>
      <c r="L71" s="7">
        <f t="shared" si="47"/>
        <v>0</v>
      </c>
      <c r="M71" s="2"/>
      <c r="N71" s="6">
        <f t="shared" si="48"/>
        <v>0</v>
      </c>
      <c r="O71" s="11"/>
      <c r="P71" s="7">
        <v>244.39</v>
      </c>
      <c r="Q71" s="2"/>
      <c r="R71" s="6">
        <f t="shared" si="49"/>
        <v>9.5820972124719002E-4</v>
      </c>
      <c r="S71" s="2"/>
      <c r="T71" s="7"/>
      <c r="U71" s="2"/>
      <c r="V71" s="6">
        <f t="shared" si="50"/>
        <v>0</v>
      </c>
      <c r="W71" s="2"/>
      <c r="X71" s="7">
        <f t="shared" si="51"/>
        <v>244.39</v>
      </c>
      <c r="Y71" s="2"/>
      <c r="Z71" s="6">
        <f t="shared" si="52"/>
        <v>0</v>
      </c>
    </row>
    <row r="72" spans="1:26" s="24" customFormat="1" hidden="1" outlineLevel="2" x14ac:dyDescent="0.25">
      <c r="A72" s="26"/>
      <c r="B72" s="11" t="str">
        <f>CONCATENATE("          ", "6247", " - ", "STORE SUPPLIES")</f>
        <v xml:space="preserve">          6247 - STORE SUPPLIES</v>
      </c>
      <c r="C72" s="11"/>
      <c r="D72" s="7"/>
      <c r="E72" s="2"/>
      <c r="F72" s="6">
        <f t="shared" si="45"/>
        <v>0</v>
      </c>
      <c r="G72" s="2"/>
      <c r="H72" s="7">
        <v>50</v>
      </c>
      <c r="I72" s="2"/>
      <c r="J72" s="6">
        <f t="shared" si="46"/>
        <v>2.211019722295923E-3</v>
      </c>
      <c r="K72" s="2"/>
      <c r="L72" s="7">
        <f t="shared" si="47"/>
        <v>-50</v>
      </c>
      <c r="M72" s="2"/>
      <c r="N72" s="6">
        <f t="shared" si="48"/>
        <v>-1</v>
      </c>
      <c r="O72" s="11"/>
      <c r="P72" s="7">
        <v>42.98</v>
      </c>
      <c r="Q72" s="2"/>
      <c r="R72" s="6">
        <f t="shared" si="49"/>
        <v>1.685169353050625E-4</v>
      </c>
      <c r="S72" s="2"/>
      <c r="T72" s="7">
        <v>1235</v>
      </c>
      <c r="U72" s="2"/>
      <c r="V72" s="6">
        <f t="shared" si="50"/>
        <v>2.9472408098588187E-3</v>
      </c>
      <c r="W72" s="2"/>
      <c r="X72" s="7">
        <f t="shared" si="51"/>
        <v>-1192.02</v>
      </c>
      <c r="Y72" s="2"/>
      <c r="Z72" s="6">
        <f t="shared" si="52"/>
        <v>-0.96519838056680163</v>
      </c>
    </row>
    <row r="73" spans="1:26" s="24" customFormat="1" hidden="1" outlineLevel="2" x14ac:dyDescent="0.25">
      <c r="A73" s="26"/>
      <c r="B73" s="11" t="str">
        <f>CONCATENATE("          ", "6248", " - ", "UNIFORMS")</f>
        <v xml:space="preserve">          6248 - UNIFORMS</v>
      </c>
      <c r="C73" s="11"/>
      <c r="D73" s="7"/>
      <c r="E73" s="2"/>
      <c r="F73" s="6">
        <f t="shared" si="45"/>
        <v>0</v>
      </c>
      <c r="G73" s="2"/>
      <c r="H73" s="7"/>
      <c r="I73" s="2"/>
      <c r="J73" s="6">
        <f t="shared" si="46"/>
        <v>0</v>
      </c>
      <c r="K73" s="2"/>
      <c r="L73" s="7">
        <f t="shared" si="47"/>
        <v>0</v>
      </c>
      <c r="M73" s="2"/>
      <c r="N73" s="6">
        <f t="shared" si="48"/>
        <v>0</v>
      </c>
      <c r="O73" s="11"/>
      <c r="P73" s="7">
        <v>704.99</v>
      </c>
      <c r="Q73" s="2"/>
      <c r="R73" s="6">
        <f t="shared" si="49"/>
        <v>2.7641403960147982E-3</v>
      </c>
      <c r="S73" s="2"/>
      <c r="T73" s="7">
        <v>500</v>
      </c>
      <c r="U73" s="2"/>
      <c r="V73" s="6">
        <f t="shared" si="50"/>
        <v>1.1932149027768498E-3</v>
      </c>
      <c r="W73" s="2"/>
      <c r="X73" s="7">
        <f t="shared" si="51"/>
        <v>204.99</v>
      </c>
      <c r="Y73" s="2"/>
      <c r="Z73" s="6">
        <f t="shared" si="52"/>
        <v>0.40998000000000001</v>
      </c>
    </row>
    <row r="74" spans="1:26" s="27" customFormat="1" outlineLevel="1" collapsed="1" x14ac:dyDescent="0.25">
      <c r="A74" s="25"/>
      <c r="B74" s="12" t="str">
        <f>CONCATENATE("     ","Telephone/Data Lines                              ")</f>
        <v xml:space="preserve">     Telephone/Data Lines                              </v>
      </c>
      <c r="C74" s="12"/>
      <c r="D74" s="1">
        <f>SUM(OSRRefD22_11x_0)</f>
        <v>71</v>
      </c>
      <c r="E74" s="1"/>
      <c r="F74" s="5">
        <f t="shared" ref="F74:F76" si="53">IF(D$12=0,0,D74/D$12)</f>
        <v>0</v>
      </c>
      <c r="G74" s="1"/>
      <c r="H74" s="1">
        <f>SUM(OSRRefH22_11x_0)</f>
        <v>95</v>
      </c>
      <c r="I74" s="1"/>
      <c r="J74" s="5">
        <f t="shared" ref="J74:J76" si="54">IF(H$12=0,0,H74/H$12)</f>
        <v>4.2009374723622536E-3</v>
      </c>
      <c r="K74" s="1"/>
      <c r="L74" s="1">
        <f t="shared" ref="L74:L76" si="55">+D74-H74</f>
        <v>-24</v>
      </c>
      <c r="M74" s="1"/>
      <c r="N74" s="5">
        <f t="shared" ref="N74:N76" si="56">IF(H74=0,0,L74/H74)</f>
        <v>-0.25263157894736843</v>
      </c>
      <c r="O74" s="12"/>
      <c r="P74" s="1">
        <f>SUM(OSRRefP22_11x_0)</f>
        <v>836.96</v>
      </c>
      <c r="Q74" s="1"/>
      <c r="R74" s="5">
        <f t="shared" ref="R74:R76" si="57">IF(P$12=0,0,P74/P$12)</f>
        <v>3.2815712929950007E-3</v>
      </c>
      <c r="S74" s="1"/>
      <c r="T74" s="1">
        <f>SUM(OSRRefT22_11x_0)</f>
        <v>1045</v>
      </c>
      <c r="U74" s="1"/>
      <c r="V74" s="5">
        <f t="shared" ref="V74:V76" si="58">IF(T$12=0,0,T74/T$12)</f>
        <v>2.4938191468036161E-3</v>
      </c>
      <c r="W74" s="1"/>
      <c r="X74" s="1">
        <f t="shared" ref="X74:X76" si="59">+P74-T74</f>
        <v>-208.03999999999996</v>
      </c>
      <c r="Y74" s="1"/>
      <c r="Z74" s="5">
        <f t="shared" ref="Z74:Z76" si="60">IF(T74=0,0,X74/T74)</f>
        <v>-0.19908133971291864</v>
      </c>
    </row>
    <row r="75" spans="1:26" s="24" customFormat="1" hidden="1" outlineLevel="2" x14ac:dyDescent="0.25">
      <c r="A75" s="26"/>
      <c r="B75" s="11" t="str">
        <f>CONCATENATE("          ", "6303", " - ", "DATA PHONE LINES")</f>
        <v xml:space="preserve">          6303 - DATA PHONE LINES</v>
      </c>
      <c r="C75" s="11"/>
      <c r="D75" s="7"/>
      <c r="E75" s="2"/>
      <c r="F75" s="6">
        <f t="shared" si="53"/>
        <v>0</v>
      </c>
      <c r="G75" s="2"/>
      <c r="H75" s="7">
        <v>50</v>
      </c>
      <c r="I75" s="2"/>
      <c r="J75" s="6">
        <f t="shared" si="54"/>
        <v>2.211019722295923E-3</v>
      </c>
      <c r="K75" s="2"/>
      <c r="L75" s="7">
        <f t="shared" si="55"/>
        <v>-50</v>
      </c>
      <c r="M75" s="2"/>
      <c r="N75" s="6">
        <f t="shared" si="56"/>
        <v>-1</v>
      </c>
      <c r="O75" s="11"/>
      <c r="P75" s="7"/>
      <c r="Q75" s="2"/>
      <c r="R75" s="6">
        <f t="shared" si="57"/>
        <v>0</v>
      </c>
      <c r="S75" s="2"/>
      <c r="T75" s="7">
        <v>550</v>
      </c>
      <c r="U75" s="2"/>
      <c r="V75" s="6">
        <f t="shared" si="58"/>
        <v>1.3125363930545347E-3</v>
      </c>
      <c r="W75" s="2"/>
      <c r="X75" s="7">
        <f t="shared" si="59"/>
        <v>-550</v>
      </c>
      <c r="Y75" s="2"/>
      <c r="Z75" s="6">
        <f t="shared" si="60"/>
        <v>-1</v>
      </c>
    </row>
    <row r="76" spans="1:26" s="24" customFormat="1" hidden="1" outlineLevel="2" x14ac:dyDescent="0.25">
      <c r="A76" s="26"/>
      <c r="B76" s="11" t="str">
        <f>CONCATENATE("          ", "6309", " - ", "TELEPHONE")</f>
        <v xml:space="preserve">          6309 - TELEPHONE</v>
      </c>
      <c r="C76" s="11"/>
      <c r="D76" s="7">
        <v>71</v>
      </c>
      <c r="E76" s="2"/>
      <c r="F76" s="6">
        <f t="shared" si="53"/>
        <v>0</v>
      </c>
      <c r="G76" s="2"/>
      <c r="H76" s="7">
        <v>45</v>
      </c>
      <c r="I76" s="2"/>
      <c r="J76" s="6">
        <f t="shared" si="54"/>
        <v>1.9899177500663306E-3</v>
      </c>
      <c r="K76" s="2"/>
      <c r="L76" s="7">
        <f t="shared" si="55"/>
        <v>26</v>
      </c>
      <c r="M76" s="2"/>
      <c r="N76" s="6">
        <f t="shared" si="56"/>
        <v>0.57777777777777772</v>
      </c>
      <c r="O76" s="11"/>
      <c r="P76" s="7">
        <v>836.96</v>
      </c>
      <c r="Q76" s="2"/>
      <c r="R76" s="6">
        <f t="shared" si="57"/>
        <v>3.2815712929950007E-3</v>
      </c>
      <c r="S76" s="2"/>
      <c r="T76" s="7">
        <v>495</v>
      </c>
      <c r="U76" s="2"/>
      <c r="V76" s="6">
        <f t="shared" si="58"/>
        <v>1.1812827537490812E-3</v>
      </c>
      <c r="W76" s="2"/>
      <c r="X76" s="7">
        <f t="shared" si="59"/>
        <v>341.96000000000004</v>
      </c>
      <c r="Y76" s="2"/>
      <c r="Z76" s="6">
        <f t="shared" si="60"/>
        <v>0.6908282828282829</v>
      </c>
    </row>
    <row r="77" spans="1:26" s="27" customFormat="1" outlineLevel="1" collapsed="1" x14ac:dyDescent="0.25">
      <c r="A77" s="25"/>
      <c r="B77" s="12" t="str">
        <f>CONCATENATE("     ","Training                                          ")</f>
        <v xml:space="preserve">     Training                                          </v>
      </c>
      <c r="C77" s="12"/>
      <c r="D77" s="1">
        <f>SUM(OSRRefD22_12x_0)</f>
        <v>0</v>
      </c>
      <c r="E77" s="1"/>
      <c r="F77" s="5">
        <f t="shared" ref="F77:F80" si="61">IF(D$12=0,0,D77/D$12)</f>
        <v>0</v>
      </c>
      <c r="G77" s="1"/>
      <c r="H77" s="1">
        <f>SUM(OSRRefH22_12x_0)</f>
        <v>0</v>
      </c>
      <c r="I77" s="1"/>
      <c r="J77" s="5">
        <f t="shared" ref="J77:J80" si="62">IF(H$12=0,0,H77/H$12)</f>
        <v>0</v>
      </c>
      <c r="K77" s="1"/>
      <c r="L77" s="1">
        <f t="shared" ref="L77:L80" si="63">+D77-H77</f>
        <v>0</v>
      </c>
      <c r="M77" s="1"/>
      <c r="N77" s="5">
        <f t="shared" ref="N77:N80" si="64">IF(H77=0,0,L77/H77)</f>
        <v>0</v>
      </c>
      <c r="O77" s="12"/>
      <c r="P77" s="1">
        <f>SUM(OSRRefP22_12x_0)</f>
        <v>52.5</v>
      </c>
      <c r="Q77" s="1"/>
      <c r="R77" s="5">
        <f t="shared" ref="R77:R80" si="65">IF(P$12=0,0,P77/P$12)</f>
        <v>2.058431620175845E-4</v>
      </c>
      <c r="S77" s="1"/>
      <c r="T77" s="1">
        <f>SUM(OSRRefT22_12x_0)</f>
        <v>600</v>
      </c>
      <c r="U77" s="1"/>
      <c r="V77" s="5">
        <f t="shared" ref="V77:V80" si="66">IF(T$12=0,0,T77/T$12)</f>
        <v>1.4318578833322196E-3</v>
      </c>
      <c r="W77" s="1"/>
      <c r="X77" s="1">
        <f t="shared" ref="X77:X80" si="67">+P77-T77</f>
        <v>-547.5</v>
      </c>
      <c r="Y77" s="1"/>
      <c r="Z77" s="5">
        <f t="shared" ref="Z77:Z80" si="68">IF(T77=0,0,X77/T77)</f>
        <v>-0.91249999999999998</v>
      </c>
    </row>
    <row r="78" spans="1:26" s="24" customFormat="1" hidden="1" outlineLevel="2" x14ac:dyDescent="0.25">
      <c r="A78" s="26"/>
      <c r="B78" s="11" t="str">
        <f>CONCATENATE("          ", "6376", " - ", "TRAINING")</f>
        <v xml:space="preserve">          6376 - TRAINING</v>
      </c>
      <c r="C78" s="11"/>
      <c r="D78" s="7"/>
      <c r="E78" s="2"/>
      <c r="F78" s="6">
        <f t="shared" si="61"/>
        <v>0</v>
      </c>
      <c r="G78" s="2"/>
      <c r="H78" s="7"/>
      <c r="I78" s="2"/>
      <c r="J78" s="6">
        <f t="shared" si="62"/>
        <v>0</v>
      </c>
      <c r="K78" s="2"/>
      <c r="L78" s="7">
        <f t="shared" si="63"/>
        <v>0</v>
      </c>
      <c r="M78" s="2"/>
      <c r="N78" s="6">
        <f t="shared" si="64"/>
        <v>0</v>
      </c>
      <c r="O78" s="11"/>
      <c r="P78" s="7">
        <v>52.5</v>
      </c>
      <c r="Q78" s="2"/>
      <c r="R78" s="6">
        <f t="shared" si="65"/>
        <v>2.058431620175845E-4</v>
      </c>
      <c r="S78" s="2"/>
      <c r="T78" s="7">
        <v>600</v>
      </c>
      <c r="U78" s="2"/>
      <c r="V78" s="6">
        <f t="shared" si="66"/>
        <v>1.4318578833322196E-3</v>
      </c>
      <c r="W78" s="2"/>
      <c r="X78" s="7">
        <f t="shared" si="67"/>
        <v>-547.5</v>
      </c>
      <c r="Y78" s="2"/>
      <c r="Z78" s="6">
        <f t="shared" si="68"/>
        <v>-0.91249999999999998</v>
      </c>
    </row>
    <row r="79" spans="1:26" s="27" customFormat="1" outlineLevel="1" collapsed="1" x14ac:dyDescent="0.25">
      <c r="A79" s="25"/>
      <c r="B79" s="12" t="str">
        <f>CONCATENATE("     ","Travel                                            ")</f>
        <v xml:space="preserve">     Travel                                            </v>
      </c>
      <c r="C79" s="12"/>
      <c r="D79" s="1">
        <f>SUM(OSRRefD22_13x_0)</f>
        <v>0</v>
      </c>
      <c r="E79" s="1"/>
      <c r="F79" s="5">
        <f t="shared" si="61"/>
        <v>0</v>
      </c>
      <c r="G79" s="1"/>
      <c r="H79" s="1">
        <f>SUM(OSRRefH22_13x_0)</f>
        <v>0</v>
      </c>
      <c r="I79" s="1"/>
      <c r="J79" s="5">
        <f t="shared" si="62"/>
        <v>0</v>
      </c>
      <c r="K79" s="1"/>
      <c r="L79" s="1">
        <f t="shared" si="63"/>
        <v>0</v>
      </c>
      <c r="M79" s="1"/>
      <c r="N79" s="5">
        <f t="shared" si="64"/>
        <v>0</v>
      </c>
      <c r="O79" s="12"/>
      <c r="P79" s="1">
        <f>SUM(OSRRefP22_13x_0)</f>
        <v>0</v>
      </c>
      <c r="Q79" s="1"/>
      <c r="R79" s="5">
        <f t="shared" si="65"/>
        <v>0</v>
      </c>
      <c r="S79" s="1"/>
      <c r="T79" s="1">
        <f>SUM(OSRRefT22_13x_0)</f>
        <v>1000</v>
      </c>
      <c r="U79" s="1"/>
      <c r="V79" s="5">
        <f t="shared" si="66"/>
        <v>2.3864298055536995E-3</v>
      </c>
      <c r="W79" s="1"/>
      <c r="X79" s="1">
        <f t="shared" si="67"/>
        <v>-1000</v>
      </c>
      <c r="Y79" s="1"/>
      <c r="Z79" s="5">
        <f t="shared" si="68"/>
        <v>-1</v>
      </c>
    </row>
    <row r="80" spans="1:26" s="24" customFormat="1" hidden="1" outlineLevel="2" x14ac:dyDescent="0.25">
      <c r="A80" s="26"/>
      <c r="B80" s="11" t="str">
        <f>CONCATENATE("          ", "6292", " - ", "TRAVEL/CONFERENCE")</f>
        <v xml:space="preserve">          6292 - TRAVEL/CONFERENCE</v>
      </c>
      <c r="C80" s="11"/>
      <c r="D80" s="7"/>
      <c r="E80" s="2"/>
      <c r="F80" s="6">
        <f t="shared" si="61"/>
        <v>0</v>
      </c>
      <c r="G80" s="2"/>
      <c r="H80" s="7"/>
      <c r="I80" s="2"/>
      <c r="J80" s="6">
        <f t="shared" si="62"/>
        <v>0</v>
      </c>
      <c r="K80" s="2"/>
      <c r="L80" s="7">
        <f t="shared" si="63"/>
        <v>0</v>
      </c>
      <c r="M80" s="2"/>
      <c r="N80" s="6">
        <f t="shared" si="64"/>
        <v>0</v>
      </c>
      <c r="O80" s="11"/>
      <c r="P80" s="7"/>
      <c r="Q80" s="2"/>
      <c r="R80" s="6">
        <f t="shared" si="65"/>
        <v>0</v>
      </c>
      <c r="S80" s="2"/>
      <c r="T80" s="7">
        <v>1000</v>
      </c>
      <c r="U80" s="2"/>
      <c r="V80" s="6">
        <f t="shared" si="66"/>
        <v>2.3864298055536995E-3</v>
      </c>
      <c r="W80" s="2"/>
      <c r="X80" s="7">
        <f t="shared" si="67"/>
        <v>-1000</v>
      </c>
      <c r="Y80" s="2"/>
      <c r="Z80" s="6">
        <f t="shared" si="68"/>
        <v>-1</v>
      </c>
    </row>
    <row r="81" spans="1:26" s="62" customFormat="1" x14ac:dyDescent="0.25">
      <c r="A81" s="36"/>
      <c r="B81" s="36"/>
      <c r="C81" s="36"/>
      <c r="D81" s="1"/>
      <c r="E81" s="1"/>
      <c r="F81" s="5"/>
      <c r="G81" s="1"/>
      <c r="H81" s="1"/>
      <c r="I81" s="1"/>
      <c r="J81" s="5"/>
      <c r="K81" s="1"/>
      <c r="L81" s="1"/>
      <c r="M81" s="1"/>
      <c r="N81" s="5"/>
      <c r="O81" s="36"/>
      <c r="P81" s="1"/>
      <c r="Q81" s="1"/>
      <c r="R81" s="5"/>
      <c r="S81" s="1"/>
      <c r="T81" s="1"/>
      <c r="U81" s="1"/>
      <c r="V81" s="5"/>
      <c r="W81" s="1"/>
      <c r="X81" s="1"/>
      <c r="Y81" s="1"/>
      <c r="Z81" s="5"/>
    </row>
    <row r="82" spans="1:26" s="23" customFormat="1" collapsed="1" x14ac:dyDescent="0.25">
      <c r="A82" s="10"/>
      <c r="B82" s="28" t="s">
        <v>0</v>
      </c>
      <c r="C82" s="10"/>
      <c r="D82" s="4">
        <f>SUM(OSRRefD25x_0)</f>
        <v>0</v>
      </c>
      <c r="E82" s="4"/>
      <c r="F82" s="13">
        <f t="shared" ref="F82:F83" si="69">IF(D$12=0,0,D82/D$12)</f>
        <v>0</v>
      </c>
      <c r="G82" s="4"/>
      <c r="H82" s="4">
        <f>SUM(OSRRefH25x_0)</f>
        <v>0</v>
      </c>
      <c r="I82" s="4"/>
      <c r="J82" s="13">
        <f t="shared" ref="J82:J83" si="70">IF(H$12=0,0,H82/H$12)</f>
        <v>0</v>
      </c>
      <c r="K82" s="4"/>
      <c r="L82" s="4">
        <f t="shared" ref="L82:L83" si="71">+D82-H82</f>
        <v>0</v>
      </c>
      <c r="M82" s="4"/>
      <c r="N82" s="13">
        <f t="shared" ref="N82:N83" si="72">IF(H82=0,0,L82/H82)</f>
        <v>0</v>
      </c>
      <c r="O82" s="10"/>
      <c r="P82" s="4">
        <f>SUM(OSRRefP25x_0)</f>
        <v>507</v>
      </c>
      <c r="Q82" s="4"/>
      <c r="R82" s="13">
        <f t="shared" ref="R82:R83" si="73">IF(P$12=0,0,P82/P$12)</f>
        <v>1.9878568217698159E-3</v>
      </c>
      <c r="S82" s="4"/>
      <c r="T82" s="4">
        <f>SUM(OSRRefT25x_0)</f>
        <v>0</v>
      </c>
      <c r="U82" s="4"/>
      <c r="V82" s="13">
        <f t="shared" ref="V82:V83" si="74">IF(T$12=0,0,T82/T$12)</f>
        <v>0</v>
      </c>
      <c r="W82" s="4"/>
      <c r="X82" s="4">
        <f t="shared" ref="X82:X83" si="75">+P82-T82</f>
        <v>507</v>
      </c>
      <c r="Y82" s="4"/>
      <c r="Z82" s="13">
        <f t="shared" ref="Z82:Z83" si="76">IF(T82=0,0,X82/T82)</f>
        <v>0</v>
      </c>
    </row>
    <row r="83" spans="1:26" s="24" customFormat="1" hidden="1" outlineLevel="1" x14ac:dyDescent="0.25">
      <c r="A83" s="44"/>
      <c r="B83" s="11" t="str">
        <f>CONCATENATE("          ", "9150", " - ", "MISC. INCOME")</f>
        <v xml:space="preserve">          9150 - MISC. INCOME</v>
      </c>
      <c r="C83" s="11"/>
      <c r="D83" s="2">
        <f>0</f>
        <v>0</v>
      </c>
      <c r="E83" s="2"/>
      <c r="F83" s="19">
        <f t="shared" si="69"/>
        <v>0</v>
      </c>
      <c r="G83" s="2"/>
      <c r="H83" s="2"/>
      <c r="I83" s="2"/>
      <c r="J83" s="19">
        <f t="shared" si="70"/>
        <v>0</v>
      </c>
      <c r="K83" s="2"/>
      <c r="L83" s="2">
        <f t="shared" si="71"/>
        <v>0</v>
      </c>
      <c r="M83" s="2"/>
      <c r="N83" s="19">
        <f t="shared" si="72"/>
        <v>0</v>
      </c>
      <c r="O83" s="11"/>
      <c r="P83" s="2">
        <f>--507</f>
        <v>507</v>
      </c>
      <c r="Q83" s="2"/>
      <c r="R83" s="19">
        <f t="shared" si="73"/>
        <v>1.9878568217698159E-3</v>
      </c>
      <c r="S83" s="2"/>
      <c r="T83" s="2"/>
      <c r="U83" s="2"/>
      <c r="V83" s="19">
        <f t="shared" si="74"/>
        <v>0</v>
      </c>
      <c r="W83" s="2"/>
      <c r="X83" s="2">
        <f t="shared" si="75"/>
        <v>507</v>
      </c>
      <c r="Y83" s="2"/>
      <c r="Z83" s="19">
        <f t="shared" si="76"/>
        <v>0</v>
      </c>
    </row>
    <row r="84" spans="1:26" x14ac:dyDescent="0.25">
      <c r="A84" s="9"/>
      <c r="B84" s="10"/>
      <c r="C84" s="10"/>
      <c r="D84" s="3"/>
      <c r="E84" s="3"/>
      <c r="F84" s="8"/>
      <c r="G84" s="3"/>
      <c r="H84" s="3"/>
      <c r="I84" s="3"/>
      <c r="J84" s="8"/>
      <c r="K84" s="3"/>
      <c r="L84" s="3"/>
      <c r="M84" s="3"/>
      <c r="N84" s="8"/>
      <c r="O84" s="10"/>
      <c r="P84" s="3"/>
      <c r="Q84" s="3"/>
      <c r="R84" s="8"/>
      <c r="S84" s="3"/>
      <c r="T84" s="3"/>
      <c r="U84" s="3"/>
      <c r="V84" s="8"/>
      <c r="W84" s="3"/>
      <c r="X84" s="3"/>
      <c r="Y84" s="3"/>
      <c r="Z84" s="8"/>
    </row>
    <row r="85" spans="1:26" s="23" customFormat="1" x14ac:dyDescent="0.25">
      <c r="A85" s="10"/>
      <c r="B85" s="29" t="s">
        <v>3</v>
      </c>
      <c r="C85" s="29"/>
      <c r="D85" s="20">
        <f>+D23-D25+D82</f>
        <v>-7367.27</v>
      </c>
      <c r="E85" s="14"/>
      <c r="F85" s="22">
        <f>IF(D$12=0,0,D85/D$12)</f>
        <v>0</v>
      </c>
      <c r="G85" s="14"/>
      <c r="H85" s="20">
        <f>+H23-H25+H82</f>
        <v>2371.4390363000002</v>
      </c>
      <c r="I85" s="14"/>
      <c r="J85" s="22">
        <f>IF(H$12=0,0,H85/H$12)</f>
        <v>0.10486596958963475</v>
      </c>
      <c r="K85" s="16"/>
      <c r="L85" s="20">
        <f>+D85-H85</f>
        <v>-9738.7090363000007</v>
      </c>
      <c r="M85" s="16"/>
      <c r="N85" s="22">
        <f>IF(H85=0,0,L85/H85)</f>
        <v>-4.1066664110812079</v>
      </c>
      <c r="O85" s="28"/>
      <c r="P85" s="20">
        <f>+P23-P25+P82</f>
        <v>-32937.719999999943</v>
      </c>
      <c r="Q85" s="14"/>
      <c r="R85" s="22">
        <f>IF(P$12=0,0,P85/P$12)</f>
        <v>-0.12914294160856804</v>
      </c>
      <c r="S85" s="14"/>
      <c r="T85" s="20">
        <f>+T23-T25+T82</f>
        <v>91611.749020100018</v>
      </c>
      <c r="U85" s="14"/>
      <c r="V85" s="22">
        <f>IF(T$12=0,0,T85/T$12)</f>
        <v>0.21862500840047161</v>
      </c>
      <c r="W85" s="16"/>
      <c r="X85" s="20">
        <f>+P85-T85</f>
        <v>-124549.46902009996</v>
      </c>
      <c r="Y85" s="16"/>
      <c r="Z85" s="22">
        <f>IF(T85=0,0,X85/T85)</f>
        <v>-1.3595359803989036</v>
      </c>
    </row>
    <row r="86" spans="1:26" x14ac:dyDescent="0.25">
      <c r="A86" s="9"/>
      <c r="B86" s="10"/>
      <c r="C86" s="9"/>
      <c r="D86" s="3"/>
      <c r="E86" s="3"/>
      <c r="F86" s="8"/>
      <c r="G86" s="3"/>
      <c r="H86" s="3"/>
      <c r="I86" s="3"/>
      <c r="J86" s="8"/>
      <c r="K86" s="3"/>
      <c r="L86" s="3"/>
      <c r="M86" s="3"/>
      <c r="N86" s="8"/>
      <c r="P86" s="3"/>
      <c r="Q86" s="3"/>
      <c r="R86" s="8"/>
      <c r="S86" s="3"/>
      <c r="T86" s="3"/>
      <c r="U86" s="3"/>
      <c r="V86" s="8"/>
      <c r="W86" s="3"/>
      <c r="X86" s="3"/>
      <c r="Y86" s="3"/>
      <c r="Z86" s="8"/>
    </row>
    <row r="87" spans="1:26" s="23" customFormat="1" x14ac:dyDescent="0.25">
      <c r="A87" s="52"/>
      <c r="B87" s="10" t="s">
        <v>14</v>
      </c>
      <c r="C87" s="10"/>
      <c r="D87" s="4">
        <v>1242.79</v>
      </c>
      <c r="E87" s="4"/>
      <c r="F87" s="13">
        <f>IF(D$12=0,0,D87/D$12)</f>
        <v>0</v>
      </c>
      <c r="G87" s="4"/>
      <c r="H87" s="4">
        <v>2216</v>
      </c>
      <c r="I87" s="4"/>
      <c r="J87" s="13">
        <f>IF(H$12=0,0,H87/H$12)</f>
        <v>9.7992394092155308E-2</v>
      </c>
      <c r="K87" s="4"/>
      <c r="L87" s="4">
        <f>+D87-H87</f>
        <v>-973.21</v>
      </c>
      <c r="M87" s="4"/>
      <c r="N87" s="13">
        <f>IF(H87=0,0,L87/H87)</f>
        <v>-0.43917418772563177</v>
      </c>
      <c r="O87" s="10"/>
      <c r="P87" s="4">
        <v>30201.73</v>
      </c>
      <c r="Q87" s="4"/>
      <c r="R87" s="13">
        <f>IF(P$12=0,0,P87/P$12)</f>
        <v>0.11841561145907319</v>
      </c>
      <c r="S87" s="4"/>
      <c r="T87" s="4">
        <v>48535</v>
      </c>
      <c r="U87" s="4"/>
      <c r="V87" s="13">
        <f>IF(T$12=0,0,T87/T$12)</f>
        <v>0.1158253706125488</v>
      </c>
      <c r="W87" s="4"/>
      <c r="X87" s="4">
        <f>+P87-T87</f>
        <v>-18333.27</v>
      </c>
      <c r="Y87" s="4"/>
      <c r="Z87" s="13">
        <f>IF(T87=0,0,X87/T87)</f>
        <v>-0.37773297620274032</v>
      </c>
    </row>
    <row r="88" spans="1:26" x14ac:dyDescent="0.25">
      <c r="A88" s="9"/>
      <c r="B88" s="10"/>
      <c r="C88" s="10"/>
      <c r="D88" s="3"/>
      <c r="E88" s="3"/>
      <c r="F88" s="8"/>
      <c r="G88" s="3"/>
      <c r="H88" s="3"/>
      <c r="I88" s="3"/>
      <c r="J88" s="8"/>
      <c r="K88" s="3"/>
      <c r="L88" s="3"/>
      <c r="M88" s="3"/>
      <c r="N88" s="8"/>
      <c r="O88" s="10"/>
      <c r="P88" s="3"/>
      <c r="Q88" s="3"/>
      <c r="R88" s="8"/>
      <c r="S88" s="3"/>
      <c r="T88" s="3"/>
      <c r="U88" s="3"/>
      <c r="V88" s="8"/>
      <c r="W88" s="3"/>
      <c r="X88" s="3"/>
      <c r="Y88" s="3"/>
      <c r="Z88" s="8"/>
    </row>
    <row r="89" spans="1:26" s="23" customFormat="1" ht="15.75" thickBot="1" x14ac:dyDescent="0.3">
      <c r="A89" s="10"/>
      <c r="B89" s="29" t="s">
        <v>4</v>
      </c>
      <c r="C89" s="29"/>
      <c r="D89" s="35">
        <f>+D85-D87</f>
        <v>-8610.0600000000013</v>
      </c>
      <c r="E89" s="14"/>
      <c r="F89" s="32">
        <f>IF(D$12=0,0,D89/D$12)</f>
        <v>0</v>
      </c>
      <c r="G89" s="14"/>
      <c r="H89" s="35">
        <f>+H85-H87</f>
        <v>155.43903630000023</v>
      </c>
      <c r="I89" s="14"/>
      <c r="J89" s="32">
        <f>IF(H$12=0,0,H89/H$12)</f>
        <v>6.8735754974794472E-3</v>
      </c>
      <c r="K89" s="16"/>
      <c r="L89" s="35">
        <f>D89-H89</f>
        <v>-8765.4990363000015</v>
      </c>
      <c r="M89" s="16"/>
      <c r="N89" s="32">
        <f>IF(H89=0,0,L89/H89)</f>
        <v>-56.391877130416752</v>
      </c>
      <c r="O89" s="28"/>
      <c r="P89" s="35">
        <f>+P85-P87</f>
        <v>-63139.449999999939</v>
      </c>
      <c r="Q89" s="14"/>
      <c r="R89" s="32">
        <f>IF(P$12=0,0,P89/P$12)</f>
        <v>-0.24755855306764121</v>
      </c>
      <c r="S89" s="14"/>
      <c r="T89" s="35">
        <f>+T85-T87</f>
        <v>43076.749020100018</v>
      </c>
      <c r="U89" s="14"/>
      <c r="V89" s="32">
        <f>IF(T$12=0,0,T89/T$12)</f>
        <v>0.1027996377879228</v>
      </c>
      <c r="W89" s="16"/>
      <c r="X89" s="35">
        <f>P89-T89</f>
        <v>-106216.19902009996</v>
      </c>
      <c r="Y89" s="16"/>
      <c r="Z89" s="32">
        <f>IF(T89=0,0,X89/T89)</f>
        <v>-2.4657431546317126</v>
      </c>
    </row>
    <row r="90" spans="1:26" ht="15.75" thickTop="1" x14ac:dyDescent="0.25">
      <c r="A90" s="9"/>
      <c r="B90" s="9"/>
      <c r="C90" s="9"/>
      <c r="D90" s="3"/>
      <c r="E90" s="3"/>
      <c r="F90" s="8"/>
      <c r="G90" s="3"/>
      <c r="H90" s="3"/>
      <c r="I90" s="3"/>
      <c r="J90" s="8"/>
      <c r="K90" s="3"/>
      <c r="L90" s="3"/>
      <c r="M90" s="3"/>
      <c r="N90" s="8"/>
      <c r="P90" s="3"/>
      <c r="Q90" s="3"/>
      <c r="R90" s="8"/>
      <c r="S90" s="3"/>
      <c r="T90" s="3"/>
      <c r="U90" s="3"/>
      <c r="V90" s="8"/>
      <c r="W90" s="3"/>
      <c r="X90" s="3"/>
      <c r="Y90" s="3"/>
      <c r="Z90" s="8"/>
    </row>
    <row r="91" spans="1:26" x14ac:dyDescent="0.25">
      <c r="A91" s="9"/>
      <c r="B91" s="9"/>
      <c r="C91" s="9"/>
      <c r="D91" s="3"/>
      <c r="E91" s="3"/>
      <c r="F91" s="8"/>
      <c r="G91" s="3"/>
      <c r="H91" s="3"/>
      <c r="I91" s="3"/>
      <c r="J91" s="8"/>
      <c r="K91" s="3"/>
      <c r="L91" s="3"/>
      <c r="M91" s="3"/>
      <c r="N91" s="8"/>
      <c r="P91" s="3"/>
      <c r="Q91" s="3"/>
      <c r="R91" s="8"/>
      <c r="S91" s="3"/>
      <c r="T91" s="3"/>
      <c r="U91" s="3"/>
      <c r="V91" s="8"/>
      <c r="W91" s="3"/>
      <c r="X91" s="3"/>
      <c r="Y91" s="3"/>
      <c r="Z91" s="8"/>
    </row>
    <row r="92" spans="1:26" s="23" customFormat="1" ht="15.75" thickBot="1" x14ac:dyDescent="0.3">
      <c r="A92" s="10"/>
      <c r="B92" s="29" t="s">
        <v>5</v>
      </c>
      <c r="C92" s="29"/>
      <c r="D92" s="34">
        <f>SUM(D89:D91)</f>
        <v>-8610.0600000000013</v>
      </c>
      <c r="E92" s="14"/>
      <c r="F92" s="31">
        <f>IF(D$12=0,0,D92/D$12)</f>
        <v>0</v>
      </c>
      <c r="G92" s="14"/>
      <c r="H92" s="34">
        <f>SUM(H89:H91)</f>
        <v>155.43903630000023</v>
      </c>
      <c r="I92" s="14"/>
      <c r="J92" s="31">
        <f>IF(H$12=0,0,H92/H$12)</f>
        <v>6.8735754974794472E-3</v>
      </c>
      <c r="K92" s="16"/>
      <c r="L92" s="34">
        <f>+D92-H92</f>
        <v>-8765.4990363000015</v>
      </c>
      <c r="M92" s="16"/>
      <c r="N92" s="31">
        <f>IF(H92=0,0,L92/H92)</f>
        <v>-56.391877130416752</v>
      </c>
      <c r="O92" s="28"/>
      <c r="P92" s="34">
        <f>SUM(P89:P91)</f>
        <v>-63139.449999999939</v>
      </c>
      <c r="Q92" s="14"/>
      <c r="R92" s="31">
        <f>IF(P$12=0,0,P92/P$12)</f>
        <v>-0.24755855306764121</v>
      </c>
      <c r="S92" s="14"/>
      <c r="T92" s="34">
        <f>SUM(T89:T91)</f>
        <v>43076.749020100018</v>
      </c>
      <c r="U92" s="14"/>
      <c r="V92" s="31">
        <f>IF(T$12=0,0,T92/T$12)</f>
        <v>0.1027996377879228</v>
      </c>
      <c r="W92" s="16"/>
      <c r="X92" s="34">
        <f>+P92-T92</f>
        <v>-106216.19902009996</v>
      </c>
      <c r="Y92" s="16"/>
      <c r="Z92" s="31">
        <f>IF(T92=0,0,X92/T92)</f>
        <v>-2.4657431546317126</v>
      </c>
    </row>
    <row r="93" spans="1:26" ht="15.75" thickTop="1" x14ac:dyDescent="0.25">
      <c r="A93" s="9"/>
      <c r="C93" s="9"/>
      <c r="D93" s="18"/>
      <c r="E93" s="18"/>
      <c r="G93" s="18"/>
      <c r="H93" s="18"/>
      <c r="I93" s="18"/>
      <c r="J93" s="42"/>
      <c r="K93" s="18"/>
      <c r="L93" s="18"/>
      <c r="M93" s="18"/>
      <c r="P93" s="18"/>
      <c r="Q93" s="18"/>
      <c r="R93" s="42"/>
      <c r="S93" s="18"/>
      <c r="T93" s="18"/>
      <c r="U93" s="18"/>
      <c r="V93" s="42"/>
      <c r="W93" s="18"/>
      <c r="X93" s="18"/>
    </row>
    <row r="94" spans="1:26" x14ac:dyDescent="0.25">
      <c r="A94" s="9"/>
      <c r="B94" s="59">
        <v>43992.372092743055</v>
      </c>
      <c r="D94" s="18"/>
      <c r="E94" s="18"/>
      <c r="G94" s="18"/>
      <c r="H94" s="18"/>
      <c r="I94" s="18"/>
      <c r="J94" s="42"/>
      <c r="K94" s="18"/>
      <c r="L94" s="18"/>
      <c r="M94" s="18"/>
      <c r="P94" s="18"/>
      <c r="Q94" s="18"/>
      <c r="R94" s="42"/>
      <c r="S94" s="18"/>
      <c r="T94" s="18"/>
      <c r="U94" s="18"/>
      <c r="V94" s="42"/>
      <c r="W94" s="18"/>
      <c r="X94" s="18"/>
    </row>
    <row r="95" spans="1:26" x14ac:dyDescent="0.25">
      <c r="A95" s="9"/>
      <c r="B95" s="56" t="s">
        <v>314</v>
      </c>
      <c r="D95" s="18"/>
      <c r="E95" s="18"/>
      <c r="G95" s="18"/>
      <c r="H95" s="18"/>
      <c r="I95" s="18"/>
      <c r="J95" s="42"/>
      <c r="K95" s="18"/>
      <c r="L95" s="18"/>
      <c r="M95" s="18"/>
      <c r="P95" s="18"/>
      <c r="Q95" s="18"/>
      <c r="R95" s="42"/>
      <c r="S95" s="18"/>
      <c r="T95" s="18"/>
      <c r="U95" s="18"/>
      <c r="V95" s="42"/>
      <c r="W95" s="18"/>
      <c r="X95" s="18"/>
    </row>
    <row r="96" spans="1:26" x14ac:dyDescent="0.25">
      <c r="A96" s="9"/>
      <c r="B96" s="54"/>
      <c r="D96" s="18"/>
      <c r="E96" s="18"/>
      <c r="G96" s="18"/>
      <c r="H96" s="18"/>
      <c r="I96" s="18"/>
      <c r="J96" s="42"/>
      <c r="K96" s="18"/>
      <c r="L96" s="18"/>
      <c r="M96" s="18"/>
      <c r="P96" s="18"/>
      <c r="Q96" s="18"/>
      <c r="R96" s="42"/>
      <c r="S96" s="18"/>
      <c r="T96" s="18"/>
      <c r="U96" s="18"/>
      <c r="V96" s="42"/>
      <c r="W96" s="18"/>
      <c r="X96" s="18"/>
    </row>
    <row r="97" spans="4:24" x14ac:dyDescent="0.25">
      <c r="D97" s="18"/>
      <c r="E97" s="18"/>
      <c r="G97" s="18"/>
      <c r="H97" s="18"/>
      <c r="I97" s="18"/>
      <c r="J97" s="42"/>
      <c r="K97" s="18"/>
      <c r="L97" s="18"/>
      <c r="M97" s="18"/>
      <c r="P97" s="18"/>
      <c r="Q97" s="18"/>
      <c r="R97" s="42"/>
      <c r="S97" s="18"/>
      <c r="T97" s="18"/>
      <c r="U97" s="18"/>
      <c r="V97" s="42"/>
      <c r="W97" s="18"/>
      <c r="X97" s="18"/>
    </row>
  </sheetData>
  <pageMargins left="0.25" right="0.25" top="0.75" bottom="0.75" header="0.3" footer="0.3"/>
  <pageSetup scale="55" fitToWidth="2" orientation="landscape"/>
  <drawing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98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63" t="s">
        <v>13</v>
      </c>
    </row>
    <row r="3" spans="1:26" x14ac:dyDescent="0.25">
      <c r="D3" s="63" t="s">
        <v>296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61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63" t="str">
        <f>CONCATENATE("Period ",RIGHT(202011,2),", ",2020)</f>
        <v>Period 11, 2020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61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4">
        <v>43981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61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51"/>
      <c r="C6" s="51"/>
      <c r="D6" s="23" t="str">
        <f>CONCATENATE("Department ","414", " - ", "Starbucks UDP")</f>
        <v>Department 414 - Starbucks UDP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57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5" t="s">
        <v>294</v>
      </c>
      <c r="E9" s="15"/>
      <c r="F9" s="38"/>
      <c r="G9" s="15"/>
      <c r="H9" s="15"/>
      <c r="I9" s="15"/>
      <c r="J9" s="46"/>
      <c r="K9" s="15"/>
      <c r="L9" s="15"/>
      <c r="M9" s="15"/>
      <c r="N9" s="38"/>
      <c r="P9" s="15" t="s">
        <v>295</v>
      </c>
      <c r="Q9" s="15"/>
      <c r="R9" s="38"/>
      <c r="S9" s="15"/>
      <c r="T9" s="15"/>
      <c r="U9" s="15"/>
      <c r="V9" s="46"/>
      <c r="W9" s="15"/>
      <c r="X9" s="15"/>
      <c r="Y9" s="15"/>
      <c r="Z9" s="38"/>
    </row>
    <row r="10" spans="1:26" x14ac:dyDescent="0.25">
      <c r="A10" s="10"/>
      <c r="B10" s="55"/>
      <c r="C10" s="10"/>
      <c r="D10" s="43" t="s">
        <v>10</v>
      </c>
      <c r="E10" s="33"/>
      <c r="F10" s="40" t="s">
        <v>15</v>
      </c>
      <c r="G10" s="33"/>
      <c r="H10" s="47" t="s">
        <v>11</v>
      </c>
      <c r="I10" s="33"/>
      <c r="J10" s="45" t="s">
        <v>16</v>
      </c>
      <c r="K10" s="10"/>
      <c r="L10" s="43" t="s">
        <v>12</v>
      </c>
      <c r="M10" s="10"/>
      <c r="N10" s="40" t="s">
        <v>17</v>
      </c>
      <c r="O10" s="10"/>
      <c r="P10" s="53" t="s">
        <v>10</v>
      </c>
      <c r="Q10" s="33"/>
      <c r="R10" s="40" t="s">
        <v>15</v>
      </c>
      <c r="S10" s="33"/>
      <c r="T10" s="47" t="s">
        <v>11</v>
      </c>
      <c r="U10" s="33"/>
      <c r="V10" s="45" t="s">
        <v>16</v>
      </c>
      <c r="W10" s="10"/>
      <c r="X10" s="43" t="s">
        <v>12</v>
      </c>
      <c r="Y10" s="10"/>
      <c r="Z10" s="40" t="s">
        <v>17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0</v>
      </c>
      <c r="E12" s="4"/>
      <c r="F12" s="13"/>
      <c r="G12" s="4"/>
      <c r="H12" s="4">
        <f>SUM(OSRRefH13x_0)</f>
        <v>68000</v>
      </c>
      <c r="I12" s="4"/>
      <c r="J12" s="13"/>
      <c r="K12" s="4"/>
      <c r="L12" s="4">
        <f t="shared" ref="L12:L16" si="0">+D12-H12</f>
        <v>-68000</v>
      </c>
      <c r="M12" s="4"/>
      <c r="N12" s="13">
        <f t="shared" ref="N12:N16" si="1">IF(H12=0,0,L12/H12)</f>
        <v>-1</v>
      </c>
      <c r="O12" s="10"/>
      <c r="P12" s="4">
        <f>SUM(OSRRefP13x_0)</f>
        <v>591931.24</v>
      </c>
      <c r="Q12" s="4"/>
      <c r="R12" s="13"/>
      <c r="S12" s="4"/>
      <c r="T12" s="4">
        <f>SUM(OSRRefT13x_0)</f>
        <v>869600</v>
      </c>
      <c r="U12" s="4"/>
      <c r="V12" s="13"/>
      <c r="W12" s="4"/>
      <c r="X12" s="4">
        <f t="shared" ref="X12:X16" si="2">+P12-T12</f>
        <v>-277668.76</v>
      </c>
      <c r="Y12" s="4"/>
      <c r="Z12" s="13">
        <f t="shared" ref="Z12:Z16" si="3">IF(T12=0,0,X12/T12)</f>
        <v>-0.31930630174793007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 t="shared" ref="D13:D16" si="4">0</f>
        <v>0</v>
      </c>
      <c r="E13" s="2"/>
      <c r="F13" s="19"/>
      <c r="G13" s="2"/>
      <c r="H13" s="2">
        <v>27200</v>
      </c>
      <c r="I13" s="2"/>
      <c r="J13" s="19"/>
      <c r="K13" s="2"/>
      <c r="L13" s="2">
        <f t="shared" si="0"/>
        <v>-27200</v>
      </c>
      <c r="M13" s="2"/>
      <c r="N13" s="19">
        <f t="shared" si="1"/>
        <v>-1</v>
      </c>
      <c r="O13" s="11"/>
      <c r="P13" s="2">
        <f>0</f>
        <v>0</v>
      </c>
      <c r="Q13" s="2"/>
      <c r="R13" s="19"/>
      <c r="S13" s="2"/>
      <c r="T13" s="2">
        <v>344200</v>
      </c>
      <c r="U13" s="2"/>
      <c r="V13" s="19"/>
      <c r="W13" s="2"/>
      <c r="X13" s="2">
        <f t="shared" si="2"/>
        <v>-344200</v>
      </c>
      <c r="Y13" s="2"/>
      <c r="Z13" s="19">
        <f t="shared" si="3"/>
        <v>-1</v>
      </c>
    </row>
    <row r="14" spans="1:26" s="24" customFormat="1" hidden="1" outlineLevel="1" x14ac:dyDescent="0.25">
      <c r="A14" s="44"/>
      <c r="B14" s="11" t="str">
        <f>CONCATENATE("          ", "4058", " - ", "TAXABLE SALES-FOOD")</f>
        <v xml:space="preserve">          4058 - TAXABLE SALES-FOOD</v>
      </c>
      <c r="C14" s="11"/>
      <c r="D14" s="2">
        <f t="shared" si="4"/>
        <v>0</v>
      </c>
      <c r="E14" s="2"/>
      <c r="F14" s="19"/>
      <c r="G14" s="2"/>
      <c r="H14" s="2"/>
      <c r="I14" s="2"/>
      <c r="J14" s="19"/>
      <c r="K14" s="2"/>
      <c r="L14" s="2">
        <f t="shared" si="0"/>
        <v>0</v>
      </c>
      <c r="M14" s="2"/>
      <c r="N14" s="19">
        <f t="shared" si="1"/>
        <v>0</v>
      </c>
      <c r="O14" s="11"/>
      <c r="P14" s="2">
        <f>--117077.57</f>
        <v>117077.57</v>
      </c>
      <c r="Q14" s="2"/>
      <c r="R14" s="19"/>
      <c r="S14" s="2"/>
      <c r="T14" s="2"/>
      <c r="U14" s="2"/>
      <c r="V14" s="19"/>
      <c r="W14" s="2"/>
      <c r="X14" s="2">
        <f t="shared" si="2"/>
        <v>117077.57</v>
      </c>
      <c r="Y14" s="2"/>
      <c r="Z14" s="19">
        <f t="shared" si="3"/>
        <v>0</v>
      </c>
    </row>
    <row r="15" spans="1:26" s="24" customFormat="1" hidden="1" outlineLevel="1" x14ac:dyDescent="0.25">
      <c r="A15" s="44"/>
      <c r="B15" s="11" t="str">
        <f>CONCATENATE("          ", "4100", " - ", "NON-TAXABLE SALES")</f>
        <v xml:space="preserve">          4100 - NON-TAXABLE SALES</v>
      </c>
      <c r="C15" s="11"/>
      <c r="D15" s="2">
        <f t="shared" si="4"/>
        <v>0</v>
      </c>
      <c r="E15" s="2"/>
      <c r="F15" s="19"/>
      <c r="G15" s="2"/>
      <c r="H15" s="2">
        <v>40800</v>
      </c>
      <c r="I15" s="2"/>
      <c r="J15" s="19"/>
      <c r="K15" s="2"/>
      <c r="L15" s="2">
        <f t="shared" si="0"/>
        <v>-40800</v>
      </c>
      <c r="M15" s="2"/>
      <c r="N15" s="19">
        <f t="shared" si="1"/>
        <v>-1</v>
      </c>
      <c r="O15" s="11"/>
      <c r="P15" s="2">
        <f>0</f>
        <v>0</v>
      </c>
      <c r="Q15" s="2"/>
      <c r="R15" s="19"/>
      <c r="S15" s="2"/>
      <c r="T15" s="2">
        <v>525400</v>
      </c>
      <c r="U15" s="2"/>
      <c r="V15" s="19"/>
      <c r="W15" s="2"/>
      <c r="X15" s="2">
        <f t="shared" si="2"/>
        <v>-525400</v>
      </c>
      <c r="Y15" s="2"/>
      <c r="Z15" s="19">
        <f t="shared" si="3"/>
        <v>-1</v>
      </c>
    </row>
    <row r="16" spans="1:26" s="24" customFormat="1" hidden="1" outlineLevel="1" x14ac:dyDescent="0.25">
      <c r="A16" s="44"/>
      <c r="B16" s="11" t="str">
        <f>CONCATENATE("          ", "4158", " - ", "NON-TAXABLE SALES-FOOD")</f>
        <v xml:space="preserve">          4158 - NON-TAXABLE SALES-FOOD</v>
      </c>
      <c r="C16" s="11"/>
      <c r="D16" s="2">
        <f t="shared" si="4"/>
        <v>0</v>
      </c>
      <c r="E16" s="2"/>
      <c r="F16" s="19"/>
      <c r="G16" s="2"/>
      <c r="H16" s="2"/>
      <c r="I16" s="2"/>
      <c r="J16" s="19"/>
      <c r="K16" s="2"/>
      <c r="L16" s="2">
        <f t="shared" si="0"/>
        <v>0</v>
      </c>
      <c r="M16" s="2"/>
      <c r="N16" s="19">
        <f t="shared" si="1"/>
        <v>0</v>
      </c>
      <c r="O16" s="11"/>
      <c r="P16" s="2">
        <f>--474853.67</f>
        <v>474853.67</v>
      </c>
      <c r="Q16" s="2"/>
      <c r="R16" s="19"/>
      <c r="S16" s="2"/>
      <c r="T16" s="2"/>
      <c r="U16" s="2"/>
      <c r="V16" s="19"/>
      <c r="W16" s="2"/>
      <c r="X16" s="2">
        <f t="shared" si="2"/>
        <v>474853.67</v>
      </c>
      <c r="Y16" s="2"/>
      <c r="Z16" s="19">
        <f t="shared" si="3"/>
        <v>0</v>
      </c>
    </row>
    <row r="17" spans="1:26" x14ac:dyDescent="0.25">
      <c r="A17" s="9"/>
      <c r="B17" s="10"/>
      <c r="C17" s="9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collapsed="1" x14ac:dyDescent="0.25">
      <c r="A18" s="10"/>
      <c r="B18" s="28" t="s">
        <v>8</v>
      </c>
      <c r="C18" s="10"/>
      <c r="D18" s="4">
        <f>SUM(OSRRefD16x_0)</f>
        <v>10488.59</v>
      </c>
      <c r="E18" s="4"/>
      <c r="F18" s="13">
        <f t="shared" ref="F18:F21" si="5">IF(D$12=0,0,D18/D$12)</f>
        <v>0</v>
      </c>
      <c r="G18" s="4"/>
      <c r="H18" s="4">
        <f>SUM(OSRRefH16x_0)</f>
        <v>25000</v>
      </c>
      <c r="I18" s="4"/>
      <c r="J18" s="13">
        <f t="shared" ref="J18:J21" si="6">IF(H$12=0,0,H18/H$12)</f>
        <v>0.36764705882352944</v>
      </c>
      <c r="K18" s="4"/>
      <c r="L18" s="4">
        <f t="shared" ref="L18:L21" si="7">+D18-H18</f>
        <v>-14511.41</v>
      </c>
      <c r="M18" s="4"/>
      <c r="N18" s="13">
        <f t="shared" ref="N18:N21" si="8">IF(H18=0,0,L18/H18)</f>
        <v>-0.58045639999999998</v>
      </c>
      <c r="O18" s="10"/>
      <c r="P18" s="4">
        <f>SUM(OSRRefP16x_0)</f>
        <v>211885.36</v>
      </c>
      <c r="Q18" s="4"/>
      <c r="R18" s="13">
        <f t="shared" ref="R18:R21" si="9">IF(P$12=0,0,P18/P$12)</f>
        <v>0.35795603556926642</v>
      </c>
      <c r="S18" s="4"/>
      <c r="T18" s="4">
        <f>SUM(OSRRefT16x_0)</f>
        <v>279300</v>
      </c>
      <c r="U18" s="4"/>
      <c r="V18" s="13">
        <f t="shared" ref="V18:V21" si="10">IF(T$12=0,0,T18/T$12)</f>
        <v>0.32118215271389144</v>
      </c>
      <c r="W18" s="4"/>
      <c r="X18" s="4">
        <f t="shared" ref="X18:X21" si="11">+P18-T18</f>
        <v>-67414.640000000014</v>
      </c>
      <c r="Y18" s="4"/>
      <c r="Z18" s="13">
        <f t="shared" ref="Z18:Z21" si="12">IF(T18=0,0,X18/T18)</f>
        <v>-0.24136999641962054</v>
      </c>
    </row>
    <row r="19" spans="1:26" s="24" customFormat="1" hidden="1" outlineLevel="1" x14ac:dyDescent="0.25">
      <c r="A19" s="44"/>
      <c r="B19" s="11" t="str">
        <f>CONCATENATE("          ", "5000", " - ", "PURCHASES @ COST")</f>
        <v xml:space="preserve">          5000 - PURCHASES @ COST</v>
      </c>
      <c r="C19" s="11"/>
      <c r="D19" s="2"/>
      <c r="E19" s="2"/>
      <c r="F19" s="19">
        <f t="shared" si="5"/>
        <v>0</v>
      </c>
      <c r="G19" s="2"/>
      <c r="H19" s="2">
        <v>25000</v>
      </c>
      <c r="I19" s="2"/>
      <c r="J19" s="19">
        <f t="shared" si="6"/>
        <v>0.36764705882352944</v>
      </c>
      <c r="K19" s="2"/>
      <c r="L19" s="2">
        <f t="shared" si="7"/>
        <v>-25000</v>
      </c>
      <c r="M19" s="2"/>
      <c r="N19" s="19">
        <f t="shared" si="8"/>
        <v>-1</v>
      </c>
      <c r="O19" s="11"/>
      <c r="P19" s="2"/>
      <c r="Q19" s="2"/>
      <c r="R19" s="19">
        <f t="shared" si="9"/>
        <v>0</v>
      </c>
      <c r="S19" s="2"/>
      <c r="T19" s="2">
        <v>279300</v>
      </c>
      <c r="U19" s="2"/>
      <c r="V19" s="19">
        <f t="shared" si="10"/>
        <v>0.32118215271389144</v>
      </c>
      <c r="W19" s="2"/>
      <c r="X19" s="2">
        <f t="shared" si="11"/>
        <v>-279300</v>
      </c>
      <c r="Y19" s="2"/>
      <c r="Z19" s="19">
        <f t="shared" si="12"/>
        <v>-1</v>
      </c>
    </row>
    <row r="20" spans="1:26" s="24" customFormat="1" hidden="1" outlineLevel="1" x14ac:dyDescent="0.25">
      <c r="A20" s="44"/>
      <c r="B20" s="11" t="str">
        <f>CONCATENATE("          ", "5053", " - ", "PURCHASES @ COST-FOOD")</f>
        <v xml:space="preserve">          5053 - PURCHASES @ COST-FOOD</v>
      </c>
      <c r="C20" s="11"/>
      <c r="D20" s="2">
        <v>4713.59</v>
      </c>
      <c r="E20" s="2"/>
      <c r="F20" s="19">
        <f t="shared" si="5"/>
        <v>0</v>
      </c>
      <c r="G20" s="2"/>
      <c r="H20" s="2"/>
      <c r="I20" s="2"/>
      <c r="J20" s="19">
        <f t="shared" si="6"/>
        <v>0</v>
      </c>
      <c r="K20" s="2"/>
      <c r="L20" s="2">
        <f t="shared" si="7"/>
        <v>4713.59</v>
      </c>
      <c r="M20" s="2"/>
      <c r="N20" s="19">
        <f t="shared" si="8"/>
        <v>0</v>
      </c>
      <c r="O20" s="11"/>
      <c r="P20" s="2">
        <v>202040.36</v>
      </c>
      <c r="Q20" s="2"/>
      <c r="R20" s="19">
        <f t="shared" si="9"/>
        <v>0.34132403621744983</v>
      </c>
      <c r="S20" s="2"/>
      <c r="T20" s="2"/>
      <c r="U20" s="2"/>
      <c r="V20" s="19">
        <f t="shared" si="10"/>
        <v>0</v>
      </c>
      <c r="W20" s="2"/>
      <c r="X20" s="2">
        <f t="shared" si="11"/>
        <v>202040.36</v>
      </c>
      <c r="Y20" s="2"/>
      <c r="Z20" s="19">
        <f t="shared" si="12"/>
        <v>0</v>
      </c>
    </row>
    <row r="21" spans="1:26" s="24" customFormat="1" hidden="1" outlineLevel="1" x14ac:dyDescent="0.25">
      <c r="A21" s="44"/>
      <c r="B21" s="11" t="str">
        <f>CONCATENATE("          ", "5059", " - ", "PURCHASES @ COST-FOOD")</f>
        <v xml:space="preserve">          5059 - PURCHASES @ COST-FOOD</v>
      </c>
      <c r="C21" s="11"/>
      <c r="D21" s="2">
        <v>5775</v>
      </c>
      <c r="E21" s="2"/>
      <c r="F21" s="19">
        <f t="shared" si="5"/>
        <v>0</v>
      </c>
      <c r="G21" s="2"/>
      <c r="H21" s="2"/>
      <c r="I21" s="2"/>
      <c r="J21" s="19">
        <f t="shared" si="6"/>
        <v>0</v>
      </c>
      <c r="K21" s="2"/>
      <c r="L21" s="2">
        <f t="shared" si="7"/>
        <v>5775</v>
      </c>
      <c r="M21" s="2"/>
      <c r="N21" s="19">
        <f t="shared" si="8"/>
        <v>0</v>
      </c>
      <c r="O21" s="11"/>
      <c r="P21" s="2">
        <v>9845</v>
      </c>
      <c r="Q21" s="2"/>
      <c r="R21" s="19">
        <f t="shared" si="9"/>
        <v>1.6631999351816605E-2</v>
      </c>
      <c r="S21" s="2"/>
      <c r="T21" s="2"/>
      <c r="U21" s="2"/>
      <c r="V21" s="19">
        <f t="shared" si="10"/>
        <v>0</v>
      </c>
      <c r="W21" s="2"/>
      <c r="X21" s="2">
        <f t="shared" si="11"/>
        <v>9845</v>
      </c>
      <c r="Y21" s="2"/>
      <c r="Z21" s="19">
        <f t="shared" si="12"/>
        <v>0</v>
      </c>
    </row>
    <row r="22" spans="1:26" x14ac:dyDescent="0.25">
      <c r="A22" s="9"/>
      <c r="B22" s="10"/>
      <c r="C22" s="10"/>
      <c r="D22" s="3"/>
      <c r="E22" s="3"/>
      <c r="F22" s="8"/>
      <c r="G22" s="3"/>
      <c r="H22" s="3"/>
      <c r="I22" s="3"/>
      <c r="J22" s="8"/>
      <c r="K22" s="3"/>
      <c r="L22" s="3"/>
      <c r="M22" s="3"/>
      <c r="N22" s="8"/>
      <c r="O22" s="10"/>
      <c r="P22" s="3"/>
      <c r="Q22" s="3"/>
      <c r="R22" s="8"/>
      <c r="S22" s="3"/>
      <c r="T22" s="3"/>
      <c r="U22" s="3"/>
      <c r="V22" s="8"/>
      <c r="W22" s="3"/>
      <c r="X22" s="3"/>
      <c r="Y22" s="3"/>
      <c r="Z22" s="8"/>
    </row>
    <row r="23" spans="1:26" s="23" customFormat="1" x14ac:dyDescent="0.25">
      <c r="A23" s="10"/>
      <c r="B23" s="29" t="s">
        <v>6</v>
      </c>
      <c r="C23" s="29"/>
      <c r="D23" s="20">
        <f>D12-D18</f>
        <v>-10488.59</v>
      </c>
      <c r="E23" s="14"/>
      <c r="F23" s="22">
        <f>IF(D$12=0,0,D23/D$12)</f>
        <v>0</v>
      </c>
      <c r="G23" s="14"/>
      <c r="H23" s="20">
        <f>H12-H18</f>
        <v>43000</v>
      </c>
      <c r="I23" s="14"/>
      <c r="J23" s="22">
        <f>IF(H$12=0,0,H23/H$12)</f>
        <v>0.63235294117647056</v>
      </c>
      <c r="K23" s="16"/>
      <c r="L23" s="20">
        <f>+D23-H23</f>
        <v>-53488.59</v>
      </c>
      <c r="M23" s="16"/>
      <c r="N23" s="22">
        <f>IF(H23=0,0,L23/H23)</f>
        <v>-1.2439206976744186</v>
      </c>
      <c r="O23" s="28"/>
      <c r="P23" s="20">
        <f>P12-P18</f>
        <v>380045.88</v>
      </c>
      <c r="Q23" s="14"/>
      <c r="R23" s="22">
        <f>IF(P$12=0,0,P23/P$12)</f>
        <v>0.64204396443073353</v>
      </c>
      <c r="S23" s="14"/>
      <c r="T23" s="20">
        <f>T12-T18</f>
        <v>590300</v>
      </c>
      <c r="U23" s="14"/>
      <c r="V23" s="22">
        <f>IF(T$12=0,0,T23/T$12)</f>
        <v>0.67881784728610861</v>
      </c>
      <c r="W23" s="16"/>
      <c r="X23" s="20">
        <f>+P23-T23</f>
        <v>-210254.12</v>
      </c>
      <c r="Y23" s="16"/>
      <c r="Z23" s="22">
        <f>IF(T23=0,0,X23/T23)</f>
        <v>-0.35618180586142639</v>
      </c>
    </row>
    <row r="24" spans="1:26" x14ac:dyDescent="0.25">
      <c r="A24" s="9"/>
      <c r="B24" s="10"/>
      <c r="C24" s="9"/>
      <c r="D24" s="1"/>
      <c r="E24" s="1"/>
      <c r="F24" s="5"/>
      <c r="G24" s="1"/>
      <c r="H24" s="1"/>
      <c r="I24" s="1"/>
      <c r="J24" s="5"/>
      <c r="K24" s="1"/>
      <c r="L24" s="1"/>
      <c r="M24" s="1"/>
      <c r="N24" s="5"/>
      <c r="O24" s="36"/>
      <c r="P24" s="1"/>
      <c r="Q24" s="1"/>
      <c r="R24" s="5"/>
      <c r="S24" s="1"/>
      <c r="T24" s="1"/>
      <c r="U24" s="1"/>
      <c r="V24" s="5"/>
      <c r="W24" s="1"/>
      <c r="X24" s="1"/>
      <c r="Y24" s="1"/>
      <c r="Z24" s="5"/>
    </row>
    <row r="25" spans="1:26" s="23" customFormat="1" x14ac:dyDescent="0.25">
      <c r="A25" s="10"/>
      <c r="B25" s="28" t="s">
        <v>9</v>
      </c>
      <c r="C25" s="10"/>
      <c r="D25" s="21">
        <f>SUM(OSRRefD22x_0)</f>
        <v>3660.5299999999997</v>
      </c>
      <c r="E25" s="21"/>
      <c r="F25" s="30">
        <f t="shared" ref="F25:F35" si="13">IF(D$12=0,0,D25/D$12)</f>
        <v>0</v>
      </c>
      <c r="G25" s="21"/>
      <c r="H25" s="21">
        <f>SUM(OSRRefH22x_0)</f>
        <v>34293.147801200001</v>
      </c>
      <c r="I25" s="21"/>
      <c r="J25" s="30">
        <f t="shared" ref="J25:J35" si="14">IF(H$12=0,0,H25/H$12)</f>
        <v>0.50431099707647065</v>
      </c>
      <c r="K25" s="4"/>
      <c r="L25" s="21">
        <f t="shared" ref="L25:L35" si="15">+D25-H25</f>
        <v>-30632.617801200002</v>
      </c>
      <c r="M25" s="4"/>
      <c r="N25" s="30">
        <f t="shared" ref="N25:N35" si="16">IF(H25=0,0,L25/H25)</f>
        <v>-0.89325768456076504</v>
      </c>
      <c r="O25" s="10"/>
      <c r="P25" s="21">
        <f>SUM(OSRRefP22x_0)</f>
        <v>330001.64</v>
      </c>
      <c r="Q25" s="21"/>
      <c r="R25" s="30">
        <f t="shared" ref="R25:R35" si="17">IF(P$12=0,0,P25/P$12)</f>
        <v>0.55749995556916376</v>
      </c>
      <c r="S25" s="21"/>
      <c r="T25" s="21">
        <f>SUM(OSRRefT22x_0)</f>
        <v>402019.24051939999</v>
      </c>
      <c r="U25" s="21"/>
      <c r="V25" s="30">
        <f t="shared" ref="V25:V35" si="18">IF(T$12=0,0,T25/T$12)</f>
        <v>0.4623036344519319</v>
      </c>
      <c r="W25" s="4"/>
      <c r="X25" s="21">
        <f t="shared" ref="X25:X35" si="19">+P25-T25</f>
        <v>-72017.600519399974</v>
      </c>
      <c r="Y25" s="4"/>
      <c r="Z25" s="30">
        <f t="shared" ref="Z25:Z35" si="20">IF(T25=0,0,X25/T25)</f>
        <v>-0.17913968601690511</v>
      </c>
    </row>
    <row r="26" spans="1:26" s="27" customFormat="1" outlineLevel="1" collapsed="1" x14ac:dyDescent="0.25">
      <c r="A26" s="25"/>
      <c r="B26" s="12" t="str">
        <f>CONCATENATE("     ","*Benefits                                         ")</f>
        <v xml:space="preserve">     *Benefits                                         </v>
      </c>
      <c r="C26" s="12"/>
      <c r="D26" s="1">
        <f>SUM(OSRRefD22_0x_0)</f>
        <v>787.37999999999988</v>
      </c>
      <c r="E26" s="1"/>
      <c r="F26" s="5">
        <f t="shared" si="13"/>
        <v>0</v>
      </c>
      <c r="G26" s="1"/>
      <c r="H26" s="1">
        <f>SUM(OSRRefH22_0x_0)</f>
        <v>4340.6518011999997</v>
      </c>
      <c r="I26" s="1"/>
      <c r="J26" s="5">
        <f t="shared" si="14"/>
        <v>6.3833114723529413E-2</v>
      </c>
      <c r="K26" s="1"/>
      <c r="L26" s="1">
        <f t="shared" si="15"/>
        <v>-3553.2718011999996</v>
      </c>
      <c r="M26" s="1"/>
      <c r="N26" s="5">
        <f t="shared" si="16"/>
        <v>-0.81860327986171932</v>
      </c>
      <c r="O26" s="12"/>
      <c r="P26" s="1">
        <f>SUM(OSRRefP22_0x_0)</f>
        <v>27555.120000000003</v>
      </c>
      <c r="Q26" s="1"/>
      <c r="R26" s="5">
        <f t="shared" si="17"/>
        <v>4.6551217671836349E-2</v>
      </c>
      <c r="S26" s="1"/>
      <c r="T26" s="1">
        <f>SUM(OSRRefT22_0x_0)</f>
        <v>49516.688519399999</v>
      </c>
      <c r="U26" s="1"/>
      <c r="V26" s="5">
        <f t="shared" si="18"/>
        <v>5.6941914120745167E-2</v>
      </c>
      <c r="W26" s="1"/>
      <c r="X26" s="1">
        <f t="shared" si="19"/>
        <v>-21961.568519399996</v>
      </c>
      <c r="Y26" s="1"/>
      <c r="Z26" s="5">
        <f t="shared" si="20"/>
        <v>-0.44351852226135313</v>
      </c>
    </row>
    <row r="27" spans="1:26" s="24" customFormat="1" hidden="1" outlineLevel="2" x14ac:dyDescent="0.25">
      <c r="A27" s="26"/>
      <c r="B27" s="11" t="str">
        <f>CONCATENATE("          ", "6111", " - ", "F.I.C.A.")</f>
        <v xml:space="preserve">          6111 - F.I.C.A.</v>
      </c>
      <c r="C27" s="11"/>
      <c r="D27" s="7">
        <v>19.059999999999999</v>
      </c>
      <c r="E27" s="2"/>
      <c r="F27" s="6">
        <f t="shared" si="13"/>
        <v>0</v>
      </c>
      <c r="G27" s="2"/>
      <c r="H27" s="7">
        <v>666.27324120000003</v>
      </c>
      <c r="I27" s="2"/>
      <c r="J27" s="6">
        <f t="shared" si="14"/>
        <v>9.7981359000000011E-3</v>
      </c>
      <c r="K27" s="2"/>
      <c r="L27" s="7">
        <f t="shared" si="15"/>
        <v>-647.21324120000008</v>
      </c>
      <c r="M27" s="2"/>
      <c r="N27" s="6">
        <f t="shared" si="16"/>
        <v>-0.97139311798614081</v>
      </c>
      <c r="O27" s="11"/>
      <c r="P27" s="7">
        <v>5995.86</v>
      </c>
      <c r="Q27" s="2"/>
      <c r="R27" s="6">
        <f t="shared" si="17"/>
        <v>1.0129318398535612E-2</v>
      </c>
      <c r="S27" s="2"/>
      <c r="T27" s="7">
        <v>8586.2435544</v>
      </c>
      <c r="U27" s="2"/>
      <c r="V27" s="6">
        <f t="shared" si="18"/>
        <v>9.8737851361545542E-3</v>
      </c>
      <c r="W27" s="2"/>
      <c r="X27" s="7">
        <f t="shared" si="19"/>
        <v>-2590.3835544000003</v>
      </c>
      <c r="Y27" s="2"/>
      <c r="Z27" s="6">
        <f t="shared" si="20"/>
        <v>-0.30168996930823894</v>
      </c>
    </row>
    <row r="28" spans="1:26" s="24" customFormat="1" hidden="1" outlineLevel="2" x14ac:dyDescent="0.25">
      <c r="A28" s="26"/>
      <c r="B28" s="11" t="str">
        <f>CONCATENATE("          ", "6112", " - ", "COMPENSATION INSURANCE")</f>
        <v xml:space="preserve">          6112 - COMPENSATION INSURANCE</v>
      </c>
      <c r="C28" s="11"/>
      <c r="D28" s="7"/>
      <c r="E28" s="2"/>
      <c r="F28" s="6">
        <f t="shared" si="13"/>
        <v>0</v>
      </c>
      <c r="G28" s="2"/>
      <c r="H28" s="7">
        <v>771.44488000000001</v>
      </c>
      <c r="I28" s="2"/>
      <c r="J28" s="6">
        <f t="shared" si="14"/>
        <v>1.1344777647058824E-2</v>
      </c>
      <c r="K28" s="2"/>
      <c r="L28" s="7">
        <f t="shared" si="15"/>
        <v>-771.44488000000001</v>
      </c>
      <c r="M28" s="2"/>
      <c r="N28" s="6">
        <f t="shared" si="16"/>
        <v>-1</v>
      </c>
      <c r="O28" s="11"/>
      <c r="P28" s="7">
        <v>5901.84</v>
      </c>
      <c r="Q28" s="2"/>
      <c r="R28" s="6">
        <f t="shared" si="17"/>
        <v>9.9704823823794139E-3</v>
      </c>
      <c r="S28" s="2"/>
      <c r="T28" s="7">
        <v>8327.9078399999999</v>
      </c>
      <c r="U28" s="2"/>
      <c r="V28" s="6">
        <f t="shared" si="18"/>
        <v>9.5767109475620969E-3</v>
      </c>
      <c r="W28" s="2"/>
      <c r="X28" s="7">
        <f t="shared" si="19"/>
        <v>-2426.0678399999997</v>
      </c>
      <c r="Y28" s="2"/>
      <c r="Z28" s="6">
        <f t="shared" si="20"/>
        <v>-0.29131780593767953</v>
      </c>
    </row>
    <row r="29" spans="1:26" s="24" customFormat="1" hidden="1" outlineLevel="2" x14ac:dyDescent="0.25">
      <c r="A29" s="26"/>
      <c r="B29" s="11" t="str">
        <f>CONCATENATE("          ", "6113", " - ", "GROUP INSURANCE")</f>
        <v xml:space="preserve">          6113 - GROUP INSURANCE</v>
      </c>
      <c r="C29" s="11"/>
      <c r="D29" s="7">
        <v>702.51</v>
      </c>
      <c r="E29" s="2"/>
      <c r="F29" s="6">
        <f t="shared" si="13"/>
        <v>0</v>
      </c>
      <c r="G29" s="2"/>
      <c r="H29" s="7">
        <v>1381</v>
      </c>
      <c r="I29" s="2"/>
      <c r="J29" s="6">
        <f t="shared" si="14"/>
        <v>2.0308823529411765E-2</v>
      </c>
      <c r="K29" s="2"/>
      <c r="L29" s="7">
        <f t="shared" si="15"/>
        <v>-678.49</v>
      </c>
      <c r="M29" s="2"/>
      <c r="N29" s="6">
        <f t="shared" si="16"/>
        <v>-0.49130340333091965</v>
      </c>
      <c r="O29" s="11"/>
      <c r="P29" s="7">
        <v>8408.82</v>
      </c>
      <c r="Q29" s="2"/>
      <c r="R29" s="6">
        <f t="shared" si="17"/>
        <v>1.4205737815088116E-2</v>
      </c>
      <c r="S29" s="2"/>
      <c r="T29" s="7">
        <v>15191</v>
      </c>
      <c r="U29" s="2"/>
      <c r="V29" s="6">
        <f t="shared" si="18"/>
        <v>1.7468951241950321E-2</v>
      </c>
      <c r="W29" s="2"/>
      <c r="X29" s="7">
        <f t="shared" si="19"/>
        <v>-6782.18</v>
      </c>
      <c r="Y29" s="2"/>
      <c r="Z29" s="6">
        <f t="shared" si="20"/>
        <v>-0.44646040418668953</v>
      </c>
    </row>
    <row r="30" spans="1:26" s="24" customFormat="1" hidden="1" outlineLevel="2" x14ac:dyDescent="0.25">
      <c r="A30" s="26"/>
      <c r="B30" s="11" t="str">
        <f>CONCATENATE("          ", "6114", " - ", "STATE UNEMPLOYMENT INSURANCE")</f>
        <v xml:space="preserve">          6114 - STATE UNEMPLOYMENT INSURANCE</v>
      </c>
      <c r="C30" s="11"/>
      <c r="D30" s="7"/>
      <c r="E30" s="2"/>
      <c r="F30" s="6">
        <f t="shared" si="13"/>
        <v>0</v>
      </c>
      <c r="G30" s="2"/>
      <c r="H30" s="7">
        <v>60.279440000000001</v>
      </c>
      <c r="I30" s="2"/>
      <c r="J30" s="6">
        <f t="shared" si="14"/>
        <v>8.8646235294117647E-4</v>
      </c>
      <c r="K30" s="2"/>
      <c r="L30" s="7">
        <f t="shared" si="15"/>
        <v>-60.279440000000001</v>
      </c>
      <c r="M30" s="2"/>
      <c r="N30" s="6">
        <f t="shared" si="16"/>
        <v>-1</v>
      </c>
      <c r="O30" s="11"/>
      <c r="P30" s="7">
        <v>479.62</v>
      </c>
      <c r="Q30" s="2"/>
      <c r="R30" s="6">
        <f t="shared" si="17"/>
        <v>8.1026302987488889E-4</v>
      </c>
      <c r="S30" s="2"/>
      <c r="T30" s="7">
        <v>665.47799499999996</v>
      </c>
      <c r="U30" s="2"/>
      <c r="V30" s="6">
        <f t="shared" si="18"/>
        <v>7.6526908348666046E-4</v>
      </c>
      <c r="W30" s="2"/>
      <c r="X30" s="7">
        <f t="shared" si="19"/>
        <v>-185.85799499999996</v>
      </c>
      <c r="Y30" s="2"/>
      <c r="Z30" s="6">
        <f t="shared" si="20"/>
        <v>-0.27928495967774258</v>
      </c>
    </row>
    <row r="31" spans="1:26" s="24" customFormat="1" hidden="1" outlineLevel="2" x14ac:dyDescent="0.25">
      <c r="A31" s="26"/>
      <c r="B31" s="11" t="str">
        <f>CONCATENATE("          ", "6115", " - ", "P.E.R.S.")</f>
        <v xml:space="preserve">          6115 - P.E.R.S.</v>
      </c>
      <c r="C31" s="11"/>
      <c r="D31" s="7"/>
      <c r="E31" s="2"/>
      <c r="F31" s="6">
        <f t="shared" si="13"/>
        <v>0</v>
      </c>
      <c r="G31" s="2"/>
      <c r="H31" s="7">
        <v>422.34944000000002</v>
      </c>
      <c r="I31" s="2"/>
      <c r="J31" s="6">
        <f t="shared" si="14"/>
        <v>6.2110211764705887E-3</v>
      </c>
      <c r="K31" s="2"/>
      <c r="L31" s="7">
        <f t="shared" si="15"/>
        <v>-422.34944000000002</v>
      </c>
      <c r="M31" s="2"/>
      <c r="N31" s="6">
        <f t="shared" si="16"/>
        <v>-1</v>
      </c>
      <c r="O31" s="11"/>
      <c r="P31" s="7">
        <v>711.9</v>
      </c>
      <c r="Q31" s="2"/>
      <c r="R31" s="6">
        <f t="shared" si="17"/>
        <v>1.2026734726824015E-3</v>
      </c>
      <c r="S31" s="2"/>
      <c r="T31" s="7">
        <v>5068.1932800000004</v>
      </c>
      <c r="U31" s="2"/>
      <c r="V31" s="6">
        <f t="shared" si="18"/>
        <v>5.8281891444342234E-3</v>
      </c>
      <c r="W31" s="2"/>
      <c r="X31" s="7">
        <f t="shared" si="19"/>
        <v>-4356.2932800000008</v>
      </c>
      <c r="Y31" s="2"/>
      <c r="Z31" s="6">
        <f t="shared" si="20"/>
        <v>-0.85953574367234875</v>
      </c>
    </row>
    <row r="32" spans="1:26" s="24" customFormat="1" hidden="1" outlineLevel="2" x14ac:dyDescent="0.25">
      <c r="A32" s="26"/>
      <c r="B32" s="11" t="str">
        <f>CONCATENATE("          ", "6116", " - ", "EDUCATIONAL BENEFITS")</f>
        <v xml:space="preserve">          6116 - EDUCATIONAL BENEFITS</v>
      </c>
      <c r="C32" s="11"/>
      <c r="D32" s="7"/>
      <c r="E32" s="2"/>
      <c r="F32" s="6">
        <f t="shared" si="13"/>
        <v>0</v>
      </c>
      <c r="G32" s="2"/>
      <c r="H32" s="7">
        <v>0</v>
      </c>
      <c r="I32" s="2"/>
      <c r="J32" s="6">
        <f t="shared" si="14"/>
        <v>0</v>
      </c>
      <c r="K32" s="2"/>
      <c r="L32" s="7">
        <f t="shared" si="15"/>
        <v>0</v>
      </c>
      <c r="M32" s="2"/>
      <c r="N32" s="6">
        <f t="shared" si="16"/>
        <v>0</v>
      </c>
      <c r="O32" s="11"/>
      <c r="P32" s="7"/>
      <c r="Q32" s="2"/>
      <c r="R32" s="6">
        <f t="shared" si="17"/>
        <v>0</v>
      </c>
      <c r="S32" s="2"/>
      <c r="T32" s="7">
        <v>0</v>
      </c>
      <c r="U32" s="2"/>
      <c r="V32" s="6">
        <f t="shared" si="18"/>
        <v>0</v>
      </c>
      <c r="W32" s="2"/>
      <c r="X32" s="7">
        <f t="shared" si="19"/>
        <v>0</v>
      </c>
      <c r="Y32" s="2"/>
      <c r="Z32" s="6">
        <f t="shared" si="20"/>
        <v>0</v>
      </c>
    </row>
    <row r="33" spans="1:26" s="24" customFormat="1" hidden="1" outlineLevel="2" x14ac:dyDescent="0.25">
      <c r="A33" s="26"/>
      <c r="B33" s="11" t="str">
        <f>CONCATENATE("          ", "6118", " - ", "VACATION")</f>
        <v xml:space="preserve">          6118 - VACATION</v>
      </c>
      <c r="C33" s="11"/>
      <c r="D33" s="7"/>
      <c r="E33" s="2"/>
      <c r="F33" s="6">
        <f t="shared" si="13"/>
        <v>0</v>
      </c>
      <c r="G33" s="2"/>
      <c r="H33" s="7">
        <v>245.55199999999999</v>
      </c>
      <c r="I33" s="2"/>
      <c r="J33" s="6">
        <f t="shared" si="14"/>
        <v>3.6110588235294117E-3</v>
      </c>
      <c r="K33" s="2"/>
      <c r="L33" s="7">
        <f t="shared" si="15"/>
        <v>-245.55199999999999</v>
      </c>
      <c r="M33" s="2"/>
      <c r="N33" s="6">
        <f t="shared" si="16"/>
        <v>-1</v>
      </c>
      <c r="O33" s="11"/>
      <c r="P33" s="7">
        <v>2037.11</v>
      </c>
      <c r="Q33" s="2"/>
      <c r="R33" s="6">
        <f t="shared" si="17"/>
        <v>3.4414639105717752E-3</v>
      </c>
      <c r="S33" s="2"/>
      <c r="T33" s="7">
        <v>2946.6239999999998</v>
      </c>
      <c r="U33" s="2"/>
      <c r="V33" s="6">
        <f t="shared" si="18"/>
        <v>3.3884820607175711E-3</v>
      </c>
      <c r="W33" s="2"/>
      <c r="X33" s="7">
        <f t="shared" si="19"/>
        <v>-909.5139999999999</v>
      </c>
      <c r="Y33" s="2"/>
      <c r="Z33" s="6">
        <f t="shared" si="20"/>
        <v>-0.30866306661453918</v>
      </c>
    </row>
    <row r="34" spans="1:26" s="24" customFormat="1" hidden="1" outlineLevel="2" x14ac:dyDescent="0.25">
      <c r="A34" s="26"/>
      <c r="B34" s="11" t="str">
        <f>CONCATENATE("          ", "6119", " - ", "SICK LEAVE")</f>
        <v xml:space="preserve">          6119 - SICK LEAVE</v>
      </c>
      <c r="C34" s="11"/>
      <c r="D34" s="7"/>
      <c r="E34" s="2"/>
      <c r="F34" s="6">
        <f t="shared" si="13"/>
        <v>0</v>
      </c>
      <c r="G34" s="2"/>
      <c r="H34" s="7">
        <v>793.75279999999998</v>
      </c>
      <c r="I34" s="2"/>
      <c r="J34" s="6">
        <f t="shared" si="14"/>
        <v>1.1672835294117646E-2</v>
      </c>
      <c r="K34" s="2"/>
      <c r="L34" s="7">
        <f t="shared" si="15"/>
        <v>-793.75279999999998</v>
      </c>
      <c r="M34" s="2"/>
      <c r="N34" s="6">
        <f t="shared" si="16"/>
        <v>-1</v>
      </c>
      <c r="O34" s="11"/>
      <c r="P34" s="7">
        <v>2440.5100000000002</v>
      </c>
      <c r="Q34" s="2"/>
      <c r="R34" s="6">
        <f t="shared" si="17"/>
        <v>4.1229619845710459E-3</v>
      </c>
      <c r="S34" s="2"/>
      <c r="T34" s="7">
        <v>8731.2418500000003</v>
      </c>
      <c r="U34" s="2"/>
      <c r="V34" s="6">
        <f t="shared" si="18"/>
        <v>1.0040526506439744E-2</v>
      </c>
      <c r="W34" s="2"/>
      <c r="X34" s="7">
        <f t="shared" si="19"/>
        <v>-6290.7318500000001</v>
      </c>
      <c r="Y34" s="2"/>
      <c r="Z34" s="6">
        <f t="shared" si="20"/>
        <v>-0.72048535111875289</v>
      </c>
    </row>
    <row r="35" spans="1:26" s="24" customFormat="1" hidden="1" outlineLevel="2" x14ac:dyDescent="0.25">
      <c r="A35" s="26"/>
      <c r="B35" s="11" t="str">
        <f>CONCATENATE("          ", "6156", " - ", "EMPLOYEE MEALS")</f>
        <v xml:space="preserve">          6156 - EMPLOYEE MEALS</v>
      </c>
      <c r="C35" s="11"/>
      <c r="D35" s="7">
        <v>65.81</v>
      </c>
      <c r="E35" s="2"/>
      <c r="F35" s="6">
        <f t="shared" si="13"/>
        <v>0</v>
      </c>
      <c r="G35" s="2"/>
      <c r="H35" s="7"/>
      <c r="I35" s="2"/>
      <c r="J35" s="6">
        <f t="shared" si="14"/>
        <v>0</v>
      </c>
      <c r="K35" s="2"/>
      <c r="L35" s="7">
        <f t="shared" si="15"/>
        <v>65.81</v>
      </c>
      <c r="M35" s="2"/>
      <c r="N35" s="6">
        <f t="shared" si="16"/>
        <v>0</v>
      </c>
      <c r="O35" s="11"/>
      <c r="P35" s="7">
        <v>1579.46</v>
      </c>
      <c r="Q35" s="2"/>
      <c r="R35" s="6">
        <f t="shared" si="17"/>
        <v>2.6683166781330887E-3</v>
      </c>
      <c r="S35" s="2"/>
      <c r="T35" s="7"/>
      <c r="U35" s="2"/>
      <c r="V35" s="6">
        <f t="shared" si="18"/>
        <v>0</v>
      </c>
      <c r="W35" s="2"/>
      <c r="X35" s="7">
        <f t="shared" si="19"/>
        <v>1579.46</v>
      </c>
      <c r="Y35" s="2"/>
      <c r="Z35" s="6">
        <f t="shared" si="20"/>
        <v>0</v>
      </c>
    </row>
    <row r="36" spans="1:26" s="27" customFormat="1" outlineLevel="1" collapsed="1" x14ac:dyDescent="0.25">
      <c r="A36" s="25"/>
      <c r="B36" s="12" t="str">
        <f>CONCATENATE("     ","*Payroll                                          ")</f>
        <v xml:space="preserve">     *Payroll                                          </v>
      </c>
      <c r="C36" s="12"/>
      <c r="D36" s="1">
        <f>SUM(OSRRefD22_1x_0)</f>
        <v>250</v>
      </c>
      <c r="E36" s="1"/>
      <c r="F36" s="5">
        <f t="shared" ref="F36:F46" si="21">IF(D$12=0,0,D36/D$12)</f>
        <v>0</v>
      </c>
      <c r="G36" s="1"/>
      <c r="H36" s="1">
        <f>SUM(OSRRefH22_1x_0)</f>
        <v>19391.495999999999</v>
      </c>
      <c r="I36" s="1"/>
      <c r="J36" s="5">
        <f t="shared" ref="J36:J46" si="22">IF(H$12=0,0,H36/H$12)</f>
        <v>0.28516905882352939</v>
      </c>
      <c r="K36" s="1"/>
      <c r="L36" s="1">
        <f t="shared" ref="L36:L46" si="23">+D36-H36</f>
        <v>-19141.495999999999</v>
      </c>
      <c r="M36" s="1"/>
      <c r="N36" s="5">
        <f t="shared" ref="N36:N46" si="24">IF(H36=0,0,L36/H36)</f>
        <v>-0.98710775073774604</v>
      </c>
      <c r="O36" s="12"/>
      <c r="P36" s="1">
        <f>SUM(OSRRefP22_1x_0)</f>
        <v>187328.1</v>
      </c>
      <c r="Q36" s="1"/>
      <c r="R36" s="5">
        <f t="shared" ref="R36:R46" si="25">IF(P$12=0,0,P36/P$12)</f>
        <v>0.31646935883971933</v>
      </c>
      <c r="S36" s="1"/>
      <c r="T36" s="1">
        <f>SUM(OSRRefT22_1x_0)</f>
        <v>208743.55200000003</v>
      </c>
      <c r="U36" s="1"/>
      <c r="V36" s="5">
        <f t="shared" ref="V36:V46" si="26">IF(T$12=0,0,T36/T$12)</f>
        <v>0.24004548298068079</v>
      </c>
      <c r="W36" s="1"/>
      <c r="X36" s="1">
        <f t="shared" ref="X36:X46" si="27">+P36-T36</f>
        <v>-21415.452000000019</v>
      </c>
      <c r="Y36" s="1"/>
      <c r="Z36" s="5">
        <f t="shared" ref="Z36:Z46" si="28">IF(T36=0,0,X36/T36)</f>
        <v>-0.10259216054731127</v>
      </c>
    </row>
    <row r="37" spans="1:26" s="24" customFormat="1" hidden="1" outlineLevel="2" x14ac:dyDescent="0.25">
      <c r="A37" s="26"/>
      <c r="B37" s="11" t="str">
        <f>CONCATENATE("          ", "6001", " - ", "ADMINISTRATIVE SALARIES")</f>
        <v xml:space="preserve">          6001 - ADMINISTRATIVE SALARIES</v>
      </c>
      <c r="C37" s="11"/>
      <c r="D37" s="7"/>
      <c r="E37" s="2"/>
      <c r="F37" s="6">
        <f t="shared" si="21"/>
        <v>0</v>
      </c>
      <c r="G37" s="2"/>
      <c r="H37" s="7">
        <v>0</v>
      </c>
      <c r="I37" s="2"/>
      <c r="J37" s="6">
        <f t="shared" si="22"/>
        <v>0</v>
      </c>
      <c r="K37" s="2"/>
      <c r="L37" s="7">
        <f t="shared" si="23"/>
        <v>0</v>
      </c>
      <c r="M37" s="2"/>
      <c r="N37" s="6">
        <f t="shared" si="24"/>
        <v>0</v>
      </c>
      <c r="O37" s="11"/>
      <c r="P37" s="7"/>
      <c r="Q37" s="2"/>
      <c r="R37" s="6">
        <f t="shared" si="25"/>
        <v>0</v>
      </c>
      <c r="S37" s="2"/>
      <c r="T37" s="7">
        <v>0</v>
      </c>
      <c r="U37" s="2"/>
      <c r="V37" s="6">
        <f t="shared" si="26"/>
        <v>0</v>
      </c>
      <c r="W37" s="2"/>
      <c r="X37" s="7">
        <f t="shared" si="27"/>
        <v>0</v>
      </c>
      <c r="Y37" s="2"/>
      <c r="Z37" s="6">
        <f t="shared" si="28"/>
        <v>0</v>
      </c>
    </row>
    <row r="38" spans="1:26" s="24" customFormat="1" hidden="1" outlineLevel="2" x14ac:dyDescent="0.25">
      <c r="A38" s="26"/>
      <c r="B38" s="11" t="str">
        <f>CONCATENATE("          ", "6002", " - ", "STAFF SALARIES")</f>
        <v xml:space="preserve">          6002 - STAFF SALARIES</v>
      </c>
      <c r="C38" s="11"/>
      <c r="D38" s="7"/>
      <c r="E38" s="2"/>
      <c r="F38" s="6">
        <f t="shared" si="21"/>
        <v>0</v>
      </c>
      <c r="G38" s="2"/>
      <c r="H38" s="7">
        <v>4419.9359999999997</v>
      </c>
      <c r="I38" s="2"/>
      <c r="J38" s="6">
        <f t="shared" si="22"/>
        <v>6.499905882352941E-2</v>
      </c>
      <c r="K38" s="2"/>
      <c r="L38" s="7">
        <f t="shared" si="23"/>
        <v>-4419.9359999999997</v>
      </c>
      <c r="M38" s="2"/>
      <c r="N38" s="6">
        <f t="shared" si="24"/>
        <v>-1</v>
      </c>
      <c r="O38" s="11"/>
      <c r="P38" s="7">
        <v>9754.9500000000007</v>
      </c>
      <c r="Q38" s="2"/>
      <c r="R38" s="6">
        <f t="shared" si="25"/>
        <v>1.6479870195734221E-2</v>
      </c>
      <c r="S38" s="2"/>
      <c r="T38" s="7">
        <v>53039.232000000004</v>
      </c>
      <c r="U38" s="2"/>
      <c r="V38" s="6">
        <f t="shared" si="26"/>
        <v>6.0992677092916288E-2</v>
      </c>
      <c r="W38" s="2"/>
      <c r="X38" s="7">
        <f t="shared" si="27"/>
        <v>-43284.282000000007</v>
      </c>
      <c r="Y38" s="2"/>
      <c r="Z38" s="6">
        <f t="shared" si="28"/>
        <v>-0.81608048170833247</v>
      </c>
    </row>
    <row r="39" spans="1:26" s="24" customFormat="1" hidden="1" outlineLevel="2" x14ac:dyDescent="0.25">
      <c r="A39" s="26"/>
      <c r="B39" s="11" t="str">
        <f>CONCATENATE("          ", "6003", " - ", "STAFF HOURLY-9 MONTH")</f>
        <v xml:space="preserve">          6003 - STAFF HOURLY-9 MONTH</v>
      </c>
      <c r="C39" s="11"/>
      <c r="D39" s="7"/>
      <c r="E39" s="2"/>
      <c r="F39" s="6">
        <f t="shared" si="21"/>
        <v>0</v>
      </c>
      <c r="G39" s="2"/>
      <c r="H39" s="7">
        <v>0</v>
      </c>
      <c r="I39" s="2"/>
      <c r="J39" s="6">
        <f t="shared" si="22"/>
        <v>0</v>
      </c>
      <c r="K39" s="2"/>
      <c r="L39" s="7">
        <f t="shared" si="23"/>
        <v>0</v>
      </c>
      <c r="M39" s="2"/>
      <c r="N39" s="6">
        <f t="shared" si="24"/>
        <v>0</v>
      </c>
      <c r="O39" s="11"/>
      <c r="P39" s="7"/>
      <c r="Q39" s="2"/>
      <c r="R39" s="6">
        <f t="shared" si="25"/>
        <v>0</v>
      </c>
      <c r="S39" s="2"/>
      <c r="T39" s="7">
        <v>0</v>
      </c>
      <c r="U39" s="2"/>
      <c r="V39" s="6">
        <f t="shared" si="26"/>
        <v>0</v>
      </c>
      <c r="W39" s="2"/>
      <c r="X39" s="7">
        <f t="shared" si="27"/>
        <v>0</v>
      </c>
      <c r="Y39" s="2"/>
      <c r="Z39" s="6">
        <f t="shared" si="28"/>
        <v>0</v>
      </c>
    </row>
    <row r="40" spans="1:26" s="24" customFormat="1" hidden="1" outlineLevel="2" x14ac:dyDescent="0.25">
      <c r="A40" s="26"/>
      <c r="B40" s="11" t="str">
        <f>CONCATENATE("          ", "6004", " - ", "STAFF HOURLY")</f>
        <v xml:space="preserve">          6004 - STAFF HOURLY</v>
      </c>
      <c r="C40" s="11"/>
      <c r="D40" s="7">
        <v>250</v>
      </c>
      <c r="E40" s="2"/>
      <c r="F40" s="6">
        <f t="shared" si="21"/>
        <v>0</v>
      </c>
      <c r="G40" s="2"/>
      <c r="H40" s="7">
        <v>3795</v>
      </c>
      <c r="I40" s="2"/>
      <c r="J40" s="6">
        <f t="shared" si="22"/>
        <v>5.5808823529411765E-2</v>
      </c>
      <c r="K40" s="2"/>
      <c r="L40" s="7">
        <f t="shared" si="23"/>
        <v>-3545</v>
      </c>
      <c r="M40" s="2"/>
      <c r="N40" s="6">
        <f t="shared" si="24"/>
        <v>-0.93412384716732544</v>
      </c>
      <c r="O40" s="11"/>
      <c r="P40" s="7">
        <v>53258.29</v>
      </c>
      <c r="Q40" s="2"/>
      <c r="R40" s="6">
        <f t="shared" si="25"/>
        <v>8.9973778035435339E-2</v>
      </c>
      <c r="S40" s="2"/>
      <c r="T40" s="7">
        <v>45342</v>
      </c>
      <c r="U40" s="2"/>
      <c r="V40" s="6">
        <f t="shared" si="26"/>
        <v>5.2141214351425942E-2</v>
      </c>
      <c r="W40" s="2"/>
      <c r="X40" s="7">
        <f t="shared" si="27"/>
        <v>7916.2900000000009</v>
      </c>
      <c r="Y40" s="2"/>
      <c r="Z40" s="6">
        <f t="shared" si="28"/>
        <v>0.17459066649022983</v>
      </c>
    </row>
    <row r="41" spans="1:26" s="24" customFormat="1" hidden="1" outlineLevel="2" x14ac:dyDescent="0.25">
      <c r="A41" s="26"/>
      <c r="B41" s="11" t="str">
        <f>CONCATENATE("          ", "6005", " - ", "TEMPORARY WAGES-HOURLY")</f>
        <v xml:space="preserve">          6005 - TEMPORARY WAGES-HOURLY</v>
      </c>
      <c r="C41" s="11"/>
      <c r="D41" s="7"/>
      <c r="E41" s="2"/>
      <c r="F41" s="6">
        <f t="shared" si="21"/>
        <v>0</v>
      </c>
      <c r="G41" s="2"/>
      <c r="H41" s="7">
        <v>0</v>
      </c>
      <c r="I41" s="2"/>
      <c r="J41" s="6">
        <f t="shared" si="22"/>
        <v>0</v>
      </c>
      <c r="K41" s="2"/>
      <c r="L41" s="7">
        <f t="shared" si="23"/>
        <v>0</v>
      </c>
      <c r="M41" s="2"/>
      <c r="N41" s="6">
        <f t="shared" si="24"/>
        <v>0</v>
      </c>
      <c r="O41" s="11"/>
      <c r="P41" s="7">
        <v>1997.5</v>
      </c>
      <c r="Q41" s="2"/>
      <c r="R41" s="6">
        <f t="shared" si="25"/>
        <v>3.3745473545204337E-3</v>
      </c>
      <c r="S41" s="2"/>
      <c r="T41" s="7">
        <v>0</v>
      </c>
      <c r="U41" s="2"/>
      <c r="V41" s="6">
        <f t="shared" si="26"/>
        <v>0</v>
      </c>
      <c r="W41" s="2"/>
      <c r="X41" s="7">
        <f t="shared" si="27"/>
        <v>1997.5</v>
      </c>
      <c r="Y41" s="2"/>
      <c r="Z41" s="6">
        <f t="shared" si="28"/>
        <v>0</v>
      </c>
    </row>
    <row r="42" spans="1:26" s="24" customFormat="1" hidden="1" outlineLevel="2" x14ac:dyDescent="0.25">
      <c r="A42" s="26"/>
      <c r="B42" s="11" t="str">
        <f>CONCATENATE("          ", "6006", " - ", "TEMPORARY PART TIME")</f>
        <v xml:space="preserve">          6006 - TEMPORARY PART TIME</v>
      </c>
      <c r="C42" s="11"/>
      <c r="D42" s="7"/>
      <c r="E42" s="2"/>
      <c r="F42" s="6">
        <f t="shared" si="21"/>
        <v>0</v>
      </c>
      <c r="G42" s="2"/>
      <c r="H42" s="7">
        <v>0</v>
      </c>
      <c r="I42" s="2"/>
      <c r="J42" s="6">
        <f t="shared" si="22"/>
        <v>0</v>
      </c>
      <c r="K42" s="2"/>
      <c r="L42" s="7">
        <f t="shared" si="23"/>
        <v>0</v>
      </c>
      <c r="M42" s="2"/>
      <c r="N42" s="6">
        <f t="shared" si="24"/>
        <v>0</v>
      </c>
      <c r="O42" s="11"/>
      <c r="P42" s="7">
        <v>29.25</v>
      </c>
      <c r="Q42" s="2"/>
      <c r="R42" s="6">
        <f t="shared" si="25"/>
        <v>4.9414523213878695E-5</v>
      </c>
      <c r="S42" s="2"/>
      <c r="T42" s="7">
        <v>0</v>
      </c>
      <c r="U42" s="2"/>
      <c r="V42" s="6">
        <f t="shared" si="26"/>
        <v>0</v>
      </c>
      <c r="W42" s="2"/>
      <c r="X42" s="7">
        <f t="shared" si="27"/>
        <v>29.25</v>
      </c>
      <c r="Y42" s="2"/>
      <c r="Z42" s="6">
        <f t="shared" si="28"/>
        <v>0</v>
      </c>
    </row>
    <row r="43" spans="1:26" s="24" customFormat="1" hidden="1" outlineLevel="2" x14ac:dyDescent="0.25">
      <c r="A43" s="26"/>
      <c r="B43" s="11" t="str">
        <f>CONCATENATE("          ", "6007", " - ", "STUDENT HOURLY")</f>
        <v xml:space="preserve">          6007 - STUDENT HOURLY</v>
      </c>
      <c r="C43" s="11"/>
      <c r="D43" s="7"/>
      <c r="E43" s="2"/>
      <c r="F43" s="6">
        <f t="shared" si="21"/>
        <v>0</v>
      </c>
      <c r="G43" s="2"/>
      <c r="H43" s="7">
        <v>0</v>
      </c>
      <c r="I43" s="2"/>
      <c r="J43" s="6">
        <f t="shared" si="22"/>
        <v>0</v>
      </c>
      <c r="K43" s="2"/>
      <c r="L43" s="7">
        <f t="shared" si="23"/>
        <v>0</v>
      </c>
      <c r="M43" s="2"/>
      <c r="N43" s="6">
        <f t="shared" si="24"/>
        <v>0</v>
      </c>
      <c r="O43" s="11"/>
      <c r="P43" s="7">
        <v>121057.65999999999</v>
      </c>
      <c r="Q43" s="2"/>
      <c r="R43" s="6">
        <f t="shared" si="25"/>
        <v>0.20451304445428492</v>
      </c>
      <c r="S43" s="2"/>
      <c r="T43" s="7">
        <v>3720</v>
      </c>
      <c r="U43" s="2"/>
      <c r="V43" s="6">
        <f t="shared" si="26"/>
        <v>4.2778288868445266E-3</v>
      </c>
      <c r="W43" s="2"/>
      <c r="X43" s="7">
        <f t="shared" si="27"/>
        <v>117337.65999999999</v>
      </c>
      <c r="Y43" s="2"/>
      <c r="Z43" s="6">
        <f t="shared" si="28"/>
        <v>31.542381720430104</v>
      </c>
    </row>
    <row r="44" spans="1:26" s="24" customFormat="1" hidden="1" outlineLevel="2" x14ac:dyDescent="0.25">
      <c r="A44" s="26"/>
      <c r="B44" s="11" t="str">
        <f>CONCATENATE("          ", "6008", " - ", "STUDENT HOURLY-FICA EXEMPT")</f>
        <v xml:space="preserve">          6008 - STUDENT HOURLY-FICA EXEMPT</v>
      </c>
      <c r="C44" s="11"/>
      <c r="D44" s="7"/>
      <c r="E44" s="2"/>
      <c r="F44" s="6">
        <f t="shared" si="21"/>
        <v>0</v>
      </c>
      <c r="G44" s="2"/>
      <c r="H44" s="7">
        <v>11176.56</v>
      </c>
      <c r="I44" s="2"/>
      <c r="J44" s="6">
        <f t="shared" si="22"/>
        <v>0.16436117647058823</v>
      </c>
      <c r="K44" s="2"/>
      <c r="L44" s="7">
        <f t="shared" si="23"/>
        <v>-11176.56</v>
      </c>
      <c r="M44" s="2"/>
      <c r="N44" s="6">
        <f t="shared" si="24"/>
        <v>-1</v>
      </c>
      <c r="O44" s="11"/>
      <c r="P44" s="7">
        <v>1230.45</v>
      </c>
      <c r="Q44" s="2"/>
      <c r="R44" s="6">
        <f t="shared" si="25"/>
        <v>2.0787042765304971E-3</v>
      </c>
      <c r="S44" s="2"/>
      <c r="T44" s="7">
        <v>106642.32</v>
      </c>
      <c r="U44" s="2"/>
      <c r="V44" s="6">
        <f t="shared" si="26"/>
        <v>0.12263376264949402</v>
      </c>
      <c r="W44" s="2"/>
      <c r="X44" s="7">
        <f t="shared" si="27"/>
        <v>-105411.87000000001</v>
      </c>
      <c r="Y44" s="2"/>
      <c r="Z44" s="6">
        <f t="shared" si="28"/>
        <v>-0.98846189767814507</v>
      </c>
    </row>
    <row r="45" spans="1:26" s="24" customFormat="1" hidden="1" outlineLevel="2" x14ac:dyDescent="0.25">
      <c r="A45" s="26"/>
      <c r="B45" s="11" t="str">
        <f>CONCATENATE("          ", "6009", " - ", "TEMPORARY-SEASONAL")</f>
        <v xml:space="preserve">          6009 - TEMPORARY-SEASONAL</v>
      </c>
      <c r="C45" s="11"/>
      <c r="D45" s="7"/>
      <c r="E45" s="2"/>
      <c r="F45" s="6">
        <f t="shared" si="21"/>
        <v>0</v>
      </c>
      <c r="G45" s="2"/>
      <c r="H45" s="7">
        <v>0</v>
      </c>
      <c r="I45" s="2"/>
      <c r="J45" s="6">
        <f t="shared" si="22"/>
        <v>0</v>
      </c>
      <c r="K45" s="2"/>
      <c r="L45" s="7">
        <f t="shared" si="23"/>
        <v>0</v>
      </c>
      <c r="M45" s="2"/>
      <c r="N45" s="6">
        <f t="shared" si="24"/>
        <v>0</v>
      </c>
      <c r="O45" s="11"/>
      <c r="P45" s="7"/>
      <c r="Q45" s="2"/>
      <c r="R45" s="6">
        <f t="shared" si="25"/>
        <v>0</v>
      </c>
      <c r="S45" s="2"/>
      <c r="T45" s="7">
        <v>0</v>
      </c>
      <c r="U45" s="2"/>
      <c r="V45" s="6">
        <f t="shared" si="26"/>
        <v>0</v>
      </c>
      <c r="W45" s="2"/>
      <c r="X45" s="7">
        <f t="shared" si="27"/>
        <v>0</v>
      </c>
      <c r="Y45" s="2"/>
      <c r="Z45" s="6">
        <f t="shared" si="28"/>
        <v>0</v>
      </c>
    </row>
    <row r="46" spans="1:26" s="24" customFormat="1" hidden="1" outlineLevel="2" x14ac:dyDescent="0.25">
      <c r="A46" s="26"/>
      <c r="B46" s="11" t="str">
        <f>CONCATENATE("          ", "6010", " - ", "GRATUITY")</f>
        <v xml:space="preserve">          6010 - GRATUITY</v>
      </c>
      <c r="C46" s="11"/>
      <c r="D46" s="7"/>
      <c r="E46" s="2"/>
      <c r="F46" s="6">
        <f t="shared" si="21"/>
        <v>0</v>
      </c>
      <c r="G46" s="2"/>
      <c r="H46" s="7">
        <v>0</v>
      </c>
      <c r="I46" s="2"/>
      <c r="J46" s="6">
        <f t="shared" si="22"/>
        <v>0</v>
      </c>
      <c r="K46" s="2"/>
      <c r="L46" s="7">
        <f t="shared" si="23"/>
        <v>0</v>
      </c>
      <c r="M46" s="2"/>
      <c r="N46" s="6">
        <f t="shared" si="24"/>
        <v>0</v>
      </c>
      <c r="O46" s="11"/>
      <c r="P46" s="7"/>
      <c r="Q46" s="2"/>
      <c r="R46" s="6">
        <f t="shared" si="25"/>
        <v>0</v>
      </c>
      <c r="S46" s="2"/>
      <c r="T46" s="7">
        <v>0</v>
      </c>
      <c r="U46" s="2"/>
      <c r="V46" s="6">
        <f t="shared" si="26"/>
        <v>0</v>
      </c>
      <c r="W46" s="2"/>
      <c r="X46" s="7">
        <f t="shared" si="27"/>
        <v>0</v>
      </c>
      <c r="Y46" s="2"/>
      <c r="Z46" s="6">
        <f t="shared" si="28"/>
        <v>0</v>
      </c>
    </row>
    <row r="47" spans="1:26" s="27" customFormat="1" outlineLevel="1" collapsed="1" x14ac:dyDescent="0.25">
      <c r="A47" s="25"/>
      <c r="B47" s="12" t="str">
        <f>CONCATENATE("     ","Advertising/Promo                                 ")</f>
        <v xml:space="preserve">     Advertising/Promo                                 </v>
      </c>
      <c r="C47" s="12"/>
      <c r="D47" s="1">
        <f>SUM(OSRRefD22_2x_0)</f>
        <v>30.68</v>
      </c>
      <c r="E47" s="1"/>
      <c r="F47" s="5">
        <f t="shared" ref="F47:F55" si="29">IF(D$12=0,0,D47/D$12)</f>
        <v>0</v>
      </c>
      <c r="G47" s="1"/>
      <c r="H47" s="1">
        <f>SUM(OSRRefH22_2x_0)</f>
        <v>0</v>
      </c>
      <c r="I47" s="1"/>
      <c r="J47" s="5">
        <f t="shared" ref="J47:J55" si="30">IF(H$12=0,0,H47/H$12)</f>
        <v>0</v>
      </c>
      <c r="K47" s="1"/>
      <c r="L47" s="1">
        <f t="shared" ref="L47:L55" si="31">+D47-H47</f>
        <v>30.68</v>
      </c>
      <c r="M47" s="1"/>
      <c r="N47" s="5">
        <f t="shared" ref="N47:N55" si="32">IF(H47=0,0,L47/H47)</f>
        <v>0</v>
      </c>
      <c r="O47" s="12"/>
      <c r="P47" s="1">
        <f>SUM(OSRRefP22_2x_0)</f>
        <v>830.37</v>
      </c>
      <c r="Q47" s="1"/>
      <c r="R47" s="5">
        <f t="shared" ref="R47:R55" si="33">IF(P$12=0,0,P47/P$12)</f>
        <v>1.4028149620891779E-3</v>
      </c>
      <c r="S47" s="1"/>
      <c r="T47" s="1">
        <f>SUM(OSRRefT22_2x_0)</f>
        <v>1955</v>
      </c>
      <c r="U47" s="1"/>
      <c r="V47" s="5">
        <f t="shared" ref="V47:V55" si="34">IF(T$12=0,0,T47/T$12)</f>
        <v>2.2481600735970563E-3</v>
      </c>
      <c r="W47" s="1"/>
      <c r="X47" s="1">
        <f t="shared" ref="X47:X55" si="35">+P47-T47</f>
        <v>-1124.6300000000001</v>
      </c>
      <c r="Y47" s="1"/>
      <c r="Z47" s="5">
        <f t="shared" ref="Z47:Z55" si="36">IF(T47=0,0,X47/T47)</f>
        <v>-0.57525831202046041</v>
      </c>
    </row>
    <row r="48" spans="1:26" s="24" customFormat="1" hidden="1" outlineLevel="2" x14ac:dyDescent="0.25">
      <c r="A48" s="26"/>
      <c r="B48" s="11" t="str">
        <f>CONCATENATE("          ", "6362", " - ", "ADVERTISING EXPENSE")</f>
        <v xml:space="preserve">          6362 - ADVERTISING EXPENSE</v>
      </c>
      <c r="C48" s="11"/>
      <c r="D48" s="7">
        <v>30.68</v>
      </c>
      <c r="E48" s="2"/>
      <c r="F48" s="6">
        <f t="shared" si="29"/>
        <v>0</v>
      </c>
      <c r="G48" s="2"/>
      <c r="H48" s="7"/>
      <c r="I48" s="2"/>
      <c r="J48" s="6">
        <f t="shared" si="30"/>
        <v>0</v>
      </c>
      <c r="K48" s="2"/>
      <c r="L48" s="7">
        <f t="shared" si="31"/>
        <v>30.68</v>
      </c>
      <c r="M48" s="2"/>
      <c r="N48" s="6">
        <f t="shared" si="32"/>
        <v>0</v>
      </c>
      <c r="O48" s="11"/>
      <c r="P48" s="7">
        <v>830.37</v>
      </c>
      <c r="Q48" s="2"/>
      <c r="R48" s="6">
        <f t="shared" si="33"/>
        <v>1.4028149620891779E-3</v>
      </c>
      <c r="S48" s="2"/>
      <c r="T48" s="7">
        <v>1955</v>
      </c>
      <c r="U48" s="2"/>
      <c r="V48" s="6">
        <f t="shared" si="34"/>
        <v>2.2481600735970563E-3</v>
      </c>
      <c r="W48" s="2"/>
      <c r="X48" s="7">
        <f t="shared" si="35"/>
        <v>-1124.6300000000001</v>
      </c>
      <c r="Y48" s="2"/>
      <c r="Z48" s="6">
        <f t="shared" si="36"/>
        <v>-0.57525831202046041</v>
      </c>
    </row>
    <row r="49" spans="1:26" s="27" customFormat="1" outlineLevel="1" collapsed="1" x14ac:dyDescent="0.25">
      <c r="A49" s="25"/>
      <c r="B49" s="12" t="str">
        <f>CONCATENATE("     ","Bad Debts/Over/Short                              ")</f>
        <v xml:space="preserve">     Bad Debts/Over/Short                              </v>
      </c>
      <c r="C49" s="12"/>
      <c r="D49" s="1">
        <f>SUM(OSRRefD22_3x_0)</f>
        <v>0</v>
      </c>
      <c r="E49" s="1"/>
      <c r="F49" s="5">
        <f t="shared" si="29"/>
        <v>0</v>
      </c>
      <c r="G49" s="1"/>
      <c r="H49" s="1">
        <f>SUM(OSRRefH22_3x_0)</f>
        <v>10</v>
      </c>
      <c r="I49" s="1"/>
      <c r="J49" s="5">
        <f t="shared" si="30"/>
        <v>1.4705882352941175E-4</v>
      </c>
      <c r="K49" s="1"/>
      <c r="L49" s="1">
        <f t="shared" si="31"/>
        <v>-10</v>
      </c>
      <c r="M49" s="1"/>
      <c r="N49" s="5">
        <f t="shared" si="32"/>
        <v>-1</v>
      </c>
      <c r="O49" s="12"/>
      <c r="P49" s="1">
        <f>SUM(OSRRefP22_3x_0)</f>
        <v>125.23</v>
      </c>
      <c r="Q49" s="1"/>
      <c r="R49" s="5">
        <f t="shared" si="33"/>
        <v>2.1156173477176167E-4</v>
      </c>
      <c r="S49" s="1"/>
      <c r="T49" s="1">
        <f>SUM(OSRRefT22_3x_0)</f>
        <v>90</v>
      </c>
      <c r="U49" s="1"/>
      <c r="V49" s="5">
        <f t="shared" si="34"/>
        <v>1.0349586016559337E-4</v>
      </c>
      <c r="W49" s="1"/>
      <c r="X49" s="1">
        <f t="shared" si="35"/>
        <v>35.230000000000004</v>
      </c>
      <c r="Y49" s="1"/>
      <c r="Z49" s="5">
        <f t="shared" si="36"/>
        <v>0.39144444444444448</v>
      </c>
    </row>
    <row r="50" spans="1:26" s="24" customFormat="1" hidden="1" outlineLevel="2" x14ac:dyDescent="0.25">
      <c r="A50" s="26"/>
      <c r="B50" s="11" t="str">
        <f>CONCATENATE("          ", "6272", " - ", "CASH (OVER/SHORT)")</f>
        <v xml:space="preserve">          6272 - CASH (OVER/SHORT)</v>
      </c>
      <c r="C50" s="11"/>
      <c r="D50" s="7"/>
      <c r="E50" s="2"/>
      <c r="F50" s="6">
        <f t="shared" si="29"/>
        <v>0</v>
      </c>
      <c r="G50" s="2"/>
      <c r="H50" s="7">
        <v>10</v>
      </c>
      <c r="I50" s="2"/>
      <c r="J50" s="6">
        <f t="shared" si="30"/>
        <v>1.4705882352941175E-4</v>
      </c>
      <c r="K50" s="2"/>
      <c r="L50" s="7">
        <f t="shared" si="31"/>
        <v>-10</v>
      </c>
      <c r="M50" s="2"/>
      <c r="N50" s="6">
        <f t="shared" si="32"/>
        <v>-1</v>
      </c>
      <c r="O50" s="11"/>
      <c r="P50" s="7">
        <v>125.23</v>
      </c>
      <c r="Q50" s="2"/>
      <c r="R50" s="6">
        <f t="shared" si="33"/>
        <v>2.1156173477176167E-4</v>
      </c>
      <c r="S50" s="2"/>
      <c r="T50" s="7">
        <v>90</v>
      </c>
      <c r="U50" s="2"/>
      <c r="V50" s="6">
        <f t="shared" si="34"/>
        <v>1.0349586016559337E-4</v>
      </c>
      <c r="W50" s="2"/>
      <c r="X50" s="7">
        <f t="shared" si="35"/>
        <v>35.230000000000004</v>
      </c>
      <c r="Y50" s="2"/>
      <c r="Z50" s="6">
        <f t="shared" si="36"/>
        <v>0.39144444444444448</v>
      </c>
    </row>
    <row r="51" spans="1:26" s="27" customFormat="1" outlineLevel="1" collapsed="1" x14ac:dyDescent="0.25">
      <c r="A51" s="25"/>
      <c r="B51" s="12" t="str">
        <f>CONCATENATE("     ","Bank/card Fees                                    ")</f>
        <v xml:space="preserve">     Bank/card Fees                                    </v>
      </c>
      <c r="C51" s="12"/>
      <c r="D51" s="1">
        <f>SUM(OSRRefD22_4x_0)</f>
        <v>0</v>
      </c>
      <c r="E51" s="1"/>
      <c r="F51" s="5">
        <f t="shared" si="29"/>
        <v>0</v>
      </c>
      <c r="G51" s="1"/>
      <c r="H51" s="1">
        <f>SUM(OSRRefH22_4x_0)</f>
        <v>1260</v>
      </c>
      <c r="I51" s="1"/>
      <c r="J51" s="5">
        <f t="shared" si="30"/>
        <v>1.8529411764705881E-2</v>
      </c>
      <c r="K51" s="1"/>
      <c r="L51" s="1">
        <f t="shared" si="31"/>
        <v>-1260</v>
      </c>
      <c r="M51" s="1"/>
      <c r="N51" s="5">
        <f t="shared" si="32"/>
        <v>-1</v>
      </c>
      <c r="O51" s="12"/>
      <c r="P51" s="1">
        <f>SUM(OSRRefP22_4x_0)</f>
        <v>18857.060000000001</v>
      </c>
      <c r="Q51" s="1"/>
      <c r="R51" s="5">
        <f t="shared" si="33"/>
        <v>3.1856842021042851E-2</v>
      </c>
      <c r="S51" s="1"/>
      <c r="T51" s="1">
        <f>SUM(OSRRefT22_4x_0)</f>
        <v>18186</v>
      </c>
      <c r="U51" s="1"/>
      <c r="V51" s="5">
        <f t="shared" si="34"/>
        <v>2.0913063477460903E-2</v>
      </c>
      <c r="W51" s="1"/>
      <c r="X51" s="1">
        <f t="shared" si="35"/>
        <v>671.06000000000131</v>
      </c>
      <c r="Y51" s="1"/>
      <c r="Z51" s="5">
        <f t="shared" si="36"/>
        <v>3.6899813043000183E-2</v>
      </c>
    </row>
    <row r="52" spans="1:26" s="24" customFormat="1" hidden="1" outlineLevel="2" x14ac:dyDescent="0.25">
      <c r="A52" s="26"/>
      <c r="B52" s="11" t="str">
        <f>CONCATENATE("          ", "6381", " - ", "BANK/CREDIT CARD FEES")</f>
        <v xml:space="preserve">          6381 - BANK/CREDIT CARD FEES</v>
      </c>
      <c r="C52" s="11"/>
      <c r="D52" s="7"/>
      <c r="E52" s="2"/>
      <c r="F52" s="6">
        <f t="shared" si="29"/>
        <v>0</v>
      </c>
      <c r="G52" s="2"/>
      <c r="H52" s="7">
        <v>1260</v>
      </c>
      <c r="I52" s="2"/>
      <c r="J52" s="6">
        <f t="shared" si="30"/>
        <v>1.8529411764705881E-2</v>
      </c>
      <c r="K52" s="2"/>
      <c r="L52" s="7">
        <f t="shared" si="31"/>
        <v>-1260</v>
      </c>
      <c r="M52" s="2"/>
      <c r="N52" s="6">
        <f t="shared" si="32"/>
        <v>-1</v>
      </c>
      <c r="O52" s="11"/>
      <c r="P52" s="7">
        <v>18857.060000000001</v>
      </c>
      <c r="Q52" s="2"/>
      <c r="R52" s="6">
        <f t="shared" si="33"/>
        <v>3.1856842021042851E-2</v>
      </c>
      <c r="S52" s="2"/>
      <c r="T52" s="7">
        <v>18186</v>
      </c>
      <c r="U52" s="2"/>
      <c r="V52" s="6">
        <f t="shared" si="34"/>
        <v>2.0913063477460903E-2</v>
      </c>
      <c r="W52" s="2"/>
      <c r="X52" s="7">
        <f t="shared" si="35"/>
        <v>671.06000000000131</v>
      </c>
      <c r="Y52" s="2"/>
      <c r="Z52" s="6">
        <f t="shared" si="36"/>
        <v>3.6899813043000183E-2</v>
      </c>
    </row>
    <row r="53" spans="1:26" s="27" customFormat="1" outlineLevel="1" collapsed="1" x14ac:dyDescent="0.25">
      <c r="A53" s="25"/>
      <c r="B53" s="12" t="str">
        <f>CONCATENATE("     ","Depreciation                                      ")</f>
        <v xml:space="preserve">     Depreciation                                      </v>
      </c>
      <c r="C53" s="12"/>
      <c r="D53" s="1">
        <f>SUM(OSRRefD22_5x_0)</f>
        <v>1972.05</v>
      </c>
      <c r="E53" s="1"/>
      <c r="F53" s="5">
        <f t="shared" si="29"/>
        <v>0</v>
      </c>
      <c r="G53" s="1"/>
      <c r="H53" s="1">
        <f>SUM(OSRRefH22_5x_0)</f>
        <v>2401</v>
      </c>
      <c r="I53" s="1"/>
      <c r="J53" s="5">
        <f t="shared" si="30"/>
        <v>3.5308823529411767E-2</v>
      </c>
      <c r="K53" s="1"/>
      <c r="L53" s="1">
        <f t="shared" si="31"/>
        <v>-428.95000000000005</v>
      </c>
      <c r="M53" s="1"/>
      <c r="N53" s="5">
        <f t="shared" si="32"/>
        <v>-0.17865472719700126</v>
      </c>
      <c r="O53" s="12"/>
      <c r="P53" s="1">
        <f>SUM(OSRRefP22_5x_0)</f>
        <v>20557.919999999998</v>
      </c>
      <c r="Q53" s="1"/>
      <c r="R53" s="5">
        <f t="shared" si="33"/>
        <v>3.4730250087831142E-2</v>
      </c>
      <c r="S53" s="1"/>
      <c r="T53" s="1">
        <f>SUM(OSRRefT22_5x_0)</f>
        <v>25077</v>
      </c>
      <c r="U53" s="1"/>
      <c r="V53" s="5">
        <f t="shared" si="34"/>
        <v>2.8837396504139835E-2</v>
      </c>
      <c r="W53" s="1"/>
      <c r="X53" s="1">
        <f t="shared" si="35"/>
        <v>-4519.0800000000017</v>
      </c>
      <c r="Y53" s="1"/>
      <c r="Z53" s="5">
        <f t="shared" si="36"/>
        <v>-0.18020815887067837</v>
      </c>
    </row>
    <row r="54" spans="1:26" s="24" customFormat="1" hidden="1" outlineLevel="2" x14ac:dyDescent="0.25">
      <c r="A54" s="26"/>
      <c r="B54" s="11" t="str">
        <f>CONCATENATE("          ", "6322", " - ", "EQUIPMENT DEPRECIATION EXPENSE")</f>
        <v xml:space="preserve">          6322 - EQUIPMENT DEPRECIATION EXPENSE</v>
      </c>
      <c r="C54" s="11"/>
      <c r="D54" s="7">
        <v>1972.05</v>
      </c>
      <c r="E54" s="2"/>
      <c r="F54" s="6">
        <f t="shared" si="29"/>
        <v>0</v>
      </c>
      <c r="G54" s="2"/>
      <c r="H54" s="7">
        <v>1674</v>
      </c>
      <c r="I54" s="2"/>
      <c r="J54" s="6">
        <f t="shared" si="30"/>
        <v>2.4617647058823529E-2</v>
      </c>
      <c r="K54" s="2"/>
      <c r="L54" s="7">
        <f t="shared" si="31"/>
        <v>298.04999999999995</v>
      </c>
      <c r="M54" s="2"/>
      <c r="N54" s="6">
        <f t="shared" si="32"/>
        <v>0.17804659498207884</v>
      </c>
      <c r="O54" s="11"/>
      <c r="P54" s="7">
        <v>20557.919999999998</v>
      </c>
      <c r="Q54" s="2"/>
      <c r="R54" s="6">
        <f t="shared" si="33"/>
        <v>3.4730250087831142E-2</v>
      </c>
      <c r="S54" s="2"/>
      <c r="T54" s="7">
        <v>18414</v>
      </c>
      <c r="U54" s="2"/>
      <c r="V54" s="6">
        <f t="shared" si="34"/>
        <v>2.1175252989880405E-2</v>
      </c>
      <c r="W54" s="2"/>
      <c r="X54" s="7">
        <f t="shared" si="35"/>
        <v>2143.9199999999983</v>
      </c>
      <c r="Y54" s="2"/>
      <c r="Z54" s="6">
        <f t="shared" si="36"/>
        <v>0.11642880417073956</v>
      </c>
    </row>
    <row r="55" spans="1:26" s="24" customFormat="1" hidden="1" outlineLevel="2" x14ac:dyDescent="0.25">
      <c r="A55" s="26"/>
      <c r="B55" s="11" t="str">
        <f>CONCATENATE("          ", "6324", " - ", "FURNITURE + FIXT DEPRECIATION")</f>
        <v xml:space="preserve">          6324 - FURNITURE + FIXT DEPRECIATION</v>
      </c>
      <c r="C55" s="11"/>
      <c r="D55" s="7"/>
      <c r="E55" s="2"/>
      <c r="F55" s="6">
        <f t="shared" si="29"/>
        <v>0</v>
      </c>
      <c r="G55" s="2"/>
      <c r="H55" s="7">
        <v>727</v>
      </c>
      <c r="I55" s="2"/>
      <c r="J55" s="6">
        <f t="shared" si="30"/>
        <v>1.0691176470588235E-2</v>
      </c>
      <c r="K55" s="2"/>
      <c r="L55" s="7">
        <f t="shared" si="31"/>
        <v>-727</v>
      </c>
      <c r="M55" s="2"/>
      <c r="N55" s="6">
        <f t="shared" si="32"/>
        <v>-1</v>
      </c>
      <c r="O55" s="11"/>
      <c r="P55" s="7"/>
      <c r="Q55" s="2"/>
      <c r="R55" s="6">
        <f t="shared" si="33"/>
        <v>0</v>
      </c>
      <c r="S55" s="2"/>
      <c r="T55" s="7">
        <v>6663</v>
      </c>
      <c r="U55" s="2"/>
      <c r="V55" s="6">
        <f t="shared" si="34"/>
        <v>7.6621435142594299E-3</v>
      </c>
      <c r="W55" s="2"/>
      <c r="X55" s="7">
        <f t="shared" si="35"/>
        <v>-6663</v>
      </c>
      <c r="Y55" s="2"/>
      <c r="Z55" s="6">
        <f t="shared" si="36"/>
        <v>-1</v>
      </c>
    </row>
    <row r="56" spans="1:26" s="27" customFormat="1" outlineLevel="1" collapsed="1" x14ac:dyDescent="0.25">
      <c r="A56" s="25"/>
      <c r="B56" s="12" t="str">
        <f>CONCATENATE("     ","Employees' Appreciation                           ")</f>
        <v xml:space="preserve">     Employees' Appreciation                           </v>
      </c>
      <c r="C56" s="12"/>
      <c r="D56" s="1">
        <f>SUM(OSRRefD22_6x_0)</f>
        <v>0</v>
      </c>
      <c r="E56" s="1"/>
      <c r="F56" s="5">
        <f t="shared" ref="F56:F64" si="37">IF(D$12=0,0,D56/D$12)</f>
        <v>0</v>
      </c>
      <c r="G56" s="1"/>
      <c r="H56" s="1">
        <f>SUM(OSRRefH22_6x_0)</f>
        <v>60</v>
      </c>
      <c r="I56" s="1"/>
      <c r="J56" s="5">
        <f t="shared" ref="J56:J64" si="38">IF(H$12=0,0,H56/H$12)</f>
        <v>8.8235294117647062E-4</v>
      </c>
      <c r="K56" s="1"/>
      <c r="L56" s="1">
        <f t="shared" ref="L56:L64" si="39">+D56-H56</f>
        <v>-60</v>
      </c>
      <c r="M56" s="1"/>
      <c r="N56" s="5">
        <f t="shared" ref="N56:N64" si="40">IF(H56=0,0,L56/H56)</f>
        <v>-1</v>
      </c>
      <c r="O56" s="12"/>
      <c r="P56" s="1">
        <f>SUM(OSRRefP22_6x_0)</f>
        <v>236.02</v>
      </c>
      <c r="Q56" s="1"/>
      <c r="R56" s="5">
        <f t="shared" ref="R56:R64" si="41">IF(P$12=0,0,P56/P$12)</f>
        <v>3.9872874423725298E-4</v>
      </c>
      <c r="S56" s="1"/>
      <c r="T56" s="1">
        <f>SUM(OSRRefT22_6x_0)</f>
        <v>300</v>
      </c>
      <c r="U56" s="1"/>
      <c r="V56" s="5">
        <f t="shared" ref="V56:V64" si="42">IF(T$12=0,0,T56/T$12)</f>
        <v>3.4498620055197794E-4</v>
      </c>
      <c r="W56" s="1"/>
      <c r="X56" s="1">
        <f t="shared" ref="X56:X64" si="43">+P56-T56</f>
        <v>-63.97999999999999</v>
      </c>
      <c r="Y56" s="1"/>
      <c r="Z56" s="5">
        <f t="shared" ref="Z56:Z64" si="44">IF(T56=0,0,X56/T56)</f>
        <v>-0.21326666666666663</v>
      </c>
    </row>
    <row r="57" spans="1:26" s="24" customFormat="1" hidden="1" outlineLevel="2" x14ac:dyDescent="0.25">
      <c r="A57" s="26"/>
      <c r="B57" s="11" t="str">
        <f>CONCATENATE("          ", "6277", " - ", "EMPLOYEE APPRECIATION")</f>
        <v xml:space="preserve">          6277 - EMPLOYEE APPRECIATION</v>
      </c>
      <c r="C57" s="11"/>
      <c r="D57" s="7"/>
      <c r="E57" s="2"/>
      <c r="F57" s="6">
        <f t="shared" si="37"/>
        <v>0</v>
      </c>
      <c r="G57" s="2"/>
      <c r="H57" s="7">
        <v>60</v>
      </c>
      <c r="I57" s="2"/>
      <c r="J57" s="6">
        <f t="shared" si="38"/>
        <v>8.8235294117647062E-4</v>
      </c>
      <c r="K57" s="2"/>
      <c r="L57" s="7">
        <f t="shared" si="39"/>
        <v>-60</v>
      </c>
      <c r="M57" s="2"/>
      <c r="N57" s="6">
        <f t="shared" si="40"/>
        <v>-1</v>
      </c>
      <c r="O57" s="11"/>
      <c r="P57" s="7">
        <v>236.02</v>
      </c>
      <c r="Q57" s="2"/>
      <c r="R57" s="6">
        <f t="shared" si="41"/>
        <v>3.9872874423725298E-4</v>
      </c>
      <c r="S57" s="2"/>
      <c r="T57" s="7">
        <v>300</v>
      </c>
      <c r="U57" s="2"/>
      <c r="V57" s="6">
        <f t="shared" si="42"/>
        <v>3.4498620055197794E-4</v>
      </c>
      <c r="W57" s="2"/>
      <c r="X57" s="7">
        <f t="shared" si="43"/>
        <v>-63.97999999999999</v>
      </c>
      <c r="Y57" s="2"/>
      <c r="Z57" s="6">
        <f t="shared" si="44"/>
        <v>-0.21326666666666663</v>
      </c>
    </row>
    <row r="58" spans="1:26" s="27" customFormat="1" outlineLevel="1" collapsed="1" x14ac:dyDescent="0.25">
      <c r="A58" s="25"/>
      <c r="B58" s="12" t="str">
        <f>CONCATENATE("     ","Equipment Rental                                  ")</f>
        <v xml:space="preserve">     Equipment Rental                                  </v>
      </c>
      <c r="C58" s="12"/>
      <c r="D58" s="1">
        <f>SUM(OSRRefD22_7x_0)</f>
        <v>240.32</v>
      </c>
      <c r="E58" s="1"/>
      <c r="F58" s="5">
        <f t="shared" si="37"/>
        <v>0</v>
      </c>
      <c r="G58" s="1"/>
      <c r="H58" s="1">
        <f>SUM(OSRRefH22_7x_0)</f>
        <v>0</v>
      </c>
      <c r="I58" s="1"/>
      <c r="J58" s="5">
        <f t="shared" si="38"/>
        <v>0</v>
      </c>
      <c r="K58" s="1"/>
      <c r="L58" s="1">
        <f t="shared" si="39"/>
        <v>240.32</v>
      </c>
      <c r="M58" s="1"/>
      <c r="N58" s="5">
        <f t="shared" si="40"/>
        <v>0</v>
      </c>
      <c r="O58" s="12"/>
      <c r="P58" s="1">
        <f>SUM(OSRRefP22_7x_0)</f>
        <v>1191.5999999999999</v>
      </c>
      <c r="Q58" s="1"/>
      <c r="R58" s="5">
        <f t="shared" si="41"/>
        <v>2.0130716533900118E-3</v>
      </c>
      <c r="S58" s="1"/>
      <c r="T58" s="1">
        <f>SUM(OSRRefT22_7x_0)</f>
        <v>0</v>
      </c>
      <c r="U58" s="1"/>
      <c r="V58" s="5">
        <f t="shared" si="42"/>
        <v>0</v>
      </c>
      <c r="W58" s="1"/>
      <c r="X58" s="1">
        <f t="shared" si="43"/>
        <v>1191.5999999999999</v>
      </c>
      <c r="Y58" s="1"/>
      <c r="Z58" s="5">
        <f t="shared" si="44"/>
        <v>0</v>
      </c>
    </row>
    <row r="59" spans="1:26" s="24" customFormat="1" hidden="1" outlineLevel="2" x14ac:dyDescent="0.25">
      <c r="A59" s="26"/>
      <c r="B59" s="11" t="str">
        <f>CONCATENATE("          ", "6351", " - ", "EQUIPMENT RENTAL")</f>
        <v xml:space="preserve">          6351 - EQUIPMENT RENTAL</v>
      </c>
      <c r="C59" s="11"/>
      <c r="D59" s="7">
        <v>240.32</v>
      </c>
      <c r="E59" s="2"/>
      <c r="F59" s="6">
        <f t="shared" si="37"/>
        <v>0</v>
      </c>
      <c r="G59" s="2"/>
      <c r="H59" s="7"/>
      <c r="I59" s="2"/>
      <c r="J59" s="6">
        <f t="shared" si="38"/>
        <v>0</v>
      </c>
      <c r="K59" s="2"/>
      <c r="L59" s="7">
        <f t="shared" si="39"/>
        <v>240.32</v>
      </c>
      <c r="M59" s="2"/>
      <c r="N59" s="6">
        <f t="shared" si="40"/>
        <v>0</v>
      </c>
      <c r="O59" s="11"/>
      <c r="P59" s="7">
        <v>1191.5999999999999</v>
      </c>
      <c r="Q59" s="2"/>
      <c r="R59" s="6">
        <f t="shared" si="41"/>
        <v>2.0130716533900118E-3</v>
      </c>
      <c r="S59" s="2"/>
      <c r="T59" s="7"/>
      <c r="U59" s="2"/>
      <c r="V59" s="6">
        <f t="shared" si="42"/>
        <v>0</v>
      </c>
      <c r="W59" s="2"/>
      <c r="X59" s="7">
        <f t="shared" si="43"/>
        <v>1191.5999999999999</v>
      </c>
      <c r="Y59" s="2"/>
      <c r="Z59" s="6">
        <f t="shared" si="44"/>
        <v>0</v>
      </c>
    </row>
    <row r="60" spans="1:26" s="27" customFormat="1" outlineLevel="1" collapsed="1" x14ac:dyDescent="0.25">
      <c r="A60" s="25"/>
      <c r="B60" s="12" t="str">
        <f>CONCATENATE("     ","General                                           ")</f>
        <v xml:space="preserve">     General                                           </v>
      </c>
      <c r="C60" s="12"/>
      <c r="D60" s="1">
        <f>SUM(OSRRefD22_8x_0)</f>
        <v>0</v>
      </c>
      <c r="E60" s="1"/>
      <c r="F60" s="5">
        <f t="shared" si="37"/>
        <v>0</v>
      </c>
      <c r="G60" s="1"/>
      <c r="H60" s="1">
        <f>SUM(OSRRefH22_8x_0)</f>
        <v>1000</v>
      </c>
      <c r="I60" s="1"/>
      <c r="J60" s="5">
        <f t="shared" si="38"/>
        <v>1.4705882352941176E-2</v>
      </c>
      <c r="K60" s="1"/>
      <c r="L60" s="1">
        <f t="shared" si="39"/>
        <v>-1000</v>
      </c>
      <c r="M60" s="1"/>
      <c r="N60" s="5">
        <f t="shared" si="40"/>
        <v>-1</v>
      </c>
      <c r="O60" s="12"/>
      <c r="P60" s="1">
        <f>SUM(OSRRefP22_8x_0)</f>
        <v>9129.7800000000007</v>
      </c>
      <c r="Q60" s="1"/>
      <c r="R60" s="5">
        <f t="shared" si="41"/>
        <v>1.5423717119576255E-2</v>
      </c>
      <c r="S60" s="1"/>
      <c r="T60" s="1">
        <f>SUM(OSRRefT22_8x_0)</f>
        <v>12400</v>
      </c>
      <c r="U60" s="1"/>
      <c r="V60" s="5">
        <f t="shared" si="42"/>
        <v>1.4259429622815088E-2</v>
      </c>
      <c r="W60" s="1"/>
      <c r="X60" s="1">
        <f t="shared" si="43"/>
        <v>-3270.2199999999993</v>
      </c>
      <c r="Y60" s="1"/>
      <c r="Z60" s="5">
        <f t="shared" si="44"/>
        <v>-0.26372741935483868</v>
      </c>
    </row>
    <row r="61" spans="1:26" s="24" customFormat="1" hidden="1" outlineLevel="2" x14ac:dyDescent="0.25">
      <c r="A61" s="26"/>
      <c r="B61" s="11" t="str">
        <f>CONCATENATE("          ", "6279", " - ", "GENERAL EXPENSE")</f>
        <v xml:space="preserve">          6279 - GENERAL EXPENSE</v>
      </c>
      <c r="C61" s="11"/>
      <c r="D61" s="7"/>
      <c r="E61" s="2"/>
      <c r="F61" s="6">
        <f t="shared" si="37"/>
        <v>0</v>
      </c>
      <c r="G61" s="2"/>
      <c r="H61" s="7">
        <v>1000</v>
      </c>
      <c r="I61" s="2"/>
      <c r="J61" s="6">
        <f t="shared" si="38"/>
        <v>1.4705882352941176E-2</v>
      </c>
      <c r="K61" s="2"/>
      <c r="L61" s="7">
        <f t="shared" si="39"/>
        <v>-1000</v>
      </c>
      <c r="M61" s="2"/>
      <c r="N61" s="6">
        <f t="shared" si="40"/>
        <v>-1</v>
      </c>
      <c r="O61" s="11"/>
      <c r="P61" s="7">
        <v>9129.7800000000007</v>
      </c>
      <c r="Q61" s="2"/>
      <c r="R61" s="6">
        <f t="shared" si="41"/>
        <v>1.5423717119576255E-2</v>
      </c>
      <c r="S61" s="2"/>
      <c r="T61" s="7">
        <v>12400</v>
      </c>
      <c r="U61" s="2"/>
      <c r="V61" s="6">
        <f t="shared" si="42"/>
        <v>1.4259429622815088E-2</v>
      </c>
      <c r="W61" s="2"/>
      <c r="X61" s="7">
        <f t="shared" si="43"/>
        <v>-3270.2199999999993</v>
      </c>
      <c r="Y61" s="2"/>
      <c r="Z61" s="6">
        <f t="shared" si="44"/>
        <v>-0.26372741935483868</v>
      </c>
    </row>
    <row r="62" spans="1:26" s="27" customFormat="1" outlineLevel="1" collapsed="1" x14ac:dyDescent="0.25">
      <c r="A62" s="25"/>
      <c r="B62" s="12" t="str">
        <f>CONCATENATE("     ","Repair and Maintenance                            ")</f>
        <v xml:space="preserve">     Repair and Maintenance                            </v>
      </c>
      <c r="C62" s="12"/>
      <c r="D62" s="1">
        <f>SUM(OSRRefD22_9x_0)</f>
        <v>183</v>
      </c>
      <c r="E62" s="1"/>
      <c r="F62" s="5">
        <f t="shared" si="37"/>
        <v>0</v>
      </c>
      <c r="G62" s="1"/>
      <c r="H62" s="1">
        <f>SUM(OSRRefH22_9x_0)</f>
        <v>200</v>
      </c>
      <c r="I62" s="1"/>
      <c r="J62" s="5">
        <f t="shared" si="38"/>
        <v>2.9411764705882353E-3</v>
      </c>
      <c r="K62" s="1"/>
      <c r="L62" s="1">
        <f t="shared" si="39"/>
        <v>-17</v>
      </c>
      <c r="M62" s="1"/>
      <c r="N62" s="5">
        <f t="shared" si="40"/>
        <v>-8.5000000000000006E-2</v>
      </c>
      <c r="O62" s="12"/>
      <c r="P62" s="1">
        <f>SUM(OSRRefP22_9x_0)</f>
        <v>7577.18</v>
      </c>
      <c r="Q62" s="1"/>
      <c r="R62" s="5">
        <f t="shared" si="41"/>
        <v>1.2800777333529483E-2</v>
      </c>
      <c r="S62" s="1"/>
      <c r="T62" s="1">
        <f>SUM(OSRRefT22_9x_0)</f>
        <v>4600</v>
      </c>
      <c r="U62" s="1"/>
      <c r="V62" s="5">
        <f t="shared" si="42"/>
        <v>5.2897884084636615E-3</v>
      </c>
      <c r="W62" s="1"/>
      <c r="X62" s="1">
        <f t="shared" si="43"/>
        <v>2977.1800000000003</v>
      </c>
      <c r="Y62" s="1"/>
      <c r="Z62" s="5">
        <f t="shared" si="44"/>
        <v>0.64721304347826092</v>
      </c>
    </row>
    <row r="63" spans="1:26" s="24" customFormat="1" hidden="1" outlineLevel="2" x14ac:dyDescent="0.25">
      <c r="A63" s="26"/>
      <c r="B63" s="11" t="str">
        <f>CONCATENATE("          ", "6373", " - ", "MAINTENANCE CONTRACTS")</f>
        <v xml:space="preserve">          6373 - MAINTENANCE CONTRACTS</v>
      </c>
      <c r="C63" s="11"/>
      <c r="D63" s="7"/>
      <c r="E63" s="2"/>
      <c r="F63" s="6">
        <f t="shared" si="37"/>
        <v>0</v>
      </c>
      <c r="G63" s="2"/>
      <c r="H63" s="7"/>
      <c r="I63" s="2"/>
      <c r="J63" s="6">
        <f t="shared" si="38"/>
        <v>0</v>
      </c>
      <c r="K63" s="2"/>
      <c r="L63" s="7">
        <f t="shared" si="39"/>
        <v>0</v>
      </c>
      <c r="M63" s="2"/>
      <c r="N63" s="6">
        <f t="shared" si="40"/>
        <v>0</v>
      </c>
      <c r="O63" s="11"/>
      <c r="P63" s="7">
        <v>369.97</v>
      </c>
      <c r="Q63" s="2"/>
      <c r="R63" s="6">
        <f t="shared" si="41"/>
        <v>6.2502191977568207E-4</v>
      </c>
      <c r="S63" s="2"/>
      <c r="T63" s="7"/>
      <c r="U63" s="2"/>
      <c r="V63" s="6">
        <f t="shared" si="42"/>
        <v>0</v>
      </c>
      <c r="W63" s="2"/>
      <c r="X63" s="7">
        <f t="shared" si="43"/>
        <v>369.97</v>
      </c>
      <c r="Y63" s="2"/>
      <c r="Z63" s="6">
        <f t="shared" si="44"/>
        <v>0</v>
      </c>
    </row>
    <row r="64" spans="1:26" s="24" customFormat="1" hidden="1" outlineLevel="2" x14ac:dyDescent="0.25">
      <c r="A64" s="26"/>
      <c r="B64" s="11" t="str">
        <f>CONCATENATE("          ", "6375", " - ", "OUTSIDE REPAIRS &amp; MAINTENANCE")</f>
        <v xml:space="preserve">          6375 - OUTSIDE REPAIRS &amp; MAINTENANCE</v>
      </c>
      <c r="C64" s="11"/>
      <c r="D64" s="7">
        <v>183</v>
      </c>
      <c r="E64" s="2"/>
      <c r="F64" s="6">
        <f t="shared" si="37"/>
        <v>0</v>
      </c>
      <c r="G64" s="2"/>
      <c r="H64" s="7">
        <v>200</v>
      </c>
      <c r="I64" s="2"/>
      <c r="J64" s="6">
        <f t="shared" si="38"/>
        <v>2.9411764705882353E-3</v>
      </c>
      <c r="K64" s="2"/>
      <c r="L64" s="7">
        <f t="shared" si="39"/>
        <v>-17</v>
      </c>
      <c r="M64" s="2"/>
      <c r="N64" s="6">
        <f t="shared" si="40"/>
        <v>-8.5000000000000006E-2</v>
      </c>
      <c r="O64" s="11"/>
      <c r="P64" s="7">
        <v>7207.21</v>
      </c>
      <c r="Q64" s="2"/>
      <c r="R64" s="6">
        <f t="shared" si="41"/>
        <v>1.21757554137538E-2</v>
      </c>
      <c r="S64" s="2"/>
      <c r="T64" s="7">
        <v>4600</v>
      </c>
      <c r="U64" s="2"/>
      <c r="V64" s="6">
        <f t="shared" si="42"/>
        <v>5.2897884084636615E-3</v>
      </c>
      <c r="W64" s="2"/>
      <c r="X64" s="7">
        <f t="shared" si="43"/>
        <v>2607.21</v>
      </c>
      <c r="Y64" s="2"/>
      <c r="Z64" s="6">
        <f t="shared" si="44"/>
        <v>0.56678478260869569</v>
      </c>
    </row>
    <row r="65" spans="1:26" s="27" customFormat="1" outlineLevel="1" collapsed="1" x14ac:dyDescent="0.25">
      <c r="A65" s="25"/>
      <c r="B65" s="12" t="str">
        <f>CONCATENATE("     ","Royalty &amp; Commissions                             ")</f>
        <v xml:space="preserve">     Royalty &amp; Commissions                             </v>
      </c>
      <c r="C65" s="12"/>
      <c r="D65" s="1">
        <f>SUM(OSRRefD22_10x_0)</f>
        <v>0</v>
      </c>
      <c r="E65" s="1"/>
      <c r="F65" s="5">
        <f t="shared" ref="F65:F78" si="45">IF(D$12=0,0,D65/D$12)</f>
        <v>0</v>
      </c>
      <c r="G65" s="1"/>
      <c r="H65" s="1">
        <f>SUM(OSRRefH22_10x_0)</f>
        <v>5040</v>
      </c>
      <c r="I65" s="1"/>
      <c r="J65" s="5">
        <f t="shared" ref="J65:J78" si="46">IF(H$12=0,0,H65/H$12)</f>
        <v>7.4117647058823524E-2</v>
      </c>
      <c r="K65" s="1"/>
      <c r="L65" s="1">
        <f t="shared" ref="L65:L78" si="47">+D65-H65</f>
        <v>-5040</v>
      </c>
      <c r="M65" s="1"/>
      <c r="N65" s="5">
        <f t="shared" ref="N65:N78" si="48">IF(H65=0,0,L65/H65)</f>
        <v>-1</v>
      </c>
      <c r="O65" s="12"/>
      <c r="P65" s="1">
        <f>SUM(OSRRefP22_10x_0)</f>
        <v>44134.64</v>
      </c>
      <c r="Q65" s="1"/>
      <c r="R65" s="5">
        <f t="shared" ref="R65:R78" si="49">IF(P$12=0,0,P65/P$12)</f>
        <v>7.4560416848416383E-2</v>
      </c>
      <c r="S65" s="1"/>
      <c r="T65" s="1">
        <f>SUM(OSRRefT22_10x_0)</f>
        <v>67120</v>
      </c>
      <c r="U65" s="1"/>
      <c r="V65" s="5">
        <f t="shared" ref="V65:V78" si="50">IF(T$12=0,0,T65/T$12)</f>
        <v>7.7184912603495859E-2</v>
      </c>
      <c r="W65" s="1"/>
      <c r="X65" s="1">
        <f t="shared" ref="X65:X78" si="51">+P65-T65</f>
        <v>-22985.360000000001</v>
      </c>
      <c r="Y65" s="1"/>
      <c r="Z65" s="5">
        <f t="shared" ref="Z65:Z78" si="52">IF(T65=0,0,X65/T65)</f>
        <v>-0.3424517282479142</v>
      </c>
    </row>
    <row r="66" spans="1:26" s="24" customFormat="1" hidden="1" outlineLevel="2" x14ac:dyDescent="0.25">
      <c r="A66" s="26"/>
      <c r="B66" s="11" t="str">
        <f>CONCATENATE("          ", "6259", " - ", "ROYALTY &amp; COMMISSIONS")</f>
        <v xml:space="preserve">          6259 - ROYALTY &amp; COMMISSIONS</v>
      </c>
      <c r="C66" s="11"/>
      <c r="D66" s="7"/>
      <c r="E66" s="2"/>
      <c r="F66" s="6">
        <f t="shared" si="45"/>
        <v>0</v>
      </c>
      <c r="G66" s="2"/>
      <c r="H66" s="7">
        <v>5040</v>
      </c>
      <c r="I66" s="2"/>
      <c r="J66" s="6">
        <f t="shared" si="46"/>
        <v>7.4117647058823524E-2</v>
      </c>
      <c r="K66" s="2"/>
      <c r="L66" s="7">
        <f t="shared" si="47"/>
        <v>-5040</v>
      </c>
      <c r="M66" s="2"/>
      <c r="N66" s="6">
        <f t="shared" si="48"/>
        <v>-1</v>
      </c>
      <c r="O66" s="11"/>
      <c r="P66" s="7">
        <v>44134.64</v>
      </c>
      <c r="Q66" s="2"/>
      <c r="R66" s="6">
        <f t="shared" si="49"/>
        <v>7.4560416848416383E-2</v>
      </c>
      <c r="S66" s="2"/>
      <c r="T66" s="7">
        <v>67120</v>
      </c>
      <c r="U66" s="2"/>
      <c r="V66" s="6">
        <f t="shared" si="50"/>
        <v>7.7184912603495859E-2</v>
      </c>
      <c r="W66" s="2"/>
      <c r="X66" s="7">
        <f t="shared" si="51"/>
        <v>-22985.360000000001</v>
      </c>
      <c r="Y66" s="2"/>
      <c r="Z66" s="6">
        <f t="shared" si="52"/>
        <v>-0.3424517282479142</v>
      </c>
    </row>
    <row r="67" spans="1:26" s="27" customFormat="1" outlineLevel="1" collapsed="1" x14ac:dyDescent="0.25">
      <c r="A67" s="25"/>
      <c r="B67" s="12" t="str">
        <f>CONCATENATE("     ","Services                                          ")</f>
        <v xml:space="preserve">     Services                                          </v>
      </c>
      <c r="C67" s="12"/>
      <c r="D67" s="1">
        <f>SUM(OSRRefD22_11x_0)</f>
        <v>0</v>
      </c>
      <c r="E67" s="1"/>
      <c r="F67" s="5">
        <f t="shared" si="45"/>
        <v>0</v>
      </c>
      <c r="G67" s="1"/>
      <c r="H67" s="1">
        <f>SUM(OSRRefH22_11x_0)</f>
        <v>120</v>
      </c>
      <c r="I67" s="1"/>
      <c r="J67" s="5">
        <f t="shared" si="46"/>
        <v>1.7647058823529412E-3</v>
      </c>
      <c r="K67" s="1"/>
      <c r="L67" s="1">
        <f t="shared" si="47"/>
        <v>-120</v>
      </c>
      <c r="M67" s="1"/>
      <c r="N67" s="5">
        <f t="shared" si="48"/>
        <v>-1</v>
      </c>
      <c r="O67" s="12"/>
      <c r="P67" s="1">
        <f>SUM(OSRRefP22_11x_0)</f>
        <v>508.6</v>
      </c>
      <c r="Q67" s="1"/>
      <c r="R67" s="5">
        <f t="shared" si="49"/>
        <v>8.5922141902833175E-4</v>
      </c>
      <c r="S67" s="1"/>
      <c r="T67" s="1">
        <f>SUM(OSRRefT22_11x_0)</f>
        <v>1320</v>
      </c>
      <c r="U67" s="1"/>
      <c r="V67" s="5">
        <f t="shared" si="50"/>
        <v>1.5179392824287029E-3</v>
      </c>
      <c r="W67" s="1"/>
      <c r="X67" s="1">
        <f t="shared" si="51"/>
        <v>-811.4</v>
      </c>
      <c r="Y67" s="1"/>
      <c r="Z67" s="5">
        <f t="shared" si="52"/>
        <v>-0.61469696969696963</v>
      </c>
    </row>
    <row r="68" spans="1:26" s="24" customFormat="1" hidden="1" outlineLevel="2" x14ac:dyDescent="0.25">
      <c r="A68" s="26"/>
      <c r="B68" s="11" t="str">
        <f>CONCATENATE("          ", "6286", " - ", "LAUNDRY EXPENSE")</f>
        <v xml:space="preserve">          6286 - LAUNDRY EXPENSE</v>
      </c>
      <c r="C68" s="11"/>
      <c r="D68" s="7"/>
      <c r="E68" s="2"/>
      <c r="F68" s="6">
        <f t="shared" si="45"/>
        <v>0</v>
      </c>
      <c r="G68" s="2"/>
      <c r="H68" s="7">
        <v>120</v>
      </c>
      <c r="I68" s="2"/>
      <c r="J68" s="6">
        <f t="shared" si="46"/>
        <v>1.7647058823529412E-3</v>
      </c>
      <c r="K68" s="2"/>
      <c r="L68" s="7">
        <f t="shared" si="47"/>
        <v>-120</v>
      </c>
      <c r="M68" s="2"/>
      <c r="N68" s="6">
        <f t="shared" si="48"/>
        <v>-1</v>
      </c>
      <c r="O68" s="11"/>
      <c r="P68" s="7">
        <v>508.6</v>
      </c>
      <c r="Q68" s="2"/>
      <c r="R68" s="6">
        <f t="shared" si="49"/>
        <v>8.5922141902833175E-4</v>
      </c>
      <c r="S68" s="2"/>
      <c r="T68" s="7">
        <v>1320</v>
      </c>
      <c r="U68" s="2"/>
      <c r="V68" s="6">
        <f t="shared" si="50"/>
        <v>1.5179392824287029E-3</v>
      </c>
      <c r="W68" s="2"/>
      <c r="X68" s="7">
        <f t="shared" si="51"/>
        <v>-811.4</v>
      </c>
      <c r="Y68" s="2"/>
      <c r="Z68" s="6">
        <f t="shared" si="52"/>
        <v>-0.61469696969696963</v>
      </c>
    </row>
    <row r="69" spans="1:26" s="27" customFormat="1" outlineLevel="1" collapsed="1" x14ac:dyDescent="0.25">
      <c r="A69" s="25"/>
      <c r="B69" s="12" t="str">
        <f>CONCATENATE("     ","Subscriptions &amp; Dues                              ")</f>
        <v xml:space="preserve">     Subscriptions &amp; Dues                              </v>
      </c>
      <c r="C69" s="12"/>
      <c r="D69" s="1">
        <f>SUM(OSRRefD22_12x_0)</f>
        <v>0</v>
      </c>
      <c r="E69" s="1"/>
      <c r="F69" s="5">
        <f t="shared" si="45"/>
        <v>0</v>
      </c>
      <c r="G69" s="1"/>
      <c r="H69" s="1">
        <f>SUM(OSRRefH22_12x_0)</f>
        <v>0</v>
      </c>
      <c r="I69" s="1"/>
      <c r="J69" s="5">
        <f t="shared" si="46"/>
        <v>0</v>
      </c>
      <c r="K69" s="1"/>
      <c r="L69" s="1">
        <f t="shared" si="47"/>
        <v>0</v>
      </c>
      <c r="M69" s="1"/>
      <c r="N69" s="5">
        <f t="shared" si="48"/>
        <v>0</v>
      </c>
      <c r="O69" s="12"/>
      <c r="P69" s="1">
        <f>SUM(OSRRefP22_12x_0)</f>
        <v>122.72</v>
      </c>
      <c r="Q69" s="1"/>
      <c r="R69" s="5">
        <f t="shared" si="49"/>
        <v>2.0732137739511771E-4</v>
      </c>
      <c r="S69" s="1"/>
      <c r="T69" s="1">
        <f>SUM(OSRRefT22_12x_0)</f>
        <v>0</v>
      </c>
      <c r="U69" s="1"/>
      <c r="V69" s="5">
        <f t="shared" si="50"/>
        <v>0</v>
      </c>
      <c r="W69" s="1"/>
      <c r="X69" s="1">
        <f t="shared" si="51"/>
        <v>122.72</v>
      </c>
      <c r="Y69" s="1"/>
      <c r="Z69" s="5">
        <f t="shared" si="52"/>
        <v>0</v>
      </c>
    </row>
    <row r="70" spans="1:26" s="24" customFormat="1" hidden="1" outlineLevel="2" x14ac:dyDescent="0.25">
      <c r="A70" s="26"/>
      <c r="B70" s="11" t="str">
        <f>CONCATENATE("          ", "6275", " - ", "SUBSCRIPTIONS")</f>
        <v xml:space="preserve">          6275 - SUBSCRIPTIONS</v>
      </c>
      <c r="C70" s="11"/>
      <c r="D70" s="7"/>
      <c r="E70" s="2"/>
      <c r="F70" s="6">
        <f t="shared" si="45"/>
        <v>0</v>
      </c>
      <c r="G70" s="2"/>
      <c r="H70" s="7"/>
      <c r="I70" s="2"/>
      <c r="J70" s="6">
        <f t="shared" si="46"/>
        <v>0</v>
      </c>
      <c r="K70" s="2"/>
      <c r="L70" s="7">
        <f t="shared" si="47"/>
        <v>0</v>
      </c>
      <c r="M70" s="2"/>
      <c r="N70" s="6">
        <f t="shared" si="48"/>
        <v>0</v>
      </c>
      <c r="O70" s="11"/>
      <c r="P70" s="7">
        <v>122.72</v>
      </c>
      <c r="Q70" s="2"/>
      <c r="R70" s="6">
        <f t="shared" si="49"/>
        <v>2.0732137739511771E-4</v>
      </c>
      <c r="S70" s="2"/>
      <c r="T70" s="7"/>
      <c r="U70" s="2"/>
      <c r="V70" s="6">
        <f t="shared" si="50"/>
        <v>0</v>
      </c>
      <c r="W70" s="2"/>
      <c r="X70" s="7">
        <f t="shared" si="51"/>
        <v>122.72</v>
      </c>
      <c r="Y70" s="2"/>
      <c r="Z70" s="6">
        <f t="shared" si="52"/>
        <v>0</v>
      </c>
    </row>
    <row r="71" spans="1:26" s="27" customFormat="1" outlineLevel="1" collapsed="1" x14ac:dyDescent="0.25">
      <c r="A71" s="25"/>
      <c r="B71" s="12" t="str">
        <f>CONCATENATE("     ","Supplies                                          ")</f>
        <v xml:space="preserve">     Supplies                                          </v>
      </c>
      <c r="C71" s="12"/>
      <c r="D71" s="1">
        <f>SUM(OSRRefD22_13x_0)</f>
        <v>47.1</v>
      </c>
      <c r="E71" s="1"/>
      <c r="F71" s="5">
        <f t="shared" si="45"/>
        <v>0</v>
      </c>
      <c r="G71" s="1"/>
      <c r="H71" s="1">
        <f>SUM(OSRRefH22_13x_0)</f>
        <v>420</v>
      </c>
      <c r="I71" s="1"/>
      <c r="J71" s="5">
        <f t="shared" si="46"/>
        <v>6.1764705882352937E-3</v>
      </c>
      <c r="K71" s="1"/>
      <c r="L71" s="1">
        <f t="shared" si="47"/>
        <v>-372.9</v>
      </c>
      <c r="M71" s="1"/>
      <c r="N71" s="5">
        <f t="shared" si="48"/>
        <v>-0.88785714285714279</v>
      </c>
      <c r="O71" s="12"/>
      <c r="P71" s="1">
        <f>SUM(OSRRefP22_13x_0)</f>
        <v>11646.3</v>
      </c>
      <c r="Q71" s="1"/>
      <c r="R71" s="5">
        <f t="shared" si="49"/>
        <v>1.9675089289087021E-2</v>
      </c>
      <c r="S71" s="1"/>
      <c r="T71" s="1">
        <f>SUM(OSRRefT22_13x_0)</f>
        <v>12001</v>
      </c>
      <c r="U71" s="1"/>
      <c r="V71" s="5">
        <f t="shared" si="50"/>
        <v>1.3800597976080957E-2</v>
      </c>
      <c r="W71" s="1"/>
      <c r="X71" s="1">
        <f t="shared" si="51"/>
        <v>-354.70000000000073</v>
      </c>
      <c r="Y71" s="1"/>
      <c r="Z71" s="5">
        <f t="shared" si="52"/>
        <v>-2.9555870344138049E-2</v>
      </c>
    </row>
    <row r="72" spans="1:26" s="24" customFormat="1" hidden="1" outlineLevel="2" x14ac:dyDescent="0.25">
      <c r="A72" s="26"/>
      <c r="B72" s="11" t="str">
        <f>CONCATENATE("          ", "6237", " - ", "JANITORIAL SUPPLIES")</f>
        <v xml:space="preserve">          6237 - JANITORIAL SUPPLIES</v>
      </c>
      <c r="C72" s="11"/>
      <c r="D72" s="7">
        <v>47.1</v>
      </c>
      <c r="E72" s="2"/>
      <c r="F72" s="6">
        <f t="shared" si="45"/>
        <v>0</v>
      </c>
      <c r="G72" s="2"/>
      <c r="H72" s="7"/>
      <c r="I72" s="2"/>
      <c r="J72" s="6">
        <f t="shared" si="46"/>
        <v>0</v>
      </c>
      <c r="K72" s="2"/>
      <c r="L72" s="7">
        <f t="shared" si="47"/>
        <v>47.1</v>
      </c>
      <c r="M72" s="2"/>
      <c r="N72" s="6">
        <f t="shared" si="48"/>
        <v>0</v>
      </c>
      <c r="O72" s="11"/>
      <c r="P72" s="7">
        <v>315.58999999999997</v>
      </c>
      <c r="Q72" s="2"/>
      <c r="R72" s="6">
        <f t="shared" si="49"/>
        <v>5.3315314123309322E-4</v>
      </c>
      <c r="S72" s="2"/>
      <c r="T72" s="7"/>
      <c r="U72" s="2"/>
      <c r="V72" s="6">
        <f t="shared" si="50"/>
        <v>0</v>
      </c>
      <c r="W72" s="2"/>
      <c r="X72" s="7">
        <f t="shared" si="51"/>
        <v>315.58999999999997</v>
      </c>
      <c r="Y72" s="2"/>
      <c r="Z72" s="6">
        <f t="shared" si="52"/>
        <v>0</v>
      </c>
    </row>
    <row r="73" spans="1:26" s="24" customFormat="1" hidden="1" outlineLevel="2" x14ac:dyDescent="0.25">
      <c r="A73" s="26"/>
      <c r="B73" s="11" t="str">
        <f>CONCATENATE("          ", "6239", " - ", "KITCHEN SUPPLIES")</f>
        <v xml:space="preserve">          6239 - KITCHEN SUPPLIES</v>
      </c>
      <c r="C73" s="11"/>
      <c r="D73" s="7"/>
      <c r="E73" s="2"/>
      <c r="F73" s="6">
        <f t="shared" si="45"/>
        <v>0</v>
      </c>
      <c r="G73" s="2"/>
      <c r="H73" s="7">
        <v>200</v>
      </c>
      <c r="I73" s="2"/>
      <c r="J73" s="6">
        <f t="shared" si="46"/>
        <v>2.9411764705882353E-3</v>
      </c>
      <c r="K73" s="2"/>
      <c r="L73" s="7">
        <f t="shared" si="47"/>
        <v>-200</v>
      </c>
      <c r="M73" s="2"/>
      <c r="N73" s="6">
        <f t="shared" si="48"/>
        <v>-1</v>
      </c>
      <c r="O73" s="11"/>
      <c r="P73" s="7">
        <v>2024.76</v>
      </c>
      <c r="Q73" s="2"/>
      <c r="R73" s="6">
        <f t="shared" si="49"/>
        <v>3.4206000007703597E-3</v>
      </c>
      <c r="S73" s="2"/>
      <c r="T73" s="7">
        <v>7736</v>
      </c>
      <c r="U73" s="2"/>
      <c r="V73" s="6">
        <f t="shared" si="50"/>
        <v>8.8960441582336715E-3</v>
      </c>
      <c r="W73" s="2"/>
      <c r="X73" s="7">
        <f t="shared" si="51"/>
        <v>-5711.24</v>
      </c>
      <c r="Y73" s="2"/>
      <c r="Z73" s="6">
        <f t="shared" si="52"/>
        <v>-0.73826783867631851</v>
      </c>
    </row>
    <row r="74" spans="1:26" s="24" customFormat="1" hidden="1" outlineLevel="2" x14ac:dyDescent="0.25">
      <c r="A74" s="26"/>
      <c r="B74" s="11" t="str">
        <f>CONCATENATE("          ", "6241", " - ", "OFFICE EXPENSE")</f>
        <v xml:space="preserve">          6241 - OFFICE EXPENSE</v>
      </c>
      <c r="C74" s="11"/>
      <c r="D74" s="7"/>
      <c r="E74" s="2"/>
      <c r="F74" s="6">
        <f t="shared" si="45"/>
        <v>0</v>
      </c>
      <c r="G74" s="2"/>
      <c r="H74" s="7">
        <v>20</v>
      </c>
      <c r="I74" s="2"/>
      <c r="J74" s="6">
        <f t="shared" si="46"/>
        <v>2.941176470588235E-4</v>
      </c>
      <c r="K74" s="2"/>
      <c r="L74" s="7">
        <f t="shared" si="47"/>
        <v>-20</v>
      </c>
      <c r="M74" s="2"/>
      <c r="N74" s="6">
        <f t="shared" si="48"/>
        <v>-1</v>
      </c>
      <c r="O74" s="11"/>
      <c r="P74" s="7">
        <v>1499.6</v>
      </c>
      <c r="Q74" s="2"/>
      <c r="R74" s="6">
        <f t="shared" si="49"/>
        <v>2.5334023593686318E-3</v>
      </c>
      <c r="S74" s="2"/>
      <c r="T74" s="7">
        <v>220</v>
      </c>
      <c r="U74" s="2"/>
      <c r="V74" s="6">
        <f t="shared" si="50"/>
        <v>2.5298988040478381E-4</v>
      </c>
      <c r="W74" s="2"/>
      <c r="X74" s="7">
        <f t="shared" si="51"/>
        <v>1279.5999999999999</v>
      </c>
      <c r="Y74" s="2"/>
      <c r="Z74" s="6">
        <f t="shared" si="52"/>
        <v>5.8163636363636355</v>
      </c>
    </row>
    <row r="75" spans="1:26" s="24" customFormat="1" hidden="1" outlineLevel="2" x14ac:dyDescent="0.25">
      <c r="A75" s="26"/>
      <c r="B75" s="11" t="str">
        <f>CONCATENATE("          ", "6243", " - ", "PAPER SUPPLIES")</f>
        <v xml:space="preserve">          6243 - PAPER SUPPLIES</v>
      </c>
      <c r="C75" s="11"/>
      <c r="D75" s="7"/>
      <c r="E75" s="2"/>
      <c r="F75" s="6">
        <f t="shared" si="45"/>
        <v>0</v>
      </c>
      <c r="G75" s="2"/>
      <c r="H75" s="7">
        <v>200</v>
      </c>
      <c r="I75" s="2"/>
      <c r="J75" s="6">
        <f t="shared" si="46"/>
        <v>2.9411764705882353E-3</v>
      </c>
      <c r="K75" s="2"/>
      <c r="L75" s="7">
        <f t="shared" si="47"/>
        <v>-200</v>
      </c>
      <c r="M75" s="2"/>
      <c r="N75" s="6">
        <f t="shared" si="48"/>
        <v>-1</v>
      </c>
      <c r="O75" s="11"/>
      <c r="P75" s="7">
        <v>3812.89</v>
      </c>
      <c r="Q75" s="2"/>
      <c r="R75" s="6">
        <f t="shared" si="49"/>
        <v>6.4414407322039629E-3</v>
      </c>
      <c r="S75" s="2"/>
      <c r="T75" s="7">
        <v>4045</v>
      </c>
      <c r="U75" s="2"/>
      <c r="V75" s="6">
        <f t="shared" si="50"/>
        <v>4.6515639374425021E-3</v>
      </c>
      <c r="W75" s="2"/>
      <c r="X75" s="7">
        <f t="shared" si="51"/>
        <v>-232.11000000000013</v>
      </c>
      <c r="Y75" s="2"/>
      <c r="Z75" s="6">
        <f t="shared" si="52"/>
        <v>-5.7381953028430195E-2</v>
      </c>
    </row>
    <row r="76" spans="1:26" s="24" customFormat="1" hidden="1" outlineLevel="2" x14ac:dyDescent="0.25">
      <c r="A76" s="26"/>
      <c r="B76" s="11" t="str">
        <f>CONCATENATE("          ", "6245", " - ", "PRINTING")</f>
        <v xml:space="preserve">          6245 - PRINTING</v>
      </c>
      <c r="C76" s="11"/>
      <c r="D76" s="7"/>
      <c r="E76" s="2"/>
      <c r="F76" s="6">
        <f t="shared" si="45"/>
        <v>0</v>
      </c>
      <c r="G76" s="2"/>
      <c r="H76" s="7"/>
      <c r="I76" s="2"/>
      <c r="J76" s="6">
        <f t="shared" si="46"/>
        <v>0</v>
      </c>
      <c r="K76" s="2"/>
      <c r="L76" s="7">
        <f t="shared" si="47"/>
        <v>0</v>
      </c>
      <c r="M76" s="2"/>
      <c r="N76" s="6">
        <f t="shared" si="48"/>
        <v>0</v>
      </c>
      <c r="O76" s="11"/>
      <c r="P76" s="7">
        <v>181.92</v>
      </c>
      <c r="Q76" s="2"/>
      <c r="R76" s="6">
        <f t="shared" si="49"/>
        <v>3.0733299360919016E-4</v>
      </c>
      <c r="S76" s="2"/>
      <c r="T76" s="7"/>
      <c r="U76" s="2"/>
      <c r="V76" s="6">
        <f t="shared" si="50"/>
        <v>0</v>
      </c>
      <c r="W76" s="2"/>
      <c r="X76" s="7">
        <f t="shared" si="51"/>
        <v>181.92</v>
      </c>
      <c r="Y76" s="2"/>
      <c r="Z76" s="6">
        <f t="shared" si="52"/>
        <v>0</v>
      </c>
    </row>
    <row r="77" spans="1:26" s="24" customFormat="1" hidden="1" outlineLevel="2" x14ac:dyDescent="0.25">
      <c r="A77" s="26"/>
      <c r="B77" s="11" t="str">
        <f>CONCATENATE("          ", "6247", " - ", "STORE SUPPLIES")</f>
        <v xml:space="preserve">          6247 - STORE SUPPLIES</v>
      </c>
      <c r="C77" s="11"/>
      <c r="D77" s="7"/>
      <c r="E77" s="2"/>
      <c r="F77" s="6">
        <f t="shared" si="45"/>
        <v>0</v>
      </c>
      <c r="G77" s="2"/>
      <c r="H77" s="7"/>
      <c r="I77" s="2"/>
      <c r="J77" s="6">
        <f t="shared" si="46"/>
        <v>0</v>
      </c>
      <c r="K77" s="2"/>
      <c r="L77" s="7">
        <f t="shared" si="47"/>
        <v>0</v>
      </c>
      <c r="M77" s="2"/>
      <c r="N77" s="6">
        <f t="shared" si="48"/>
        <v>0</v>
      </c>
      <c r="O77" s="11"/>
      <c r="P77" s="7">
        <v>3638.57</v>
      </c>
      <c r="Q77" s="2"/>
      <c r="R77" s="6">
        <f t="shared" si="49"/>
        <v>6.1469470677033367E-3</v>
      </c>
      <c r="S77" s="2"/>
      <c r="T77" s="7"/>
      <c r="U77" s="2"/>
      <c r="V77" s="6">
        <f t="shared" si="50"/>
        <v>0</v>
      </c>
      <c r="W77" s="2"/>
      <c r="X77" s="7">
        <f t="shared" si="51"/>
        <v>3638.57</v>
      </c>
      <c r="Y77" s="2"/>
      <c r="Z77" s="6">
        <f t="shared" si="52"/>
        <v>0</v>
      </c>
    </row>
    <row r="78" spans="1:26" s="24" customFormat="1" hidden="1" outlineLevel="2" x14ac:dyDescent="0.25">
      <c r="A78" s="26"/>
      <c r="B78" s="11" t="str">
        <f>CONCATENATE("          ", "6248", " - ", "UNIFORMS")</f>
        <v xml:space="preserve">          6248 - UNIFORMS</v>
      </c>
      <c r="C78" s="11"/>
      <c r="D78" s="7"/>
      <c r="E78" s="2"/>
      <c r="F78" s="6">
        <f t="shared" si="45"/>
        <v>0</v>
      </c>
      <c r="G78" s="2"/>
      <c r="H78" s="7"/>
      <c r="I78" s="2"/>
      <c r="J78" s="6">
        <f t="shared" si="46"/>
        <v>0</v>
      </c>
      <c r="K78" s="2"/>
      <c r="L78" s="7">
        <f t="shared" si="47"/>
        <v>0</v>
      </c>
      <c r="M78" s="2"/>
      <c r="N78" s="6">
        <f t="shared" si="48"/>
        <v>0</v>
      </c>
      <c r="O78" s="11"/>
      <c r="P78" s="7">
        <v>172.97</v>
      </c>
      <c r="Q78" s="2"/>
      <c r="R78" s="6">
        <f t="shared" si="49"/>
        <v>2.9221299419844777E-4</v>
      </c>
      <c r="S78" s="2"/>
      <c r="T78" s="7"/>
      <c r="U78" s="2"/>
      <c r="V78" s="6">
        <f t="shared" si="50"/>
        <v>0</v>
      </c>
      <c r="W78" s="2"/>
      <c r="X78" s="7">
        <f t="shared" si="51"/>
        <v>172.97</v>
      </c>
      <c r="Y78" s="2"/>
      <c r="Z78" s="6">
        <f t="shared" si="52"/>
        <v>0</v>
      </c>
    </row>
    <row r="79" spans="1:26" s="27" customFormat="1" outlineLevel="1" collapsed="1" x14ac:dyDescent="0.25">
      <c r="A79" s="25"/>
      <c r="B79" s="12" t="str">
        <f>CONCATENATE("     ","Telephone/Data Lines                              ")</f>
        <v xml:space="preserve">     Telephone/Data Lines                              </v>
      </c>
      <c r="C79" s="12"/>
      <c r="D79" s="1">
        <f>SUM(OSRRefD22_14x_0)</f>
        <v>150</v>
      </c>
      <c r="E79" s="1"/>
      <c r="F79" s="5">
        <f t="shared" ref="F79:F82" si="53">IF(D$12=0,0,D79/D$12)</f>
        <v>0</v>
      </c>
      <c r="G79" s="1"/>
      <c r="H79" s="1">
        <f>SUM(OSRRefH22_14x_0)</f>
        <v>50</v>
      </c>
      <c r="I79" s="1"/>
      <c r="J79" s="5">
        <f t="shared" ref="J79:J82" si="54">IF(H$12=0,0,H79/H$12)</f>
        <v>7.3529411764705881E-4</v>
      </c>
      <c r="K79" s="1"/>
      <c r="L79" s="1">
        <f t="shared" ref="L79:L82" si="55">+D79-H79</f>
        <v>100</v>
      </c>
      <c r="M79" s="1"/>
      <c r="N79" s="5">
        <f t="shared" ref="N79:N82" si="56">IF(H79=0,0,L79/H79)</f>
        <v>2</v>
      </c>
      <c r="O79" s="12"/>
      <c r="P79" s="1">
        <f>SUM(OSRRefP22_14x_0)</f>
        <v>105</v>
      </c>
      <c r="Q79" s="1"/>
      <c r="R79" s="5">
        <f t="shared" ref="R79:R82" si="57">IF(P$12=0,0,P79/P$12)</f>
        <v>1.7738546794725685E-4</v>
      </c>
      <c r="S79" s="1"/>
      <c r="T79" s="1">
        <f>SUM(OSRRefT22_14x_0)</f>
        <v>550</v>
      </c>
      <c r="U79" s="1"/>
      <c r="V79" s="5">
        <f t="shared" ref="V79:V82" si="58">IF(T$12=0,0,T79/T$12)</f>
        <v>6.3247470101195948E-4</v>
      </c>
      <c r="W79" s="1"/>
      <c r="X79" s="1">
        <f t="shared" ref="X79:X82" si="59">+P79-T79</f>
        <v>-445</v>
      </c>
      <c r="Y79" s="1"/>
      <c r="Z79" s="5">
        <f t="shared" ref="Z79:Z82" si="60">IF(T79=0,0,X79/T79)</f>
        <v>-0.80909090909090908</v>
      </c>
    </row>
    <row r="80" spans="1:26" s="24" customFormat="1" hidden="1" outlineLevel="2" x14ac:dyDescent="0.25">
      <c r="A80" s="26"/>
      <c r="B80" s="11" t="str">
        <f>CONCATENATE("          ", "6309", " - ", "TELEPHONE")</f>
        <v xml:space="preserve">          6309 - TELEPHONE</v>
      </c>
      <c r="C80" s="11"/>
      <c r="D80" s="7">
        <v>150</v>
      </c>
      <c r="E80" s="2"/>
      <c r="F80" s="6">
        <f t="shared" si="53"/>
        <v>0</v>
      </c>
      <c r="G80" s="2"/>
      <c r="H80" s="7">
        <v>50</v>
      </c>
      <c r="I80" s="2"/>
      <c r="J80" s="6">
        <f t="shared" si="54"/>
        <v>7.3529411764705881E-4</v>
      </c>
      <c r="K80" s="2"/>
      <c r="L80" s="7">
        <f t="shared" si="55"/>
        <v>100</v>
      </c>
      <c r="M80" s="2"/>
      <c r="N80" s="6">
        <f t="shared" si="56"/>
        <v>2</v>
      </c>
      <c r="O80" s="11"/>
      <c r="P80" s="7">
        <v>105</v>
      </c>
      <c r="Q80" s="2"/>
      <c r="R80" s="6">
        <f t="shared" si="57"/>
        <v>1.7738546794725685E-4</v>
      </c>
      <c r="S80" s="2"/>
      <c r="T80" s="7">
        <v>550</v>
      </c>
      <c r="U80" s="2"/>
      <c r="V80" s="6">
        <f t="shared" si="58"/>
        <v>6.3247470101195948E-4</v>
      </c>
      <c r="W80" s="2"/>
      <c r="X80" s="7">
        <f t="shared" si="59"/>
        <v>-445</v>
      </c>
      <c r="Y80" s="2"/>
      <c r="Z80" s="6">
        <f t="shared" si="60"/>
        <v>-0.80909090909090908</v>
      </c>
    </row>
    <row r="81" spans="1:26" s="27" customFormat="1" outlineLevel="1" collapsed="1" x14ac:dyDescent="0.25">
      <c r="A81" s="25"/>
      <c r="B81" s="12" t="str">
        <f>CONCATENATE("     ","Training                                          ")</f>
        <v xml:space="preserve">     Training                                          </v>
      </c>
      <c r="C81" s="12"/>
      <c r="D81" s="1">
        <f>SUM(OSRRefD22_15x_0)</f>
        <v>0</v>
      </c>
      <c r="E81" s="1"/>
      <c r="F81" s="5">
        <f t="shared" si="53"/>
        <v>0</v>
      </c>
      <c r="G81" s="1"/>
      <c r="H81" s="1">
        <f>SUM(OSRRefH22_15x_0)</f>
        <v>0</v>
      </c>
      <c r="I81" s="1"/>
      <c r="J81" s="5">
        <f t="shared" si="54"/>
        <v>0</v>
      </c>
      <c r="K81" s="1"/>
      <c r="L81" s="1">
        <f t="shared" si="55"/>
        <v>0</v>
      </c>
      <c r="M81" s="1"/>
      <c r="N81" s="5">
        <f t="shared" si="56"/>
        <v>0</v>
      </c>
      <c r="O81" s="12"/>
      <c r="P81" s="1">
        <f>SUM(OSRRefP22_15x_0)</f>
        <v>96</v>
      </c>
      <c r="Q81" s="1"/>
      <c r="R81" s="5">
        <f t="shared" si="57"/>
        <v>1.6218099926606342E-4</v>
      </c>
      <c r="S81" s="1"/>
      <c r="T81" s="1">
        <f>SUM(OSRRefT22_15x_0)</f>
        <v>160</v>
      </c>
      <c r="U81" s="1"/>
      <c r="V81" s="5">
        <f t="shared" si="58"/>
        <v>1.8399264029438821E-4</v>
      </c>
      <c r="W81" s="1"/>
      <c r="X81" s="1">
        <f t="shared" si="59"/>
        <v>-64</v>
      </c>
      <c r="Y81" s="1"/>
      <c r="Z81" s="5">
        <f t="shared" si="60"/>
        <v>-0.4</v>
      </c>
    </row>
    <row r="82" spans="1:26" s="24" customFormat="1" hidden="1" outlineLevel="2" x14ac:dyDescent="0.25">
      <c r="A82" s="26"/>
      <c r="B82" s="11" t="str">
        <f>CONCATENATE("          ", "6376", " - ", "TRAINING")</f>
        <v xml:space="preserve">          6376 - TRAINING</v>
      </c>
      <c r="C82" s="11"/>
      <c r="D82" s="7"/>
      <c r="E82" s="2"/>
      <c r="F82" s="6">
        <f t="shared" si="53"/>
        <v>0</v>
      </c>
      <c r="G82" s="2"/>
      <c r="H82" s="7"/>
      <c r="I82" s="2"/>
      <c r="J82" s="6">
        <f t="shared" si="54"/>
        <v>0</v>
      </c>
      <c r="K82" s="2"/>
      <c r="L82" s="7">
        <f t="shared" si="55"/>
        <v>0</v>
      </c>
      <c r="M82" s="2"/>
      <c r="N82" s="6">
        <f t="shared" si="56"/>
        <v>0</v>
      </c>
      <c r="O82" s="11"/>
      <c r="P82" s="7">
        <v>96</v>
      </c>
      <c r="Q82" s="2"/>
      <c r="R82" s="6">
        <f t="shared" si="57"/>
        <v>1.6218099926606342E-4</v>
      </c>
      <c r="S82" s="2"/>
      <c r="T82" s="7">
        <v>160</v>
      </c>
      <c r="U82" s="2"/>
      <c r="V82" s="6">
        <f t="shared" si="58"/>
        <v>1.8399264029438821E-4</v>
      </c>
      <c r="W82" s="2"/>
      <c r="X82" s="7">
        <f t="shared" si="59"/>
        <v>-64</v>
      </c>
      <c r="Y82" s="2"/>
      <c r="Z82" s="6">
        <f t="shared" si="60"/>
        <v>-0.4</v>
      </c>
    </row>
    <row r="83" spans="1:26" s="62" customFormat="1" x14ac:dyDescent="0.25">
      <c r="A83" s="36"/>
      <c r="B83" s="36"/>
      <c r="C83" s="36"/>
      <c r="D83" s="1"/>
      <c r="E83" s="1"/>
      <c r="F83" s="5"/>
      <c r="G83" s="1"/>
      <c r="H83" s="1"/>
      <c r="I83" s="1"/>
      <c r="J83" s="5"/>
      <c r="K83" s="1"/>
      <c r="L83" s="1"/>
      <c r="M83" s="1"/>
      <c r="N83" s="5"/>
      <c r="O83" s="36"/>
      <c r="P83" s="1"/>
      <c r="Q83" s="1"/>
      <c r="R83" s="5"/>
      <c r="S83" s="1"/>
      <c r="T83" s="1"/>
      <c r="U83" s="1"/>
      <c r="V83" s="5"/>
      <c r="W83" s="1"/>
      <c r="X83" s="1"/>
      <c r="Y83" s="1"/>
      <c r="Z83" s="5"/>
    </row>
    <row r="84" spans="1:26" s="23" customFormat="1" x14ac:dyDescent="0.25">
      <c r="A84" s="10"/>
      <c r="B84" s="28" t="s">
        <v>0</v>
      </c>
      <c r="C84" s="10"/>
      <c r="D84" s="4">
        <f>SUM(0)</f>
        <v>0</v>
      </c>
      <c r="E84" s="4"/>
      <c r="F84" s="13">
        <f>IF(D$12=0,0,D84/D$12)</f>
        <v>0</v>
      </c>
      <c r="G84" s="4"/>
      <c r="H84" s="4">
        <f>SUM(0)</f>
        <v>0</v>
      </c>
      <c r="I84" s="4"/>
      <c r="J84" s="13">
        <f>IF(H$12=0,0,H84/H$12)</f>
        <v>0</v>
      </c>
      <c r="K84" s="4"/>
      <c r="L84" s="4">
        <f>+D84-H84</f>
        <v>0</v>
      </c>
      <c r="M84" s="4"/>
      <c r="N84" s="13">
        <f>IF(H84=0,0,L84/H84)</f>
        <v>0</v>
      </c>
      <c r="O84" s="10"/>
      <c r="P84" s="4">
        <f>SUM(0)</f>
        <v>0</v>
      </c>
      <c r="Q84" s="4"/>
      <c r="R84" s="13">
        <f>IF(P$12=0,0,P84/P$12)</f>
        <v>0</v>
      </c>
      <c r="S84" s="4"/>
      <c r="T84" s="4">
        <f>SUM(0)</f>
        <v>0</v>
      </c>
      <c r="U84" s="4"/>
      <c r="V84" s="13">
        <f>IF(T$12=0,0,T84/T$12)</f>
        <v>0</v>
      </c>
      <c r="W84" s="4"/>
      <c r="X84" s="4">
        <f>+P84-T84</f>
        <v>0</v>
      </c>
      <c r="Y84" s="4"/>
      <c r="Z84" s="13">
        <f>IF(T84=0,0,X84/T84)</f>
        <v>0</v>
      </c>
    </row>
    <row r="85" spans="1:26" x14ac:dyDescent="0.25">
      <c r="A85" s="9"/>
      <c r="B85" s="10"/>
      <c r="C85" s="10"/>
      <c r="D85" s="3"/>
      <c r="E85" s="3"/>
      <c r="F85" s="8"/>
      <c r="G85" s="3"/>
      <c r="H85" s="3"/>
      <c r="I85" s="3"/>
      <c r="J85" s="8"/>
      <c r="K85" s="3"/>
      <c r="L85" s="3"/>
      <c r="M85" s="3"/>
      <c r="N85" s="8"/>
      <c r="O85" s="10"/>
      <c r="P85" s="3"/>
      <c r="Q85" s="3"/>
      <c r="R85" s="8"/>
      <c r="S85" s="3"/>
      <c r="T85" s="3"/>
      <c r="U85" s="3"/>
      <c r="V85" s="8"/>
      <c r="W85" s="3"/>
      <c r="X85" s="3"/>
      <c r="Y85" s="3"/>
      <c r="Z85" s="8"/>
    </row>
    <row r="86" spans="1:26" s="23" customFormat="1" x14ac:dyDescent="0.25">
      <c r="A86" s="10"/>
      <c r="B86" s="29" t="s">
        <v>3</v>
      </c>
      <c r="C86" s="29"/>
      <c r="D86" s="20">
        <f>+D23-D25+D84</f>
        <v>-14149.119999999999</v>
      </c>
      <c r="E86" s="14"/>
      <c r="F86" s="22">
        <f>IF(D$12=0,0,D86/D$12)</f>
        <v>0</v>
      </c>
      <c r="G86" s="14"/>
      <c r="H86" s="20">
        <f>+H23-H25+H84</f>
        <v>8706.8521987999993</v>
      </c>
      <c r="I86" s="14"/>
      <c r="J86" s="22">
        <f>IF(H$12=0,0,H86/H$12)</f>
        <v>0.1280419441</v>
      </c>
      <c r="K86" s="16"/>
      <c r="L86" s="20">
        <f>+D86-H86</f>
        <v>-22855.972198799998</v>
      </c>
      <c r="M86" s="16"/>
      <c r="N86" s="22">
        <f>IF(H86=0,0,L86/H86)</f>
        <v>-2.6250557235771232</v>
      </c>
      <c r="O86" s="28"/>
      <c r="P86" s="20">
        <f>+P23-P25+P84</f>
        <v>50044.239999999991</v>
      </c>
      <c r="Q86" s="14"/>
      <c r="R86" s="22">
        <f>IF(P$12=0,0,P86/P$12)</f>
        <v>8.4544008861569792E-2</v>
      </c>
      <c r="S86" s="14"/>
      <c r="T86" s="20">
        <f>+T23-T25+T84</f>
        <v>188280.75948060001</v>
      </c>
      <c r="U86" s="14"/>
      <c r="V86" s="22">
        <f>IF(T$12=0,0,T86/T$12)</f>
        <v>0.21651421283417666</v>
      </c>
      <c r="W86" s="16"/>
      <c r="X86" s="20">
        <f>+P86-T86</f>
        <v>-138236.51948060002</v>
      </c>
      <c r="Y86" s="16"/>
      <c r="Z86" s="22">
        <f>IF(T86=0,0,X86/T86)</f>
        <v>-0.73420417392592674</v>
      </c>
    </row>
    <row r="87" spans="1:26" x14ac:dyDescent="0.25">
      <c r="A87" s="9"/>
      <c r="B87" s="10"/>
      <c r="C87" s="9"/>
      <c r="D87" s="3"/>
      <c r="E87" s="3"/>
      <c r="F87" s="8"/>
      <c r="G87" s="3"/>
      <c r="H87" s="3"/>
      <c r="I87" s="3"/>
      <c r="J87" s="8"/>
      <c r="K87" s="3"/>
      <c r="L87" s="3"/>
      <c r="M87" s="3"/>
      <c r="N87" s="8"/>
      <c r="P87" s="3"/>
      <c r="Q87" s="3"/>
      <c r="R87" s="8"/>
      <c r="S87" s="3"/>
      <c r="T87" s="3"/>
      <c r="U87" s="3"/>
      <c r="V87" s="8"/>
      <c r="W87" s="3"/>
      <c r="X87" s="3"/>
      <c r="Y87" s="3"/>
      <c r="Z87" s="8"/>
    </row>
    <row r="88" spans="1:26" s="23" customFormat="1" x14ac:dyDescent="0.25">
      <c r="A88" s="52"/>
      <c r="B88" s="10" t="s">
        <v>14</v>
      </c>
      <c r="C88" s="10"/>
      <c r="D88" s="4">
        <v>2884.34</v>
      </c>
      <c r="E88" s="4"/>
      <c r="F88" s="13">
        <f>IF(D$12=0,0,D88/D$12)</f>
        <v>0</v>
      </c>
      <c r="G88" s="4"/>
      <c r="H88" s="4">
        <v>7062</v>
      </c>
      <c r="I88" s="4"/>
      <c r="J88" s="13">
        <f>IF(H$12=0,0,H88/H$12)</f>
        <v>0.10385294117647059</v>
      </c>
      <c r="K88" s="4"/>
      <c r="L88" s="4">
        <f>+D88-H88</f>
        <v>-4177.66</v>
      </c>
      <c r="M88" s="4"/>
      <c r="N88" s="13">
        <f>IF(H88=0,0,L88/H88)</f>
        <v>-0.59156896063438114</v>
      </c>
      <c r="O88" s="10"/>
      <c r="P88" s="4">
        <v>70093.900000000009</v>
      </c>
      <c r="Q88" s="4"/>
      <c r="R88" s="13">
        <f>IF(P$12=0,0,P88/P$12)</f>
        <v>0.1184156119214117</v>
      </c>
      <c r="S88" s="4"/>
      <c r="T88" s="4">
        <v>100722</v>
      </c>
      <c r="U88" s="4"/>
      <c r="V88" s="13">
        <f>IF(T$12=0,0,T88/T$12)</f>
        <v>0.11582566697332107</v>
      </c>
      <c r="W88" s="4"/>
      <c r="X88" s="4">
        <f>+P88-T88</f>
        <v>-30628.099999999991</v>
      </c>
      <c r="Y88" s="4"/>
      <c r="Z88" s="13">
        <f>IF(T88=0,0,X88/T88)</f>
        <v>-0.30408550267071732</v>
      </c>
    </row>
    <row r="89" spans="1:26" x14ac:dyDescent="0.25">
      <c r="A89" s="9"/>
      <c r="B89" s="10"/>
      <c r="C89" s="10"/>
      <c r="D89" s="3"/>
      <c r="E89" s="3"/>
      <c r="F89" s="8"/>
      <c r="G89" s="3"/>
      <c r="H89" s="3"/>
      <c r="I89" s="3"/>
      <c r="J89" s="8"/>
      <c r="K89" s="3"/>
      <c r="L89" s="3"/>
      <c r="M89" s="3"/>
      <c r="N89" s="8"/>
      <c r="O89" s="10"/>
      <c r="P89" s="3"/>
      <c r="Q89" s="3"/>
      <c r="R89" s="8"/>
      <c r="S89" s="3"/>
      <c r="T89" s="3"/>
      <c r="U89" s="3"/>
      <c r="V89" s="8"/>
      <c r="W89" s="3"/>
      <c r="X89" s="3"/>
      <c r="Y89" s="3"/>
      <c r="Z89" s="8"/>
    </row>
    <row r="90" spans="1:26" s="23" customFormat="1" ht="15.75" thickBot="1" x14ac:dyDescent="0.3">
      <c r="A90" s="10"/>
      <c r="B90" s="29" t="s">
        <v>4</v>
      </c>
      <c r="C90" s="29"/>
      <c r="D90" s="35">
        <f>+D86-D88</f>
        <v>-17033.46</v>
      </c>
      <c r="E90" s="14"/>
      <c r="F90" s="32">
        <f>IF(D$12=0,0,D90/D$12)</f>
        <v>0</v>
      </c>
      <c r="G90" s="14"/>
      <c r="H90" s="35">
        <f>+H86-H88</f>
        <v>1644.8521987999993</v>
      </c>
      <c r="I90" s="14"/>
      <c r="J90" s="32">
        <f>IF(H$12=0,0,H90/H$12)</f>
        <v>2.4189002923529403E-2</v>
      </c>
      <c r="K90" s="16"/>
      <c r="L90" s="35">
        <f>D90-H90</f>
        <v>-18678.312198799998</v>
      </c>
      <c r="M90" s="16"/>
      <c r="N90" s="32">
        <f>IF(H90=0,0,L90/H90)</f>
        <v>-11.355617369406653</v>
      </c>
      <c r="O90" s="28"/>
      <c r="P90" s="35">
        <f>+P86-P88</f>
        <v>-20049.660000000018</v>
      </c>
      <c r="Q90" s="14"/>
      <c r="R90" s="32">
        <f>IF(P$12=0,0,P90/P$12)</f>
        <v>-3.3871603059841916E-2</v>
      </c>
      <c r="S90" s="14"/>
      <c r="T90" s="35">
        <f>+T86-T88</f>
        <v>87558.759480600012</v>
      </c>
      <c r="U90" s="14"/>
      <c r="V90" s="32">
        <f>IF(T$12=0,0,T90/T$12)</f>
        <v>0.10068854586085559</v>
      </c>
      <c r="W90" s="16"/>
      <c r="X90" s="35">
        <f>P90-T90</f>
        <v>-107608.41948060003</v>
      </c>
      <c r="Y90" s="16"/>
      <c r="Z90" s="32">
        <f>IF(T90=0,0,X90/T90)</f>
        <v>-1.2289851994127707</v>
      </c>
    </row>
    <row r="91" spans="1:26" ht="15.75" thickTop="1" x14ac:dyDescent="0.25">
      <c r="A91" s="9"/>
      <c r="B91" s="9"/>
      <c r="C91" s="9"/>
      <c r="D91" s="3"/>
      <c r="E91" s="3"/>
      <c r="F91" s="8"/>
      <c r="G91" s="3"/>
      <c r="H91" s="3"/>
      <c r="I91" s="3"/>
      <c r="J91" s="8"/>
      <c r="K91" s="3"/>
      <c r="L91" s="3"/>
      <c r="M91" s="3"/>
      <c r="N91" s="8"/>
      <c r="P91" s="3"/>
      <c r="Q91" s="3"/>
      <c r="R91" s="8"/>
      <c r="S91" s="3"/>
      <c r="T91" s="3"/>
      <c r="U91" s="3"/>
      <c r="V91" s="8"/>
      <c r="W91" s="3"/>
      <c r="X91" s="3"/>
      <c r="Y91" s="3"/>
      <c r="Z91" s="8"/>
    </row>
    <row r="92" spans="1:26" x14ac:dyDescent="0.25">
      <c r="A92" s="9"/>
      <c r="B92" s="9"/>
      <c r="C92" s="9"/>
      <c r="D92" s="3"/>
      <c r="E92" s="3"/>
      <c r="F92" s="8"/>
      <c r="G92" s="3"/>
      <c r="H92" s="3"/>
      <c r="I92" s="3"/>
      <c r="J92" s="8"/>
      <c r="K92" s="3"/>
      <c r="L92" s="3"/>
      <c r="M92" s="3"/>
      <c r="N92" s="8"/>
      <c r="P92" s="3"/>
      <c r="Q92" s="3"/>
      <c r="R92" s="8"/>
      <c r="S92" s="3"/>
      <c r="T92" s="3"/>
      <c r="U92" s="3"/>
      <c r="V92" s="8"/>
      <c r="W92" s="3"/>
      <c r="X92" s="3"/>
      <c r="Y92" s="3"/>
      <c r="Z92" s="8"/>
    </row>
    <row r="93" spans="1:26" s="23" customFormat="1" ht="15.75" thickBot="1" x14ac:dyDescent="0.3">
      <c r="A93" s="10"/>
      <c r="B93" s="29" t="s">
        <v>5</v>
      </c>
      <c r="C93" s="29"/>
      <c r="D93" s="34">
        <f>SUM(D90:D92)</f>
        <v>-17033.46</v>
      </c>
      <c r="E93" s="14"/>
      <c r="F93" s="31">
        <f>IF(D$12=0,0,D93/D$12)</f>
        <v>0</v>
      </c>
      <c r="G93" s="14"/>
      <c r="H93" s="34">
        <f>SUM(H90:H92)</f>
        <v>1644.8521987999993</v>
      </c>
      <c r="I93" s="14"/>
      <c r="J93" s="31">
        <f>IF(H$12=0,0,H93/H$12)</f>
        <v>2.4189002923529403E-2</v>
      </c>
      <c r="K93" s="16"/>
      <c r="L93" s="34">
        <f>+D93-H93</f>
        <v>-18678.312198799998</v>
      </c>
      <c r="M93" s="16"/>
      <c r="N93" s="31">
        <f>IF(H93=0,0,L93/H93)</f>
        <v>-11.355617369406653</v>
      </c>
      <c r="O93" s="28"/>
      <c r="P93" s="34">
        <f>SUM(P90:P92)</f>
        <v>-20049.660000000018</v>
      </c>
      <c r="Q93" s="14"/>
      <c r="R93" s="31">
        <f>IF(P$12=0,0,P93/P$12)</f>
        <v>-3.3871603059841916E-2</v>
      </c>
      <c r="S93" s="14"/>
      <c r="T93" s="34">
        <f>SUM(T90:T92)</f>
        <v>87558.759480600012</v>
      </c>
      <c r="U93" s="14"/>
      <c r="V93" s="31">
        <f>IF(T$12=0,0,T93/T$12)</f>
        <v>0.10068854586085559</v>
      </c>
      <c r="W93" s="16"/>
      <c r="X93" s="34">
        <f>+P93-T93</f>
        <v>-107608.41948060003</v>
      </c>
      <c r="Y93" s="16"/>
      <c r="Z93" s="31">
        <f>IF(T93=0,0,X93/T93)</f>
        <v>-1.2289851994127707</v>
      </c>
    </row>
    <row r="94" spans="1:26" ht="15.75" thickTop="1" x14ac:dyDescent="0.25">
      <c r="A94" s="9"/>
      <c r="C94" s="9"/>
      <c r="D94" s="18"/>
      <c r="E94" s="18"/>
      <c r="G94" s="18"/>
      <c r="H94" s="18"/>
      <c r="I94" s="18"/>
      <c r="J94" s="42"/>
      <c r="K94" s="18"/>
      <c r="L94" s="18"/>
      <c r="M94" s="18"/>
      <c r="P94" s="18"/>
      <c r="Q94" s="18"/>
      <c r="R94" s="42"/>
      <c r="S94" s="18"/>
      <c r="T94" s="18"/>
      <c r="U94" s="18"/>
      <c r="V94" s="42"/>
      <c r="W94" s="18"/>
      <c r="X94" s="18"/>
    </row>
    <row r="95" spans="1:26" x14ac:dyDescent="0.25">
      <c r="A95" s="9"/>
      <c r="B95" s="59">
        <v>43992.372109837961</v>
      </c>
      <c r="D95" s="18"/>
      <c r="E95" s="18"/>
      <c r="G95" s="18"/>
      <c r="H95" s="18"/>
      <c r="I95" s="18"/>
      <c r="J95" s="42"/>
      <c r="K95" s="18"/>
      <c r="L95" s="18"/>
      <c r="M95" s="18"/>
      <c r="P95" s="18"/>
      <c r="Q95" s="18"/>
      <c r="R95" s="42"/>
      <c r="S95" s="18"/>
      <c r="T95" s="18"/>
      <c r="U95" s="18"/>
      <c r="V95" s="42"/>
      <c r="W95" s="18"/>
      <c r="X95" s="18"/>
    </row>
    <row r="96" spans="1:26" x14ac:dyDescent="0.25">
      <c r="A96" s="9"/>
      <c r="B96" s="56" t="s">
        <v>314</v>
      </c>
      <c r="D96" s="18"/>
      <c r="E96" s="18"/>
      <c r="G96" s="18"/>
      <c r="H96" s="18"/>
      <c r="I96" s="18"/>
      <c r="J96" s="42"/>
      <c r="K96" s="18"/>
      <c r="L96" s="18"/>
      <c r="M96" s="18"/>
      <c r="P96" s="18"/>
      <c r="Q96" s="18"/>
      <c r="R96" s="42"/>
      <c r="S96" s="18"/>
      <c r="T96" s="18"/>
      <c r="U96" s="18"/>
      <c r="V96" s="42"/>
      <c r="W96" s="18"/>
      <c r="X96" s="18"/>
    </row>
    <row r="97" spans="1:24" x14ac:dyDescent="0.25">
      <c r="A97" s="9"/>
      <c r="B97" s="54"/>
      <c r="D97" s="18"/>
      <c r="E97" s="18"/>
      <c r="G97" s="18"/>
      <c r="H97" s="18"/>
      <c r="I97" s="18"/>
      <c r="J97" s="42"/>
      <c r="K97" s="18"/>
      <c r="L97" s="18"/>
      <c r="M97" s="18"/>
      <c r="P97" s="18"/>
      <c r="Q97" s="18"/>
      <c r="R97" s="42"/>
      <c r="S97" s="18"/>
      <c r="T97" s="18"/>
      <c r="U97" s="18"/>
      <c r="V97" s="42"/>
      <c r="W97" s="18"/>
      <c r="X97" s="18"/>
    </row>
    <row r="98" spans="1:24" x14ac:dyDescent="0.25">
      <c r="D98" s="18"/>
      <c r="E98" s="18"/>
      <c r="G98" s="18"/>
      <c r="H98" s="18"/>
      <c r="I98" s="18"/>
      <c r="J98" s="42"/>
      <c r="K98" s="18"/>
      <c r="L98" s="18"/>
      <c r="M98" s="18"/>
      <c r="P98" s="18"/>
      <c r="Q98" s="18"/>
      <c r="R98" s="42"/>
      <c r="S98" s="18"/>
      <c r="T98" s="18"/>
      <c r="U98" s="18"/>
      <c r="V98" s="42"/>
      <c r="W98" s="18"/>
      <c r="X98" s="18"/>
    </row>
  </sheetData>
  <pageMargins left="0.25" right="0.25" top="0.75" bottom="0.75" header="0.3" footer="0.3"/>
  <pageSetup scale="55" fitToWidth="2" orientation="landscape"/>
  <drawing r:id="rId1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115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63" t="s">
        <v>13</v>
      </c>
    </row>
    <row r="3" spans="1:26" x14ac:dyDescent="0.25">
      <c r="D3" s="63" t="s">
        <v>296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61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63" t="str">
        <f>CONCATENATE("Period ",RIGHT(202011,2),", ",2020)</f>
        <v>Period 11, 2020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61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4">
        <v>43981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61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51"/>
      <c r="C6" s="51"/>
      <c r="D6" s="23" t="str">
        <f>CONCATENATE("Department ","415", " - ", "Outpost")</f>
        <v>Department 415 - Outpost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57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5" t="s">
        <v>294</v>
      </c>
      <c r="E9" s="15"/>
      <c r="F9" s="38"/>
      <c r="G9" s="15"/>
      <c r="H9" s="15"/>
      <c r="I9" s="15"/>
      <c r="J9" s="46"/>
      <c r="K9" s="15"/>
      <c r="L9" s="15"/>
      <c r="M9" s="15"/>
      <c r="N9" s="38"/>
      <c r="P9" s="15" t="s">
        <v>295</v>
      </c>
      <c r="Q9" s="15"/>
      <c r="R9" s="38"/>
      <c r="S9" s="15"/>
      <c r="T9" s="15"/>
      <c r="U9" s="15"/>
      <c r="V9" s="46"/>
      <c r="W9" s="15"/>
      <c r="X9" s="15"/>
      <c r="Y9" s="15"/>
      <c r="Z9" s="38"/>
    </row>
    <row r="10" spans="1:26" x14ac:dyDescent="0.25">
      <c r="A10" s="10"/>
      <c r="B10" s="55"/>
      <c r="C10" s="10"/>
      <c r="D10" s="43" t="s">
        <v>10</v>
      </c>
      <c r="E10" s="33"/>
      <c r="F10" s="40" t="s">
        <v>15</v>
      </c>
      <c r="G10" s="33"/>
      <c r="H10" s="47" t="s">
        <v>11</v>
      </c>
      <c r="I10" s="33"/>
      <c r="J10" s="45" t="s">
        <v>16</v>
      </c>
      <c r="K10" s="10"/>
      <c r="L10" s="43" t="s">
        <v>12</v>
      </c>
      <c r="M10" s="10"/>
      <c r="N10" s="40" t="s">
        <v>17</v>
      </c>
      <c r="O10" s="10"/>
      <c r="P10" s="53" t="s">
        <v>10</v>
      </c>
      <c r="Q10" s="33"/>
      <c r="R10" s="40" t="s">
        <v>15</v>
      </c>
      <c r="S10" s="33"/>
      <c r="T10" s="47" t="s">
        <v>11</v>
      </c>
      <c r="U10" s="33"/>
      <c r="V10" s="45" t="s">
        <v>16</v>
      </c>
      <c r="W10" s="10"/>
      <c r="X10" s="43" t="s">
        <v>12</v>
      </c>
      <c r="Y10" s="10"/>
      <c r="Z10" s="40" t="s">
        <v>17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0</v>
      </c>
      <c r="E12" s="4"/>
      <c r="F12" s="13"/>
      <c r="G12" s="4"/>
      <c r="H12" s="4">
        <f>SUM(OSRRefH13x_0)</f>
        <v>68000</v>
      </c>
      <c r="I12" s="4"/>
      <c r="J12" s="13"/>
      <c r="K12" s="4"/>
      <c r="L12" s="4">
        <f t="shared" ref="L12:L15" si="0">+D12-H12</f>
        <v>-68000</v>
      </c>
      <c r="M12" s="4"/>
      <c r="N12" s="13">
        <f t="shared" ref="N12:N15" si="1">IF(H12=0,0,L12/H12)</f>
        <v>-1</v>
      </c>
      <c r="O12" s="10"/>
      <c r="P12" s="4">
        <f>SUM(OSRRefP13x_0)</f>
        <v>651784.93999999994</v>
      </c>
      <c r="Q12" s="4"/>
      <c r="R12" s="13"/>
      <c r="S12" s="4"/>
      <c r="T12" s="4">
        <f>SUM(OSRRefT13x_0)</f>
        <v>921230</v>
      </c>
      <c r="U12" s="4"/>
      <c r="V12" s="13"/>
      <c r="W12" s="4"/>
      <c r="X12" s="4">
        <f t="shared" ref="X12:X15" si="2">+P12-T12</f>
        <v>-269445.06000000006</v>
      </c>
      <c r="Y12" s="4"/>
      <c r="Z12" s="13">
        <f t="shared" ref="Z12:Z15" si="3">IF(T12=0,0,X12/T12)</f>
        <v>-0.29248402679026958</v>
      </c>
    </row>
    <row r="13" spans="1:26" s="24" customFormat="1" hidden="1" outlineLevel="1" x14ac:dyDescent="0.25">
      <c r="A13" s="44"/>
      <c r="B13" s="11" t="str">
        <f>CONCATENATE("          ", "4051", " - ", "TAXABLE SALES-FOOD")</f>
        <v xml:space="preserve">          4051 - TAXABLE SALES-FOOD</v>
      </c>
      <c r="C13" s="11"/>
      <c r="D13" s="2">
        <f t="shared" ref="D13:D15" si="4">0</f>
        <v>0</v>
      </c>
      <c r="E13" s="2"/>
      <c r="F13" s="19"/>
      <c r="G13" s="2"/>
      <c r="H13" s="2"/>
      <c r="I13" s="2"/>
      <c r="J13" s="19"/>
      <c r="K13" s="2"/>
      <c r="L13" s="2">
        <f t="shared" si="0"/>
        <v>0</v>
      </c>
      <c r="M13" s="2"/>
      <c r="N13" s="19">
        <f t="shared" si="1"/>
        <v>0</v>
      </c>
      <c r="O13" s="11"/>
      <c r="P13" s="2">
        <f>--203771.51</f>
        <v>203771.51</v>
      </c>
      <c r="Q13" s="2"/>
      <c r="R13" s="19"/>
      <c r="S13" s="2"/>
      <c r="T13" s="2"/>
      <c r="U13" s="2"/>
      <c r="V13" s="19"/>
      <c r="W13" s="2"/>
      <c r="X13" s="2">
        <f t="shared" si="2"/>
        <v>203771.51</v>
      </c>
      <c r="Y13" s="2"/>
      <c r="Z13" s="19">
        <f t="shared" si="3"/>
        <v>0</v>
      </c>
    </row>
    <row r="14" spans="1:26" s="24" customFormat="1" hidden="1" outlineLevel="1" x14ac:dyDescent="0.25">
      <c r="A14" s="44"/>
      <c r="B14" s="11" t="str">
        <f>CONCATENATE("          ", "4100", " - ", "NON-TAXABLE SALES")</f>
        <v xml:space="preserve">          4100 - NON-TAXABLE SALES</v>
      </c>
      <c r="C14" s="11"/>
      <c r="D14" s="2">
        <f t="shared" si="4"/>
        <v>0</v>
      </c>
      <c r="E14" s="2"/>
      <c r="F14" s="19"/>
      <c r="G14" s="2"/>
      <c r="H14" s="2">
        <v>68000</v>
      </c>
      <c r="I14" s="2"/>
      <c r="J14" s="19"/>
      <c r="K14" s="2"/>
      <c r="L14" s="2">
        <f t="shared" si="0"/>
        <v>-68000</v>
      </c>
      <c r="M14" s="2"/>
      <c r="N14" s="19">
        <f t="shared" si="1"/>
        <v>-1</v>
      </c>
      <c r="O14" s="11"/>
      <c r="P14" s="2">
        <f>0</f>
        <v>0</v>
      </c>
      <c r="Q14" s="2"/>
      <c r="R14" s="19"/>
      <c r="S14" s="2"/>
      <c r="T14" s="2">
        <v>921230</v>
      </c>
      <c r="U14" s="2"/>
      <c r="V14" s="19"/>
      <c r="W14" s="2"/>
      <c r="X14" s="2">
        <f t="shared" si="2"/>
        <v>-921230</v>
      </c>
      <c r="Y14" s="2"/>
      <c r="Z14" s="19">
        <f t="shared" si="3"/>
        <v>-1</v>
      </c>
    </row>
    <row r="15" spans="1:26" s="24" customFormat="1" hidden="1" outlineLevel="1" x14ac:dyDescent="0.25">
      <c r="A15" s="44"/>
      <c r="B15" s="11" t="str">
        <f>CONCATENATE("          ", "4151", " - ", "NON-TAXABLE SALES-FOOD")</f>
        <v xml:space="preserve">          4151 - NON-TAXABLE SALES-FOOD</v>
      </c>
      <c r="C15" s="11"/>
      <c r="D15" s="2">
        <f t="shared" si="4"/>
        <v>0</v>
      </c>
      <c r="E15" s="2"/>
      <c r="F15" s="19"/>
      <c r="G15" s="2"/>
      <c r="H15" s="2"/>
      <c r="I15" s="2"/>
      <c r="J15" s="19"/>
      <c r="K15" s="2"/>
      <c r="L15" s="2">
        <f t="shared" si="0"/>
        <v>0</v>
      </c>
      <c r="M15" s="2"/>
      <c r="N15" s="19">
        <f t="shared" si="1"/>
        <v>0</v>
      </c>
      <c r="O15" s="11"/>
      <c r="P15" s="2">
        <f>--448013.43</f>
        <v>448013.43</v>
      </c>
      <c r="Q15" s="2"/>
      <c r="R15" s="19"/>
      <c r="S15" s="2"/>
      <c r="T15" s="2"/>
      <c r="U15" s="2"/>
      <c r="V15" s="19"/>
      <c r="W15" s="2"/>
      <c r="X15" s="2">
        <f t="shared" si="2"/>
        <v>448013.43</v>
      </c>
      <c r="Y15" s="2"/>
      <c r="Z15" s="19">
        <f t="shared" si="3"/>
        <v>0</v>
      </c>
    </row>
    <row r="16" spans="1:26" x14ac:dyDescent="0.25">
      <c r="A16" s="9"/>
      <c r="B16" s="10"/>
      <c r="C16" s="9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3" customFormat="1" collapsed="1" x14ac:dyDescent="0.25">
      <c r="A17" s="10"/>
      <c r="B17" s="28" t="s">
        <v>8</v>
      </c>
      <c r="C17" s="10"/>
      <c r="D17" s="4">
        <f>SUM(OSRRefD16x_0)</f>
        <v>0</v>
      </c>
      <c r="E17" s="4"/>
      <c r="F17" s="13">
        <f t="shared" ref="F17:F20" si="5">IF(D$12=0,0,D17/D$12)</f>
        <v>0</v>
      </c>
      <c r="G17" s="4"/>
      <c r="H17" s="4">
        <f>SUM(OSRRefH16x_0)</f>
        <v>22440</v>
      </c>
      <c r="I17" s="4"/>
      <c r="J17" s="13">
        <f t="shared" ref="J17:J20" si="6">IF(H$12=0,0,H17/H$12)</f>
        <v>0.33</v>
      </c>
      <c r="K17" s="4"/>
      <c r="L17" s="4">
        <f t="shared" ref="L17:L20" si="7">+D17-H17</f>
        <v>-22440</v>
      </c>
      <c r="M17" s="4"/>
      <c r="N17" s="13">
        <f t="shared" ref="N17:N20" si="8">IF(H17=0,0,L17/H17)</f>
        <v>-1</v>
      </c>
      <c r="O17" s="10"/>
      <c r="P17" s="4">
        <f>SUM(OSRRefP16x_0)</f>
        <v>216517.97999999998</v>
      </c>
      <c r="Q17" s="4"/>
      <c r="R17" s="13">
        <f t="shared" ref="R17:R20" si="9">IF(P$12=0,0,P17/P$12)</f>
        <v>0.33219236394139451</v>
      </c>
      <c r="S17" s="4"/>
      <c r="T17" s="4">
        <f>SUM(OSRRefT16x_0)</f>
        <v>308050</v>
      </c>
      <c r="U17" s="4"/>
      <c r="V17" s="13">
        <f t="shared" ref="V17:V20" si="10">IF(T$12=0,0,T17/T$12)</f>
        <v>0.33438989177512674</v>
      </c>
      <c r="W17" s="4"/>
      <c r="X17" s="4">
        <f t="shared" ref="X17:X20" si="11">+P17-T17</f>
        <v>-91532.020000000019</v>
      </c>
      <c r="Y17" s="4"/>
      <c r="Z17" s="13">
        <f t="shared" ref="Z17:Z20" si="12">IF(T17=0,0,X17/T17)</f>
        <v>-0.2971336471352054</v>
      </c>
    </row>
    <row r="18" spans="1:26" s="24" customFormat="1" hidden="1" outlineLevel="1" x14ac:dyDescent="0.25">
      <c r="A18" s="44"/>
      <c r="B18" s="11" t="str">
        <f>CONCATENATE("          ", "5000", " - ", "PURCHASES @ COST")</f>
        <v xml:space="preserve">          5000 - PURCHASES @ COST</v>
      </c>
      <c r="C18" s="11"/>
      <c r="D18" s="2"/>
      <c r="E18" s="2"/>
      <c r="F18" s="19">
        <f t="shared" si="5"/>
        <v>0</v>
      </c>
      <c r="G18" s="2"/>
      <c r="H18" s="2">
        <v>22440</v>
      </c>
      <c r="I18" s="2"/>
      <c r="J18" s="19">
        <f t="shared" si="6"/>
        <v>0.33</v>
      </c>
      <c r="K18" s="2"/>
      <c r="L18" s="2">
        <f t="shared" si="7"/>
        <v>-22440</v>
      </c>
      <c r="M18" s="2"/>
      <c r="N18" s="19">
        <f t="shared" si="8"/>
        <v>-1</v>
      </c>
      <c r="O18" s="11"/>
      <c r="P18" s="2"/>
      <c r="Q18" s="2"/>
      <c r="R18" s="19">
        <f t="shared" si="9"/>
        <v>0</v>
      </c>
      <c r="S18" s="2"/>
      <c r="T18" s="2">
        <v>308050</v>
      </c>
      <c r="U18" s="2"/>
      <c r="V18" s="19">
        <f t="shared" si="10"/>
        <v>0.33438989177512674</v>
      </c>
      <c r="W18" s="2"/>
      <c r="X18" s="2">
        <f t="shared" si="11"/>
        <v>-308050</v>
      </c>
      <c r="Y18" s="2"/>
      <c r="Z18" s="19">
        <f t="shared" si="12"/>
        <v>-1</v>
      </c>
    </row>
    <row r="19" spans="1:26" s="24" customFormat="1" hidden="1" outlineLevel="1" x14ac:dyDescent="0.25">
      <c r="A19" s="44"/>
      <c r="B19" s="11" t="str">
        <f>CONCATENATE("          ", "5053", " - ", "PURCHASES @ COST-FOOD")</f>
        <v xml:space="preserve">          5053 - PURCHASES @ COST-FOOD</v>
      </c>
      <c r="C19" s="11"/>
      <c r="D19" s="2"/>
      <c r="E19" s="2"/>
      <c r="F19" s="19">
        <f t="shared" si="5"/>
        <v>0</v>
      </c>
      <c r="G19" s="2"/>
      <c r="H19" s="2"/>
      <c r="I19" s="2"/>
      <c r="J19" s="19">
        <f t="shared" si="6"/>
        <v>0</v>
      </c>
      <c r="K19" s="2"/>
      <c r="L19" s="2">
        <f t="shared" si="7"/>
        <v>0</v>
      </c>
      <c r="M19" s="2"/>
      <c r="N19" s="19">
        <f t="shared" si="8"/>
        <v>0</v>
      </c>
      <c r="O19" s="11"/>
      <c r="P19" s="2">
        <v>214473.97999999998</v>
      </c>
      <c r="Q19" s="2"/>
      <c r="R19" s="19">
        <f t="shared" si="9"/>
        <v>0.32905636021599394</v>
      </c>
      <c r="S19" s="2"/>
      <c r="T19" s="2"/>
      <c r="U19" s="2"/>
      <c r="V19" s="19">
        <f t="shared" si="10"/>
        <v>0</v>
      </c>
      <c r="W19" s="2"/>
      <c r="X19" s="2">
        <f t="shared" si="11"/>
        <v>214473.97999999998</v>
      </c>
      <c r="Y19" s="2"/>
      <c r="Z19" s="19">
        <f t="shared" si="12"/>
        <v>0</v>
      </c>
    </row>
    <row r="20" spans="1:26" s="24" customFormat="1" hidden="1" outlineLevel="1" x14ac:dyDescent="0.25">
      <c r="A20" s="44"/>
      <c r="B20" s="11" t="str">
        <f>CONCATENATE("          ", "5059", " - ", "PURCHASES @ COST-FOOD")</f>
        <v xml:space="preserve">          5059 - PURCHASES @ COST-FOOD</v>
      </c>
      <c r="C20" s="11"/>
      <c r="D20" s="2"/>
      <c r="E20" s="2"/>
      <c r="F20" s="19">
        <f t="shared" si="5"/>
        <v>0</v>
      </c>
      <c r="G20" s="2"/>
      <c r="H20" s="2"/>
      <c r="I20" s="2"/>
      <c r="J20" s="19">
        <f t="shared" si="6"/>
        <v>0</v>
      </c>
      <c r="K20" s="2"/>
      <c r="L20" s="2">
        <f t="shared" si="7"/>
        <v>0</v>
      </c>
      <c r="M20" s="2"/>
      <c r="N20" s="19">
        <f t="shared" si="8"/>
        <v>0</v>
      </c>
      <c r="O20" s="11"/>
      <c r="P20" s="2">
        <v>2044</v>
      </c>
      <c r="Q20" s="2"/>
      <c r="R20" s="19">
        <f t="shared" si="9"/>
        <v>3.1360037254005903E-3</v>
      </c>
      <c r="S20" s="2"/>
      <c r="T20" s="2"/>
      <c r="U20" s="2"/>
      <c r="V20" s="19">
        <f t="shared" si="10"/>
        <v>0</v>
      </c>
      <c r="W20" s="2"/>
      <c r="X20" s="2">
        <f t="shared" si="11"/>
        <v>2044</v>
      </c>
      <c r="Y20" s="2"/>
      <c r="Z20" s="19">
        <f t="shared" si="12"/>
        <v>0</v>
      </c>
    </row>
    <row r="21" spans="1:26" x14ac:dyDescent="0.25">
      <c r="A21" s="9"/>
      <c r="B21" s="10"/>
      <c r="C21" s="10"/>
      <c r="D21" s="3"/>
      <c r="E21" s="3"/>
      <c r="F21" s="8"/>
      <c r="G21" s="3"/>
      <c r="H21" s="3"/>
      <c r="I21" s="3"/>
      <c r="J21" s="8"/>
      <c r="K21" s="3"/>
      <c r="L21" s="3"/>
      <c r="M21" s="3"/>
      <c r="N21" s="8"/>
      <c r="O21" s="10"/>
      <c r="P21" s="3"/>
      <c r="Q21" s="3"/>
      <c r="R21" s="8"/>
      <c r="S21" s="3"/>
      <c r="T21" s="3"/>
      <c r="U21" s="3"/>
      <c r="V21" s="8"/>
      <c r="W21" s="3"/>
      <c r="X21" s="3"/>
      <c r="Y21" s="3"/>
      <c r="Z21" s="8"/>
    </row>
    <row r="22" spans="1:26" s="23" customFormat="1" x14ac:dyDescent="0.25">
      <c r="A22" s="10"/>
      <c r="B22" s="29" t="s">
        <v>6</v>
      </c>
      <c r="C22" s="29"/>
      <c r="D22" s="20">
        <f>D12-D17</f>
        <v>0</v>
      </c>
      <c r="E22" s="14"/>
      <c r="F22" s="22">
        <f>IF(D$12=0,0,D22/D$12)</f>
        <v>0</v>
      </c>
      <c r="G22" s="14"/>
      <c r="H22" s="20">
        <f>H12-H17</f>
        <v>45560</v>
      </c>
      <c r="I22" s="14"/>
      <c r="J22" s="22">
        <f>IF(H$12=0,0,H22/H$12)</f>
        <v>0.67</v>
      </c>
      <c r="K22" s="16"/>
      <c r="L22" s="20">
        <f>+D22-H22</f>
        <v>-45560</v>
      </c>
      <c r="M22" s="16"/>
      <c r="N22" s="22">
        <f>IF(H22=0,0,L22/H22)</f>
        <v>-1</v>
      </c>
      <c r="O22" s="28"/>
      <c r="P22" s="20">
        <f>P12-P17</f>
        <v>435266.95999999996</v>
      </c>
      <c r="Q22" s="14"/>
      <c r="R22" s="22">
        <f>IF(P$12=0,0,P22/P$12)</f>
        <v>0.66780763605860549</v>
      </c>
      <c r="S22" s="14"/>
      <c r="T22" s="20">
        <f>T12-T17</f>
        <v>613180</v>
      </c>
      <c r="U22" s="14"/>
      <c r="V22" s="22">
        <f>IF(T$12=0,0,T22/T$12)</f>
        <v>0.66561010822487332</v>
      </c>
      <c r="W22" s="16"/>
      <c r="X22" s="20">
        <f>+P22-T22</f>
        <v>-177913.04000000004</v>
      </c>
      <c r="Y22" s="16"/>
      <c r="Z22" s="22">
        <f>IF(T22=0,0,X22/T22)</f>
        <v>-0.29014814573208525</v>
      </c>
    </row>
    <row r="23" spans="1:26" x14ac:dyDescent="0.25">
      <c r="A23" s="9"/>
      <c r="B23" s="10"/>
      <c r="C23" s="9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x14ac:dyDescent="0.25">
      <c r="A24" s="10"/>
      <c r="B24" s="28" t="s">
        <v>9</v>
      </c>
      <c r="C24" s="10"/>
      <c r="D24" s="21">
        <f>SUM(OSRRefD22x_0)</f>
        <v>33822.86</v>
      </c>
      <c r="E24" s="21"/>
      <c r="F24" s="30">
        <f t="shared" ref="F24:F34" si="13">IF(D$12=0,0,D24/D$12)</f>
        <v>0</v>
      </c>
      <c r="G24" s="21"/>
      <c r="H24" s="21">
        <f>SUM(OSRRefH22x_0)</f>
        <v>58386.537351556923</v>
      </c>
      <c r="I24" s="21"/>
      <c r="J24" s="30">
        <f t="shared" ref="J24:J34" si="14">IF(H$12=0,0,H24/H$12)</f>
        <v>0.85862554928760182</v>
      </c>
      <c r="K24" s="4"/>
      <c r="L24" s="21">
        <f t="shared" ref="L24:L34" si="15">+D24-H24</f>
        <v>-24563.677351556922</v>
      </c>
      <c r="M24" s="4"/>
      <c r="N24" s="30">
        <f t="shared" ref="N24:N34" si="16">IF(H24=0,0,L24/H24)</f>
        <v>-0.42070789715879447</v>
      </c>
      <c r="O24" s="10"/>
      <c r="P24" s="21">
        <f>SUM(OSRRefP22x_0)</f>
        <v>709790.53000000014</v>
      </c>
      <c r="Q24" s="21"/>
      <c r="R24" s="30">
        <f t="shared" ref="R24:R34" si="17">IF(P$12=0,0,P24/P$12)</f>
        <v>1.0889949835293835</v>
      </c>
      <c r="S24" s="21"/>
      <c r="T24" s="21">
        <f>SUM(OSRRefT22x_0)</f>
        <v>714779.27045502618</v>
      </c>
      <c r="U24" s="21"/>
      <c r="V24" s="30">
        <f t="shared" ref="V24:V34" si="18">IF(T$12=0,0,T24/T$12)</f>
        <v>0.77589664953923143</v>
      </c>
      <c r="W24" s="4"/>
      <c r="X24" s="21">
        <f t="shared" ref="X24:X34" si="19">+P24-T24</f>
        <v>-4988.7404550260399</v>
      </c>
      <c r="Y24" s="4"/>
      <c r="Z24" s="30">
        <f t="shared" ref="Z24:Z34" si="20">IF(T24=0,0,X24/T24)</f>
        <v>-6.9794140110557819E-3</v>
      </c>
    </row>
    <row r="25" spans="1:26" s="27" customFormat="1" outlineLevel="1" collapsed="1" x14ac:dyDescent="0.25">
      <c r="A25" s="25"/>
      <c r="B25" s="12" t="str">
        <f>CONCATENATE("     ","*Benefits                                         ")</f>
        <v xml:space="preserve">     *Benefits                                         </v>
      </c>
      <c r="C25" s="12"/>
      <c r="D25" s="1">
        <f>SUM(OSRRefD22_0x_0)</f>
        <v>4987.9699999999993</v>
      </c>
      <c r="E25" s="1"/>
      <c r="F25" s="5">
        <f t="shared" si="13"/>
        <v>0</v>
      </c>
      <c r="G25" s="1"/>
      <c r="H25" s="1">
        <f>SUM(OSRRefH22_0x_0)</f>
        <v>6658.5148746338427</v>
      </c>
      <c r="I25" s="1"/>
      <c r="J25" s="5">
        <f t="shared" si="14"/>
        <v>9.7919336391674161E-2</v>
      </c>
      <c r="K25" s="1"/>
      <c r="L25" s="1">
        <f t="shared" si="15"/>
        <v>-1670.5448746338434</v>
      </c>
      <c r="M25" s="1"/>
      <c r="N25" s="5">
        <f t="shared" si="16"/>
        <v>-0.2508885098384207</v>
      </c>
      <c r="O25" s="12"/>
      <c r="P25" s="1">
        <f>SUM(OSRRefP22_0x_0)</f>
        <v>84738.180000000008</v>
      </c>
      <c r="Q25" s="1"/>
      <c r="R25" s="5">
        <f t="shared" si="17"/>
        <v>0.13000941690981693</v>
      </c>
      <c r="S25" s="1"/>
      <c r="T25" s="1">
        <f>SUM(OSRRefT22_0x_0)</f>
        <v>80707.360631949268</v>
      </c>
      <c r="U25" s="1"/>
      <c r="V25" s="5">
        <f t="shared" si="18"/>
        <v>8.7608263551935198E-2</v>
      </c>
      <c r="W25" s="1"/>
      <c r="X25" s="1">
        <f t="shared" si="19"/>
        <v>4030.8193680507393</v>
      </c>
      <c r="Y25" s="1"/>
      <c r="Z25" s="5">
        <f t="shared" si="20"/>
        <v>4.9943640040869784E-2</v>
      </c>
    </row>
    <row r="26" spans="1:26" s="24" customFormat="1" hidden="1" outlineLevel="2" x14ac:dyDescent="0.25">
      <c r="A26" s="26"/>
      <c r="B26" s="11" t="str">
        <f>CONCATENATE("          ", "6111", " - ", "F.I.C.A.")</f>
        <v xml:space="preserve">          6111 - F.I.C.A.</v>
      </c>
      <c r="C26" s="11"/>
      <c r="D26" s="7">
        <v>386.22</v>
      </c>
      <c r="E26" s="2"/>
      <c r="F26" s="6">
        <f t="shared" si="13"/>
        <v>0</v>
      </c>
      <c r="G26" s="2"/>
      <c r="H26" s="7">
        <v>659.13975038769206</v>
      </c>
      <c r="I26" s="2"/>
      <c r="J26" s="6">
        <f t="shared" si="14"/>
        <v>9.6932316233484129E-3</v>
      </c>
      <c r="K26" s="2"/>
      <c r="L26" s="7">
        <f t="shared" si="15"/>
        <v>-272.91975038769203</v>
      </c>
      <c r="M26" s="2"/>
      <c r="N26" s="6">
        <f t="shared" si="16"/>
        <v>-0.41405445541278069</v>
      </c>
      <c r="O26" s="11"/>
      <c r="P26" s="7">
        <v>13697.2</v>
      </c>
      <c r="Q26" s="2"/>
      <c r="R26" s="6">
        <f t="shared" si="17"/>
        <v>2.1014907156339024E-2</v>
      </c>
      <c r="S26" s="2"/>
      <c r="T26" s="7">
        <v>8438.1085424723042</v>
      </c>
      <c r="U26" s="2"/>
      <c r="V26" s="6">
        <f t="shared" si="18"/>
        <v>9.1596111095734005E-3</v>
      </c>
      <c r="W26" s="2"/>
      <c r="X26" s="7">
        <f t="shared" si="19"/>
        <v>5259.0914575276965</v>
      </c>
      <c r="Y26" s="2"/>
      <c r="Z26" s="6">
        <f t="shared" si="20"/>
        <v>0.62325477695109399</v>
      </c>
    </row>
    <row r="27" spans="1:26" s="24" customFormat="1" hidden="1" outlineLevel="2" x14ac:dyDescent="0.25">
      <c r="A27" s="26"/>
      <c r="B27" s="11" t="str">
        <f>CONCATENATE("          ", "6112", " - ", "COMPENSATION INSURANCE")</f>
        <v xml:space="preserve">          6112 - COMPENSATION INSURANCE</v>
      </c>
      <c r="C27" s="11"/>
      <c r="D27" s="7">
        <v>293.83</v>
      </c>
      <c r="E27" s="2"/>
      <c r="F27" s="6">
        <f t="shared" si="13"/>
        <v>0</v>
      </c>
      <c r="G27" s="2"/>
      <c r="H27" s="7">
        <v>825.15681833846202</v>
      </c>
      <c r="I27" s="2"/>
      <c r="J27" s="6">
        <f t="shared" si="14"/>
        <v>1.2134659093212676E-2</v>
      </c>
      <c r="K27" s="2"/>
      <c r="L27" s="7">
        <f t="shared" si="15"/>
        <v>-531.32681833846209</v>
      </c>
      <c r="M27" s="2"/>
      <c r="N27" s="6">
        <f t="shared" si="16"/>
        <v>-0.64391011081789662</v>
      </c>
      <c r="O27" s="11"/>
      <c r="P27" s="7">
        <v>7859.58</v>
      </c>
      <c r="Q27" s="2"/>
      <c r="R27" s="6">
        <f t="shared" si="17"/>
        <v>1.2058548023524447E-2</v>
      </c>
      <c r="S27" s="2"/>
      <c r="T27" s="7">
        <v>11415.549127261544</v>
      </c>
      <c r="U27" s="2"/>
      <c r="V27" s="6">
        <f t="shared" si="18"/>
        <v>1.239163849121451E-2</v>
      </c>
      <c r="W27" s="2"/>
      <c r="X27" s="7">
        <f t="shared" si="19"/>
        <v>-3555.9691272615437</v>
      </c>
      <c r="Y27" s="2"/>
      <c r="Z27" s="6">
        <f t="shared" si="20"/>
        <v>-0.31150224028816204</v>
      </c>
    </row>
    <row r="28" spans="1:26" s="24" customFormat="1" hidden="1" outlineLevel="2" x14ac:dyDescent="0.25">
      <c r="A28" s="26"/>
      <c r="B28" s="11" t="str">
        <f>CONCATENATE("          ", "6113", " - ", "GROUP INSURANCE")</f>
        <v xml:space="preserve">          6113 - GROUP INSURANCE</v>
      </c>
      <c r="C28" s="11"/>
      <c r="D28" s="7">
        <v>3371.81</v>
      </c>
      <c r="E28" s="2"/>
      <c r="F28" s="6">
        <f t="shared" si="13"/>
        <v>0</v>
      </c>
      <c r="G28" s="2"/>
      <c r="H28" s="7">
        <v>3114.67692307692</v>
      </c>
      <c r="I28" s="2"/>
      <c r="J28" s="6">
        <f t="shared" si="14"/>
        <v>4.5804072398190003E-2</v>
      </c>
      <c r="K28" s="2"/>
      <c r="L28" s="7">
        <f t="shared" si="15"/>
        <v>257.1330769230799</v>
      </c>
      <c r="M28" s="2"/>
      <c r="N28" s="6">
        <f t="shared" si="16"/>
        <v>8.2555296511801241E-2</v>
      </c>
      <c r="O28" s="11"/>
      <c r="P28" s="7">
        <v>35136.910000000003</v>
      </c>
      <c r="Q28" s="2"/>
      <c r="R28" s="6">
        <f t="shared" si="17"/>
        <v>5.390874787625502E-2</v>
      </c>
      <c r="S28" s="2"/>
      <c r="T28" s="7">
        <v>35299.371153846179</v>
      </c>
      <c r="U28" s="2"/>
      <c r="V28" s="6">
        <f t="shared" si="18"/>
        <v>3.8317652653350603E-2</v>
      </c>
      <c r="W28" s="2"/>
      <c r="X28" s="7">
        <f t="shared" si="19"/>
        <v>-162.46115384617588</v>
      </c>
      <c r="Y28" s="2"/>
      <c r="Z28" s="6">
        <f t="shared" si="20"/>
        <v>-4.6023809641853718E-3</v>
      </c>
    </row>
    <row r="29" spans="1:26" s="24" customFormat="1" hidden="1" outlineLevel="2" x14ac:dyDescent="0.25">
      <c r="A29" s="26"/>
      <c r="B29" s="11" t="str">
        <f>CONCATENATE("          ", "6114", " - ", "STATE UNEMPLOYMENT INSURANCE")</f>
        <v xml:space="preserve">          6114 - STATE UNEMPLOYMENT INSURANCE</v>
      </c>
      <c r="C29" s="11"/>
      <c r="D29" s="7">
        <v>19.690000000000001</v>
      </c>
      <c r="E29" s="2"/>
      <c r="F29" s="6">
        <f t="shared" si="13"/>
        <v>0</v>
      </c>
      <c r="G29" s="2"/>
      <c r="H29" s="7">
        <v>55.2940136</v>
      </c>
      <c r="I29" s="2"/>
      <c r="J29" s="6">
        <f t="shared" si="14"/>
        <v>8.1314725882352941E-4</v>
      </c>
      <c r="K29" s="2"/>
      <c r="L29" s="7">
        <f t="shared" si="15"/>
        <v>-35.604013600000002</v>
      </c>
      <c r="M29" s="2"/>
      <c r="N29" s="6">
        <f t="shared" si="16"/>
        <v>-0.64390358525176772</v>
      </c>
      <c r="O29" s="11"/>
      <c r="P29" s="7">
        <v>632.02</v>
      </c>
      <c r="Q29" s="2"/>
      <c r="R29" s="6">
        <f t="shared" si="17"/>
        <v>9.696756724695112E-4</v>
      </c>
      <c r="S29" s="2"/>
      <c r="T29" s="7">
        <v>764.95947760000001</v>
      </c>
      <c r="U29" s="2"/>
      <c r="V29" s="6">
        <f t="shared" si="18"/>
        <v>8.3036752776179676E-4</v>
      </c>
      <c r="W29" s="2"/>
      <c r="X29" s="7">
        <f t="shared" si="19"/>
        <v>-132.93947760000003</v>
      </c>
      <c r="Y29" s="2"/>
      <c r="Z29" s="6">
        <f t="shared" si="20"/>
        <v>-0.17378630044180529</v>
      </c>
    </row>
    <row r="30" spans="1:26" s="24" customFormat="1" hidden="1" outlineLevel="2" x14ac:dyDescent="0.25">
      <c r="A30" s="26"/>
      <c r="B30" s="11" t="str">
        <f>CONCATENATE("          ", "6115", " - ", "P.E.R.S.")</f>
        <v xml:space="preserve">          6115 - P.E.R.S.</v>
      </c>
      <c r="C30" s="11"/>
      <c r="D30" s="7">
        <v>352.64</v>
      </c>
      <c r="E30" s="2"/>
      <c r="F30" s="6">
        <f t="shared" si="13"/>
        <v>0</v>
      </c>
      <c r="G30" s="2"/>
      <c r="H30" s="7">
        <v>463.34153846153902</v>
      </c>
      <c r="I30" s="2"/>
      <c r="J30" s="6">
        <f t="shared" si="14"/>
        <v>6.8138461538461616E-3</v>
      </c>
      <c r="K30" s="2"/>
      <c r="L30" s="7">
        <f t="shared" si="15"/>
        <v>-110.70153846153903</v>
      </c>
      <c r="M30" s="2"/>
      <c r="N30" s="6">
        <f t="shared" si="16"/>
        <v>-0.23891995271804911</v>
      </c>
      <c r="O30" s="11"/>
      <c r="P30" s="7">
        <v>6330.32</v>
      </c>
      <c r="Q30" s="2"/>
      <c r="R30" s="6">
        <f t="shared" si="17"/>
        <v>9.7122833184823208E-3</v>
      </c>
      <c r="S30" s="2"/>
      <c r="T30" s="7">
        <v>5560.098461538465</v>
      </c>
      <c r="U30" s="2"/>
      <c r="V30" s="6">
        <f t="shared" si="18"/>
        <v>6.0355160617201623E-3</v>
      </c>
      <c r="W30" s="2"/>
      <c r="X30" s="7">
        <f t="shared" si="19"/>
        <v>770.22153846153469</v>
      </c>
      <c r="Y30" s="2"/>
      <c r="Z30" s="6">
        <f t="shared" si="20"/>
        <v>0.13852660052505911</v>
      </c>
    </row>
    <row r="31" spans="1:26" s="24" customFormat="1" hidden="1" outlineLevel="2" x14ac:dyDescent="0.25">
      <c r="A31" s="26"/>
      <c r="B31" s="11" t="str">
        <f>CONCATENATE("          ", "6116", " - ", "EDUCATIONAL BENEFITS")</f>
        <v xml:space="preserve">          6116 - EDUCATIONAL BENEFITS</v>
      </c>
      <c r="C31" s="11"/>
      <c r="D31" s="7"/>
      <c r="E31" s="2"/>
      <c r="F31" s="6">
        <f t="shared" si="13"/>
        <v>0</v>
      </c>
      <c r="G31" s="2"/>
      <c r="H31" s="7">
        <v>0</v>
      </c>
      <c r="I31" s="2"/>
      <c r="J31" s="6">
        <f t="shared" si="14"/>
        <v>0</v>
      </c>
      <c r="K31" s="2"/>
      <c r="L31" s="7">
        <f t="shared" si="15"/>
        <v>0</v>
      </c>
      <c r="M31" s="2"/>
      <c r="N31" s="6">
        <f t="shared" si="16"/>
        <v>0</v>
      </c>
      <c r="O31" s="11"/>
      <c r="P31" s="7"/>
      <c r="Q31" s="2"/>
      <c r="R31" s="6">
        <f t="shared" si="17"/>
        <v>0</v>
      </c>
      <c r="S31" s="2"/>
      <c r="T31" s="7">
        <v>0</v>
      </c>
      <c r="U31" s="2"/>
      <c r="V31" s="6">
        <f t="shared" si="18"/>
        <v>0</v>
      </c>
      <c r="W31" s="2"/>
      <c r="X31" s="7">
        <f t="shared" si="19"/>
        <v>0</v>
      </c>
      <c r="Y31" s="2"/>
      <c r="Z31" s="6">
        <f t="shared" si="20"/>
        <v>0</v>
      </c>
    </row>
    <row r="32" spans="1:26" s="24" customFormat="1" hidden="1" outlineLevel="2" x14ac:dyDescent="0.25">
      <c r="A32" s="26"/>
      <c r="B32" s="11" t="str">
        <f>CONCATENATE("          ", "6118", " - ", "VACATION")</f>
        <v xml:space="preserve">          6118 - VACATION</v>
      </c>
      <c r="C32" s="11"/>
      <c r="D32" s="7">
        <v>290.92</v>
      </c>
      <c r="E32" s="2"/>
      <c r="F32" s="6">
        <f t="shared" si="13"/>
        <v>0</v>
      </c>
      <c r="G32" s="2"/>
      <c r="H32" s="7">
        <v>430.64141538461502</v>
      </c>
      <c r="I32" s="2"/>
      <c r="J32" s="6">
        <f t="shared" si="14"/>
        <v>6.332961990950221E-3</v>
      </c>
      <c r="K32" s="2"/>
      <c r="L32" s="7">
        <f t="shared" si="15"/>
        <v>-139.721415384615</v>
      </c>
      <c r="M32" s="2"/>
      <c r="N32" s="6">
        <f t="shared" si="16"/>
        <v>-0.32444955453210839</v>
      </c>
      <c r="O32" s="11"/>
      <c r="P32" s="7">
        <v>9154.11</v>
      </c>
      <c r="Q32" s="2"/>
      <c r="R32" s="6">
        <f t="shared" si="17"/>
        <v>1.4044678602116828E-2</v>
      </c>
      <c r="S32" s="2"/>
      <c r="T32" s="7">
        <v>5073.4416846153808</v>
      </c>
      <c r="U32" s="2"/>
      <c r="V32" s="6">
        <f t="shared" si="18"/>
        <v>5.5072475761920271E-3</v>
      </c>
      <c r="W32" s="2"/>
      <c r="X32" s="7">
        <f t="shared" si="19"/>
        <v>4080.6683153846197</v>
      </c>
      <c r="Y32" s="2"/>
      <c r="Z32" s="6">
        <f t="shared" si="20"/>
        <v>0.8043195465828985</v>
      </c>
    </row>
    <row r="33" spans="1:26" s="24" customFormat="1" hidden="1" outlineLevel="2" x14ac:dyDescent="0.25">
      <c r="A33" s="26"/>
      <c r="B33" s="11" t="str">
        <f>CONCATENATE("          ", "6119", " - ", "SICK LEAVE")</f>
        <v xml:space="preserve">          6119 - SICK LEAVE</v>
      </c>
      <c r="C33" s="11"/>
      <c r="D33" s="7">
        <v>232.86</v>
      </c>
      <c r="E33" s="2"/>
      <c r="F33" s="6">
        <f t="shared" si="13"/>
        <v>0</v>
      </c>
      <c r="G33" s="2"/>
      <c r="H33" s="7">
        <v>810.26441538461506</v>
      </c>
      <c r="I33" s="2"/>
      <c r="J33" s="6">
        <f t="shared" si="14"/>
        <v>1.191565316742081E-2</v>
      </c>
      <c r="K33" s="2"/>
      <c r="L33" s="7">
        <f t="shared" si="15"/>
        <v>-577.40441538461505</v>
      </c>
      <c r="M33" s="2"/>
      <c r="N33" s="6">
        <f t="shared" si="16"/>
        <v>-0.71261233298827964</v>
      </c>
      <c r="O33" s="11"/>
      <c r="P33" s="7">
        <v>8893.77</v>
      </c>
      <c r="Q33" s="2"/>
      <c r="R33" s="6">
        <f t="shared" si="17"/>
        <v>1.3645252374195699E-2</v>
      </c>
      <c r="S33" s="2"/>
      <c r="T33" s="7">
        <v>10855.832184615399</v>
      </c>
      <c r="U33" s="2"/>
      <c r="V33" s="6">
        <f t="shared" si="18"/>
        <v>1.1784062812343715E-2</v>
      </c>
      <c r="W33" s="2"/>
      <c r="X33" s="7">
        <f t="shared" si="19"/>
        <v>-1962.062184615399</v>
      </c>
      <c r="Y33" s="2"/>
      <c r="Z33" s="6">
        <f t="shared" si="20"/>
        <v>-0.18073807251699986</v>
      </c>
    </row>
    <row r="34" spans="1:26" s="24" customFormat="1" hidden="1" outlineLevel="2" x14ac:dyDescent="0.25">
      <c r="A34" s="26"/>
      <c r="B34" s="11" t="str">
        <f>CONCATENATE("          ", "6156", " - ", "EMPLOYEE MEALS")</f>
        <v xml:space="preserve">          6156 - EMPLOYEE MEALS</v>
      </c>
      <c r="C34" s="11"/>
      <c r="D34" s="7">
        <v>40</v>
      </c>
      <c r="E34" s="2"/>
      <c r="F34" s="6">
        <f t="shared" si="13"/>
        <v>0</v>
      </c>
      <c r="G34" s="2"/>
      <c r="H34" s="7">
        <v>300</v>
      </c>
      <c r="I34" s="2"/>
      <c r="J34" s="6">
        <f t="shared" si="14"/>
        <v>4.4117647058823529E-3</v>
      </c>
      <c r="K34" s="2"/>
      <c r="L34" s="7">
        <f t="shared" si="15"/>
        <v>-260</v>
      </c>
      <c r="M34" s="2"/>
      <c r="N34" s="6">
        <f t="shared" si="16"/>
        <v>-0.8666666666666667</v>
      </c>
      <c r="O34" s="11"/>
      <c r="P34" s="7">
        <v>3034.27</v>
      </c>
      <c r="Q34" s="2"/>
      <c r="R34" s="6">
        <f t="shared" si="17"/>
        <v>4.6553238864340749E-3</v>
      </c>
      <c r="S34" s="2"/>
      <c r="T34" s="7">
        <v>3300</v>
      </c>
      <c r="U34" s="2"/>
      <c r="V34" s="6">
        <f t="shared" si="18"/>
        <v>3.5821673197789913E-3</v>
      </c>
      <c r="W34" s="2"/>
      <c r="X34" s="7">
        <f t="shared" si="19"/>
        <v>-265.73</v>
      </c>
      <c r="Y34" s="2"/>
      <c r="Z34" s="6">
        <f t="shared" si="20"/>
        <v>-8.0524242424242429E-2</v>
      </c>
    </row>
    <row r="35" spans="1:26" s="27" customFormat="1" outlineLevel="1" collapsed="1" x14ac:dyDescent="0.25">
      <c r="A35" s="25"/>
      <c r="B35" s="12" t="str">
        <f>CONCATENATE("     ","*Payroll                                          ")</f>
        <v xml:space="preserve">     *Payroll                                          </v>
      </c>
      <c r="C35" s="12"/>
      <c r="D35" s="1">
        <f>SUM(OSRRefD22_1x_0)</f>
        <v>3344.68</v>
      </c>
      <c r="E35" s="1"/>
      <c r="F35" s="5">
        <f t="shared" ref="F35:F45" si="21">IF(D$12=0,0,D35/D$12)</f>
        <v>0</v>
      </c>
      <c r="G35" s="1"/>
      <c r="H35" s="1">
        <f>SUM(OSRRefH22_1x_0)</f>
        <v>20026.022476923081</v>
      </c>
      <c r="I35" s="1"/>
      <c r="J35" s="5">
        <f t="shared" ref="J35:J45" si="22">IF(H$12=0,0,H35/H$12)</f>
        <v>0.29450033054298647</v>
      </c>
      <c r="K35" s="1"/>
      <c r="L35" s="1">
        <f t="shared" ref="L35:L45" si="23">+D35-H35</f>
        <v>-16681.342476923081</v>
      </c>
      <c r="M35" s="1"/>
      <c r="N35" s="5">
        <f t="shared" ref="N35:N45" si="24">IF(H35=0,0,L35/H35)</f>
        <v>-0.83298330939884691</v>
      </c>
      <c r="O35" s="12"/>
      <c r="P35" s="1">
        <f>SUM(OSRRefP22_1x_0)</f>
        <v>230552.02999999997</v>
      </c>
      <c r="Q35" s="1"/>
      <c r="R35" s="5">
        <f t="shared" ref="R35:R45" si="25">IF(P$12=0,0,P35/P$12)</f>
        <v>0.35372408267058147</v>
      </c>
      <c r="S35" s="1"/>
      <c r="T35" s="1">
        <f>SUM(OSRRefT22_1x_0)</f>
        <v>278285.90982307692</v>
      </c>
      <c r="U35" s="1"/>
      <c r="V35" s="5">
        <f t="shared" ref="V35:V45" si="26">IF(T$12=0,0,T35/T$12)</f>
        <v>0.30208081567369377</v>
      </c>
      <c r="W35" s="1"/>
      <c r="X35" s="1">
        <f t="shared" ref="X35:X45" si="27">+P35-T35</f>
        <v>-47733.879823076946</v>
      </c>
      <c r="Y35" s="1"/>
      <c r="Z35" s="5">
        <f t="shared" ref="Z35:Z45" si="28">IF(T35=0,0,X35/T35)</f>
        <v>-0.17152819506177744</v>
      </c>
    </row>
    <row r="36" spans="1:26" s="24" customFormat="1" hidden="1" outlineLevel="2" x14ac:dyDescent="0.25">
      <c r="A36" s="26"/>
      <c r="B36" s="11" t="str">
        <f>CONCATENATE("          ", "6001", " - ", "ADMINISTRATIVE SALARIES")</f>
        <v xml:space="preserve">          6001 - ADMINISTRATIVE SALARIES</v>
      </c>
      <c r="C36" s="11"/>
      <c r="D36" s="7"/>
      <c r="E36" s="2"/>
      <c r="F36" s="6">
        <f t="shared" si="21"/>
        <v>0</v>
      </c>
      <c r="G36" s="2"/>
      <c r="H36" s="7">
        <v>0</v>
      </c>
      <c r="I36" s="2"/>
      <c r="J36" s="6">
        <f t="shared" si="22"/>
        <v>0</v>
      </c>
      <c r="K36" s="2"/>
      <c r="L36" s="7">
        <f t="shared" si="23"/>
        <v>0</v>
      </c>
      <c r="M36" s="2"/>
      <c r="N36" s="6">
        <f t="shared" si="24"/>
        <v>0</v>
      </c>
      <c r="O36" s="11"/>
      <c r="P36" s="7"/>
      <c r="Q36" s="2"/>
      <c r="R36" s="6">
        <f t="shared" si="25"/>
        <v>0</v>
      </c>
      <c r="S36" s="2"/>
      <c r="T36" s="7">
        <v>0</v>
      </c>
      <c r="U36" s="2"/>
      <c r="V36" s="6">
        <f t="shared" si="26"/>
        <v>0</v>
      </c>
      <c r="W36" s="2"/>
      <c r="X36" s="7">
        <f t="shared" si="27"/>
        <v>0</v>
      </c>
      <c r="Y36" s="2"/>
      <c r="Z36" s="6">
        <f t="shared" si="28"/>
        <v>0</v>
      </c>
    </row>
    <row r="37" spans="1:26" s="24" customFormat="1" hidden="1" outlineLevel="2" x14ac:dyDescent="0.25">
      <c r="A37" s="26"/>
      <c r="B37" s="11" t="str">
        <f>CONCATENATE("          ", "6002", " - ", "STAFF SALARIES")</f>
        <v xml:space="preserve">          6002 - STAFF SALARIES</v>
      </c>
      <c r="C37" s="11"/>
      <c r="D37" s="7">
        <v>3344.68</v>
      </c>
      <c r="E37" s="2"/>
      <c r="F37" s="6">
        <f t="shared" si="21"/>
        <v>0</v>
      </c>
      <c r="G37" s="2"/>
      <c r="H37" s="7">
        <v>4848.9230769230799</v>
      </c>
      <c r="I37" s="2"/>
      <c r="J37" s="6">
        <f t="shared" si="22"/>
        <v>7.130769230769235E-2</v>
      </c>
      <c r="K37" s="2"/>
      <c r="L37" s="7">
        <f t="shared" si="23"/>
        <v>-1504.24307692308</v>
      </c>
      <c r="M37" s="2"/>
      <c r="N37" s="6">
        <f t="shared" si="24"/>
        <v>-0.31022209531061662</v>
      </c>
      <c r="O37" s="11"/>
      <c r="P37" s="7">
        <v>52353.299999999996</v>
      </c>
      <c r="Q37" s="2"/>
      <c r="R37" s="6">
        <f t="shared" si="25"/>
        <v>8.0322966652159836E-2</v>
      </c>
      <c r="S37" s="2"/>
      <c r="T37" s="7">
        <v>58187.076923076958</v>
      </c>
      <c r="U37" s="2"/>
      <c r="V37" s="6">
        <f t="shared" si="26"/>
        <v>6.3162377390094726E-2</v>
      </c>
      <c r="W37" s="2"/>
      <c r="X37" s="7">
        <f t="shared" si="27"/>
        <v>-5833.7769230769627</v>
      </c>
      <c r="Y37" s="2"/>
      <c r="Z37" s="6">
        <f t="shared" si="28"/>
        <v>-0.10025897899612982</v>
      </c>
    </row>
    <row r="38" spans="1:26" s="24" customFormat="1" hidden="1" outlineLevel="2" x14ac:dyDescent="0.25">
      <c r="A38" s="26"/>
      <c r="B38" s="11" t="str">
        <f>CONCATENATE("          ", "6003", " - ", "STAFF HOURLY-9 MONTH")</f>
        <v xml:space="preserve">          6003 - STAFF HOURLY-9 MONTH</v>
      </c>
      <c r="C38" s="11"/>
      <c r="D38" s="7"/>
      <c r="E38" s="2"/>
      <c r="F38" s="6">
        <f t="shared" si="21"/>
        <v>0</v>
      </c>
      <c r="G38" s="2"/>
      <c r="H38" s="7">
        <v>0</v>
      </c>
      <c r="I38" s="2"/>
      <c r="J38" s="6">
        <f t="shared" si="22"/>
        <v>0</v>
      </c>
      <c r="K38" s="2"/>
      <c r="L38" s="7">
        <f t="shared" si="23"/>
        <v>0</v>
      </c>
      <c r="M38" s="2"/>
      <c r="N38" s="6">
        <f t="shared" si="24"/>
        <v>0</v>
      </c>
      <c r="O38" s="11"/>
      <c r="P38" s="7"/>
      <c r="Q38" s="2"/>
      <c r="R38" s="6">
        <f t="shared" si="25"/>
        <v>0</v>
      </c>
      <c r="S38" s="2"/>
      <c r="T38" s="7">
        <v>0</v>
      </c>
      <c r="U38" s="2"/>
      <c r="V38" s="6">
        <f t="shared" si="26"/>
        <v>0</v>
      </c>
      <c r="W38" s="2"/>
      <c r="X38" s="7">
        <f t="shared" si="27"/>
        <v>0</v>
      </c>
      <c r="Y38" s="2"/>
      <c r="Z38" s="6">
        <f t="shared" si="28"/>
        <v>0</v>
      </c>
    </row>
    <row r="39" spans="1:26" s="24" customFormat="1" hidden="1" outlineLevel="2" x14ac:dyDescent="0.25">
      <c r="A39" s="26"/>
      <c r="B39" s="11" t="str">
        <f>CONCATENATE("          ", "6004", " - ", "STAFF HOURLY")</f>
        <v xml:space="preserve">          6004 - STAFF HOURLY</v>
      </c>
      <c r="C39" s="11"/>
      <c r="D39" s="7"/>
      <c r="E39" s="2"/>
      <c r="F39" s="6">
        <f t="shared" si="21"/>
        <v>0</v>
      </c>
      <c r="G39" s="2"/>
      <c r="H39" s="7">
        <v>2902.6224000000002</v>
      </c>
      <c r="I39" s="2"/>
      <c r="J39" s="6">
        <f t="shared" si="22"/>
        <v>4.268562352941177E-2</v>
      </c>
      <c r="K39" s="2"/>
      <c r="L39" s="7">
        <f t="shared" si="23"/>
        <v>-2902.6224000000002</v>
      </c>
      <c r="M39" s="2"/>
      <c r="N39" s="6">
        <f t="shared" si="24"/>
        <v>-1</v>
      </c>
      <c r="O39" s="11"/>
      <c r="P39" s="7">
        <v>30886.32</v>
      </c>
      <c r="Q39" s="2"/>
      <c r="R39" s="6">
        <f t="shared" si="25"/>
        <v>4.7387286978431878E-2</v>
      </c>
      <c r="S39" s="2"/>
      <c r="T39" s="7">
        <v>33134.873400000004</v>
      </c>
      <c r="U39" s="2"/>
      <c r="V39" s="6">
        <f t="shared" si="26"/>
        <v>3.5968078981361881E-2</v>
      </c>
      <c r="W39" s="2"/>
      <c r="X39" s="7">
        <f t="shared" si="27"/>
        <v>-2248.5534000000043</v>
      </c>
      <c r="Y39" s="2"/>
      <c r="Z39" s="6">
        <f t="shared" si="28"/>
        <v>-6.7860630486066803E-2</v>
      </c>
    </row>
    <row r="40" spans="1:26" s="24" customFormat="1" hidden="1" outlineLevel="2" x14ac:dyDescent="0.25">
      <c r="A40" s="26"/>
      <c r="B40" s="11" t="str">
        <f>CONCATENATE("          ", "6005", " - ", "TEMPORARY WAGES-HOURLY")</f>
        <v xml:space="preserve">          6005 - TEMPORARY WAGES-HOURLY</v>
      </c>
      <c r="C40" s="11"/>
      <c r="D40" s="7"/>
      <c r="E40" s="2"/>
      <c r="F40" s="6">
        <f t="shared" si="21"/>
        <v>0</v>
      </c>
      <c r="G40" s="2"/>
      <c r="H40" s="7">
        <v>6489.1059999999998</v>
      </c>
      <c r="I40" s="2"/>
      <c r="J40" s="6">
        <f t="shared" si="22"/>
        <v>9.5428029411764703E-2</v>
      </c>
      <c r="K40" s="2"/>
      <c r="L40" s="7">
        <f t="shared" si="23"/>
        <v>-6489.1059999999998</v>
      </c>
      <c r="M40" s="2"/>
      <c r="N40" s="6">
        <f t="shared" si="24"/>
        <v>-1</v>
      </c>
      <c r="O40" s="11"/>
      <c r="P40" s="7">
        <v>71622.42</v>
      </c>
      <c r="Q40" s="2"/>
      <c r="R40" s="6">
        <f t="shared" si="25"/>
        <v>0.10988658314197933</v>
      </c>
      <c r="S40" s="2"/>
      <c r="T40" s="7">
        <v>101681.89899999999</v>
      </c>
      <c r="U40" s="2"/>
      <c r="V40" s="6">
        <f t="shared" si="26"/>
        <v>0.11037623503359638</v>
      </c>
      <c r="W40" s="2"/>
      <c r="X40" s="7">
        <f t="shared" si="27"/>
        <v>-30059.478999999992</v>
      </c>
      <c r="Y40" s="2"/>
      <c r="Z40" s="6">
        <f t="shared" si="28"/>
        <v>-0.29562271452070338</v>
      </c>
    </row>
    <row r="41" spans="1:26" s="24" customFormat="1" hidden="1" outlineLevel="2" x14ac:dyDescent="0.25">
      <c r="A41" s="26"/>
      <c r="B41" s="11" t="str">
        <f>CONCATENATE("          ", "6006", " - ", "TEMPORARY PART TIME")</f>
        <v xml:space="preserve">          6006 - TEMPORARY PART TIME</v>
      </c>
      <c r="C41" s="11"/>
      <c r="D41" s="7"/>
      <c r="E41" s="2"/>
      <c r="F41" s="6">
        <f t="shared" si="21"/>
        <v>0</v>
      </c>
      <c r="G41" s="2"/>
      <c r="H41" s="7">
        <v>0</v>
      </c>
      <c r="I41" s="2"/>
      <c r="J41" s="6">
        <f t="shared" si="22"/>
        <v>0</v>
      </c>
      <c r="K41" s="2"/>
      <c r="L41" s="7">
        <f t="shared" si="23"/>
        <v>0</v>
      </c>
      <c r="M41" s="2"/>
      <c r="N41" s="6">
        <f t="shared" si="24"/>
        <v>0</v>
      </c>
      <c r="O41" s="11"/>
      <c r="P41" s="7">
        <v>200.5</v>
      </c>
      <c r="Q41" s="2"/>
      <c r="R41" s="6">
        <f t="shared" si="25"/>
        <v>3.0761680378807161E-4</v>
      </c>
      <c r="S41" s="2"/>
      <c r="T41" s="7">
        <v>0</v>
      </c>
      <c r="U41" s="2"/>
      <c r="V41" s="6">
        <f t="shared" si="26"/>
        <v>0</v>
      </c>
      <c r="W41" s="2"/>
      <c r="X41" s="7">
        <f t="shared" si="27"/>
        <v>200.5</v>
      </c>
      <c r="Y41" s="2"/>
      <c r="Z41" s="6">
        <f t="shared" si="28"/>
        <v>0</v>
      </c>
    </row>
    <row r="42" spans="1:26" s="24" customFormat="1" hidden="1" outlineLevel="2" x14ac:dyDescent="0.25">
      <c r="A42" s="26"/>
      <c r="B42" s="11" t="str">
        <f>CONCATENATE("          ", "6007", " - ", "STUDENT HOURLY")</f>
        <v xml:space="preserve">          6007 - STUDENT HOURLY</v>
      </c>
      <c r="C42" s="11"/>
      <c r="D42" s="7"/>
      <c r="E42" s="2"/>
      <c r="F42" s="6">
        <f t="shared" si="21"/>
        <v>0</v>
      </c>
      <c r="G42" s="2"/>
      <c r="H42" s="7">
        <v>0</v>
      </c>
      <c r="I42" s="2"/>
      <c r="J42" s="6">
        <f t="shared" si="22"/>
        <v>0</v>
      </c>
      <c r="K42" s="2"/>
      <c r="L42" s="7">
        <f t="shared" si="23"/>
        <v>0</v>
      </c>
      <c r="M42" s="2"/>
      <c r="N42" s="6">
        <f t="shared" si="24"/>
        <v>0</v>
      </c>
      <c r="O42" s="11"/>
      <c r="P42" s="7">
        <v>73786.490000000005</v>
      </c>
      <c r="Q42" s="2"/>
      <c r="R42" s="6">
        <f t="shared" si="25"/>
        <v>0.11320680407252123</v>
      </c>
      <c r="S42" s="2"/>
      <c r="T42" s="7">
        <v>8526.2999999999993</v>
      </c>
      <c r="U42" s="2"/>
      <c r="V42" s="6">
        <f t="shared" si="26"/>
        <v>9.2553433995853363E-3</v>
      </c>
      <c r="W42" s="2"/>
      <c r="X42" s="7">
        <f t="shared" si="27"/>
        <v>65260.19</v>
      </c>
      <c r="Y42" s="2"/>
      <c r="Z42" s="6">
        <f t="shared" si="28"/>
        <v>7.6539870752847081</v>
      </c>
    </row>
    <row r="43" spans="1:26" s="24" customFormat="1" hidden="1" outlineLevel="2" x14ac:dyDescent="0.25">
      <c r="A43" s="26"/>
      <c r="B43" s="11" t="str">
        <f>CONCATENATE("          ", "6008", " - ", "STUDENT HOURLY-FICA EXEMPT")</f>
        <v xml:space="preserve">          6008 - STUDENT HOURLY-FICA EXEMPT</v>
      </c>
      <c r="C43" s="11"/>
      <c r="D43" s="7"/>
      <c r="E43" s="2"/>
      <c r="F43" s="6">
        <f t="shared" si="21"/>
        <v>0</v>
      </c>
      <c r="G43" s="2"/>
      <c r="H43" s="7">
        <v>5785.3710000000001</v>
      </c>
      <c r="I43" s="2"/>
      <c r="J43" s="6">
        <f t="shared" si="22"/>
        <v>8.5078985294117643E-2</v>
      </c>
      <c r="K43" s="2"/>
      <c r="L43" s="7">
        <f t="shared" si="23"/>
        <v>-5785.3710000000001</v>
      </c>
      <c r="M43" s="2"/>
      <c r="N43" s="6">
        <f t="shared" si="24"/>
        <v>-1</v>
      </c>
      <c r="O43" s="11"/>
      <c r="P43" s="7">
        <v>1703</v>
      </c>
      <c r="Q43" s="2"/>
      <c r="R43" s="6">
        <f t="shared" si="25"/>
        <v>2.6128250217011765E-3</v>
      </c>
      <c r="S43" s="2"/>
      <c r="T43" s="7">
        <v>76755.760500000004</v>
      </c>
      <c r="U43" s="2"/>
      <c r="V43" s="6">
        <f t="shared" si="26"/>
        <v>8.3318780869055503E-2</v>
      </c>
      <c r="W43" s="2"/>
      <c r="X43" s="7">
        <f t="shared" si="27"/>
        <v>-75052.760500000004</v>
      </c>
      <c r="Y43" s="2"/>
      <c r="Z43" s="6">
        <f t="shared" si="28"/>
        <v>-0.97781274019166287</v>
      </c>
    </row>
    <row r="44" spans="1:26" s="24" customFormat="1" hidden="1" outlineLevel="2" x14ac:dyDescent="0.25">
      <c r="A44" s="26"/>
      <c r="B44" s="11" t="str">
        <f>CONCATENATE("          ", "6009", " - ", "TEMPORARY-SEASONAL")</f>
        <v xml:space="preserve">          6009 - TEMPORARY-SEASONAL</v>
      </c>
      <c r="C44" s="11"/>
      <c r="D44" s="7"/>
      <c r="E44" s="2"/>
      <c r="F44" s="6">
        <f t="shared" si="21"/>
        <v>0</v>
      </c>
      <c r="G44" s="2"/>
      <c r="H44" s="7">
        <v>0</v>
      </c>
      <c r="I44" s="2"/>
      <c r="J44" s="6">
        <f t="shared" si="22"/>
        <v>0</v>
      </c>
      <c r="K44" s="2"/>
      <c r="L44" s="7">
        <f t="shared" si="23"/>
        <v>0</v>
      </c>
      <c r="M44" s="2"/>
      <c r="N44" s="6">
        <f t="shared" si="24"/>
        <v>0</v>
      </c>
      <c r="O44" s="11"/>
      <c r="P44" s="7"/>
      <c r="Q44" s="2"/>
      <c r="R44" s="6">
        <f t="shared" si="25"/>
        <v>0</v>
      </c>
      <c r="S44" s="2"/>
      <c r="T44" s="7">
        <v>0</v>
      </c>
      <c r="U44" s="2"/>
      <c r="V44" s="6">
        <f t="shared" si="26"/>
        <v>0</v>
      </c>
      <c r="W44" s="2"/>
      <c r="X44" s="7">
        <f t="shared" si="27"/>
        <v>0</v>
      </c>
      <c r="Y44" s="2"/>
      <c r="Z44" s="6">
        <f t="shared" si="28"/>
        <v>0</v>
      </c>
    </row>
    <row r="45" spans="1:26" s="24" customFormat="1" hidden="1" outlineLevel="2" x14ac:dyDescent="0.25">
      <c r="A45" s="26"/>
      <c r="B45" s="11" t="str">
        <f>CONCATENATE("          ", "6010", " - ", "GRATUITY")</f>
        <v xml:space="preserve">          6010 - GRATUITY</v>
      </c>
      <c r="C45" s="11"/>
      <c r="D45" s="7"/>
      <c r="E45" s="2"/>
      <c r="F45" s="6">
        <f t="shared" si="21"/>
        <v>0</v>
      </c>
      <c r="G45" s="2"/>
      <c r="H45" s="7">
        <v>0</v>
      </c>
      <c r="I45" s="2"/>
      <c r="J45" s="6">
        <f t="shared" si="22"/>
        <v>0</v>
      </c>
      <c r="K45" s="2"/>
      <c r="L45" s="7">
        <f t="shared" si="23"/>
        <v>0</v>
      </c>
      <c r="M45" s="2"/>
      <c r="N45" s="6">
        <f t="shared" si="24"/>
        <v>0</v>
      </c>
      <c r="O45" s="11"/>
      <c r="P45" s="7"/>
      <c r="Q45" s="2"/>
      <c r="R45" s="6">
        <f t="shared" si="25"/>
        <v>0</v>
      </c>
      <c r="S45" s="2"/>
      <c r="T45" s="7">
        <v>0</v>
      </c>
      <c r="U45" s="2"/>
      <c r="V45" s="6">
        <f t="shared" si="26"/>
        <v>0</v>
      </c>
      <c r="W45" s="2"/>
      <c r="X45" s="7">
        <f t="shared" si="27"/>
        <v>0</v>
      </c>
      <c r="Y45" s="2"/>
      <c r="Z45" s="6">
        <f t="shared" si="28"/>
        <v>0</v>
      </c>
    </row>
    <row r="46" spans="1:26" s="27" customFormat="1" outlineLevel="1" collapsed="1" x14ac:dyDescent="0.25">
      <c r="A46" s="25"/>
      <c r="B46" s="12" t="str">
        <f>CONCATENATE("     ","Advertising/Promo                                 ")</f>
        <v xml:space="preserve">     Advertising/Promo                                 </v>
      </c>
      <c r="C46" s="12"/>
      <c r="D46" s="1">
        <f>SUM(OSRRefD22_2x_0)</f>
        <v>48.4</v>
      </c>
      <c r="E46" s="1"/>
      <c r="F46" s="5">
        <f t="shared" ref="F46:F55" si="29">IF(D$12=0,0,D46/D$12)</f>
        <v>0</v>
      </c>
      <c r="G46" s="1"/>
      <c r="H46" s="1">
        <f>SUM(OSRRefH22_2x_0)</f>
        <v>500</v>
      </c>
      <c r="I46" s="1"/>
      <c r="J46" s="5">
        <f t="shared" ref="J46:J55" si="30">IF(H$12=0,0,H46/H$12)</f>
        <v>7.3529411764705881E-3</v>
      </c>
      <c r="K46" s="1"/>
      <c r="L46" s="1">
        <f t="shared" ref="L46:L55" si="31">+D46-H46</f>
        <v>-451.6</v>
      </c>
      <c r="M46" s="1"/>
      <c r="N46" s="5">
        <f t="shared" ref="N46:N55" si="32">IF(H46=0,0,L46/H46)</f>
        <v>-0.9032</v>
      </c>
      <c r="O46" s="12"/>
      <c r="P46" s="1">
        <f>SUM(OSRRefP22_2x_0)</f>
        <v>6418.96</v>
      </c>
      <c r="Q46" s="1"/>
      <c r="R46" s="5">
        <f t="shared" ref="R46:R55" si="33">IF(P$12=0,0,P46/P$12)</f>
        <v>9.8482790964762104E-3</v>
      </c>
      <c r="S46" s="1"/>
      <c r="T46" s="1">
        <f>SUM(OSRRefT22_2x_0)</f>
        <v>3175</v>
      </c>
      <c r="U46" s="1"/>
      <c r="V46" s="5">
        <f t="shared" ref="V46:V55" si="34">IF(T$12=0,0,T46/T$12)</f>
        <v>3.4464791637267567E-3</v>
      </c>
      <c r="W46" s="1"/>
      <c r="X46" s="1">
        <f t="shared" ref="X46:X55" si="35">+P46-T46</f>
        <v>3243.96</v>
      </c>
      <c r="Y46" s="1"/>
      <c r="Z46" s="5">
        <f t="shared" ref="Z46:Z55" si="36">IF(T46=0,0,X46/T46)</f>
        <v>1.0217196850393702</v>
      </c>
    </row>
    <row r="47" spans="1:26" s="24" customFormat="1" hidden="1" outlineLevel="2" x14ac:dyDescent="0.25">
      <c r="A47" s="26"/>
      <c r="B47" s="11" t="str">
        <f>CONCATENATE("          ", "6362", " - ", "ADVERTISING EXPENSE")</f>
        <v xml:space="preserve">          6362 - ADVERTISING EXPENSE</v>
      </c>
      <c r="C47" s="11"/>
      <c r="D47" s="7">
        <v>48.4</v>
      </c>
      <c r="E47" s="2"/>
      <c r="F47" s="6">
        <f t="shared" si="29"/>
        <v>0</v>
      </c>
      <c r="G47" s="2"/>
      <c r="H47" s="7">
        <v>500</v>
      </c>
      <c r="I47" s="2"/>
      <c r="J47" s="6">
        <f t="shared" si="30"/>
        <v>7.3529411764705881E-3</v>
      </c>
      <c r="K47" s="2"/>
      <c r="L47" s="7">
        <f t="shared" si="31"/>
        <v>-451.6</v>
      </c>
      <c r="M47" s="2"/>
      <c r="N47" s="6">
        <f t="shared" si="32"/>
        <v>-0.9032</v>
      </c>
      <c r="O47" s="11"/>
      <c r="P47" s="7">
        <v>6418.96</v>
      </c>
      <c r="Q47" s="2"/>
      <c r="R47" s="6">
        <f t="shared" si="33"/>
        <v>9.8482790964762104E-3</v>
      </c>
      <c r="S47" s="2"/>
      <c r="T47" s="7">
        <v>3175</v>
      </c>
      <c r="U47" s="2"/>
      <c r="V47" s="6">
        <f t="shared" si="34"/>
        <v>3.4464791637267567E-3</v>
      </c>
      <c r="W47" s="2"/>
      <c r="X47" s="7">
        <f t="shared" si="35"/>
        <v>3243.96</v>
      </c>
      <c r="Y47" s="2"/>
      <c r="Z47" s="6">
        <f t="shared" si="36"/>
        <v>1.0217196850393702</v>
      </c>
    </row>
    <row r="48" spans="1:26" s="27" customFormat="1" outlineLevel="1" collapsed="1" x14ac:dyDescent="0.25">
      <c r="A48" s="25"/>
      <c r="B48" s="12" t="str">
        <f>CONCATENATE("     ","Bad Debts/Over/Short                              ")</f>
        <v xml:space="preserve">     Bad Debts/Over/Short                              </v>
      </c>
      <c r="C48" s="12"/>
      <c r="D48" s="1">
        <f>SUM(OSRRefD22_3x_0)</f>
        <v>0</v>
      </c>
      <c r="E48" s="1"/>
      <c r="F48" s="5">
        <f t="shared" si="29"/>
        <v>0</v>
      </c>
      <c r="G48" s="1"/>
      <c r="H48" s="1">
        <f>SUM(OSRRefH22_3x_0)</f>
        <v>10</v>
      </c>
      <c r="I48" s="1"/>
      <c r="J48" s="5">
        <f t="shared" si="30"/>
        <v>1.4705882352941175E-4</v>
      </c>
      <c r="K48" s="1"/>
      <c r="L48" s="1">
        <f t="shared" si="31"/>
        <v>-10</v>
      </c>
      <c r="M48" s="1"/>
      <c r="N48" s="5">
        <f t="shared" si="32"/>
        <v>-1</v>
      </c>
      <c r="O48" s="12"/>
      <c r="P48" s="1">
        <f>SUM(OSRRefP22_3x_0)</f>
        <v>-37.450000000000003</v>
      </c>
      <c r="Q48" s="1"/>
      <c r="R48" s="5">
        <f t="shared" si="33"/>
        <v>-5.7457602503058765E-5</v>
      </c>
      <c r="S48" s="1"/>
      <c r="T48" s="1">
        <f>SUM(OSRRefT22_3x_0)</f>
        <v>110</v>
      </c>
      <c r="U48" s="1"/>
      <c r="V48" s="5">
        <f t="shared" si="34"/>
        <v>1.1940557732596637E-4</v>
      </c>
      <c r="W48" s="1"/>
      <c r="X48" s="1">
        <f t="shared" si="35"/>
        <v>-147.44999999999999</v>
      </c>
      <c r="Y48" s="1"/>
      <c r="Z48" s="5">
        <f t="shared" si="36"/>
        <v>-1.3404545454545453</v>
      </c>
    </row>
    <row r="49" spans="1:26" s="24" customFormat="1" hidden="1" outlineLevel="2" x14ac:dyDescent="0.25">
      <c r="A49" s="26"/>
      <c r="B49" s="11" t="str">
        <f>CONCATENATE("          ", "6272", " - ", "CASH (OVER/SHORT)")</f>
        <v xml:space="preserve">          6272 - CASH (OVER/SHORT)</v>
      </c>
      <c r="C49" s="11"/>
      <c r="D49" s="7"/>
      <c r="E49" s="2"/>
      <c r="F49" s="6">
        <f t="shared" si="29"/>
        <v>0</v>
      </c>
      <c r="G49" s="2"/>
      <c r="H49" s="7">
        <v>10</v>
      </c>
      <c r="I49" s="2"/>
      <c r="J49" s="6">
        <f t="shared" si="30"/>
        <v>1.4705882352941175E-4</v>
      </c>
      <c r="K49" s="2"/>
      <c r="L49" s="7">
        <f t="shared" si="31"/>
        <v>-10</v>
      </c>
      <c r="M49" s="2"/>
      <c r="N49" s="6">
        <f t="shared" si="32"/>
        <v>-1</v>
      </c>
      <c r="O49" s="11"/>
      <c r="P49" s="7">
        <v>-37.450000000000003</v>
      </c>
      <c r="Q49" s="2"/>
      <c r="R49" s="6">
        <f t="shared" si="33"/>
        <v>-5.7457602503058765E-5</v>
      </c>
      <c r="S49" s="2"/>
      <c r="T49" s="7">
        <v>110</v>
      </c>
      <c r="U49" s="2"/>
      <c r="V49" s="6">
        <f t="shared" si="34"/>
        <v>1.1940557732596637E-4</v>
      </c>
      <c r="W49" s="2"/>
      <c r="X49" s="7">
        <f t="shared" si="35"/>
        <v>-147.44999999999999</v>
      </c>
      <c r="Y49" s="2"/>
      <c r="Z49" s="6">
        <f t="shared" si="36"/>
        <v>-1.3404545454545453</v>
      </c>
    </row>
    <row r="50" spans="1:26" s="27" customFormat="1" outlineLevel="1" collapsed="1" x14ac:dyDescent="0.25">
      <c r="A50" s="25"/>
      <c r="B50" s="12" t="str">
        <f>CONCATENATE("     ","Bank/card Fees                                    ")</f>
        <v xml:space="preserve">     Bank/card Fees                                    </v>
      </c>
      <c r="C50" s="12"/>
      <c r="D50" s="1">
        <f>SUM(OSRRefD22_4x_0)</f>
        <v>0</v>
      </c>
      <c r="E50" s="1"/>
      <c r="F50" s="5">
        <f t="shared" si="29"/>
        <v>0</v>
      </c>
      <c r="G50" s="1"/>
      <c r="H50" s="1">
        <f>SUM(OSRRefH22_4x_0)</f>
        <v>0</v>
      </c>
      <c r="I50" s="1"/>
      <c r="J50" s="5">
        <f t="shared" si="30"/>
        <v>0</v>
      </c>
      <c r="K50" s="1"/>
      <c r="L50" s="1">
        <f t="shared" si="31"/>
        <v>0</v>
      </c>
      <c r="M50" s="1"/>
      <c r="N50" s="5">
        <f t="shared" si="32"/>
        <v>0</v>
      </c>
      <c r="O50" s="12"/>
      <c r="P50" s="1">
        <f>SUM(OSRRefP22_4x_0)</f>
        <v>27203.670000000002</v>
      </c>
      <c r="Q50" s="1"/>
      <c r="R50" s="5">
        <f t="shared" si="33"/>
        <v>4.1737187115737907E-2</v>
      </c>
      <c r="S50" s="1"/>
      <c r="T50" s="1">
        <f>SUM(OSRRefT22_4x_0)</f>
        <v>850</v>
      </c>
      <c r="U50" s="1"/>
      <c r="V50" s="5">
        <f t="shared" si="34"/>
        <v>9.2267946115519469E-4</v>
      </c>
      <c r="W50" s="1"/>
      <c r="X50" s="1">
        <f t="shared" si="35"/>
        <v>26353.670000000002</v>
      </c>
      <c r="Y50" s="1"/>
      <c r="Z50" s="5">
        <f t="shared" si="36"/>
        <v>31.004317647058826</v>
      </c>
    </row>
    <row r="51" spans="1:26" s="24" customFormat="1" hidden="1" outlineLevel="2" x14ac:dyDescent="0.25">
      <c r="A51" s="26"/>
      <c r="B51" s="11" t="str">
        <f>CONCATENATE("          ", "6381", " - ", "BANK/CREDIT CARD FEES")</f>
        <v xml:space="preserve">          6381 - BANK/CREDIT CARD FEES</v>
      </c>
      <c r="C51" s="11"/>
      <c r="D51" s="7"/>
      <c r="E51" s="2"/>
      <c r="F51" s="6">
        <f t="shared" si="29"/>
        <v>0</v>
      </c>
      <c r="G51" s="2"/>
      <c r="H51" s="7"/>
      <c r="I51" s="2"/>
      <c r="J51" s="6">
        <f t="shared" si="30"/>
        <v>0</v>
      </c>
      <c r="K51" s="2"/>
      <c r="L51" s="7">
        <f t="shared" si="31"/>
        <v>0</v>
      </c>
      <c r="M51" s="2"/>
      <c r="N51" s="6">
        <f t="shared" si="32"/>
        <v>0</v>
      </c>
      <c r="O51" s="11"/>
      <c r="P51" s="7">
        <v>27203.670000000002</v>
      </c>
      <c r="Q51" s="2"/>
      <c r="R51" s="6">
        <f t="shared" si="33"/>
        <v>4.1737187115737907E-2</v>
      </c>
      <c r="S51" s="2"/>
      <c r="T51" s="7">
        <v>850</v>
      </c>
      <c r="U51" s="2"/>
      <c r="V51" s="6">
        <f t="shared" si="34"/>
        <v>9.2267946115519469E-4</v>
      </c>
      <c r="W51" s="2"/>
      <c r="X51" s="7">
        <f t="shared" si="35"/>
        <v>26353.670000000002</v>
      </c>
      <c r="Y51" s="2"/>
      <c r="Z51" s="6">
        <f t="shared" si="36"/>
        <v>31.004317647058826</v>
      </c>
    </row>
    <row r="52" spans="1:26" s="27" customFormat="1" outlineLevel="1" collapsed="1" x14ac:dyDescent="0.25">
      <c r="A52" s="25"/>
      <c r="B52" s="12" t="str">
        <f>CONCATENATE("     ","Depreciation                                      ")</f>
        <v xml:space="preserve">     Depreciation                                      </v>
      </c>
      <c r="C52" s="12"/>
      <c r="D52" s="1">
        <f>SUM(OSRRefD22_5x_0)</f>
        <v>13702.16</v>
      </c>
      <c r="E52" s="1"/>
      <c r="F52" s="5">
        <f t="shared" si="29"/>
        <v>0</v>
      </c>
      <c r="G52" s="1"/>
      <c r="H52" s="1">
        <f>SUM(OSRRefH22_5x_0)</f>
        <v>13683</v>
      </c>
      <c r="I52" s="1"/>
      <c r="J52" s="5">
        <f t="shared" si="30"/>
        <v>0.20122058823529412</v>
      </c>
      <c r="K52" s="1"/>
      <c r="L52" s="1">
        <f t="shared" si="31"/>
        <v>19.159999999999854</v>
      </c>
      <c r="M52" s="1"/>
      <c r="N52" s="5">
        <f t="shared" si="32"/>
        <v>1.4002777168749436E-3</v>
      </c>
      <c r="O52" s="12"/>
      <c r="P52" s="1">
        <f>SUM(OSRRefP22_5x_0)</f>
        <v>148274.62</v>
      </c>
      <c r="Q52" s="1"/>
      <c r="R52" s="5">
        <f t="shared" si="33"/>
        <v>0.22749009819097693</v>
      </c>
      <c r="S52" s="1"/>
      <c r="T52" s="1">
        <f>SUM(OSRRefT22_5x_0)</f>
        <v>149262</v>
      </c>
      <c r="U52" s="1"/>
      <c r="V52" s="5">
        <f t="shared" si="34"/>
        <v>0.16202468438934903</v>
      </c>
      <c r="W52" s="1"/>
      <c r="X52" s="1">
        <f t="shared" si="35"/>
        <v>-987.38000000000466</v>
      </c>
      <c r="Y52" s="1"/>
      <c r="Z52" s="5">
        <f t="shared" si="36"/>
        <v>-6.6150795245943691E-3</v>
      </c>
    </row>
    <row r="53" spans="1:26" s="24" customFormat="1" hidden="1" outlineLevel="2" x14ac:dyDescent="0.25">
      <c r="A53" s="26"/>
      <c r="B53" s="11" t="str">
        <f>CONCATENATE("          ", "6321", " - ", "BUILDING DEPRECIATION")</f>
        <v xml:space="preserve">          6321 - BUILDING DEPRECIATION</v>
      </c>
      <c r="C53" s="11"/>
      <c r="D53" s="7">
        <v>10612.46</v>
      </c>
      <c r="E53" s="2"/>
      <c r="F53" s="6">
        <f t="shared" si="29"/>
        <v>0</v>
      </c>
      <c r="G53" s="2"/>
      <c r="H53" s="7">
        <v>10612</v>
      </c>
      <c r="I53" s="2"/>
      <c r="J53" s="6">
        <f t="shared" si="30"/>
        <v>0.15605882352941178</v>
      </c>
      <c r="K53" s="2"/>
      <c r="L53" s="7">
        <f t="shared" si="31"/>
        <v>0.45999999999912689</v>
      </c>
      <c r="M53" s="2"/>
      <c r="N53" s="6">
        <f t="shared" si="32"/>
        <v>4.3347154165013841E-5</v>
      </c>
      <c r="O53" s="11"/>
      <c r="P53" s="7">
        <v>116737.06</v>
      </c>
      <c r="Q53" s="2"/>
      <c r="R53" s="6">
        <f t="shared" si="33"/>
        <v>0.17910364728586703</v>
      </c>
      <c r="S53" s="2"/>
      <c r="T53" s="7">
        <v>116732</v>
      </c>
      <c r="U53" s="2"/>
      <c r="V53" s="6">
        <f t="shared" si="34"/>
        <v>0.12671319865831551</v>
      </c>
      <c r="W53" s="2"/>
      <c r="X53" s="7">
        <f t="shared" si="35"/>
        <v>5.0599999999976717</v>
      </c>
      <c r="Y53" s="2"/>
      <c r="Z53" s="6">
        <f t="shared" si="36"/>
        <v>4.3347154165076169E-5</v>
      </c>
    </row>
    <row r="54" spans="1:26" s="24" customFormat="1" hidden="1" outlineLevel="2" x14ac:dyDescent="0.25">
      <c r="A54" s="26"/>
      <c r="B54" s="11" t="str">
        <f>CONCATENATE("          ", "6322", " - ", "EQUIPMENT DEPRECIATION EXPENSE")</f>
        <v xml:space="preserve">          6322 - EQUIPMENT DEPRECIATION EXPENSE</v>
      </c>
      <c r="C54" s="11"/>
      <c r="D54" s="7">
        <v>3089.7</v>
      </c>
      <c r="E54" s="2"/>
      <c r="F54" s="6">
        <f t="shared" si="29"/>
        <v>0</v>
      </c>
      <c r="G54" s="2"/>
      <c r="H54" s="7">
        <v>2654</v>
      </c>
      <c r="I54" s="2"/>
      <c r="J54" s="6">
        <f t="shared" si="30"/>
        <v>3.9029411764705882E-2</v>
      </c>
      <c r="K54" s="2"/>
      <c r="L54" s="7">
        <f t="shared" si="31"/>
        <v>435.69999999999982</v>
      </c>
      <c r="M54" s="2"/>
      <c r="N54" s="6">
        <f t="shared" si="32"/>
        <v>0.16416729464958546</v>
      </c>
      <c r="O54" s="11"/>
      <c r="P54" s="7">
        <v>31537.56</v>
      </c>
      <c r="Q54" s="2"/>
      <c r="R54" s="6">
        <f t="shared" si="33"/>
        <v>4.8386450905109901E-2</v>
      </c>
      <c r="S54" s="2"/>
      <c r="T54" s="7">
        <v>29194</v>
      </c>
      <c r="U54" s="2"/>
      <c r="V54" s="6">
        <f t="shared" si="34"/>
        <v>3.1690240222311476E-2</v>
      </c>
      <c r="W54" s="2"/>
      <c r="X54" s="7">
        <f t="shared" si="35"/>
        <v>2343.5600000000013</v>
      </c>
      <c r="Y54" s="2"/>
      <c r="Z54" s="6">
        <f t="shared" si="36"/>
        <v>8.0275399054600308E-2</v>
      </c>
    </row>
    <row r="55" spans="1:26" s="24" customFormat="1" hidden="1" outlineLevel="2" x14ac:dyDescent="0.25">
      <c r="A55" s="26"/>
      <c r="B55" s="11" t="str">
        <f>CONCATENATE("          ", "6324", " - ", "FURNITURE + FIXT DEPRECIATION")</f>
        <v xml:space="preserve">          6324 - FURNITURE + FIXT DEPRECIATION</v>
      </c>
      <c r="C55" s="11"/>
      <c r="D55" s="7"/>
      <c r="E55" s="2"/>
      <c r="F55" s="6">
        <f t="shared" si="29"/>
        <v>0</v>
      </c>
      <c r="G55" s="2"/>
      <c r="H55" s="7">
        <v>417</v>
      </c>
      <c r="I55" s="2"/>
      <c r="J55" s="6">
        <f t="shared" si="30"/>
        <v>6.1323529411764707E-3</v>
      </c>
      <c r="K55" s="2"/>
      <c r="L55" s="7">
        <f t="shared" si="31"/>
        <v>-417</v>
      </c>
      <c r="M55" s="2"/>
      <c r="N55" s="6">
        <f t="shared" si="32"/>
        <v>-1</v>
      </c>
      <c r="O55" s="11"/>
      <c r="P55" s="7"/>
      <c r="Q55" s="2"/>
      <c r="R55" s="6">
        <f t="shared" si="33"/>
        <v>0</v>
      </c>
      <c r="S55" s="2"/>
      <c r="T55" s="7">
        <v>3336</v>
      </c>
      <c r="U55" s="2"/>
      <c r="V55" s="6">
        <f t="shared" si="34"/>
        <v>3.6212455087220345E-3</v>
      </c>
      <c r="W55" s="2"/>
      <c r="X55" s="7">
        <f t="shared" si="35"/>
        <v>-3336</v>
      </c>
      <c r="Y55" s="2"/>
      <c r="Z55" s="6">
        <f t="shared" si="36"/>
        <v>-1</v>
      </c>
    </row>
    <row r="56" spans="1:26" s="27" customFormat="1" outlineLevel="1" collapsed="1" x14ac:dyDescent="0.25">
      <c r="A56" s="25"/>
      <c r="B56" s="12" t="str">
        <f>CONCATENATE("     ","Employees' Appreciation                           ")</f>
        <v xml:space="preserve">     Employees' Appreciation                           </v>
      </c>
      <c r="C56" s="12"/>
      <c r="D56" s="1">
        <f>SUM(OSRRefD22_6x_0)</f>
        <v>0</v>
      </c>
      <c r="E56" s="1"/>
      <c r="F56" s="5">
        <f t="shared" ref="F56:F70" si="37">IF(D$12=0,0,D56/D$12)</f>
        <v>0</v>
      </c>
      <c r="G56" s="1"/>
      <c r="H56" s="1">
        <f>SUM(OSRRefH22_6x_0)</f>
        <v>25</v>
      </c>
      <c r="I56" s="1"/>
      <c r="J56" s="5">
        <f t="shared" ref="J56:J70" si="38">IF(H$12=0,0,H56/H$12)</f>
        <v>3.6764705882352941E-4</v>
      </c>
      <c r="K56" s="1"/>
      <c r="L56" s="1">
        <f t="shared" ref="L56:L70" si="39">+D56-H56</f>
        <v>-25</v>
      </c>
      <c r="M56" s="1"/>
      <c r="N56" s="5">
        <f t="shared" ref="N56:N70" si="40">IF(H56=0,0,L56/H56)</f>
        <v>-1</v>
      </c>
      <c r="O56" s="12"/>
      <c r="P56" s="1">
        <f>SUM(OSRRefP22_6x_0)</f>
        <v>146.37</v>
      </c>
      <c r="Q56" s="1"/>
      <c r="R56" s="5">
        <f t="shared" ref="R56:R70" si="41">IF(P$12=0,0,P56/P$12)</f>
        <v>2.2456793800728199E-4</v>
      </c>
      <c r="S56" s="1"/>
      <c r="T56" s="1">
        <f>SUM(OSRRefT22_6x_0)</f>
        <v>275</v>
      </c>
      <c r="U56" s="1"/>
      <c r="V56" s="5">
        <f t="shared" ref="V56:V70" si="42">IF(T$12=0,0,T56/T$12)</f>
        <v>2.9851394331491591E-4</v>
      </c>
      <c r="W56" s="1"/>
      <c r="X56" s="1">
        <f t="shared" ref="X56:X70" si="43">+P56-T56</f>
        <v>-128.63</v>
      </c>
      <c r="Y56" s="1"/>
      <c r="Z56" s="5">
        <f t="shared" ref="Z56:Z70" si="44">IF(T56=0,0,X56/T56)</f>
        <v>-0.46774545454545452</v>
      </c>
    </row>
    <row r="57" spans="1:26" s="24" customFormat="1" hidden="1" outlineLevel="2" x14ac:dyDescent="0.25">
      <c r="A57" s="26"/>
      <c r="B57" s="11" t="str">
        <f>CONCATENATE("          ", "6277", " - ", "EMPLOYEE APPRECIATION")</f>
        <v xml:space="preserve">          6277 - EMPLOYEE APPRECIATION</v>
      </c>
      <c r="C57" s="11"/>
      <c r="D57" s="7"/>
      <c r="E57" s="2"/>
      <c r="F57" s="6">
        <f t="shared" si="37"/>
        <v>0</v>
      </c>
      <c r="G57" s="2"/>
      <c r="H57" s="7">
        <v>25</v>
      </c>
      <c r="I57" s="2"/>
      <c r="J57" s="6">
        <f t="shared" si="38"/>
        <v>3.6764705882352941E-4</v>
      </c>
      <c r="K57" s="2"/>
      <c r="L57" s="7">
        <f t="shared" si="39"/>
        <v>-25</v>
      </c>
      <c r="M57" s="2"/>
      <c r="N57" s="6">
        <f t="shared" si="40"/>
        <v>-1</v>
      </c>
      <c r="O57" s="11"/>
      <c r="P57" s="7">
        <v>146.37</v>
      </c>
      <c r="Q57" s="2"/>
      <c r="R57" s="6">
        <f t="shared" si="41"/>
        <v>2.2456793800728199E-4</v>
      </c>
      <c r="S57" s="2"/>
      <c r="T57" s="7">
        <v>275</v>
      </c>
      <c r="U57" s="2"/>
      <c r="V57" s="6">
        <f t="shared" si="42"/>
        <v>2.9851394331491591E-4</v>
      </c>
      <c r="W57" s="2"/>
      <c r="X57" s="7">
        <f t="shared" si="43"/>
        <v>-128.63</v>
      </c>
      <c r="Y57" s="2"/>
      <c r="Z57" s="6">
        <f t="shared" si="44"/>
        <v>-0.46774545454545452</v>
      </c>
    </row>
    <row r="58" spans="1:26" s="27" customFormat="1" outlineLevel="1" collapsed="1" x14ac:dyDescent="0.25">
      <c r="A58" s="25"/>
      <c r="B58" s="12" t="str">
        <f>CONCATENATE("     ","Equipment Rental                                  ")</f>
        <v xml:space="preserve">     Equipment Rental                                  </v>
      </c>
      <c r="C58" s="12"/>
      <c r="D58" s="1">
        <f>SUM(OSRRefD22_7x_0)</f>
        <v>36.270000000000003</v>
      </c>
      <c r="E58" s="1"/>
      <c r="F58" s="5">
        <f t="shared" si="37"/>
        <v>0</v>
      </c>
      <c r="G58" s="1"/>
      <c r="H58" s="1">
        <f>SUM(OSRRefH22_7x_0)</f>
        <v>125</v>
      </c>
      <c r="I58" s="1"/>
      <c r="J58" s="5">
        <f t="shared" si="38"/>
        <v>1.838235294117647E-3</v>
      </c>
      <c r="K58" s="1"/>
      <c r="L58" s="1">
        <f t="shared" si="39"/>
        <v>-88.72999999999999</v>
      </c>
      <c r="M58" s="1"/>
      <c r="N58" s="5">
        <f t="shared" si="40"/>
        <v>-0.70983999999999992</v>
      </c>
      <c r="O58" s="12"/>
      <c r="P58" s="1">
        <f>SUM(OSRRefP22_7x_0)</f>
        <v>1046.6300000000001</v>
      </c>
      <c r="Q58" s="1"/>
      <c r="R58" s="5">
        <f t="shared" si="41"/>
        <v>1.6057904007416928E-3</v>
      </c>
      <c r="S58" s="1"/>
      <c r="T58" s="1">
        <f>SUM(OSRRefT22_7x_0)</f>
        <v>1375</v>
      </c>
      <c r="U58" s="1"/>
      <c r="V58" s="5">
        <f t="shared" si="42"/>
        <v>1.4925697165745796E-3</v>
      </c>
      <c r="W58" s="1"/>
      <c r="X58" s="1">
        <f t="shared" si="43"/>
        <v>-328.36999999999989</v>
      </c>
      <c r="Y58" s="1"/>
      <c r="Z58" s="5">
        <f t="shared" si="44"/>
        <v>-0.23881454545454536</v>
      </c>
    </row>
    <row r="59" spans="1:26" s="24" customFormat="1" hidden="1" outlineLevel="2" x14ac:dyDescent="0.25">
      <c r="A59" s="26"/>
      <c r="B59" s="11" t="str">
        <f>CONCATENATE("          ", "6351", " - ", "EQUIPMENT RENTAL")</f>
        <v xml:space="preserve">          6351 - EQUIPMENT RENTAL</v>
      </c>
      <c r="C59" s="11"/>
      <c r="D59" s="7">
        <v>36.270000000000003</v>
      </c>
      <c r="E59" s="2"/>
      <c r="F59" s="6">
        <f t="shared" si="37"/>
        <v>0</v>
      </c>
      <c r="G59" s="2"/>
      <c r="H59" s="7">
        <v>125</v>
      </c>
      <c r="I59" s="2"/>
      <c r="J59" s="6">
        <f t="shared" si="38"/>
        <v>1.838235294117647E-3</v>
      </c>
      <c r="K59" s="2"/>
      <c r="L59" s="7">
        <f t="shared" si="39"/>
        <v>-88.72999999999999</v>
      </c>
      <c r="M59" s="2"/>
      <c r="N59" s="6">
        <f t="shared" si="40"/>
        <v>-0.70983999999999992</v>
      </c>
      <c r="O59" s="11"/>
      <c r="P59" s="7">
        <v>1046.6300000000001</v>
      </c>
      <c r="Q59" s="2"/>
      <c r="R59" s="6">
        <f t="shared" si="41"/>
        <v>1.6057904007416928E-3</v>
      </c>
      <c r="S59" s="2"/>
      <c r="T59" s="7">
        <v>1375</v>
      </c>
      <c r="U59" s="2"/>
      <c r="V59" s="6">
        <f t="shared" si="42"/>
        <v>1.4925697165745796E-3</v>
      </c>
      <c r="W59" s="2"/>
      <c r="X59" s="7">
        <f t="shared" si="43"/>
        <v>-328.36999999999989</v>
      </c>
      <c r="Y59" s="2"/>
      <c r="Z59" s="6">
        <f t="shared" si="44"/>
        <v>-0.23881454545454536</v>
      </c>
    </row>
    <row r="60" spans="1:26" s="27" customFormat="1" outlineLevel="1" collapsed="1" x14ac:dyDescent="0.25">
      <c r="A60" s="25"/>
      <c r="B60" s="12" t="str">
        <f>CONCATENATE("     ","General                                           ")</f>
        <v xml:space="preserve">     General                                           </v>
      </c>
      <c r="C60" s="12"/>
      <c r="D60" s="1">
        <f>SUM(OSRRefD22_8x_0)</f>
        <v>0</v>
      </c>
      <c r="E60" s="1"/>
      <c r="F60" s="5">
        <f t="shared" si="37"/>
        <v>0</v>
      </c>
      <c r="G60" s="1"/>
      <c r="H60" s="1">
        <f>SUM(OSRRefH22_8x_0)</f>
        <v>0</v>
      </c>
      <c r="I60" s="1"/>
      <c r="J60" s="5">
        <f t="shared" si="38"/>
        <v>0</v>
      </c>
      <c r="K60" s="1"/>
      <c r="L60" s="1">
        <f t="shared" si="39"/>
        <v>0</v>
      </c>
      <c r="M60" s="1"/>
      <c r="N60" s="5">
        <f t="shared" si="40"/>
        <v>0</v>
      </c>
      <c r="O60" s="12"/>
      <c r="P60" s="1">
        <f>SUM(OSRRefP22_8x_0)</f>
        <v>1937.01</v>
      </c>
      <c r="Q60" s="1"/>
      <c r="R60" s="5">
        <f t="shared" si="41"/>
        <v>2.9718544893044016E-3</v>
      </c>
      <c r="S60" s="1"/>
      <c r="T60" s="1">
        <f>SUM(OSRRefT22_8x_0)</f>
        <v>1400</v>
      </c>
      <c r="U60" s="1"/>
      <c r="V60" s="5">
        <f t="shared" si="42"/>
        <v>1.5197073477850266E-3</v>
      </c>
      <c r="W60" s="1"/>
      <c r="X60" s="1">
        <f t="shared" si="43"/>
        <v>537.01</v>
      </c>
      <c r="Y60" s="1"/>
      <c r="Z60" s="5">
        <f t="shared" si="44"/>
        <v>0.38357857142857144</v>
      </c>
    </row>
    <row r="61" spans="1:26" s="24" customFormat="1" hidden="1" outlineLevel="2" x14ac:dyDescent="0.25">
      <c r="A61" s="26"/>
      <c r="B61" s="11" t="str">
        <f>CONCATENATE("          ", "6279", " - ", "GENERAL EXPENSE")</f>
        <v xml:space="preserve">          6279 - GENERAL EXPENSE</v>
      </c>
      <c r="C61" s="11"/>
      <c r="D61" s="7"/>
      <c r="E61" s="2"/>
      <c r="F61" s="6">
        <f t="shared" si="37"/>
        <v>0</v>
      </c>
      <c r="G61" s="2"/>
      <c r="H61" s="7"/>
      <c r="I61" s="2"/>
      <c r="J61" s="6">
        <f t="shared" si="38"/>
        <v>0</v>
      </c>
      <c r="K61" s="2"/>
      <c r="L61" s="7">
        <f t="shared" si="39"/>
        <v>0</v>
      </c>
      <c r="M61" s="2"/>
      <c r="N61" s="6">
        <f t="shared" si="40"/>
        <v>0</v>
      </c>
      <c r="O61" s="11"/>
      <c r="P61" s="7">
        <v>1937.01</v>
      </c>
      <c r="Q61" s="2"/>
      <c r="R61" s="6">
        <f t="shared" si="41"/>
        <v>2.9718544893044016E-3</v>
      </c>
      <c r="S61" s="2"/>
      <c r="T61" s="7">
        <v>1400</v>
      </c>
      <c r="U61" s="2"/>
      <c r="V61" s="6">
        <f t="shared" si="42"/>
        <v>1.5197073477850266E-3</v>
      </c>
      <c r="W61" s="2"/>
      <c r="X61" s="7">
        <f t="shared" si="43"/>
        <v>537.01</v>
      </c>
      <c r="Y61" s="2"/>
      <c r="Z61" s="6">
        <f t="shared" si="44"/>
        <v>0.38357857142857144</v>
      </c>
    </row>
    <row r="62" spans="1:26" s="27" customFormat="1" outlineLevel="1" collapsed="1" x14ac:dyDescent="0.25">
      <c r="A62" s="25"/>
      <c r="B62" s="12" t="str">
        <f>CONCATENATE("     ","Insurance                                         ")</f>
        <v xml:space="preserve">     Insurance                                         </v>
      </c>
      <c r="C62" s="12"/>
      <c r="D62" s="1">
        <f>SUM(OSRRefD22_9x_0)</f>
        <v>641.28</v>
      </c>
      <c r="E62" s="1"/>
      <c r="F62" s="5">
        <f t="shared" si="37"/>
        <v>0</v>
      </c>
      <c r="G62" s="1"/>
      <c r="H62" s="1">
        <f>SUM(OSRRefH22_9x_0)</f>
        <v>604</v>
      </c>
      <c r="I62" s="1"/>
      <c r="J62" s="5">
        <f t="shared" si="38"/>
        <v>8.8823529411764714E-3</v>
      </c>
      <c r="K62" s="1"/>
      <c r="L62" s="1">
        <f t="shared" si="39"/>
        <v>37.279999999999973</v>
      </c>
      <c r="M62" s="1"/>
      <c r="N62" s="5">
        <f t="shared" si="40"/>
        <v>6.1721854304635719E-2</v>
      </c>
      <c r="O62" s="12"/>
      <c r="P62" s="1">
        <f>SUM(OSRRefP22_9x_0)</f>
        <v>7054.08</v>
      </c>
      <c r="Q62" s="1"/>
      <c r="R62" s="5">
        <f t="shared" si="41"/>
        <v>1.0822710938979352E-2</v>
      </c>
      <c r="S62" s="1"/>
      <c r="T62" s="1">
        <f>SUM(OSRRefT22_9x_0)</f>
        <v>6644</v>
      </c>
      <c r="U62" s="1"/>
      <c r="V62" s="5">
        <f t="shared" si="42"/>
        <v>7.2120968704883692E-3</v>
      </c>
      <c r="W62" s="1"/>
      <c r="X62" s="1">
        <f t="shared" si="43"/>
        <v>410.07999999999993</v>
      </c>
      <c r="Y62" s="1"/>
      <c r="Z62" s="5">
        <f t="shared" si="44"/>
        <v>6.1721854304635754E-2</v>
      </c>
    </row>
    <row r="63" spans="1:26" s="24" customFormat="1" hidden="1" outlineLevel="2" x14ac:dyDescent="0.25">
      <c r="A63" s="26"/>
      <c r="B63" s="11" t="str">
        <f>CONCATENATE("          ", "6314", " - ", "LIABILITY INSURANCE")</f>
        <v xml:space="preserve">          6314 - LIABILITY INSURANCE</v>
      </c>
      <c r="C63" s="11"/>
      <c r="D63" s="7">
        <v>641.28</v>
      </c>
      <c r="E63" s="2"/>
      <c r="F63" s="6">
        <f t="shared" si="37"/>
        <v>0</v>
      </c>
      <c r="G63" s="2"/>
      <c r="H63" s="7">
        <v>604</v>
      </c>
      <c r="I63" s="2"/>
      <c r="J63" s="6">
        <f t="shared" si="38"/>
        <v>8.8823529411764714E-3</v>
      </c>
      <c r="K63" s="2"/>
      <c r="L63" s="7">
        <f t="shared" si="39"/>
        <v>37.279999999999973</v>
      </c>
      <c r="M63" s="2"/>
      <c r="N63" s="6">
        <f t="shared" si="40"/>
        <v>6.1721854304635719E-2</v>
      </c>
      <c r="O63" s="11"/>
      <c r="P63" s="7">
        <v>7054.08</v>
      </c>
      <c r="Q63" s="2"/>
      <c r="R63" s="6">
        <f t="shared" si="41"/>
        <v>1.0822710938979352E-2</v>
      </c>
      <c r="S63" s="2"/>
      <c r="T63" s="7">
        <v>6644</v>
      </c>
      <c r="U63" s="2"/>
      <c r="V63" s="6">
        <f t="shared" si="42"/>
        <v>7.2120968704883692E-3</v>
      </c>
      <c r="W63" s="2"/>
      <c r="X63" s="7">
        <f t="shared" si="43"/>
        <v>410.07999999999993</v>
      </c>
      <c r="Y63" s="2"/>
      <c r="Z63" s="6">
        <f t="shared" si="44"/>
        <v>6.1721854304635754E-2</v>
      </c>
    </row>
    <row r="64" spans="1:26" s="27" customFormat="1" outlineLevel="1" collapsed="1" x14ac:dyDescent="0.25">
      <c r="A64" s="25"/>
      <c r="B64" s="12" t="str">
        <f>CONCATENATE("     ","Interest                                          ")</f>
        <v xml:space="preserve">     Interest                                          </v>
      </c>
      <c r="C64" s="12"/>
      <c r="D64" s="1">
        <f>SUM(OSRRefD22_10x_0)</f>
        <v>7754</v>
      </c>
      <c r="E64" s="1"/>
      <c r="F64" s="5">
        <f t="shared" si="37"/>
        <v>0</v>
      </c>
      <c r="G64" s="1"/>
      <c r="H64" s="1">
        <f>SUM(OSRRefH22_10x_0)</f>
        <v>7510</v>
      </c>
      <c r="I64" s="1"/>
      <c r="J64" s="5">
        <f t="shared" si="38"/>
        <v>0.11044117647058824</v>
      </c>
      <c r="K64" s="1"/>
      <c r="L64" s="1">
        <f t="shared" si="39"/>
        <v>244</v>
      </c>
      <c r="M64" s="1"/>
      <c r="N64" s="5">
        <f t="shared" si="40"/>
        <v>3.2490013315579228E-2</v>
      </c>
      <c r="O64" s="12"/>
      <c r="P64" s="1">
        <f>SUM(OSRRefP22_10x_0)</f>
        <v>82950.28</v>
      </c>
      <c r="Q64" s="1"/>
      <c r="R64" s="5">
        <f t="shared" si="41"/>
        <v>0.12726633419913017</v>
      </c>
      <c r="S64" s="1"/>
      <c r="T64" s="1">
        <f>SUM(OSRRefT22_10x_0)</f>
        <v>85050</v>
      </c>
      <c r="U64" s="1"/>
      <c r="V64" s="5">
        <f t="shared" si="42"/>
        <v>9.2322221377940356E-2</v>
      </c>
      <c r="W64" s="1"/>
      <c r="X64" s="1">
        <f t="shared" si="43"/>
        <v>-2099.7200000000012</v>
      </c>
      <c r="Y64" s="1"/>
      <c r="Z64" s="5">
        <f t="shared" si="44"/>
        <v>-2.4688065843621414E-2</v>
      </c>
    </row>
    <row r="65" spans="1:26" s="24" customFormat="1" hidden="1" outlineLevel="2" x14ac:dyDescent="0.25">
      <c r="A65" s="26"/>
      <c r="B65" s="11" t="str">
        <f>CONCATENATE("          ", "6401", " - ", "INTEREST EXPENSE")</f>
        <v xml:space="preserve">          6401 - INTEREST EXPENSE</v>
      </c>
      <c r="C65" s="11"/>
      <c r="D65" s="7">
        <v>7754</v>
      </c>
      <c r="E65" s="2"/>
      <c r="F65" s="6">
        <f t="shared" si="37"/>
        <v>0</v>
      </c>
      <c r="G65" s="2"/>
      <c r="H65" s="7">
        <v>7510</v>
      </c>
      <c r="I65" s="2"/>
      <c r="J65" s="6">
        <f t="shared" si="38"/>
        <v>0.11044117647058824</v>
      </c>
      <c r="K65" s="2"/>
      <c r="L65" s="7">
        <f t="shared" si="39"/>
        <v>244</v>
      </c>
      <c r="M65" s="2"/>
      <c r="N65" s="6">
        <f t="shared" si="40"/>
        <v>3.2490013315579228E-2</v>
      </c>
      <c r="O65" s="11"/>
      <c r="P65" s="7">
        <v>82950.28</v>
      </c>
      <c r="Q65" s="2"/>
      <c r="R65" s="6">
        <f t="shared" si="41"/>
        <v>0.12726633419913017</v>
      </c>
      <c r="S65" s="2"/>
      <c r="T65" s="7">
        <v>85050</v>
      </c>
      <c r="U65" s="2"/>
      <c r="V65" s="6">
        <f t="shared" si="42"/>
        <v>9.2322221377940356E-2</v>
      </c>
      <c r="W65" s="2"/>
      <c r="X65" s="7">
        <f t="shared" si="43"/>
        <v>-2099.7200000000012</v>
      </c>
      <c r="Y65" s="2"/>
      <c r="Z65" s="6">
        <f t="shared" si="44"/>
        <v>-2.4688065843621414E-2</v>
      </c>
    </row>
    <row r="66" spans="1:26" s="27" customFormat="1" outlineLevel="1" collapsed="1" x14ac:dyDescent="0.25">
      <c r="A66" s="25"/>
      <c r="B66" s="12" t="str">
        <f>CONCATENATE("     ","Repair and Maintenance                            ")</f>
        <v xml:space="preserve">     Repair and Maintenance                            </v>
      </c>
      <c r="C66" s="12"/>
      <c r="D66" s="1">
        <f>SUM(OSRRefD22_11x_0)</f>
        <v>102.5</v>
      </c>
      <c r="E66" s="1"/>
      <c r="F66" s="5">
        <f t="shared" si="37"/>
        <v>0</v>
      </c>
      <c r="G66" s="1"/>
      <c r="H66" s="1">
        <f>SUM(OSRRefH22_11x_0)</f>
        <v>1200</v>
      </c>
      <c r="I66" s="1"/>
      <c r="J66" s="5">
        <f t="shared" si="38"/>
        <v>1.7647058823529412E-2</v>
      </c>
      <c r="K66" s="1"/>
      <c r="L66" s="1">
        <f t="shared" si="39"/>
        <v>-1097.5</v>
      </c>
      <c r="M66" s="1"/>
      <c r="N66" s="5">
        <f t="shared" si="40"/>
        <v>-0.9145833333333333</v>
      </c>
      <c r="O66" s="12"/>
      <c r="P66" s="1">
        <f>SUM(OSRRefP22_11x_0)</f>
        <v>24616.46</v>
      </c>
      <c r="Q66" s="1"/>
      <c r="R66" s="5">
        <f t="shared" si="41"/>
        <v>3.7767764318089342E-2</v>
      </c>
      <c r="S66" s="1"/>
      <c r="T66" s="1">
        <f>SUM(OSRRefT22_11x_0)</f>
        <v>15000</v>
      </c>
      <c r="U66" s="1"/>
      <c r="V66" s="5">
        <f t="shared" si="42"/>
        <v>1.6282578726268142E-2</v>
      </c>
      <c r="W66" s="1"/>
      <c r="X66" s="1">
        <f t="shared" si="43"/>
        <v>9616.4599999999991</v>
      </c>
      <c r="Y66" s="1"/>
      <c r="Z66" s="5">
        <f t="shared" si="44"/>
        <v>0.6410973333333333</v>
      </c>
    </row>
    <row r="67" spans="1:26" s="24" customFormat="1" hidden="1" outlineLevel="2" x14ac:dyDescent="0.25">
      <c r="A67" s="26"/>
      <c r="B67" s="11" t="str">
        <f>CONCATENATE("          ", "6371", " - ", "COMPUTER SOFTWARE MAINTENANCE")</f>
        <v xml:space="preserve">          6371 - COMPUTER SOFTWARE MAINTENANCE</v>
      </c>
      <c r="C67" s="11"/>
      <c r="D67" s="7"/>
      <c r="E67" s="2"/>
      <c r="F67" s="6">
        <f t="shared" si="37"/>
        <v>0</v>
      </c>
      <c r="G67" s="2"/>
      <c r="H67" s="7"/>
      <c r="I67" s="2"/>
      <c r="J67" s="6">
        <f t="shared" si="38"/>
        <v>0</v>
      </c>
      <c r="K67" s="2"/>
      <c r="L67" s="7">
        <f t="shared" si="39"/>
        <v>0</v>
      </c>
      <c r="M67" s="2"/>
      <c r="N67" s="6">
        <f t="shared" si="40"/>
        <v>0</v>
      </c>
      <c r="O67" s="11"/>
      <c r="P67" s="7">
        <v>2623.84</v>
      </c>
      <c r="Q67" s="2"/>
      <c r="R67" s="6">
        <f t="shared" si="41"/>
        <v>4.0256223164653058E-3</v>
      </c>
      <c r="S67" s="2"/>
      <c r="T67" s="7"/>
      <c r="U67" s="2"/>
      <c r="V67" s="6">
        <f t="shared" si="42"/>
        <v>0</v>
      </c>
      <c r="W67" s="2"/>
      <c r="X67" s="7">
        <f t="shared" si="43"/>
        <v>2623.84</v>
      </c>
      <c r="Y67" s="2"/>
      <c r="Z67" s="6">
        <f t="shared" si="44"/>
        <v>0</v>
      </c>
    </row>
    <row r="68" spans="1:26" s="24" customFormat="1" hidden="1" outlineLevel="2" x14ac:dyDescent="0.25">
      <c r="A68" s="26"/>
      <c r="B68" s="11" t="str">
        <f>CONCATENATE("          ", "6372", " - ", "COMPUTER HARDWARE MAINTENANCE")</f>
        <v xml:space="preserve">          6372 - COMPUTER HARDWARE MAINTENANCE</v>
      </c>
      <c r="C68" s="11"/>
      <c r="D68" s="7"/>
      <c r="E68" s="2"/>
      <c r="F68" s="6">
        <f t="shared" si="37"/>
        <v>0</v>
      </c>
      <c r="G68" s="2"/>
      <c r="H68" s="7"/>
      <c r="I68" s="2"/>
      <c r="J68" s="6">
        <f t="shared" si="38"/>
        <v>0</v>
      </c>
      <c r="K68" s="2"/>
      <c r="L68" s="7">
        <f t="shared" si="39"/>
        <v>0</v>
      </c>
      <c r="M68" s="2"/>
      <c r="N68" s="6">
        <f t="shared" si="40"/>
        <v>0</v>
      </c>
      <c r="O68" s="11"/>
      <c r="P68" s="7">
        <v>-0.01</v>
      </c>
      <c r="Q68" s="2"/>
      <c r="R68" s="6">
        <f t="shared" si="41"/>
        <v>-1.5342483979454943E-8</v>
      </c>
      <c r="S68" s="2"/>
      <c r="T68" s="7"/>
      <c r="U68" s="2"/>
      <c r="V68" s="6">
        <f t="shared" si="42"/>
        <v>0</v>
      </c>
      <c r="W68" s="2"/>
      <c r="X68" s="7">
        <f t="shared" si="43"/>
        <v>-0.01</v>
      </c>
      <c r="Y68" s="2"/>
      <c r="Z68" s="6">
        <f t="shared" si="44"/>
        <v>0</v>
      </c>
    </row>
    <row r="69" spans="1:26" s="24" customFormat="1" hidden="1" outlineLevel="2" x14ac:dyDescent="0.25">
      <c r="A69" s="26"/>
      <c r="B69" s="11" t="str">
        <f>CONCATENATE("          ", "6373", " - ", "MAINTENANCE CONTRACTS")</f>
        <v xml:space="preserve">          6373 - MAINTENANCE CONTRACTS</v>
      </c>
      <c r="C69" s="11"/>
      <c r="D69" s="7"/>
      <c r="E69" s="2"/>
      <c r="F69" s="6">
        <f t="shared" si="37"/>
        <v>0</v>
      </c>
      <c r="G69" s="2"/>
      <c r="H69" s="7"/>
      <c r="I69" s="2"/>
      <c r="J69" s="6">
        <f t="shared" si="38"/>
        <v>0</v>
      </c>
      <c r="K69" s="2"/>
      <c r="L69" s="7">
        <f t="shared" si="39"/>
        <v>0</v>
      </c>
      <c r="M69" s="2"/>
      <c r="N69" s="6">
        <f t="shared" si="40"/>
        <v>0</v>
      </c>
      <c r="O69" s="11"/>
      <c r="P69" s="7">
        <v>3877.26</v>
      </c>
      <c r="Q69" s="2"/>
      <c r="R69" s="6">
        <f t="shared" si="41"/>
        <v>5.9486799434181475E-3</v>
      </c>
      <c r="S69" s="2"/>
      <c r="T69" s="7"/>
      <c r="U69" s="2"/>
      <c r="V69" s="6">
        <f t="shared" si="42"/>
        <v>0</v>
      </c>
      <c r="W69" s="2"/>
      <c r="X69" s="7">
        <f t="shared" si="43"/>
        <v>3877.26</v>
      </c>
      <c r="Y69" s="2"/>
      <c r="Z69" s="6">
        <f t="shared" si="44"/>
        <v>0</v>
      </c>
    </row>
    <row r="70" spans="1:26" s="24" customFormat="1" hidden="1" outlineLevel="2" x14ac:dyDescent="0.25">
      <c r="A70" s="26"/>
      <c r="B70" s="11" t="str">
        <f>CONCATENATE("          ", "6375", " - ", "OUTSIDE REPAIRS &amp; MAINTENANCE")</f>
        <v xml:space="preserve">          6375 - OUTSIDE REPAIRS &amp; MAINTENANCE</v>
      </c>
      <c r="C70" s="11"/>
      <c r="D70" s="7">
        <v>102.5</v>
      </c>
      <c r="E70" s="2"/>
      <c r="F70" s="6">
        <f t="shared" si="37"/>
        <v>0</v>
      </c>
      <c r="G70" s="2"/>
      <c r="H70" s="7">
        <v>1200</v>
      </c>
      <c r="I70" s="2"/>
      <c r="J70" s="6">
        <f t="shared" si="38"/>
        <v>1.7647058823529412E-2</v>
      </c>
      <c r="K70" s="2"/>
      <c r="L70" s="7">
        <f t="shared" si="39"/>
        <v>-1097.5</v>
      </c>
      <c r="M70" s="2"/>
      <c r="N70" s="6">
        <f t="shared" si="40"/>
        <v>-0.9145833333333333</v>
      </c>
      <c r="O70" s="11"/>
      <c r="P70" s="7">
        <v>18115.37</v>
      </c>
      <c r="Q70" s="2"/>
      <c r="R70" s="6">
        <f t="shared" si="41"/>
        <v>2.7793477400689867E-2</v>
      </c>
      <c r="S70" s="2"/>
      <c r="T70" s="7">
        <v>15000</v>
      </c>
      <c r="U70" s="2"/>
      <c r="V70" s="6">
        <f t="shared" si="42"/>
        <v>1.6282578726268142E-2</v>
      </c>
      <c r="W70" s="2"/>
      <c r="X70" s="7">
        <f t="shared" si="43"/>
        <v>3115.369999999999</v>
      </c>
      <c r="Y70" s="2"/>
      <c r="Z70" s="6">
        <f t="shared" si="44"/>
        <v>0.20769133333333326</v>
      </c>
    </row>
    <row r="71" spans="1:26" s="27" customFormat="1" outlineLevel="1" collapsed="1" x14ac:dyDescent="0.25">
      <c r="A71" s="25"/>
      <c r="B71" s="12" t="str">
        <f>CONCATENATE("     ","Services                                          ")</f>
        <v xml:space="preserve">     Services                                          </v>
      </c>
      <c r="C71" s="12"/>
      <c r="D71" s="1">
        <f>SUM(OSRRefD22_12x_0)</f>
        <v>761</v>
      </c>
      <c r="E71" s="1"/>
      <c r="F71" s="5">
        <f t="shared" ref="F71:F76" si="45">IF(D$12=0,0,D71/D$12)</f>
        <v>0</v>
      </c>
      <c r="G71" s="1"/>
      <c r="H71" s="1">
        <f>SUM(OSRRefH22_12x_0)</f>
        <v>4035</v>
      </c>
      <c r="I71" s="1"/>
      <c r="J71" s="5">
        <f t="shared" ref="J71:J76" si="46">IF(H$12=0,0,H71/H$12)</f>
        <v>5.933823529411765E-2</v>
      </c>
      <c r="K71" s="1"/>
      <c r="L71" s="1">
        <f t="shared" ref="L71:L76" si="47">+D71-H71</f>
        <v>-3274</v>
      </c>
      <c r="M71" s="1"/>
      <c r="N71" s="5">
        <f t="shared" ref="N71:N76" si="48">IF(H71=0,0,L71/H71)</f>
        <v>-0.81140024783147457</v>
      </c>
      <c r="O71" s="12"/>
      <c r="P71" s="1">
        <f>SUM(OSRRefP22_12x_0)</f>
        <v>43931.07</v>
      </c>
      <c r="Q71" s="1"/>
      <c r="R71" s="5">
        <f t="shared" ref="R71:R76" si="49">IF(P$12=0,0,P71/P$12)</f>
        <v>6.7401173767531367E-2</v>
      </c>
      <c r="S71" s="1"/>
      <c r="T71" s="1">
        <f>SUM(OSRRefT22_12x_0)</f>
        <v>44985</v>
      </c>
      <c r="U71" s="1"/>
      <c r="V71" s="5">
        <f t="shared" ref="V71:V76" si="50">IF(T$12=0,0,T71/T$12)</f>
        <v>4.8831453600078158E-2</v>
      </c>
      <c r="W71" s="1"/>
      <c r="X71" s="1">
        <f t="shared" ref="X71:X76" si="51">+P71-T71</f>
        <v>-1053.9300000000003</v>
      </c>
      <c r="Y71" s="1"/>
      <c r="Z71" s="5">
        <f t="shared" ref="Z71:Z76" si="52">IF(T71=0,0,X71/T71)</f>
        <v>-2.3428476158719579E-2</v>
      </c>
    </row>
    <row r="72" spans="1:26" s="24" customFormat="1" hidden="1" outlineLevel="2" x14ac:dyDescent="0.25">
      <c r="A72" s="26"/>
      <c r="B72" s="11" t="str">
        <f>CONCATENATE("          ", "6282", " - ", "JANITORIAL/EXTERMINATOR EXPENS")</f>
        <v xml:space="preserve">          6282 - JANITORIAL/EXTERMINATOR EXPENS</v>
      </c>
      <c r="C72" s="11"/>
      <c r="D72" s="7"/>
      <c r="E72" s="2"/>
      <c r="F72" s="6">
        <f t="shared" si="45"/>
        <v>0</v>
      </c>
      <c r="G72" s="2"/>
      <c r="H72" s="7">
        <v>350</v>
      </c>
      <c r="I72" s="2"/>
      <c r="J72" s="6">
        <f t="shared" si="46"/>
        <v>5.1470588235294117E-3</v>
      </c>
      <c r="K72" s="2"/>
      <c r="L72" s="7">
        <f t="shared" si="47"/>
        <v>-350</v>
      </c>
      <c r="M72" s="2"/>
      <c r="N72" s="6">
        <f t="shared" si="48"/>
        <v>-1</v>
      </c>
      <c r="O72" s="11"/>
      <c r="P72" s="7">
        <v>3285.4</v>
      </c>
      <c r="Q72" s="2"/>
      <c r="R72" s="6">
        <f t="shared" si="49"/>
        <v>5.0406196866101269E-3</v>
      </c>
      <c r="S72" s="2"/>
      <c r="T72" s="7">
        <v>3850</v>
      </c>
      <c r="U72" s="2"/>
      <c r="V72" s="6">
        <f t="shared" si="50"/>
        <v>4.1791952064088233E-3</v>
      </c>
      <c r="W72" s="2"/>
      <c r="X72" s="7">
        <f t="shared" si="51"/>
        <v>-564.59999999999991</v>
      </c>
      <c r="Y72" s="2"/>
      <c r="Z72" s="6">
        <f t="shared" si="52"/>
        <v>-0.14664935064935061</v>
      </c>
    </row>
    <row r="73" spans="1:26" s="24" customFormat="1" hidden="1" outlineLevel="2" x14ac:dyDescent="0.25">
      <c r="A73" s="26"/>
      <c r="B73" s="11" t="str">
        <f>CONCATENATE("          ", "6283", " - ", "PLANT SERVICE")</f>
        <v xml:space="preserve">          6283 - PLANT SERVICE</v>
      </c>
      <c r="C73" s="11"/>
      <c r="D73" s="7"/>
      <c r="E73" s="2"/>
      <c r="F73" s="6">
        <f t="shared" si="45"/>
        <v>0</v>
      </c>
      <c r="G73" s="2"/>
      <c r="H73" s="7">
        <v>60</v>
      </c>
      <c r="I73" s="2"/>
      <c r="J73" s="6">
        <f t="shared" si="46"/>
        <v>8.8235294117647062E-4</v>
      </c>
      <c r="K73" s="2"/>
      <c r="L73" s="7">
        <f t="shared" si="47"/>
        <v>-60</v>
      </c>
      <c r="M73" s="2"/>
      <c r="N73" s="6">
        <f t="shared" si="48"/>
        <v>-1</v>
      </c>
      <c r="O73" s="11"/>
      <c r="P73" s="7">
        <v>553.95000000000005</v>
      </c>
      <c r="Q73" s="2"/>
      <c r="R73" s="6">
        <f t="shared" si="49"/>
        <v>8.4989690004190661E-4</v>
      </c>
      <c r="S73" s="2"/>
      <c r="T73" s="7">
        <v>660</v>
      </c>
      <c r="U73" s="2"/>
      <c r="V73" s="6">
        <f t="shared" si="50"/>
        <v>7.1643346395579819E-4</v>
      </c>
      <c r="W73" s="2"/>
      <c r="X73" s="7">
        <f t="shared" si="51"/>
        <v>-106.04999999999995</v>
      </c>
      <c r="Y73" s="2"/>
      <c r="Z73" s="6">
        <f t="shared" si="52"/>
        <v>-0.16068181818181812</v>
      </c>
    </row>
    <row r="74" spans="1:26" s="24" customFormat="1" hidden="1" outlineLevel="2" x14ac:dyDescent="0.25">
      <c r="A74" s="26"/>
      <c r="B74" s="11" t="str">
        <f>CONCATENATE("          ", "6284", " - ", "TRASH REMOVAL EXPENSE")</f>
        <v xml:space="preserve">          6284 - TRASH REMOVAL EXPENSE</v>
      </c>
      <c r="C74" s="11"/>
      <c r="D74" s="7">
        <v>761</v>
      </c>
      <c r="E74" s="2"/>
      <c r="F74" s="6">
        <f t="shared" si="45"/>
        <v>0</v>
      </c>
      <c r="G74" s="2"/>
      <c r="H74" s="7">
        <v>475</v>
      </c>
      <c r="I74" s="2"/>
      <c r="J74" s="6">
        <f t="shared" si="46"/>
        <v>6.9852941176470592E-3</v>
      </c>
      <c r="K74" s="2"/>
      <c r="L74" s="7">
        <f t="shared" si="47"/>
        <v>286</v>
      </c>
      <c r="M74" s="2"/>
      <c r="N74" s="6">
        <f t="shared" si="48"/>
        <v>0.6021052631578947</v>
      </c>
      <c r="O74" s="11"/>
      <c r="P74" s="7">
        <v>8363</v>
      </c>
      <c r="Q74" s="2"/>
      <c r="R74" s="6">
        <f t="shared" si="49"/>
        <v>1.2830919352018168E-2</v>
      </c>
      <c r="S74" s="2"/>
      <c r="T74" s="7">
        <v>5225</v>
      </c>
      <c r="U74" s="2"/>
      <c r="V74" s="6">
        <f t="shared" si="50"/>
        <v>5.6717649229834025E-3</v>
      </c>
      <c r="W74" s="2"/>
      <c r="X74" s="7">
        <f t="shared" si="51"/>
        <v>3138</v>
      </c>
      <c r="Y74" s="2"/>
      <c r="Z74" s="6">
        <f t="shared" si="52"/>
        <v>0.60057416267942587</v>
      </c>
    </row>
    <row r="75" spans="1:26" s="24" customFormat="1" hidden="1" outlineLevel="2" x14ac:dyDescent="0.25">
      <c r="A75" s="26"/>
      <c r="B75" s="11" t="str">
        <f>CONCATENATE("          ", "6285", " - ", "JANITORIAL SERVICES")</f>
        <v xml:space="preserve">          6285 - JANITORIAL SERVICES</v>
      </c>
      <c r="C75" s="11"/>
      <c r="D75" s="7"/>
      <c r="E75" s="2"/>
      <c r="F75" s="6">
        <f t="shared" si="45"/>
        <v>0</v>
      </c>
      <c r="G75" s="2"/>
      <c r="H75" s="7">
        <v>3000</v>
      </c>
      <c r="I75" s="2"/>
      <c r="J75" s="6">
        <f t="shared" si="46"/>
        <v>4.4117647058823532E-2</v>
      </c>
      <c r="K75" s="2"/>
      <c r="L75" s="7">
        <f t="shared" si="47"/>
        <v>-3000</v>
      </c>
      <c r="M75" s="2"/>
      <c r="N75" s="6">
        <f t="shared" si="48"/>
        <v>-1</v>
      </c>
      <c r="O75" s="11"/>
      <c r="P75" s="7">
        <v>29782.300000000003</v>
      </c>
      <c r="Q75" s="2"/>
      <c r="R75" s="6">
        <f t="shared" si="49"/>
        <v>4.5693446062132097E-2</v>
      </c>
      <c r="S75" s="2"/>
      <c r="T75" s="7">
        <v>33000</v>
      </c>
      <c r="U75" s="2"/>
      <c r="V75" s="6">
        <f t="shared" si="50"/>
        <v>3.5821673197789915E-2</v>
      </c>
      <c r="W75" s="2"/>
      <c r="X75" s="7">
        <f t="shared" si="51"/>
        <v>-3217.6999999999971</v>
      </c>
      <c r="Y75" s="2"/>
      <c r="Z75" s="6">
        <f t="shared" si="52"/>
        <v>-9.7506060606060513E-2</v>
      </c>
    </row>
    <row r="76" spans="1:26" s="24" customFormat="1" hidden="1" outlineLevel="2" x14ac:dyDescent="0.25">
      <c r="A76" s="26"/>
      <c r="B76" s="11" t="str">
        <f>CONCATENATE("          ", "6286", " - ", "LAUNDRY EXPENSE")</f>
        <v xml:space="preserve">          6286 - LAUNDRY EXPENSE</v>
      </c>
      <c r="C76" s="11"/>
      <c r="D76" s="7"/>
      <c r="E76" s="2"/>
      <c r="F76" s="6">
        <f t="shared" si="45"/>
        <v>0</v>
      </c>
      <c r="G76" s="2"/>
      <c r="H76" s="7">
        <v>150</v>
      </c>
      <c r="I76" s="2"/>
      <c r="J76" s="6">
        <f t="shared" si="46"/>
        <v>2.2058823529411764E-3</v>
      </c>
      <c r="K76" s="2"/>
      <c r="L76" s="7">
        <f t="shared" si="47"/>
        <v>-150</v>
      </c>
      <c r="M76" s="2"/>
      <c r="N76" s="6">
        <f t="shared" si="48"/>
        <v>-1</v>
      </c>
      <c r="O76" s="11"/>
      <c r="P76" s="7">
        <v>1946.42</v>
      </c>
      <c r="Q76" s="2"/>
      <c r="R76" s="6">
        <f t="shared" si="49"/>
        <v>2.986291766729069E-3</v>
      </c>
      <c r="S76" s="2"/>
      <c r="T76" s="7">
        <v>2250</v>
      </c>
      <c r="U76" s="2"/>
      <c r="V76" s="6">
        <f t="shared" si="50"/>
        <v>2.4423868089402212E-3</v>
      </c>
      <c r="W76" s="2"/>
      <c r="X76" s="7">
        <f t="shared" si="51"/>
        <v>-303.57999999999993</v>
      </c>
      <c r="Y76" s="2"/>
      <c r="Z76" s="6">
        <f t="shared" si="52"/>
        <v>-0.1349244444444444</v>
      </c>
    </row>
    <row r="77" spans="1:26" s="27" customFormat="1" outlineLevel="1" collapsed="1" x14ac:dyDescent="0.25">
      <c r="A77" s="25"/>
      <c r="B77" s="12" t="str">
        <f>CONCATENATE("     ","Subscriptions &amp; Dues                              ")</f>
        <v xml:space="preserve">     Subscriptions &amp; Dues                              </v>
      </c>
      <c r="C77" s="12"/>
      <c r="D77" s="1">
        <f>SUM(OSRRefD22_13x_0)</f>
        <v>0</v>
      </c>
      <c r="E77" s="1"/>
      <c r="F77" s="5">
        <f t="shared" ref="F77:F79" si="53">IF(D$12=0,0,D77/D$12)</f>
        <v>0</v>
      </c>
      <c r="G77" s="1"/>
      <c r="H77" s="1">
        <f>SUM(OSRRefH22_13x_0)</f>
        <v>200</v>
      </c>
      <c r="I77" s="1"/>
      <c r="J77" s="5">
        <f t="shared" ref="J77:J79" si="54">IF(H$12=0,0,H77/H$12)</f>
        <v>2.9411764705882353E-3</v>
      </c>
      <c r="K77" s="1"/>
      <c r="L77" s="1">
        <f t="shared" ref="L77:L79" si="55">+D77-H77</f>
        <v>-200</v>
      </c>
      <c r="M77" s="1"/>
      <c r="N77" s="5">
        <f t="shared" ref="N77:N79" si="56">IF(H77=0,0,L77/H77)</f>
        <v>-1</v>
      </c>
      <c r="O77" s="12"/>
      <c r="P77" s="1">
        <f>SUM(OSRRefP22_13x_0)</f>
        <v>2638.42</v>
      </c>
      <c r="Q77" s="1"/>
      <c r="R77" s="5">
        <f t="shared" ref="R77:R79" si="57">IF(P$12=0,0,P77/P$12)</f>
        <v>4.0479916581073506E-3</v>
      </c>
      <c r="S77" s="1"/>
      <c r="T77" s="1">
        <f>SUM(OSRRefT22_13x_0)</f>
        <v>2200</v>
      </c>
      <c r="U77" s="1"/>
      <c r="V77" s="5">
        <f t="shared" ref="V77:V79" si="58">IF(T$12=0,0,T77/T$12)</f>
        <v>2.3881115465193272E-3</v>
      </c>
      <c r="W77" s="1"/>
      <c r="X77" s="1">
        <f t="shared" ref="X77:X79" si="59">+P77-T77</f>
        <v>438.42000000000007</v>
      </c>
      <c r="Y77" s="1"/>
      <c r="Z77" s="5">
        <f t="shared" ref="Z77:Z79" si="60">IF(T77=0,0,X77/T77)</f>
        <v>0.19928181818181823</v>
      </c>
    </row>
    <row r="78" spans="1:26" s="24" customFormat="1" hidden="1" outlineLevel="2" x14ac:dyDescent="0.25">
      <c r="A78" s="26"/>
      <c r="B78" s="11" t="str">
        <f>CONCATENATE("          ", "6258", " - ", "MEMBERSHIP DUES")</f>
        <v xml:space="preserve">          6258 - MEMBERSHIP DUES</v>
      </c>
      <c r="C78" s="11"/>
      <c r="D78" s="7"/>
      <c r="E78" s="2"/>
      <c r="F78" s="6">
        <f t="shared" si="53"/>
        <v>0</v>
      </c>
      <c r="G78" s="2"/>
      <c r="H78" s="7"/>
      <c r="I78" s="2"/>
      <c r="J78" s="6">
        <f t="shared" si="54"/>
        <v>0</v>
      </c>
      <c r="K78" s="2"/>
      <c r="L78" s="7">
        <f t="shared" si="55"/>
        <v>0</v>
      </c>
      <c r="M78" s="2"/>
      <c r="N78" s="6">
        <f t="shared" si="56"/>
        <v>0</v>
      </c>
      <c r="O78" s="11"/>
      <c r="P78" s="7">
        <v>978</v>
      </c>
      <c r="Q78" s="2"/>
      <c r="R78" s="6">
        <f t="shared" si="57"/>
        <v>1.5004949331906933E-3</v>
      </c>
      <c r="S78" s="2"/>
      <c r="T78" s="7"/>
      <c r="U78" s="2"/>
      <c r="V78" s="6">
        <f t="shared" si="58"/>
        <v>0</v>
      </c>
      <c r="W78" s="2"/>
      <c r="X78" s="7">
        <f t="shared" si="59"/>
        <v>978</v>
      </c>
      <c r="Y78" s="2"/>
      <c r="Z78" s="6">
        <f t="shared" si="60"/>
        <v>0</v>
      </c>
    </row>
    <row r="79" spans="1:26" s="24" customFormat="1" hidden="1" outlineLevel="2" x14ac:dyDescent="0.25">
      <c r="A79" s="26"/>
      <c r="B79" s="11" t="str">
        <f>CONCATENATE("          ", "6275", " - ", "SUBSCRIPTIONS")</f>
        <v xml:space="preserve">          6275 - SUBSCRIPTIONS</v>
      </c>
      <c r="C79" s="11"/>
      <c r="D79" s="7"/>
      <c r="E79" s="2"/>
      <c r="F79" s="6">
        <f t="shared" si="53"/>
        <v>0</v>
      </c>
      <c r="G79" s="2"/>
      <c r="H79" s="7">
        <v>200</v>
      </c>
      <c r="I79" s="2"/>
      <c r="J79" s="6">
        <f t="shared" si="54"/>
        <v>2.9411764705882353E-3</v>
      </c>
      <c r="K79" s="2"/>
      <c r="L79" s="7">
        <f t="shared" si="55"/>
        <v>-200</v>
      </c>
      <c r="M79" s="2"/>
      <c r="N79" s="6">
        <f t="shared" si="56"/>
        <v>-1</v>
      </c>
      <c r="O79" s="11"/>
      <c r="P79" s="7">
        <v>1660.42</v>
      </c>
      <c r="Q79" s="2"/>
      <c r="R79" s="6">
        <f t="shared" si="57"/>
        <v>2.5474967249166577E-3</v>
      </c>
      <c r="S79" s="2"/>
      <c r="T79" s="7">
        <v>2200</v>
      </c>
      <c r="U79" s="2"/>
      <c r="V79" s="6">
        <f t="shared" si="58"/>
        <v>2.3881115465193272E-3</v>
      </c>
      <c r="W79" s="2"/>
      <c r="X79" s="7">
        <f t="shared" si="59"/>
        <v>-539.57999999999993</v>
      </c>
      <c r="Y79" s="2"/>
      <c r="Z79" s="6">
        <f t="shared" si="60"/>
        <v>-0.24526363636363632</v>
      </c>
    </row>
    <row r="80" spans="1:26" s="27" customFormat="1" outlineLevel="1" collapsed="1" x14ac:dyDescent="0.25">
      <c r="A80" s="25"/>
      <c r="B80" s="12" t="str">
        <f>CONCATENATE("     ","Supplies                                          ")</f>
        <v xml:space="preserve">     Supplies                                          </v>
      </c>
      <c r="C80" s="12"/>
      <c r="D80" s="1">
        <f>SUM(OSRRefD22_14x_0)</f>
        <v>0</v>
      </c>
      <c r="E80" s="1"/>
      <c r="F80" s="5">
        <f t="shared" ref="F80:F89" si="61">IF(D$12=0,0,D80/D$12)</f>
        <v>0</v>
      </c>
      <c r="G80" s="1"/>
      <c r="H80" s="1">
        <f>SUM(OSRRefH22_14x_0)</f>
        <v>1560</v>
      </c>
      <c r="I80" s="1"/>
      <c r="J80" s="5">
        <f t="shared" ref="J80:J89" si="62">IF(H$12=0,0,H80/H$12)</f>
        <v>2.2941176470588236E-2</v>
      </c>
      <c r="K80" s="1"/>
      <c r="L80" s="1">
        <f t="shared" ref="L80:L89" si="63">+D80-H80</f>
        <v>-1560</v>
      </c>
      <c r="M80" s="1"/>
      <c r="N80" s="5">
        <f t="shared" ref="N80:N89" si="64">IF(H80=0,0,L80/H80)</f>
        <v>-1</v>
      </c>
      <c r="O80" s="12"/>
      <c r="P80" s="1">
        <f>SUM(OSRRefP22_14x_0)</f>
        <v>21774.560000000001</v>
      </c>
      <c r="Q80" s="1"/>
      <c r="R80" s="5">
        <f t="shared" ref="R80:R89" si="65">IF(P$12=0,0,P80/P$12)</f>
        <v>3.3407583795968046E-2</v>
      </c>
      <c r="S80" s="1"/>
      <c r="T80" s="1">
        <f>SUM(OSRRefT22_14x_0)</f>
        <v>18310</v>
      </c>
      <c r="U80" s="1"/>
      <c r="V80" s="5">
        <f t="shared" ref="V80:V89" si="66">IF(T$12=0,0,T80/T$12)</f>
        <v>1.9875601098531311E-2</v>
      </c>
      <c r="W80" s="1"/>
      <c r="X80" s="1">
        <f t="shared" ref="X80:X89" si="67">+P80-T80</f>
        <v>3464.5600000000013</v>
      </c>
      <c r="Y80" s="1"/>
      <c r="Z80" s="5">
        <f t="shared" ref="Z80:Z89" si="68">IF(T80=0,0,X80/T80)</f>
        <v>0.18921682140906615</v>
      </c>
    </row>
    <row r="81" spans="1:26" s="24" customFormat="1" hidden="1" outlineLevel="2" x14ac:dyDescent="0.25">
      <c r="A81" s="26"/>
      <c r="B81" s="11" t="str">
        <f>CONCATENATE("          ", "6234", " - ", "EXPENDABLE SUPPLIES &amp; EQUIPMEN")</f>
        <v xml:space="preserve">          6234 - EXPENDABLE SUPPLIES &amp; EQUIPMEN</v>
      </c>
      <c r="C81" s="11"/>
      <c r="D81" s="7"/>
      <c r="E81" s="2"/>
      <c r="F81" s="6">
        <f t="shared" si="61"/>
        <v>0</v>
      </c>
      <c r="G81" s="2"/>
      <c r="H81" s="7">
        <v>200</v>
      </c>
      <c r="I81" s="2"/>
      <c r="J81" s="6">
        <f t="shared" si="62"/>
        <v>2.9411764705882353E-3</v>
      </c>
      <c r="K81" s="2"/>
      <c r="L81" s="7">
        <f t="shared" si="63"/>
        <v>-200</v>
      </c>
      <c r="M81" s="2"/>
      <c r="N81" s="6">
        <f t="shared" si="64"/>
        <v>-1</v>
      </c>
      <c r="O81" s="11"/>
      <c r="P81" s="7">
        <v>1090.83</v>
      </c>
      <c r="Q81" s="2"/>
      <c r="R81" s="6">
        <f t="shared" si="65"/>
        <v>1.6736041799308833E-3</v>
      </c>
      <c r="S81" s="2"/>
      <c r="T81" s="7">
        <v>800</v>
      </c>
      <c r="U81" s="2"/>
      <c r="V81" s="6">
        <f t="shared" si="66"/>
        <v>8.6840419873430085E-4</v>
      </c>
      <c r="W81" s="2"/>
      <c r="X81" s="7">
        <f t="shared" si="67"/>
        <v>290.82999999999993</v>
      </c>
      <c r="Y81" s="2"/>
      <c r="Z81" s="6">
        <f t="shared" si="68"/>
        <v>0.3635374999999999</v>
      </c>
    </row>
    <row r="82" spans="1:26" s="24" customFormat="1" hidden="1" outlineLevel="2" x14ac:dyDescent="0.25">
      <c r="A82" s="26"/>
      <c r="B82" s="11" t="str">
        <f>CONCATENATE("          ", "6237", " - ", "JANITORIAL SUPPLIES")</f>
        <v xml:space="preserve">          6237 - JANITORIAL SUPPLIES</v>
      </c>
      <c r="C82" s="11"/>
      <c r="D82" s="7"/>
      <c r="E82" s="2"/>
      <c r="F82" s="6">
        <f t="shared" si="61"/>
        <v>0</v>
      </c>
      <c r="G82" s="2"/>
      <c r="H82" s="7">
        <v>400</v>
      </c>
      <c r="I82" s="2"/>
      <c r="J82" s="6">
        <f t="shared" si="62"/>
        <v>5.8823529411764705E-3</v>
      </c>
      <c r="K82" s="2"/>
      <c r="L82" s="7">
        <f t="shared" si="63"/>
        <v>-400</v>
      </c>
      <c r="M82" s="2"/>
      <c r="N82" s="6">
        <f t="shared" si="64"/>
        <v>-1</v>
      </c>
      <c r="O82" s="11"/>
      <c r="P82" s="7">
        <v>8948.91</v>
      </c>
      <c r="Q82" s="2"/>
      <c r="R82" s="6">
        <f t="shared" si="65"/>
        <v>1.3729850830858413E-2</v>
      </c>
      <c r="S82" s="2"/>
      <c r="T82" s="7">
        <v>4250</v>
      </c>
      <c r="U82" s="2"/>
      <c r="V82" s="6">
        <f t="shared" si="66"/>
        <v>4.6133973057759731E-3</v>
      </c>
      <c r="W82" s="2"/>
      <c r="X82" s="7">
        <f t="shared" si="67"/>
        <v>4698.91</v>
      </c>
      <c r="Y82" s="2"/>
      <c r="Z82" s="6">
        <f t="shared" si="68"/>
        <v>1.1056258823529412</v>
      </c>
    </row>
    <row r="83" spans="1:26" s="24" customFormat="1" hidden="1" outlineLevel="2" x14ac:dyDescent="0.25">
      <c r="A83" s="26"/>
      <c r="B83" s="11" t="str">
        <f>CONCATENATE("          ", "6239", " - ", "KITCHEN SUPPLIES")</f>
        <v xml:space="preserve">          6239 - KITCHEN SUPPLIES</v>
      </c>
      <c r="C83" s="11"/>
      <c r="D83" s="7"/>
      <c r="E83" s="2"/>
      <c r="F83" s="6">
        <f t="shared" si="61"/>
        <v>0</v>
      </c>
      <c r="G83" s="2"/>
      <c r="H83" s="7">
        <v>200</v>
      </c>
      <c r="I83" s="2"/>
      <c r="J83" s="6">
        <f t="shared" si="62"/>
        <v>2.9411764705882353E-3</v>
      </c>
      <c r="K83" s="2"/>
      <c r="L83" s="7">
        <f t="shared" si="63"/>
        <v>-200</v>
      </c>
      <c r="M83" s="2"/>
      <c r="N83" s="6">
        <f t="shared" si="64"/>
        <v>-1</v>
      </c>
      <c r="O83" s="11"/>
      <c r="P83" s="7">
        <v>425.78</v>
      </c>
      <c r="Q83" s="2"/>
      <c r="R83" s="6">
        <f t="shared" si="65"/>
        <v>6.5325228287723249E-4</v>
      </c>
      <c r="S83" s="2"/>
      <c r="T83" s="7">
        <v>850</v>
      </c>
      <c r="U83" s="2"/>
      <c r="V83" s="6">
        <f t="shared" si="66"/>
        <v>9.2267946115519469E-4</v>
      </c>
      <c r="W83" s="2"/>
      <c r="X83" s="7">
        <f t="shared" si="67"/>
        <v>-424.22</v>
      </c>
      <c r="Y83" s="2"/>
      <c r="Z83" s="6">
        <f t="shared" si="68"/>
        <v>-0.49908235294117648</v>
      </c>
    </row>
    <row r="84" spans="1:26" s="24" customFormat="1" hidden="1" outlineLevel="2" x14ac:dyDescent="0.25">
      <c r="A84" s="26"/>
      <c r="B84" s="11" t="str">
        <f>CONCATENATE("          ", "6241", " - ", "OFFICE EXPENSE")</f>
        <v xml:space="preserve">          6241 - OFFICE EXPENSE</v>
      </c>
      <c r="C84" s="11"/>
      <c r="D84" s="7"/>
      <c r="E84" s="2"/>
      <c r="F84" s="6">
        <f t="shared" si="61"/>
        <v>0</v>
      </c>
      <c r="G84" s="2"/>
      <c r="H84" s="7">
        <v>100</v>
      </c>
      <c r="I84" s="2"/>
      <c r="J84" s="6">
        <f t="shared" si="62"/>
        <v>1.4705882352941176E-3</v>
      </c>
      <c r="K84" s="2"/>
      <c r="L84" s="7">
        <f t="shared" si="63"/>
        <v>-100</v>
      </c>
      <c r="M84" s="2"/>
      <c r="N84" s="6">
        <f t="shared" si="64"/>
        <v>-1</v>
      </c>
      <c r="O84" s="11"/>
      <c r="P84" s="7">
        <v>5703.34</v>
      </c>
      <c r="Q84" s="2"/>
      <c r="R84" s="6">
        <f t="shared" si="65"/>
        <v>8.7503402579384559E-3</v>
      </c>
      <c r="S84" s="2"/>
      <c r="T84" s="7">
        <v>1250</v>
      </c>
      <c r="U84" s="2"/>
      <c r="V84" s="6">
        <f t="shared" si="66"/>
        <v>1.3568815605223452E-3</v>
      </c>
      <c r="W84" s="2"/>
      <c r="X84" s="7">
        <f t="shared" si="67"/>
        <v>4453.34</v>
      </c>
      <c r="Y84" s="2"/>
      <c r="Z84" s="6">
        <f t="shared" si="68"/>
        <v>3.5626720000000001</v>
      </c>
    </row>
    <row r="85" spans="1:26" s="24" customFormat="1" hidden="1" outlineLevel="2" x14ac:dyDescent="0.25">
      <c r="A85" s="26"/>
      <c r="B85" s="11" t="str">
        <f>CONCATENATE("          ", "6243", " - ", "PAPER SUPPLIES")</f>
        <v xml:space="preserve">          6243 - PAPER SUPPLIES</v>
      </c>
      <c r="C85" s="11"/>
      <c r="D85" s="7"/>
      <c r="E85" s="2"/>
      <c r="F85" s="6">
        <f t="shared" si="61"/>
        <v>0</v>
      </c>
      <c r="G85" s="2"/>
      <c r="H85" s="7">
        <v>500</v>
      </c>
      <c r="I85" s="2"/>
      <c r="J85" s="6">
        <f t="shared" si="62"/>
        <v>7.3529411764705881E-3</v>
      </c>
      <c r="K85" s="2"/>
      <c r="L85" s="7">
        <f t="shared" si="63"/>
        <v>-500</v>
      </c>
      <c r="M85" s="2"/>
      <c r="N85" s="6">
        <f t="shared" si="64"/>
        <v>-1</v>
      </c>
      <c r="O85" s="11"/>
      <c r="P85" s="7">
        <v>5123.8</v>
      </c>
      <c r="Q85" s="2"/>
      <c r="R85" s="6">
        <f t="shared" si="65"/>
        <v>7.8611819413931232E-3</v>
      </c>
      <c r="S85" s="2"/>
      <c r="T85" s="7">
        <v>8500</v>
      </c>
      <c r="U85" s="2"/>
      <c r="V85" s="6">
        <f t="shared" si="66"/>
        <v>9.2267946115519462E-3</v>
      </c>
      <c r="W85" s="2"/>
      <c r="X85" s="7">
        <f t="shared" si="67"/>
        <v>-3376.2</v>
      </c>
      <c r="Y85" s="2"/>
      <c r="Z85" s="6">
        <f t="shared" si="68"/>
        <v>-0.3972</v>
      </c>
    </row>
    <row r="86" spans="1:26" s="24" customFormat="1" hidden="1" outlineLevel="2" x14ac:dyDescent="0.25">
      <c r="A86" s="26"/>
      <c r="B86" s="11" t="str">
        <f>CONCATENATE("          ", "6244", " - ", "SAFETY SUPPLY EXPENSE")</f>
        <v xml:space="preserve">          6244 - SAFETY SUPPLY EXPENSE</v>
      </c>
      <c r="C86" s="11"/>
      <c r="D86" s="7"/>
      <c r="E86" s="2"/>
      <c r="F86" s="6">
        <f t="shared" si="61"/>
        <v>0</v>
      </c>
      <c r="G86" s="2"/>
      <c r="H86" s="7">
        <v>60</v>
      </c>
      <c r="I86" s="2"/>
      <c r="J86" s="6">
        <f t="shared" si="62"/>
        <v>8.8235294117647062E-4</v>
      </c>
      <c r="K86" s="2"/>
      <c r="L86" s="7">
        <f t="shared" si="63"/>
        <v>-60</v>
      </c>
      <c r="M86" s="2"/>
      <c r="N86" s="6">
        <f t="shared" si="64"/>
        <v>-1</v>
      </c>
      <c r="O86" s="11"/>
      <c r="P86" s="7"/>
      <c r="Q86" s="2"/>
      <c r="R86" s="6">
        <f t="shared" si="65"/>
        <v>0</v>
      </c>
      <c r="S86" s="2"/>
      <c r="T86" s="7">
        <v>660</v>
      </c>
      <c r="U86" s="2"/>
      <c r="V86" s="6">
        <f t="shared" si="66"/>
        <v>7.1643346395579819E-4</v>
      </c>
      <c r="W86" s="2"/>
      <c r="X86" s="7">
        <f t="shared" si="67"/>
        <v>-660</v>
      </c>
      <c r="Y86" s="2"/>
      <c r="Z86" s="6">
        <f t="shared" si="68"/>
        <v>-1</v>
      </c>
    </row>
    <row r="87" spans="1:26" s="24" customFormat="1" hidden="1" outlineLevel="2" x14ac:dyDescent="0.25">
      <c r="A87" s="26"/>
      <c r="B87" s="11" t="str">
        <f>CONCATENATE("          ", "6246", " - ", "REPLACEMENTS")</f>
        <v xml:space="preserve">          6246 - REPLACEMENTS</v>
      </c>
      <c r="C87" s="11"/>
      <c r="D87" s="7"/>
      <c r="E87" s="2"/>
      <c r="F87" s="6">
        <f t="shared" si="61"/>
        <v>0</v>
      </c>
      <c r="G87" s="2"/>
      <c r="H87" s="7"/>
      <c r="I87" s="2"/>
      <c r="J87" s="6">
        <f t="shared" si="62"/>
        <v>0</v>
      </c>
      <c r="K87" s="2"/>
      <c r="L87" s="7">
        <f t="shared" si="63"/>
        <v>0</v>
      </c>
      <c r="M87" s="2"/>
      <c r="N87" s="6">
        <f t="shared" si="64"/>
        <v>0</v>
      </c>
      <c r="O87" s="11"/>
      <c r="P87" s="7">
        <v>25.87</v>
      </c>
      <c r="Q87" s="2"/>
      <c r="R87" s="6">
        <f t="shared" si="65"/>
        <v>3.9691006054849937E-5</v>
      </c>
      <c r="S87" s="2"/>
      <c r="T87" s="7"/>
      <c r="U87" s="2"/>
      <c r="V87" s="6">
        <f t="shared" si="66"/>
        <v>0</v>
      </c>
      <c r="W87" s="2"/>
      <c r="X87" s="7">
        <f t="shared" si="67"/>
        <v>25.87</v>
      </c>
      <c r="Y87" s="2"/>
      <c r="Z87" s="6">
        <f t="shared" si="68"/>
        <v>0</v>
      </c>
    </row>
    <row r="88" spans="1:26" s="24" customFormat="1" hidden="1" outlineLevel="2" x14ac:dyDescent="0.25">
      <c r="A88" s="26"/>
      <c r="B88" s="11" t="str">
        <f>CONCATENATE("          ", "6247", " - ", "STORE SUPPLIES")</f>
        <v xml:space="preserve">          6247 - STORE SUPPLIES</v>
      </c>
      <c r="C88" s="11"/>
      <c r="D88" s="7"/>
      <c r="E88" s="2"/>
      <c r="F88" s="6">
        <f t="shared" si="61"/>
        <v>0</v>
      </c>
      <c r="G88" s="2"/>
      <c r="H88" s="7">
        <v>100</v>
      </c>
      <c r="I88" s="2"/>
      <c r="J88" s="6">
        <f t="shared" si="62"/>
        <v>1.4705882352941176E-3</v>
      </c>
      <c r="K88" s="2"/>
      <c r="L88" s="7">
        <f t="shared" si="63"/>
        <v>-100</v>
      </c>
      <c r="M88" s="2"/>
      <c r="N88" s="6">
        <f t="shared" si="64"/>
        <v>-1</v>
      </c>
      <c r="O88" s="11"/>
      <c r="P88" s="7">
        <v>440.56</v>
      </c>
      <c r="Q88" s="2"/>
      <c r="R88" s="6">
        <f t="shared" si="65"/>
        <v>6.7592847419886692E-4</v>
      </c>
      <c r="S88" s="2"/>
      <c r="T88" s="7">
        <v>400</v>
      </c>
      <c r="U88" s="2"/>
      <c r="V88" s="6">
        <f t="shared" si="66"/>
        <v>4.3420209936715043E-4</v>
      </c>
      <c r="W88" s="2"/>
      <c r="X88" s="7">
        <f t="shared" si="67"/>
        <v>40.56</v>
      </c>
      <c r="Y88" s="2"/>
      <c r="Z88" s="6">
        <f t="shared" si="68"/>
        <v>0.1014</v>
      </c>
    </row>
    <row r="89" spans="1:26" s="24" customFormat="1" hidden="1" outlineLevel="2" x14ac:dyDescent="0.25">
      <c r="A89" s="26"/>
      <c r="B89" s="11" t="str">
        <f>CONCATENATE("          ", "6248", " - ", "UNIFORMS")</f>
        <v xml:space="preserve">          6248 - UNIFORMS</v>
      </c>
      <c r="C89" s="11"/>
      <c r="D89" s="7"/>
      <c r="E89" s="2"/>
      <c r="F89" s="6">
        <f t="shared" si="61"/>
        <v>0</v>
      </c>
      <c r="G89" s="2"/>
      <c r="H89" s="7"/>
      <c r="I89" s="2"/>
      <c r="J89" s="6">
        <f t="shared" si="62"/>
        <v>0</v>
      </c>
      <c r="K89" s="2"/>
      <c r="L89" s="7">
        <f t="shared" si="63"/>
        <v>0</v>
      </c>
      <c r="M89" s="2"/>
      <c r="N89" s="6">
        <f t="shared" si="64"/>
        <v>0</v>
      </c>
      <c r="O89" s="11"/>
      <c r="P89" s="7">
        <v>15.47</v>
      </c>
      <c r="Q89" s="2"/>
      <c r="R89" s="6">
        <f t="shared" si="65"/>
        <v>2.3734822716216798E-5</v>
      </c>
      <c r="S89" s="2"/>
      <c r="T89" s="7">
        <v>1600</v>
      </c>
      <c r="U89" s="2"/>
      <c r="V89" s="6">
        <f t="shared" si="66"/>
        <v>1.7368083974686017E-3</v>
      </c>
      <c r="W89" s="2"/>
      <c r="X89" s="7">
        <f t="shared" si="67"/>
        <v>-1584.53</v>
      </c>
      <c r="Y89" s="2"/>
      <c r="Z89" s="6">
        <f t="shared" si="68"/>
        <v>-0.99033125</v>
      </c>
    </row>
    <row r="90" spans="1:26" s="27" customFormat="1" outlineLevel="1" collapsed="1" x14ac:dyDescent="0.25">
      <c r="A90" s="25"/>
      <c r="B90" s="12" t="str">
        <f>CONCATENATE("     ","Telephone/Data Lines                              ")</f>
        <v xml:space="preserve">     Telephone/Data Lines                              </v>
      </c>
      <c r="C90" s="12"/>
      <c r="D90" s="1">
        <f>SUM(OSRRefD22_15x_0)</f>
        <v>132.6</v>
      </c>
      <c r="E90" s="1"/>
      <c r="F90" s="5">
        <f t="shared" ref="F90:F96" si="69">IF(D$12=0,0,D90/D$12)</f>
        <v>0</v>
      </c>
      <c r="G90" s="1"/>
      <c r="H90" s="1">
        <f>SUM(OSRRefH22_15x_0)</f>
        <v>150</v>
      </c>
      <c r="I90" s="1"/>
      <c r="J90" s="5">
        <f t="shared" ref="J90:J96" si="70">IF(H$12=0,0,H90/H$12)</f>
        <v>2.2058823529411764E-3</v>
      </c>
      <c r="K90" s="1"/>
      <c r="L90" s="1">
        <f t="shared" ref="L90:L96" si="71">+D90-H90</f>
        <v>-17.400000000000006</v>
      </c>
      <c r="M90" s="1"/>
      <c r="N90" s="5">
        <f t="shared" ref="N90:N96" si="72">IF(H90=0,0,L90/H90)</f>
        <v>-0.11600000000000003</v>
      </c>
      <c r="O90" s="12"/>
      <c r="P90" s="1">
        <f>SUM(OSRRefP22_15x_0)</f>
        <v>1588.64</v>
      </c>
      <c r="Q90" s="1"/>
      <c r="R90" s="5">
        <f t="shared" ref="R90:R96" si="73">IF(P$12=0,0,P90/P$12)</f>
        <v>2.4373683749121301E-3</v>
      </c>
      <c r="S90" s="1"/>
      <c r="T90" s="1">
        <f>SUM(OSRRefT22_15x_0)</f>
        <v>1650</v>
      </c>
      <c r="U90" s="1"/>
      <c r="V90" s="5">
        <f t="shared" ref="V90:V96" si="74">IF(T$12=0,0,T90/T$12)</f>
        <v>1.7910836598894956E-3</v>
      </c>
      <c r="W90" s="1"/>
      <c r="X90" s="1">
        <f t="shared" ref="X90:X96" si="75">+P90-T90</f>
        <v>-61.3599999999999</v>
      </c>
      <c r="Y90" s="1"/>
      <c r="Z90" s="5">
        <f t="shared" ref="Z90:Z96" si="76">IF(T90=0,0,X90/T90)</f>
        <v>-3.7187878787878728E-2</v>
      </c>
    </row>
    <row r="91" spans="1:26" s="24" customFormat="1" hidden="1" outlineLevel="2" x14ac:dyDescent="0.25">
      <c r="A91" s="26"/>
      <c r="B91" s="11" t="str">
        <f>CONCATENATE("          ", "6309", " - ", "TELEPHONE")</f>
        <v xml:space="preserve">          6309 - TELEPHONE</v>
      </c>
      <c r="C91" s="11"/>
      <c r="D91" s="7">
        <v>132.6</v>
      </c>
      <c r="E91" s="2"/>
      <c r="F91" s="6">
        <f t="shared" si="69"/>
        <v>0</v>
      </c>
      <c r="G91" s="2"/>
      <c r="H91" s="7">
        <v>150</v>
      </c>
      <c r="I91" s="2"/>
      <c r="J91" s="6">
        <f t="shared" si="70"/>
        <v>2.2058823529411764E-3</v>
      </c>
      <c r="K91" s="2"/>
      <c r="L91" s="7">
        <f t="shared" si="71"/>
        <v>-17.400000000000006</v>
      </c>
      <c r="M91" s="2"/>
      <c r="N91" s="6">
        <f t="shared" si="72"/>
        <v>-0.11600000000000003</v>
      </c>
      <c r="O91" s="11"/>
      <c r="P91" s="7">
        <v>1588.64</v>
      </c>
      <c r="Q91" s="2"/>
      <c r="R91" s="6">
        <f t="shared" si="73"/>
        <v>2.4373683749121301E-3</v>
      </c>
      <c r="S91" s="2"/>
      <c r="T91" s="7">
        <v>1650</v>
      </c>
      <c r="U91" s="2"/>
      <c r="V91" s="6">
        <f t="shared" si="74"/>
        <v>1.7910836598894956E-3</v>
      </c>
      <c r="W91" s="2"/>
      <c r="X91" s="7">
        <f t="shared" si="75"/>
        <v>-61.3599999999999</v>
      </c>
      <c r="Y91" s="2"/>
      <c r="Z91" s="6">
        <f t="shared" si="76"/>
        <v>-3.7187878787878728E-2</v>
      </c>
    </row>
    <row r="92" spans="1:26" s="27" customFormat="1" outlineLevel="1" collapsed="1" x14ac:dyDescent="0.25">
      <c r="A92" s="25"/>
      <c r="B92" s="12" t="str">
        <f>CONCATENATE("     ","Training                                          ")</f>
        <v xml:space="preserve">     Training                                          </v>
      </c>
      <c r="C92" s="12"/>
      <c r="D92" s="1">
        <f>SUM(OSRRefD22_16x_0)</f>
        <v>0</v>
      </c>
      <c r="E92" s="1"/>
      <c r="F92" s="5">
        <f t="shared" si="69"/>
        <v>0</v>
      </c>
      <c r="G92" s="1"/>
      <c r="H92" s="1">
        <f>SUM(OSRRefH22_16x_0)</f>
        <v>0</v>
      </c>
      <c r="I92" s="1"/>
      <c r="J92" s="5">
        <f t="shared" si="70"/>
        <v>0</v>
      </c>
      <c r="K92" s="1"/>
      <c r="L92" s="1">
        <f t="shared" si="71"/>
        <v>0</v>
      </c>
      <c r="M92" s="1"/>
      <c r="N92" s="5">
        <f t="shared" si="72"/>
        <v>0</v>
      </c>
      <c r="O92" s="12"/>
      <c r="P92" s="1">
        <f>SUM(OSRRefP22_16x_0)</f>
        <v>185</v>
      </c>
      <c r="Q92" s="1"/>
      <c r="R92" s="5">
        <f t="shared" si="73"/>
        <v>2.8383595361991645E-4</v>
      </c>
      <c r="S92" s="1"/>
      <c r="T92" s="1">
        <f>SUM(OSRRefT22_16x_0)</f>
        <v>0</v>
      </c>
      <c r="U92" s="1"/>
      <c r="V92" s="5">
        <f t="shared" si="74"/>
        <v>0</v>
      </c>
      <c r="W92" s="1"/>
      <c r="X92" s="1">
        <f t="shared" si="75"/>
        <v>185</v>
      </c>
      <c r="Y92" s="1"/>
      <c r="Z92" s="5">
        <f t="shared" si="76"/>
        <v>0</v>
      </c>
    </row>
    <row r="93" spans="1:26" s="24" customFormat="1" hidden="1" outlineLevel="2" x14ac:dyDescent="0.25">
      <c r="A93" s="26"/>
      <c r="B93" s="11" t="str">
        <f>CONCATENATE("          ", "6376", " - ", "TRAINING")</f>
        <v xml:space="preserve">          6376 - TRAINING</v>
      </c>
      <c r="C93" s="11"/>
      <c r="D93" s="7"/>
      <c r="E93" s="2"/>
      <c r="F93" s="6">
        <f t="shared" si="69"/>
        <v>0</v>
      </c>
      <c r="G93" s="2"/>
      <c r="H93" s="7"/>
      <c r="I93" s="2"/>
      <c r="J93" s="6">
        <f t="shared" si="70"/>
        <v>0</v>
      </c>
      <c r="K93" s="2"/>
      <c r="L93" s="7">
        <f t="shared" si="71"/>
        <v>0</v>
      </c>
      <c r="M93" s="2"/>
      <c r="N93" s="6">
        <f t="shared" si="72"/>
        <v>0</v>
      </c>
      <c r="O93" s="11"/>
      <c r="P93" s="7">
        <v>185</v>
      </c>
      <c r="Q93" s="2"/>
      <c r="R93" s="6">
        <f t="shared" si="73"/>
        <v>2.8383595361991645E-4</v>
      </c>
      <c r="S93" s="2"/>
      <c r="T93" s="7"/>
      <c r="U93" s="2"/>
      <c r="V93" s="6">
        <f t="shared" si="74"/>
        <v>0</v>
      </c>
      <c r="W93" s="2"/>
      <c r="X93" s="7">
        <f t="shared" si="75"/>
        <v>185</v>
      </c>
      <c r="Y93" s="2"/>
      <c r="Z93" s="6">
        <f t="shared" si="76"/>
        <v>0</v>
      </c>
    </row>
    <row r="94" spans="1:26" s="27" customFormat="1" outlineLevel="1" collapsed="1" x14ac:dyDescent="0.25">
      <c r="A94" s="25"/>
      <c r="B94" s="12" t="str">
        <f>CONCATENATE("     ","Travel                                            ")</f>
        <v xml:space="preserve">     Travel                                            </v>
      </c>
      <c r="C94" s="12"/>
      <c r="D94" s="1">
        <f>SUM(OSRRefD22_17x_0)</f>
        <v>0</v>
      </c>
      <c r="E94" s="1"/>
      <c r="F94" s="5">
        <f t="shared" si="69"/>
        <v>0</v>
      </c>
      <c r="G94" s="1"/>
      <c r="H94" s="1">
        <f>SUM(OSRRefH22_17x_0)</f>
        <v>0</v>
      </c>
      <c r="I94" s="1"/>
      <c r="J94" s="5">
        <f t="shared" si="70"/>
        <v>0</v>
      </c>
      <c r="K94" s="1"/>
      <c r="L94" s="1">
        <f t="shared" si="71"/>
        <v>0</v>
      </c>
      <c r="M94" s="1"/>
      <c r="N94" s="5">
        <f t="shared" si="72"/>
        <v>0</v>
      </c>
      <c r="O94" s="12"/>
      <c r="P94" s="1">
        <f>SUM(OSRRefP22_17x_0)</f>
        <v>0</v>
      </c>
      <c r="Q94" s="1"/>
      <c r="R94" s="5">
        <f t="shared" si="73"/>
        <v>0</v>
      </c>
      <c r="S94" s="1"/>
      <c r="T94" s="1">
        <f>SUM(OSRRefT22_17x_0)</f>
        <v>2400</v>
      </c>
      <c r="U94" s="1"/>
      <c r="V94" s="5">
        <f t="shared" si="74"/>
        <v>2.6052125962029026E-3</v>
      </c>
      <c r="W94" s="1"/>
      <c r="X94" s="1">
        <f t="shared" si="75"/>
        <v>-2400</v>
      </c>
      <c r="Y94" s="1"/>
      <c r="Z94" s="5">
        <f t="shared" si="76"/>
        <v>-1</v>
      </c>
    </row>
    <row r="95" spans="1:26" s="24" customFormat="1" hidden="1" outlineLevel="2" x14ac:dyDescent="0.25">
      <c r="A95" s="26"/>
      <c r="B95" s="11" t="str">
        <f>CONCATENATE("          ", "6292", " - ", "TRAVEL/CONFERENCE")</f>
        <v xml:space="preserve">          6292 - TRAVEL/CONFERENCE</v>
      </c>
      <c r="C95" s="11"/>
      <c r="D95" s="7"/>
      <c r="E95" s="2"/>
      <c r="F95" s="6">
        <f t="shared" si="69"/>
        <v>0</v>
      </c>
      <c r="G95" s="2"/>
      <c r="H95" s="7"/>
      <c r="I95" s="2"/>
      <c r="J95" s="6">
        <f t="shared" si="70"/>
        <v>0</v>
      </c>
      <c r="K95" s="2"/>
      <c r="L95" s="7">
        <f t="shared" si="71"/>
        <v>0</v>
      </c>
      <c r="M95" s="2"/>
      <c r="N95" s="6">
        <f t="shared" si="72"/>
        <v>0</v>
      </c>
      <c r="O95" s="11"/>
      <c r="P95" s="7"/>
      <c r="Q95" s="2"/>
      <c r="R95" s="6">
        <f t="shared" si="73"/>
        <v>0</v>
      </c>
      <c r="S95" s="2"/>
      <c r="T95" s="7">
        <v>2400</v>
      </c>
      <c r="U95" s="2"/>
      <c r="V95" s="6">
        <f t="shared" si="74"/>
        <v>2.6052125962029026E-3</v>
      </c>
      <c r="W95" s="2"/>
      <c r="X95" s="7">
        <f t="shared" si="75"/>
        <v>-2400</v>
      </c>
      <c r="Y95" s="2"/>
      <c r="Z95" s="6">
        <f t="shared" si="76"/>
        <v>-1</v>
      </c>
    </row>
    <row r="96" spans="1:26" s="24" customFormat="1" hidden="1" outlineLevel="2" x14ac:dyDescent="0.25">
      <c r="A96" s="26"/>
      <c r="B96" s="11" t="str">
        <f>CONCATENATE("          ", "6298", " - ", "VEHICLE MILEAGE")</f>
        <v xml:space="preserve">          6298 - VEHICLE MILEAGE</v>
      </c>
      <c r="C96" s="11"/>
      <c r="D96" s="7"/>
      <c r="E96" s="2"/>
      <c r="F96" s="6">
        <f t="shared" si="69"/>
        <v>0</v>
      </c>
      <c r="G96" s="2"/>
      <c r="H96" s="7"/>
      <c r="I96" s="2"/>
      <c r="J96" s="6">
        <f t="shared" si="70"/>
        <v>0</v>
      </c>
      <c r="K96" s="2"/>
      <c r="L96" s="7">
        <f t="shared" si="71"/>
        <v>0</v>
      </c>
      <c r="M96" s="2"/>
      <c r="N96" s="6">
        <f t="shared" si="72"/>
        <v>0</v>
      </c>
      <c r="O96" s="11"/>
      <c r="P96" s="7"/>
      <c r="Q96" s="2"/>
      <c r="R96" s="6">
        <f t="shared" si="73"/>
        <v>0</v>
      </c>
      <c r="S96" s="2"/>
      <c r="T96" s="7">
        <v>0</v>
      </c>
      <c r="U96" s="2"/>
      <c r="V96" s="6">
        <f t="shared" si="74"/>
        <v>0</v>
      </c>
      <c r="W96" s="2"/>
      <c r="X96" s="7">
        <f t="shared" si="75"/>
        <v>0</v>
      </c>
      <c r="Y96" s="2"/>
      <c r="Z96" s="6">
        <f t="shared" si="76"/>
        <v>0</v>
      </c>
    </row>
    <row r="97" spans="1:26" s="27" customFormat="1" outlineLevel="1" collapsed="1" x14ac:dyDescent="0.25">
      <c r="A97" s="25"/>
      <c r="B97" s="12" t="str">
        <f>CONCATENATE("     ","Utilities                                         ")</f>
        <v xml:space="preserve">     Utilities                                         </v>
      </c>
      <c r="C97" s="12"/>
      <c r="D97" s="1">
        <f>SUM(OSRRefD22_18x_0)</f>
        <v>2312</v>
      </c>
      <c r="E97" s="1"/>
      <c r="F97" s="5">
        <f t="shared" ref="F97:F98" si="77">IF(D$12=0,0,D97/D$12)</f>
        <v>0</v>
      </c>
      <c r="G97" s="1"/>
      <c r="H97" s="1">
        <f>SUM(OSRRefH22_18x_0)</f>
        <v>2100</v>
      </c>
      <c r="I97" s="1"/>
      <c r="J97" s="5">
        <f t="shared" ref="J97:J98" si="78">IF(H$12=0,0,H97/H$12)</f>
        <v>3.0882352941176472E-2</v>
      </c>
      <c r="K97" s="1"/>
      <c r="L97" s="1">
        <f t="shared" ref="L97:L98" si="79">+D97-H97</f>
        <v>212</v>
      </c>
      <c r="M97" s="1"/>
      <c r="N97" s="5">
        <f t="shared" ref="N97:N98" si="80">IF(H97=0,0,L97/H97)</f>
        <v>0.10095238095238095</v>
      </c>
      <c r="O97" s="12"/>
      <c r="P97" s="1">
        <f>SUM(OSRRefP22_18x_0)</f>
        <v>24772</v>
      </c>
      <c r="Q97" s="1"/>
      <c r="R97" s="5">
        <f t="shared" ref="R97:R98" si="81">IF(P$12=0,0,P97/P$12)</f>
        <v>3.8006401313905785E-2</v>
      </c>
      <c r="S97" s="1"/>
      <c r="T97" s="1">
        <f>SUM(OSRRefT22_18x_0)</f>
        <v>23100</v>
      </c>
      <c r="U97" s="1"/>
      <c r="V97" s="5">
        <f t="shared" ref="V97:V98" si="82">IF(T$12=0,0,T97/T$12)</f>
        <v>2.5075171238452938E-2</v>
      </c>
      <c r="W97" s="1"/>
      <c r="X97" s="1">
        <f t="shared" ref="X97:X98" si="83">+P97-T97</f>
        <v>1672</v>
      </c>
      <c r="Y97" s="1"/>
      <c r="Z97" s="5">
        <f t="shared" ref="Z97:Z98" si="84">IF(T97=0,0,X97/T97)</f>
        <v>7.2380952380952379E-2</v>
      </c>
    </row>
    <row r="98" spans="1:26" s="24" customFormat="1" hidden="1" outlineLevel="2" x14ac:dyDescent="0.25">
      <c r="A98" s="26"/>
      <c r="B98" s="11" t="str">
        <f>CONCATENATE("          ", "6274", " - ", "UTILITIES")</f>
        <v xml:space="preserve">          6274 - UTILITIES</v>
      </c>
      <c r="C98" s="11"/>
      <c r="D98" s="7">
        <v>2312</v>
      </c>
      <c r="E98" s="2"/>
      <c r="F98" s="6">
        <f t="shared" si="77"/>
        <v>0</v>
      </c>
      <c r="G98" s="2"/>
      <c r="H98" s="7">
        <v>2100</v>
      </c>
      <c r="I98" s="2"/>
      <c r="J98" s="6">
        <f t="shared" si="78"/>
        <v>3.0882352941176472E-2</v>
      </c>
      <c r="K98" s="2"/>
      <c r="L98" s="7">
        <f t="shared" si="79"/>
        <v>212</v>
      </c>
      <c r="M98" s="2"/>
      <c r="N98" s="6">
        <f t="shared" si="80"/>
        <v>0.10095238095238095</v>
      </c>
      <c r="O98" s="11"/>
      <c r="P98" s="7">
        <v>24772</v>
      </c>
      <c r="Q98" s="2"/>
      <c r="R98" s="6">
        <f t="shared" si="81"/>
        <v>3.8006401313905785E-2</v>
      </c>
      <c r="S98" s="2"/>
      <c r="T98" s="7">
        <v>23100</v>
      </c>
      <c r="U98" s="2"/>
      <c r="V98" s="6">
        <f t="shared" si="82"/>
        <v>2.5075171238452938E-2</v>
      </c>
      <c r="W98" s="2"/>
      <c r="X98" s="7">
        <f t="shared" si="83"/>
        <v>1672</v>
      </c>
      <c r="Y98" s="2"/>
      <c r="Z98" s="6">
        <f t="shared" si="84"/>
        <v>7.2380952380952379E-2</v>
      </c>
    </row>
    <row r="99" spans="1:26" s="62" customFormat="1" x14ac:dyDescent="0.25">
      <c r="A99" s="36"/>
      <c r="B99" s="36"/>
      <c r="C99" s="36"/>
      <c r="D99" s="1"/>
      <c r="E99" s="1"/>
      <c r="F99" s="5"/>
      <c r="G99" s="1"/>
      <c r="H99" s="1"/>
      <c r="I99" s="1"/>
      <c r="J99" s="5"/>
      <c r="K99" s="1"/>
      <c r="L99" s="1"/>
      <c r="M99" s="1"/>
      <c r="N99" s="5"/>
      <c r="O99" s="36"/>
      <c r="P99" s="1"/>
      <c r="Q99" s="1"/>
      <c r="R99" s="5"/>
      <c r="S99" s="1"/>
      <c r="T99" s="1"/>
      <c r="U99" s="1"/>
      <c r="V99" s="5"/>
      <c r="W99" s="1"/>
      <c r="X99" s="1"/>
      <c r="Y99" s="1"/>
      <c r="Z99" s="5"/>
    </row>
    <row r="100" spans="1:26" s="23" customFormat="1" collapsed="1" x14ac:dyDescent="0.25">
      <c r="A100" s="10"/>
      <c r="B100" s="28" t="s">
        <v>0</v>
      </c>
      <c r="C100" s="10"/>
      <c r="D100" s="4">
        <f>SUM(OSRRefD25x_0)</f>
        <v>0</v>
      </c>
      <c r="E100" s="4"/>
      <c r="F100" s="13">
        <f t="shared" ref="F100:F101" si="85">IF(D$12=0,0,D100/D$12)</f>
        <v>0</v>
      </c>
      <c r="G100" s="4"/>
      <c r="H100" s="4">
        <f>SUM(OSRRefH25x_0)</f>
        <v>0</v>
      </c>
      <c r="I100" s="4"/>
      <c r="J100" s="13">
        <f t="shared" ref="J100:J101" si="86">IF(H$12=0,0,H100/H$12)</f>
        <v>0</v>
      </c>
      <c r="K100" s="4"/>
      <c r="L100" s="4">
        <f t="shared" ref="L100:L101" si="87">+D100-H100</f>
        <v>0</v>
      </c>
      <c r="M100" s="4"/>
      <c r="N100" s="13">
        <f t="shared" ref="N100:N101" si="88">IF(H100=0,0,L100/H100)</f>
        <v>0</v>
      </c>
      <c r="O100" s="10"/>
      <c r="P100" s="4">
        <f>SUM(OSRRefP25x_0)</f>
        <v>68.760000000000005</v>
      </c>
      <c r="Q100" s="4"/>
      <c r="R100" s="13">
        <f t="shared" ref="R100:R101" si="89">IF(P$12=0,0,P100/P$12)</f>
        <v>1.0549491984273219E-4</v>
      </c>
      <c r="S100" s="4"/>
      <c r="T100" s="4">
        <f>SUM(OSRRefT25x_0)</f>
        <v>0</v>
      </c>
      <c r="U100" s="4"/>
      <c r="V100" s="13">
        <f t="shared" ref="V100:V101" si="90">IF(T$12=0,0,T100/T$12)</f>
        <v>0</v>
      </c>
      <c r="W100" s="4"/>
      <c r="X100" s="4">
        <f t="shared" ref="X100:X101" si="91">+P100-T100</f>
        <v>68.760000000000005</v>
      </c>
      <c r="Y100" s="4"/>
      <c r="Z100" s="13">
        <f t="shared" ref="Z100:Z101" si="92">IF(T100=0,0,X100/T100)</f>
        <v>0</v>
      </c>
    </row>
    <row r="101" spans="1:26" s="24" customFormat="1" hidden="1" outlineLevel="1" x14ac:dyDescent="0.25">
      <c r="A101" s="44"/>
      <c r="B101" s="11" t="str">
        <f>CONCATENATE("          ", "9150", " - ", "MISC. INCOME")</f>
        <v xml:space="preserve">          9150 - MISC. INCOME</v>
      </c>
      <c r="C101" s="11"/>
      <c r="D101" s="2">
        <f>0</f>
        <v>0</v>
      </c>
      <c r="E101" s="2"/>
      <c r="F101" s="19">
        <f t="shared" si="85"/>
        <v>0</v>
      </c>
      <c r="G101" s="2"/>
      <c r="H101" s="2"/>
      <c r="I101" s="2"/>
      <c r="J101" s="19">
        <f t="shared" si="86"/>
        <v>0</v>
      </c>
      <c r="K101" s="2"/>
      <c r="L101" s="2">
        <f t="shared" si="87"/>
        <v>0</v>
      </c>
      <c r="M101" s="2"/>
      <c r="N101" s="19">
        <f t="shared" si="88"/>
        <v>0</v>
      </c>
      <c r="O101" s="11"/>
      <c r="P101" s="2">
        <f>--68.76</f>
        <v>68.760000000000005</v>
      </c>
      <c r="Q101" s="2"/>
      <c r="R101" s="19">
        <f t="shared" si="89"/>
        <v>1.0549491984273219E-4</v>
      </c>
      <c r="S101" s="2"/>
      <c r="T101" s="2"/>
      <c r="U101" s="2"/>
      <c r="V101" s="19">
        <f t="shared" si="90"/>
        <v>0</v>
      </c>
      <c r="W101" s="2"/>
      <c r="X101" s="2">
        <f t="shared" si="91"/>
        <v>68.760000000000005</v>
      </c>
      <c r="Y101" s="2"/>
      <c r="Z101" s="19">
        <f t="shared" si="92"/>
        <v>0</v>
      </c>
    </row>
    <row r="102" spans="1:26" x14ac:dyDescent="0.25">
      <c r="A102" s="9"/>
      <c r="B102" s="10"/>
      <c r="C102" s="10"/>
      <c r="D102" s="3"/>
      <c r="E102" s="3"/>
      <c r="F102" s="8"/>
      <c r="G102" s="3"/>
      <c r="H102" s="3"/>
      <c r="I102" s="3"/>
      <c r="J102" s="8"/>
      <c r="K102" s="3"/>
      <c r="L102" s="3"/>
      <c r="M102" s="3"/>
      <c r="N102" s="8"/>
      <c r="O102" s="10"/>
      <c r="P102" s="3"/>
      <c r="Q102" s="3"/>
      <c r="R102" s="8"/>
      <c r="S102" s="3"/>
      <c r="T102" s="3"/>
      <c r="U102" s="3"/>
      <c r="V102" s="8"/>
      <c r="W102" s="3"/>
      <c r="X102" s="3"/>
      <c r="Y102" s="3"/>
      <c r="Z102" s="8"/>
    </row>
    <row r="103" spans="1:26" s="23" customFormat="1" x14ac:dyDescent="0.25">
      <c r="A103" s="10"/>
      <c r="B103" s="29" t="s">
        <v>3</v>
      </c>
      <c r="C103" s="29"/>
      <c r="D103" s="20">
        <f>+D22-D24+D100</f>
        <v>-33822.86</v>
      </c>
      <c r="E103" s="14"/>
      <c r="F103" s="22">
        <f>IF(D$12=0,0,D103/D$12)</f>
        <v>0</v>
      </c>
      <c r="G103" s="14"/>
      <c r="H103" s="20">
        <f>+H22-H24+H100</f>
        <v>-12826.537351556923</v>
      </c>
      <c r="I103" s="14"/>
      <c r="J103" s="22">
        <f>IF(H$12=0,0,H103/H$12)</f>
        <v>-0.18862554928760181</v>
      </c>
      <c r="K103" s="16"/>
      <c r="L103" s="20">
        <f>+D103-H103</f>
        <v>-20996.322648443078</v>
      </c>
      <c r="M103" s="16"/>
      <c r="N103" s="22">
        <f>IF(H103=0,0,L103/H103)</f>
        <v>1.6369439446488248</v>
      </c>
      <c r="O103" s="28"/>
      <c r="P103" s="20">
        <f>+P22-P24+P100</f>
        <v>-274454.81000000017</v>
      </c>
      <c r="Q103" s="14"/>
      <c r="R103" s="22">
        <f>IF(P$12=0,0,P103/P$12)</f>
        <v>-0.42108185255093528</v>
      </c>
      <c r="S103" s="14"/>
      <c r="T103" s="20">
        <f>+T22-T24+T100</f>
        <v>-101599.27045502618</v>
      </c>
      <c r="U103" s="14"/>
      <c r="V103" s="22">
        <f>IF(T$12=0,0,T103/T$12)</f>
        <v>-0.11028654131435818</v>
      </c>
      <c r="W103" s="16"/>
      <c r="X103" s="20">
        <f>+P103-T103</f>
        <v>-172855.53954497399</v>
      </c>
      <c r="Y103" s="16"/>
      <c r="Z103" s="22">
        <f>IF(T103=0,0,X103/T103)</f>
        <v>1.7013462672597637</v>
      </c>
    </row>
    <row r="104" spans="1:26" x14ac:dyDescent="0.25">
      <c r="A104" s="9"/>
      <c r="B104" s="10"/>
      <c r="C104" s="9"/>
      <c r="D104" s="3"/>
      <c r="E104" s="3"/>
      <c r="F104" s="8"/>
      <c r="G104" s="3"/>
      <c r="H104" s="3"/>
      <c r="I104" s="3"/>
      <c r="J104" s="8"/>
      <c r="K104" s="3"/>
      <c r="L104" s="3"/>
      <c r="M104" s="3"/>
      <c r="N104" s="8"/>
      <c r="P104" s="3"/>
      <c r="Q104" s="3"/>
      <c r="R104" s="8"/>
      <c r="S104" s="3"/>
      <c r="T104" s="3"/>
      <c r="U104" s="3"/>
      <c r="V104" s="8"/>
      <c r="W104" s="3"/>
      <c r="X104" s="3"/>
      <c r="Y104" s="3"/>
      <c r="Z104" s="8"/>
    </row>
    <row r="105" spans="1:26" s="23" customFormat="1" x14ac:dyDescent="0.25">
      <c r="A105" s="52"/>
      <c r="B105" s="10" t="s">
        <v>14</v>
      </c>
      <c r="C105" s="10"/>
      <c r="D105" s="4">
        <v>3176.01</v>
      </c>
      <c r="E105" s="4"/>
      <c r="F105" s="13">
        <f>IF(D$12=0,0,D105/D$12)</f>
        <v>0</v>
      </c>
      <c r="G105" s="4"/>
      <c r="H105" s="4">
        <v>7009</v>
      </c>
      <c r="I105" s="4"/>
      <c r="J105" s="13">
        <f>IF(H$12=0,0,H105/H$12)</f>
        <v>0.1030735294117647</v>
      </c>
      <c r="K105" s="4"/>
      <c r="L105" s="4">
        <f>+D105-H105</f>
        <v>-3832.99</v>
      </c>
      <c r="M105" s="4"/>
      <c r="N105" s="13">
        <f>IF(H105=0,0,L105/H105)</f>
        <v>-0.54686688543301465</v>
      </c>
      <c r="O105" s="10"/>
      <c r="P105" s="4">
        <v>77181.52</v>
      </c>
      <c r="Q105" s="4"/>
      <c r="R105" s="13">
        <f>IF(P$12=0,0,P105/P$12)</f>
        <v>0.11841562341099812</v>
      </c>
      <c r="S105" s="4"/>
      <c r="T105" s="4">
        <v>106702</v>
      </c>
      <c r="U105" s="4"/>
      <c r="V105" s="13">
        <f>IF(T$12=0,0,T105/T$12)</f>
        <v>0.11582558101668422</v>
      </c>
      <c r="W105" s="4"/>
      <c r="X105" s="4">
        <f>+P105-T105</f>
        <v>-29520.479999999996</v>
      </c>
      <c r="Y105" s="4"/>
      <c r="Z105" s="13">
        <f>IF(T105=0,0,X105/T105)</f>
        <v>-0.27666285542913904</v>
      </c>
    </row>
    <row r="106" spans="1:26" x14ac:dyDescent="0.25">
      <c r="A106" s="9"/>
      <c r="B106" s="10"/>
      <c r="C106" s="10"/>
      <c r="D106" s="3"/>
      <c r="E106" s="3"/>
      <c r="F106" s="8"/>
      <c r="G106" s="3"/>
      <c r="H106" s="3"/>
      <c r="I106" s="3"/>
      <c r="J106" s="8"/>
      <c r="K106" s="3"/>
      <c r="L106" s="3"/>
      <c r="M106" s="3"/>
      <c r="N106" s="8"/>
      <c r="O106" s="10"/>
      <c r="P106" s="3"/>
      <c r="Q106" s="3"/>
      <c r="R106" s="8"/>
      <c r="S106" s="3"/>
      <c r="T106" s="3"/>
      <c r="U106" s="3"/>
      <c r="V106" s="8"/>
      <c r="W106" s="3"/>
      <c r="X106" s="3"/>
      <c r="Y106" s="3"/>
      <c r="Z106" s="8"/>
    </row>
    <row r="107" spans="1:26" s="23" customFormat="1" ht="15.75" thickBot="1" x14ac:dyDescent="0.3">
      <c r="A107" s="10"/>
      <c r="B107" s="29" t="s">
        <v>4</v>
      </c>
      <c r="C107" s="29"/>
      <c r="D107" s="35">
        <f>+D103-D105</f>
        <v>-36998.870000000003</v>
      </c>
      <c r="E107" s="14"/>
      <c r="F107" s="32">
        <f>IF(D$12=0,0,D107/D$12)</f>
        <v>0</v>
      </c>
      <c r="G107" s="14"/>
      <c r="H107" s="35">
        <f>+H103-H105</f>
        <v>-19835.537351556923</v>
      </c>
      <c r="I107" s="14"/>
      <c r="J107" s="32">
        <f>IF(H$12=0,0,H107/H$12)</f>
        <v>-0.29169907869936651</v>
      </c>
      <c r="K107" s="16"/>
      <c r="L107" s="35">
        <f>D107-H107</f>
        <v>-17163.33264844308</v>
      </c>
      <c r="M107" s="16"/>
      <c r="N107" s="32">
        <f>IF(H107=0,0,L107/H107)</f>
        <v>0.86528196056639239</v>
      </c>
      <c r="O107" s="28"/>
      <c r="P107" s="35">
        <f>+P103-P105</f>
        <v>-351636.33000000019</v>
      </c>
      <c r="Q107" s="14"/>
      <c r="R107" s="32">
        <f>IF(P$12=0,0,P107/P$12)</f>
        <v>-0.53949747596193343</v>
      </c>
      <c r="S107" s="14"/>
      <c r="T107" s="35">
        <f>+T103-T105</f>
        <v>-208301.27045502618</v>
      </c>
      <c r="U107" s="14"/>
      <c r="V107" s="32">
        <f>IF(T$12=0,0,T107/T$12)</f>
        <v>-0.22611212233104239</v>
      </c>
      <c r="W107" s="16"/>
      <c r="X107" s="35">
        <f>P107-T107</f>
        <v>-143335.05954497401</v>
      </c>
      <c r="Y107" s="16"/>
      <c r="Z107" s="32">
        <f>IF(T107=0,0,X107/T107)</f>
        <v>0.68811418783891254</v>
      </c>
    </row>
    <row r="108" spans="1:26" ht="15.75" thickTop="1" x14ac:dyDescent="0.25">
      <c r="A108" s="9"/>
      <c r="B108" s="9"/>
      <c r="C108" s="9"/>
      <c r="D108" s="3"/>
      <c r="E108" s="3"/>
      <c r="F108" s="8"/>
      <c r="G108" s="3"/>
      <c r="H108" s="3"/>
      <c r="I108" s="3"/>
      <c r="J108" s="8"/>
      <c r="K108" s="3"/>
      <c r="L108" s="3"/>
      <c r="M108" s="3"/>
      <c r="N108" s="8"/>
      <c r="P108" s="3"/>
      <c r="Q108" s="3"/>
      <c r="R108" s="8"/>
      <c r="S108" s="3"/>
      <c r="T108" s="3"/>
      <c r="U108" s="3"/>
      <c r="V108" s="8"/>
      <c r="W108" s="3"/>
      <c r="X108" s="3"/>
      <c r="Y108" s="3"/>
      <c r="Z108" s="8"/>
    </row>
    <row r="109" spans="1:26" x14ac:dyDescent="0.25">
      <c r="A109" s="9"/>
      <c r="B109" s="9"/>
      <c r="C109" s="9"/>
      <c r="D109" s="3"/>
      <c r="E109" s="3"/>
      <c r="F109" s="8"/>
      <c r="G109" s="3"/>
      <c r="H109" s="3"/>
      <c r="I109" s="3"/>
      <c r="J109" s="8"/>
      <c r="K109" s="3"/>
      <c r="L109" s="3"/>
      <c r="M109" s="3"/>
      <c r="N109" s="8"/>
      <c r="P109" s="3"/>
      <c r="Q109" s="3"/>
      <c r="R109" s="8"/>
      <c r="S109" s="3"/>
      <c r="T109" s="3"/>
      <c r="U109" s="3"/>
      <c r="V109" s="8"/>
      <c r="W109" s="3"/>
      <c r="X109" s="3"/>
      <c r="Y109" s="3"/>
      <c r="Z109" s="8"/>
    </row>
    <row r="110" spans="1:26" s="23" customFormat="1" ht="15.75" thickBot="1" x14ac:dyDescent="0.3">
      <c r="A110" s="10"/>
      <c r="B110" s="29" t="s">
        <v>5</v>
      </c>
      <c r="C110" s="29"/>
      <c r="D110" s="34">
        <f>SUM(D107:D109)</f>
        <v>-36998.870000000003</v>
      </c>
      <c r="E110" s="14"/>
      <c r="F110" s="31">
        <f>IF(D$12=0,0,D110/D$12)</f>
        <v>0</v>
      </c>
      <c r="G110" s="14"/>
      <c r="H110" s="34">
        <f>SUM(H107:H109)</f>
        <v>-19835.537351556923</v>
      </c>
      <c r="I110" s="14"/>
      <c r="J110" s="31">
        <f>IF(H$12=0,0,H110/H$12)</f>
        <v>-0.29169907869936651</v>
      </c>
      <c r="K110" s="16"/>
      <c r="L110" s="34">
        <f>+D110-H110</f>
        <v>-17163.33264844308</v>
      </c>
      <c r="M110" s="16"/>
      <c r="N110" s="31">
        <f>IF(H110=0,0,L110/H110)</f>
        <v>0.86528196056639239</v>
      </c>
      <c r="O110" s="28"/>
      <c r="P110" s="34">
        <f>SUM(P107:P109)</f>
        <v>-351636.33000000019</v>
      </c>
      <c r="Q110" s="14"/>
      <c r="R110" s="31">
        <f>IF(P$12=0,0,P110/P$12)</f>
        <v>-0.53949747596193343</v>
      </c>
      <c r="S110" s="14"/>
      <c r="T110" s="34">
        <f>SUM(T107:T109)</f>
        <v>-208301.27045502618</v>
      </c>
      <c r="U110" s="14"/>
      <c r="V110" s="31">
        <f>IF(T$12=0,0,T110/T$12)</f>
        <v>-0.22611212233104239</v>
      </c>
      <c r="W110" s="16"/>
      <c r="X110" s="34">
        <f>+P110-T110</f>
        <v>-143335.05954497401</v>
      </c>
      <c r="Y110" s="16"/>
      <c r="Z110" s="31">
        <f>IF(T110=0,0,X110/T110)</f>
        <v>0.68811418783891254</v>
      </c>
    </row>
    <row r="111" spans="1:26" ht="15.75" thickTop="1" x14ac:dyDescent="0.25">
      <c r="A111" s="9"/>
      <c r="C111" s="9"/>
      <c r="D111" s="18"/>
      <c r="E111" s="18"/>
      <c r="G111" s="18"/>
      <c r="H111" s="18"/>
      <c r="I111" s="18"/>
      <c r="J111" s="42"/>
      <c r="K111" s="18"/>
      <c r="L111" s="18"/>
      <c r="M111" s="18"/>
      <c r="P111" s="18"/>
      <c r="Q111" s="18"/>
      <c r="R111" s="42"/>
      <c r="S111" s="18"/>
      <c r="T111" s="18"/>
      <c r="U111" s="18"/>
      <c r="V111" s="42"/>
      <c r="W111" s="18"/>
      <c r="X111" s="18"/>
    </row>
    <row r="112" spans="1:26" x14ac:dyDescent="0.25">
      <c r="A112" s="9"/>
      <c r="B112" s="59">
        <v>43992.372124768517</v>
      </c>
      <c r="D112" s="18"/>
      <c r="E112" s="18"/>
      <c r="G112" s="18"/>
      <c r="H112" s="18"/>
      <c r="I112" s="18"/>
      <c r="J112" s="42"/>
      <c r="K112" s="18"/>
      <c r="L112" s="18"/>
      <c r="M112" s="18"/>
      <c r="P112" s="18"/>
      <c r="Q112" s="18"/>
      <c r="R112" s="42"/>
      <c r="S112" s="18"/>
      <c r="T112" s="18"/>
      <c r="U112" s="18"/>
      <c r="V112" s="42"/>
      <c r="W112" s="18"/>
      <c r="X112" s="18"/>
    </row>
    <row r="113" spans="1:24" x14ac:dyDescent="0.25">
      <c r="A113" s="9"/>
      <c r="B113" s="56" t="s">
        <v>314</v>
      </c>
      <c r="D113" s="18"/>
      <c r="E113" s="18"/>
      <c r="G113" s="18"/>
      <c r="H113" s="18"/>
      <c r="I113" s="18"/>
      <c r="J113" s="42"/>
      <c r="K113" s="18"/>
      <c r="L113" s="18"/>
      <c r="M113" s="18"/>
      <c r="P113" s="18"/>
      <c r="Q113" s="18"/>
      <c r="R113" s="42"/>
      <c r="S113" s="18"/>
      <c r="T113" s="18"/>
      <c r="U113" s="18"/>
      <c r="V113" s="42"/>
      <c r="W113" s="18"/>
      <c r="X113" s="18"/>
    </row>
    <row r="114" spans="1:24" x14ac:dyDescent="0.25">
      <c r="A114" s="9"/>
      <c r="B114" s="54"/>
      <c r="D114" s="18"/>
      <c r="E114" s="18"/>
      <c r="G114" s="18"/>
      <c r="H114" s="18"/>
      <c r="I114" s="18"/>
      <c r="J114" s="42"/>
      <c r="K114" s="18"/>
      <c r="L114" s="18"/>
      <c r="M114" s="18"/>
      <c r="P114" s="18"/>
      <c r="Q114" s="18"/>
      <c r="R114" s="42"/>
      <c r="S114" s="18"/>
      <c r="T114" s="18"/>
      <c r="U114" s="18"/>
      <c r="V114" s="42"/>
      <c r="W114" s="18"/>
      <c r="X114" s="18"/>
    </row>
    <row r="115" spans="1:24" x14ac:dyDescent="0.25">
      <c r="D115" s="18"/>
      <c r="E115" s="18"/>
      <c r="G115" s="18"/>
      <c r="H115" s="18"/>
      <c r="I115" s="18"/>
      <c r="J115" s="42"/>
      <c r="K115" s="18"/>
      <c r="L115" s="18"/>
      <c r="M115" s="18"/>
      <c r="P115" s="18"/>
      <c r="Q115" s="18"/>
      <c r="R115" s="42"/>
      <c r="S115" s="18"/>
      <c r="T115" s="18"/>
      <c r="U115" s="18"/>
      <c r="V115" s="42"/>
      <c r="W115" s="18"/>
      <c r="X115" s="18"/>
    </row>
  </sheetData>
  <pageMargins left="0.25" right="0.25" top="0.75" bottom="0.75" header="0.3" footer="0.3"/>
  <pageSetup scale="55" fitToWidth="2" orientation="landscape"/>
  <drawing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110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63" t="s">
        <v>13</v>
      </c>
    </row>
    <row r="3" spans="1:26" x14ac:dyDescent="0.25">
      <c r="D3" s="63" t="s">
        <v>296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61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63" t="str">
        <f>CONCATENATE("Period ",RIGHT(202011,2),", ",2020)</f>
        <v>Period 11, 2020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61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4">
        <v>43981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61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51"/>
      <c r="C6" s="51"/>
      <c r="D6" s="23" t="str">
        <f>CONCATENATE("Department ","418", " - ", "Nugget")</f>
        <v>Department 418 - Nugget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57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5" t="s">
        <v>294</v>
      </c>
      <c r="E9" s="15"/>
      <c r="F9" s="38"/>
      <c r="G9" s="15"/>
      <c r="H9" s="15"/>
      <c r="I9" s="15"/>
      <c r="J9" s="46"/>
      <c r="K9" s="15"/>
      <c r="L9" s="15"/>
      <c r="M9" s="15"/>
      <c r="N9" s="38"/>
      <c r="P9" s="15" t="s">
        <v>295</v>
      </c>
      <c r="Q9" s="15"/>
      <c r="R9" s="38"/>
      <c r="S9" s="15"/>
      <c r="T9" s="15"/>
      <c r="U9" s="15"/>
      <c r="V9" s="46"/>
      <c r="W9" s="15"/>
      <c r="X9" s="15"/>
      <c r="Y9" s="15"/>
      <c r="Z9" s="38"/>
    </row>
    <row r="10" spans="1:26" x14ac:dyDescent="0.25">
      <c r="A10" s="10"/>
      <c r="B10" s="55"/>
      <c r="C10" s="10"/>
      <c r="D10" s="43" t="s">
        <v>10</v>
      </c>
      <c r="E10" s="33"/>
      <c r="F10" s="40" t="s">
        <v>15</v>
      </c>
      <c r="G10" s="33"/>
      <c r="H10" s="47" t="s">
        <v>11</v>
      </c>
      <c r="I10" s="33"/>
      <c r="J10" s="45" t="s">
        <v>16</v>
      </c>
      <c r="K10" s="10"/>
      <c r="L10" s="43" t="s">
        <v>12</v>
      </c>
      <c r="M10" s="10"/>
      <c r="N10" s="40" t="s">
        <v>17</v>
      </c>
      <c r="O10" s="10"/>
      <c r="P10" s="53" t="s">
        <v>10</v>
      </c>
      <c r="Q10" s="33"/>
      <c r="R10" s="40" t="s">
        <v>15</v>
      </c>
      <c r="S10" s="33"/>
      <c r="T10" s="47" t="s">
        <v>11</v>
      </c>
      <c r="U10" s="33"/>
      <c r="V10" s="45" t="s">
        <v>16</v>
      </c>
      <c r="W10" s="10"/>
      <c r="X10" s="43" t="s">
        <v>12</v>
      </c>
      <c r="Y10" s="10"/>
      <c r="Z10" s="40" t="s">
        <v>17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0</v>
      </c>
      <c r="E12" s="4"/>
      <c r="F12" s="13"/>
      <c r="G12" s="4"/>
      <c r="H12" s="4">
        <f>SUM(OSRRefH13x_0)</f>
        <v>141000</v>
      </c>
      <c r="I12" s="4"/>
      <c r="J12" s="13"/>
      <c r="K12" s="4"/>
      <c r="L12" s="4">
        <f t="shared" ref="L12:L16" si="0">+D12-H12</f>
        <v>-141000</v>
      </c>
      <c r="M12" s="4"/>
      <c r="N12" s="13">
        <f t="shared" ref="N12:N16" si="1">IF(H12=0,0,L12/H12)</f>
        <v>-1</v>
      </c>
      <c r="O12" s="10"/>
      <c r="P12" s="4">
        <f>SUM(OSRRefP13x_0)</f>
        <v>1068795.77</v>
      </c>
      <c r="Q12" s="4"/>
      <c r="R12" s="13"/>
      <c r="S12" s="4"/>
      <c r="T12" s="4">
        <f>SUM(OSRRefT13x_0)</f>
        <v>1548650</v>
      </c>
      <c r="U12" s="4"/>
      <c r="V12" s="13"/>
      <c r="W12" s="4"/>
      <c r="X12" s="4">
        <f t="shared" ref="X12:X16" si="2">+P12-T12</f>
        <v>-479854.23</v>
      </c>
      <c r="Y12" s="4"/>
      <c r="Z12" s="13">
        <f t="shared" ref="Z12:Z16" si="3">IF(T12=0,0,X12/T12)</f>
        <v>-0.30985324637587575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 t="shared" ref="D13:D16" si="4">0</f>
        <v>0</v>
      </c>
      <c r="E13" s="2"/>
      <c r="F13" s="19"/>
      <c r="G13" s="2"/>
      <c r="H13" s="2">
        <v>55200</v>
      </c>
      <c r="I13" s="2"/>
      <c r="J13" s="19"/>
      <c r="K13" s="2"/>
      <c r="L13" s="2">
        <f t="shared" si="0"/>
        <v>-55200</v>
      </c>
      <c r="M13" s="2"/>
      <c r="N13" s="19">
        <f t="shared" si="1"/>
        <v>-1</v>
      </c>
      <c r="O13" s="11"/>
      <c r="P13" s="2">
        <f>0</f>
        <v>0</v>
      </c>
      <c r="Q13" s="2"/>
      <c r="R13" s="19"/>
      <c r="S13" s="2"/>
      <c r="T13" s="2">
        <v>607380</v>
      </c>
      <c r="U13" s="2"/>
      <c r="V13" s="19"/>
      <c r="W13" s="2"/>
      <c r="X13" s="2">
        <f t="shared" si="2"/>
        <v>-607380</v>
      </c>
      <c r="Y13" s="2"/>
      <c r="Z13" s="19">
        <f t="shared" si="3"/>
        <v>-1</v>
      </c>
    </row>
    <row r="14" spans="1:26" s="24" customFormat="1" hidden="1" outlineLevel="1" x14ac:dyDescent="0.25">
      <c r="A14" s="44"/>
      <c r="B14" s="11" t="str">
        <f>CONCATENATE("          ", "4055", " - ", "TAXABLE SALES-FOOD")</f>
        <v xml:space="preserve">          4055 - TAXABLE SALES-FOOD</v>
      </c>
      <c r="C14" s="11"/>
      <c r="D14" s="2">
        <f t="shared" si="4"/>
        <v>0</v>
      </c>
      <c r="E14" s="2"/>
      <c r="F14" s="19"/>
      <c r="G14" s="2"/>
      <c r="H14" s="2"/>
      <c r="I14" s="2"/>
      <c r="J14" s="19"/>
      <c r="K14" s="2"/>
      <c r="L14" s="2">
        <f t="shared" si="0"/>
        <v>0</v>
      </c>
      <c r="M14" s="2"/>
      <c r="N14" s="19">
        <f t="shared" si="1"/>
        <v>0</v>
      </c>
      <c r="O14" s="11"/>
      <c r="P14" s="2">
        <f>--381406.04</f>
        <v>381406.04</v>
      </c>
      <c r="Q14" s="2"/>
      <c r="R14" s="19"/>
      <c r="S14" s="2"/>
      <c r="T14" s="2"/>
      <c r="U14" s="2"/>
      <c r="V14" s="19"/>
      <c r="W14" s="2"/>
      <c r="X14" s="2">
        <f t="shared" si="2"/>
        <v>381406.04</v>
      </c>
      <c r="Y14" s="2"/>
      <c r="Z14" s="19">
        <f t="shared" si="3"/>
        <v>0</v>
      </c>
    </row>
    <row r="15" spans="1:26" s="24" customFormat="1" hidden="1" outlineLevel="1" x14ac:dyDescent="0.25">
      <c r="A15" s="44"/>
      <c r="B15" s="11" t="str">
        <f>CONCATENATE("          ", "4100", " - ", "NON-TAXABLE SALES")</f>
        <v xml:space="preserve">          4100 - NON-TAXABLE SALES</v>
      </c>
      <c r="C15" s="11"/>
      <c r="D15" s="2">
        <f t="shared" si="4"/>
        <v>0</v>
      </c>
      <c r="E15" s="2"/>
      <c r="F15" s="19"/>
      <c r="G15" s="2"/>
      <c r="H15" s="2">
        <v>85800</v>
      </c>
      <c r="I15" s="2"/>
      <c r="J15" s="19"/>
      <c r="K15" s="2"/>
      <c r="L15" s="2">
        <f t="shared" si="0"/>
        <v>-85800</v>
      </c>
      <c r="M15" s="2"/>
      <c r="N15" s="19">
        <f t="shared" si="1"/>
        <v>-1</v>
      </c>
      <c r="O15" s="11"/>
      <c r="P15" s="2">
        <f>0</f>
        <v>0</v>
      </c>
      <c r="Q15" s="2"/>
      <c r="R15" s="19"/>
      <c r="S15" s="2"/>
      <c r="T15" s="2">
        <v>941270</v>
      </c>
      <c r="U15" s="2"/>
      <c r="V15" s="19"/>
      <c r="W15" s="2"/>
      <c r="X15" s="2">
        <f t="shared" si="2"/>
        <v>-941270</v>
      </c>
      <c r="Y15" s="2"/>
      <c r="Z15" s="19">
        <f t="shared" si="3"/>
        <v>-1</v>
      </c>
    </row>
    <row r="16" spans="1:26" s="24" customFormat="1" hidden="1" outlineLevel="1" x14ac:dyDescent="0.25">
      <c r="A16" s="44"/>
      <c r="B16" s="11" t="str">
        <f>CONCATENATE("          ", "4155", " - ", "NON-TAXABLE SALES-FOOD")</f>
        <v xml:space="preserve">          4155 - NON-TAXABLE SALES-FOOD</v>
      </c>
      <c r="C16" s="11"/>
      <c r="D16" s="2">
        <f t="shared" si="4"/>
        <v>0</v>
      </c>
      <c r="E16" s="2"/>
      <c r="F16" s="19"/>
      <c r="G16" s="2"/>
      <c r="H16" s="2"/>
      <c r="I16" s="2"/>
      <c r="J16" s="19"/>
      <c r="K16" s="2"/>
      <c r="L16" s="2">
        <f t="shared" si="0"/>
        <v>0</v>
      </c>
      <c r="M16" s="2"/>
      <c r="N16" s="19">
        <f t="shared" si="1"/>
        <v>0</v>
      </c>
      <c r="O16" s="11"/>
      <c r="P16" s="2">
        <f>--687389.73</f>
        <v>687389.73</v>
      </c>
      <c r="Q16" s="2"/>
      <c r="R16" s="19"/>
      <c r="S16" s="2"/>
      <c r="T16" s="2"/>
      <c r="U16" s="2"/>
      <c r="V16" s="19"/>
      <c r="W16" s="2"/>
      <c r="X16" s="2">
        <f t="shared" si="2"/>
        <v>687389.73</v>
      </c>
      <c r="Y16" s="2"/>
      <c r="Z16" s="19">
        <f t="shared" si="3"/>
        <v>0</v>
      </c>
    </row>
    <row r="17" spans="1:26" x14ac:dyDescent="0.25">
      <c r="A17" s="9"/>
      <c r="B17" s="10"/>
      <c r="C17" s="9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collapsed="1" x14ac:dyDescent="0.25">
      <c r="A18" s="10"/>
      <c r="B18" s="28" t="s">
        <v>8</v>
      </c>
      <c r="C18" s="10"/>
      <c r="D18" s="4">
        <f>SUM(OSRRefD16x_0)</f>
        <v>0</v>
      </c>
      <c r="E18" s="4"/>
      <c r="F18" s="13">
        <f t="shared" ref="F18:F21" si="5">IF(D$12=0,0,D18/D$12)</f>
        <v>0</v>
      </c>
      <c r="G18" s="4"/>
      <c r="H18" s="4">
        <f>SUM(OSRRefH16x_0)</f>
        <v>43332</v>
      </c>
      <c r="I18" s="4"/>
      <c r="J18" s="13">
        <f t="shared" ref="J18:J21" si="6">IF(H$12=0,0,H18/H$12)</f>
        <v>0.30731914893617024</v>
      </c>
      <c r="K18" s="4"/>
      <c r="L18" s="4">
        <f t="shared" ref="L18:L21" si="7">+D18-H18</f>
        <v>-43332</v>
      </c>
      <c r="M18" s="4"/>
      <c r="N18" s="13">
        <f t="shared" ref="N18:N21" si="8">IF(H18=0,0,L18/H18)</f>
        <v>-1</v>
      </c>
      <c r="O18" s="10"/>
      <c r="P18" s="4">
        <f>SUM(OSRRefP16x_0)</f>
        <v>362175.06999999995</v>
      </c>
      <c r="Q18" s="4"/>
      <c r="R18" s="13">
        <f t="shared" ref="R18:R21" si="9">IF(P$12=0,0,P18/P$12)</f>
        <v>0.33886274643470937</v>
      </c>
      <c r="S18" s="4"/>
      <c r="T18" s="4">
        <f>SUM(OSRRefT16x_0)</f>
        <v>476839.99999999994</v>
      </c>
      <c r="U18" s="4"/>
      <c r="V18" s="13">
        <f t="shared" ref="V18:V21" si="10">IF(T$12=0,0,T18/T$12)</f>
        <v>0.30790688664320531</v>
      </c>
      <c r="W18" s="4"/>
      <c r="X18" s="4">
        <f t="shared" ref="X18:X21" si="11">+P18-T18</f>
        <v>-114664.93</v>
      </c>
      <c r="Y18" s="4"/>
      <c r="Z18" s="13">
        <f t="shared" ref="Z18:Z21" si="12">IF(T18=0,0,X18/T18)</f>
        <v>-0.24046835416491907</v>
      </c>
    </row>
    <row r="19" spans="1:26" s="24" customFormat="1" hidden="1" outlineLevel="1" x14ac:dyDescent="0.25">
      <c r="A19" s="44"/>
      <c r="B19" s="11" t="str">
        <f>CONCATENATE("          ", "5000", " - ", "PURCHASES @ COST")</f>
        <v xml:space="preserve">          5000 - PURCHASES @ COST</v>
      </c>
      <c r="C19" s="11"/>
      <c r="D19" s="2"/>
      <c r="E19" s="2"/>
      <c r="F19" s="19">
        <f t="shared" si="5"/>
        <v>0</v>
      </c>
      <c r="G19" s="2"/>
      <c r="H19" s="2">
        <v>43332</v>
      </c>
      <c r="I19" s="2"/>
      <c r="J19" s="19">
        <f t="shared" si="6"/>
        <v>0.30731914893617024</v>
      </c>
      <c r="K19" s="2"/>
      <c r="L19" s="2">
        <f t="shared" si="7"/>
        <v>-43332</v>
      </c>
      <c r="M19" s="2"/>
      <c r="N19" s="19">
        <f t="shared" si="8"/>
        <v>-1</v>
      </c>
      <c r="O19" s="11"/>
      <c r="P19" s="2"/>
      <c r="Q19" s="2"/>
      <c r="R19" s="19">
        <f t="shared" si="9"/>
        <v>0</v>
      </c>
      <c r="S19" s="2"/>
      <c r="T19" s="2">
        <v>476839.99999999994</v>
      </c>
      <c r="U19" s="2"/>
      <c r="V19" s="19">
        <f t="shared" si="10"/>
        <v>0.30790688664320531</v>
      </c>
      <c r="W19" s="2"/>
      <c r="X19" s="2">
        <f t="shared" si="11"/>
        <v>-476839.99999999994</v>
      </c>
      <c r="Y19" s="2"/>
      <c r="Z19" s="19">
        <f t="shared" si="12"/>
        <v>-1</v>
      </c>
    </row>
    <row r="20" spans="1:26" s="24" customFormat="1" hidden="1" outlineLevel="1" x14ac:dyDescent="0.25">
      <c r="A20" s="44"/>
      <c r="B20" s="11" t="str">
        <f>CONCATENATE("          ", "5053", " - ", "PURCHASES @ COST-FOOD")</f>
        <v xml:space="preserve">          5053 - PURCHASES @ COST-FOOD</v>
      </c>
      <c r="C20" s="11"/>
      <c r="D20" s="2"/>
      <c r="E20" s="2"/>
      <c r="F20" s="19">
        <f t="shared" si="5"/>
        <v>0</v>
      </c>
      <c r="G20" s="2"/>
      <c r="H20" s="2"/>
      <c r="I20" s="2"/>
      <c r="J20" s="19">
        <f t="shared" si="6"/>
        <v>0</v>
      </c>
      <c r="K20" s="2"/>
      <c r="L20" s="2">
        <f t="shared" si="7"/>
        <v>0</v>
      </c>
      <c r="M20" s="2"/>
      <c r="N20" s="19">
        <f t="shared" si="8"/>
        <v>0</v>
      </c>
      <c r="O20" s="11"/>
      <c r="P20" s="2">
        <v>360936.39999999997</v>
      </c>
      <c r="Q20" s="2"/>
      <c r="R20" s="19">
        <f t="shared" si="9"/>
        <v>0.33770380659347105</v>
      </c>
      <c r="S20" s="2"/>
      <c r="T20" s="2"/>
      <c r="U20" s="2"/>
      <c r="V20" s="19">
        <f t="shared" si="10"/>
        <v>0</v>
      </c>
      <c r="W20" s="2"/>
      <c r="X20" s="2">
        <f t="shared" si="11"/>
        <v>360936.39999999997</v>
      </c>
      <c r="Y20" s="2"/>
      <c r="Z20" s="19">
        <f t="shared" si="12"/>
        <v>0</v>
      </c>
    </row>
    <row r="21" spans="1:26" s="24" customFormat="1" hidden="1" outlineLevel="1" x14ac:dyDescent="0.25">
      <c r="A21" s="44"/>
      <c r="B21" s="11" t="str">
        <f>CONCATENATE("          ", "5059", " - ", "PURCHASES @ COST-FOOD")</f>
        <v xml:space="preserve">          5059 - PURCHASES @ COST-FOOD</v>
      </c>
      <c r="C21" s="11"/>
      <c r="D21" s="2"/>
      <c r="E21" s="2"/>
      <c r="F21" s="19">
        <f t="shared" si="5"/>
        <v>0</v>
      </c>
      <c r="G21" s="2"/>
      <c r="H21" s="2"/>
      <c r="I21" s="2"/>
      <c r="J21" s="19">
        <f t="shared" si="6"/>
        <v>0</v>
      </c>
      <c r="K21" s="2"/>
      <c r="L21" s="2">
        <f t="shared" si="7"/>
        <v>0</v>
      </c>
      <c r="M21" s="2"/>
      <c r="N21" s="19">
        <f t="shared" si="8"/>
        <v>0</v>
      </c>
      <c r="O21" s="11"/>
      <c r="P21" s="2">
        <v>1238.67</v>
      </c>
      <c r="Q21" s="2"/>
      <c r="R21" s="19">
        <f t="shared" si="9"/>
        <v>1.1589398412383313E-3</v>
      </c>
      <c r="S21" s="2"/>
      <c r="T21" s="2"/>
      <c r="U21" s="2"/>
      <c r="V21" s="19">
        <f t="shared" si="10"/>
        <v>0</v>
      </c>
      <c r="W21" s="2"/>
      <c r="X21" s="2">
        <f t="shared" si="11"/>
        <v>1238.67</v>
      </c>
      <c r="Y21" s="2"/>
      <c r="Z21" s="19">
        <f t="shared" si="12"/>
        <v>0</v>
      </c>
    </row>
    <row r="22" spans="1:26" x14ac:dyDescent="0.25">
      <c r="A22" s="9"/>
      <c r="B22" s="10"/>
      <c r="C22" s="10"/>
      <c r="D22" s="3"/>
      <c r="E22" s="3"/>
      <c r="F22" s="8"/>
      <c r="G22" s="3"/>
      <c r="H22" s="3"/>
      <c r="I22" s="3"/>
      <c r="J22" s="8"/>
      <c r="K22" s="3"/>
      <c r="L22" s="3"/>
      <c r="M22" s="3"/>
      <c r="N22" s="8"/>
      <c r="O22" s="10"/>
      <c r="P22" s="3"/>
      <c r="Q22" s="3"/>
      <c r="R22" s="8"/>
      <c r="S22" s="3"/>
      <c r="T22" s="3"/>
      <c r="U22" s="3"/>
      <c r="V22" s="8"/>
      <c r="W22" s="3"/>
      <c r="X22" s="3"/>
      <c r="Y22" s="3"/>
      <c r="Z22" s="8"/>
    </row>
    <row r="23" spans="1:26" s="23" customFormat="1" x14ac:dyDescent="0.25">
      <c r="A23" s="10"/>
      <c r="B23" s="29" t="s">
        <v>6</v>
      </c>
      <c r="C23" s="29"/>
      <c r="D23" s="20">
        <f>D12-D18</f>
        <v>0</v>
      </c>
      <c r="E23" s="14"/>
      <c r="F23" s="22">
        <f>IF(D$12=0,0,D23/D$12)</f>
        <v>0</v>
      </c>
      <c r="G23" s="14"/>
      <c r="H23" s="20">
        <f>H12-H18</f>
        <v>97668</v>
      </c>
      <c r="I23" s="14"/>
      <c r="J23" s="22">
        <f>IF(H$12=0,0,H23/H$12)</f>
        <v>0.69268085106382982</v>
      </c>
      <c r="K23" s="16"/>
      <c r="L23" s="20">
        <f>+D23-H23</f>
        <v>-97668</v>
      </c>
      <c r="M23" s="16"/>
      <c r="N23" s="22">
        <f>IF(H23=0,0,L23/H23)</f>
        <v>-1</v>
      </c>
      <c r="O23" s="28"/>
      <c r="P23" s="20">
        <f>P12-P18</f>
        <v>706620.70000000007</v>
      </c>
      <c r="Q23" s="14"/>
      <c r="R23" s="22">
        <f>IF(P$12=0,0,P23/P$12)</f>
        <v>0.66113725356529063</v>
      </c>
      <c r="S23" s="14"/>
      <c r="T23" s="20">
        <f>T12-T18</f>
        <v>1071810</v>
      </c>
      <c r="U23" s="14"/>
      <c r="V23" s="22">
        <f>IF(T$12=0,0,T23/T$12)</f>
        <v>0.69209311335679458</v>
      </c>
      <c r="W23" s="16"/>
      <c r="X23" s="20">
        <f>+P23-T23</f>
        <v>-365189.29999999993</v>
      </c>
      <c r="Y23" s="16"/>
      <c r="Z23" s="22">
        <f>IF(T23=0,0,X23/T23)</f>
        <v>-0.34072204961700298</v>
      </c>
    </row>
    <row r="24" spans="1:26" x14ac:dyDescent="0.25">
      <c r="A24" s="9"/>
      <c r="B24" s="10"/>
      <c r="C24" s="9"/>
      <c r="D24" s="1"/>
      <c r="E24" s="1"/>
      <c r="F24" s="5"/>
      <c r="G24" s="1"/>
      <c r="H24" s="1"/>
      <c r="I24" s="1"/>
      <c r="J24" s="5"/>
      <c r="K24" s="1"/>
      <c r="L24" s="1"/>
      <c r="M24" s="1"/>
      <c r="N24" s="5"/>
      <c r="O24" s="36"/>
      <c r="P24" s="1"/>
      <c r="Q24" s="1"/>
      <c r="R24" s="5"/>
      <c r="S24" s="1"/>
      <c r="T24" s="1"/>
      <c r="U24" s="1"/>
      <c r="V24" s="5"/>
      <c r="W24" s="1"/>
      <c r="X24" s="1"/>
      <c r="Y24" s="1"/>
      <c r="Z24" s="5"/>
    </row>
    <row r="25" spans="1:26" s="23" customFormat="1" x14ac:dyDescent="0.25">
      <c r="A25" s="10"/>
      <c r="B25" s="28" t="s">
        <v>9</v>
      </c>
      <c r="C25" s="10"/>
      <c r="D25" s="21">
        <f>SUM(OSRRefD22x_0)</f>
        <v>18226.7</v>
      </c>
      <c r="E25" s="21"/>
      <c r="F25" s="30">
        <f t="shared" ref="F25:F35" si="13">IF(D$12=0,0,D25/D$12)</f>
        <v>0</v>
      </c>
      <c r="G25" s="21"/>
      <c r="H25" s="21">
        <f>SUM(OSRRefH22x_0)</f>
        <v>61167.092005173072</v>
      </c>
      <c r="I25" s="21"/>
      <c r="J25" s="30">
        <f t="shared" ref="J25:J35" si="14">IF(H$12=0,0,H25/H$12)</f>
        <v>0.43380916315725582</v>
      </c>
      <c r="K25" s="4"/>
      <c r="L25" s="21">
        <f t="shared" ref="L25:L35" si="15">+D25-H25</f>
        <v>-42940.392005173067</v>
      </c>
      <c r="M25" s="4"/>
      <c r="N25" s="30">
        <f t="shared" ref="N25:N35" si="16">IF(H25=0,0,L25/H25)</f>
        <v>-0.7020178759117971</v>
      </c>
      <c r="O25" s="10"/>
      <c r="P25" s="21">
        <f>SUM(OSRRefP22x_0)</f>
        <v>594622.28999999992</v>
      </c>
      <c r="Q25" s="21"/>
      <c r="R25" s="30">
        <f t="shared" ref="R25:R35" si="17">IF(P$12=0,0,P25/P$12)</f>
        <v>0.55634790732751493</v>
      </c>
      <c r="S25" s="21"/>
      <c r="T25" s="21">
        <f>SUM(OSRRefT22x_0)</f>
        <v>715529.82638774626</v>
      </c>
      <c r="U25" s="21"/>
      <c r="V25" s="30">
        <f t="shared" ref="V25:V35" si="18">IF(T$12=0,0,T25/T$12)</f>
        <v>0.46203456325686648</v>
      </c>
      <c r="W25" s="4"/>
      <c r="X25" s="21">
        <f t="shared" ref="X25:X35" si="19">+P25-T25</f>
        <v>-120907.53638774634</v>
      </c>
      <c r="Y25" s="4"/>
      <c r="Z25" s="30">
        <f t="shared" ref="Z25:Z35" si="20">IF(T25=0,0,X25/T25)</f>
        <v>-0.16897623541164089</v>
      </c>
    </row>
    <row r="26" spans="1:26" s="27" customFormat="1" outlineLevel="1" collapsed="1" x14ac:dyDescent="0.25">
      <c r="A26" s="25"/>
      <c r="B26" s="12" t="str">
        <f>CONCATENATE("     ","*Benefits                                         ")</f>
        <v xml:space="preserve">     *Benefits                                         </v>
      </c>
      <c r="C26" s="12"/>
      <c r="D26" s="1">
        <f>SUM(OSRRefD22_0x_0)</f>
        <v>6645.01</v>
      </c>
      <c r="E26" s="1"/>
      <c r="F26" s="5">
        <f t="shared" si="13"/>
        <v>0</v>
      </c>
      <c r="G26" s="1"/>
      <c r="H26" s="1">
        <f>SUM(OSRRefH22_0x_0)</f>
        <v>10284.880082096153</v>
      </c>
      <c r="I26" s="1"/>
      <c r="J26" s="5">
        <f t="shared" si="14"/>
        <v>7.2942411929759948E-2</v>
      </c>
      <c r="K26" s="1"/>
      <c r="L26" s="1">
        <f t="shared" si="15"/>
        <v>-3639.8700820961531</v>
      </c>
      <c r="M26" s="1"/>
      <c r="N26" s="5">
        <f t="shared" si="16"/>
        <v>-0.35390496078144978</v>
      </c>
      <c r="O26" s="12"/>
      <c r="P26" s="1">
        <f>SUM(OSRRefP22_0x_0)</f>
        <v>86776.140000000014</v>
      </c>
      <c r="Q26" s="1"/>
      <c r="R26" s="5">
        <f t="shared" si="17"/>
        <v>8.1190572077207993E-2</v>
      </c>
      <c r="S26" s="1"/>
      <c r="T26" s="1">
        <f>SUM(OSRRefT22_0x_0)</f>
        <v>116664.97131082306</v>
      </c>
      <c r="U26" s="1"/>
      <c r="V26" s="5">
        <f t="shared" si="18"/>
        <v>7.5333336332175163E-2</v>
      </c>
      <c r="W26" s="1"/>
      <c r="X26" s="1">
        <f t="shared" si="19"/>
        <v>-29888.83131082305</v>
      </c>
      <c r="Y26" s="1"/>
      <c r="Z26" s="5">
        <f t="shared" si="20"/>
        <v>-0.25619370557416193</v>
      </c>
    </row>
    <row r="27" spans="1:26" s="24" customFormat="1" hidden="1" outlineLevel="2" x14ac:dyDescent="0.25">
      <c r="A27" s="26"/>
      <c r="B27" s="11" t="str">
        <f>CONCATENATE("          ", "6111", " - ", "F.I.C.A.")</f>
        <v xml:space="preserve">          6111 - F.I.C.A.</v>
      </c>
      <c r="C27" s="11"/>
      <c r="D27" s="7">
        <v>470.3</v>
      </c>
      <c r="E27" s="2"/>
      <c r="F27" s="6">
        <f t="shared" si="13"/>
        <v>0</v>
      </c>
      <c r="G27" s="2"/>
      <c r="H27" s="7">
        <v>992.16038094230817</v>
      </c>
      <c r="I27" s="2"/>
      <c r="J27" s="6">
        <f t="shared" si="14"/>
        <v>7.0365984463993487E-3</v>
      </c>
      <c r="K27" s="2"/>
      <c r="L27" s="7">
        <f t="shared" si="15"/>
        <v>-521.86038094230821</v>
      </c>
      <c r="M27" s="2"/>
      <c r="N27" s="6">
        <f t="shared" si="16"/>
        <v>-0.52598389430413384</v>
      </c>
      <c r="O27" s="11"/>
      <c r="P27" s="7">
        <v>18533.169999999998</v>
      </c>
      <c r="Q27" s="2"/>
      <c r="R27" s="6">
        <f t="shared" si="17"/>
        <v>1.7340235169531031E-2</v>
      </c>
      <c r="S27" s="2"/>
      <c r="T27" s="7">
        <v>11678.012874207683</v>
      </c>
      <c r="U27" s="2"/>
      <c r="V27" s="6">
        <f t="shared" si="18"/>
        <v>7.5407696214171592E-3</v>
      </c>
      <c r="W27" s="2"/>
      <c r="X27" s="7">
        <f t="shared" si="19"/>
        <v>6855.1571257923151</v>
      </c>
      <c r="Y27" s="2"/>
      <c r="Z27" s="6">
        <f t="shared" si="20"/>
        <v>0.58701400654667601</v>
      </c>
    </row>
    <row r="28" spans="1:26" s="24" customFormat="1" hidden="1" outlineLevel="2" x14ac:dyDescent="0.25">
      <c r="A28" s="26"/>
      <c r="B28" s="11" t="str">
        <f>CONCATENATE("          ", "6112", " - ", "COMPENSATION INSURANCE")</f>
        <v xml:space="preserve">          6112 - COMPENSATION INSURANCE</v>
      </c>
      <c r="C28" s="11"/>
      <c r="D28" s="7">
        <v>20.9</v>
      </c>
      <c r="E28" s="2"/>
      <c r="F28" s="6">
        <f t="shared" si="13"/>
        <v>0</v>
      </c>
      <c r="G28" s="2"/>
      <c r="H28" s="7">
        <v>1280.5894484615401</v>
      </c>
      <c r="I28" s="2"/>
      <c r="J28" s="6">
        <f t="shared" si="14"/>
        <v>9.0821946699400011E-3</v>
      </c>
      <c r="K28" s="2"/>
      <c r="L28" s="7">
        <f t="shared" si="15"/>
        <v>-1259.68944846154</v>
      </c>
      <c r="M28" s="2"/>
      <c r="N28" s="6">
        <f t="shared" si="16"/>
        <v>-0.9836793907484489</v>
      </c>
      <c r="O28" s="11"/>
      <c r="P28" s="7">
        <v>10577.82</v>
      </c>
      <c r="Q28" s="2"/>
      <c r="R28" s="6">
        <f t="shared" si="17"/>
        <v>9.8969515944098471E-3</v>
      </c>
      <c r="S28" s="2"/>
      <c r="T28" s="7">
        <v>15427.922645538461</v>
      </c>
      <c r="U28" s="2"/>
      <c r="V28" s="6">
        <f t="shared" si="18"/>
        <v>9.9621752142436716E-3</v>
      </c>
      <c r="W28" s="2"/>
      <c r="X28" s="7">
        <f t="shared" si="19"/>
        <v>-4850.1026455384617</v>
      </c>
      <c r="Y28" s="2"/>
      <c r="Z28" s="6">
        <f t="shared" si="20"/>
        <v>-0.31437172437087912</v>
      </c>
    </row>
    <row r="29" spans="1:26" s="24" customFormat="1" hidden="1" outlineLevel="2" x14ac:dyDescent="0.25">
      <c r="A29" s="26"/>
      <c r="B29" s="11" t="str">
        <f>CONCATENATE("          ", "6113", " - ", "GROUP INSURANCE")</f>
        <v xml:space="preserve">          6113 - GROUP INSURANCE</v>
      </c>
      <c r="C29" s="11"/>
      <c r="D29" s="7">
        <v>4780.67</v>
      </c>
      <c r="E29" s="2"/>
      <c r="F29" s="6">
        <f t="shared" si="13"/>
        <v>0</v>
      </c>
      <c r="G29" s="2"/>
      <c r="H29" s="7">
        <v>5182.9230769230799</v>
      </c>
      <c r="I29" s="2"/>
      <c r="J29" s="6">
        <f t="shared" si="14"/>
        <v>3.6758319694489928E-2</v>
      </c>
      <c r="K29" s="2"/>
      <c r="L29" s="7">
        <f t="shared" si="15"/>
        <v>-402.25307692307979</v>
      </c>
      <c r="M29" s="2"/>
      <c r="N29" s="6">
        <f t="shared" si="16"/>
        <v>-7.7611238089584644E-2</v>
      </c>
      <c r="O29" s="11"/>
      <c r="P29" s="7">
        <v>44806.3</v>
      </c>
      <c r="Q29" s="2"/>
      <c r="R29" s="6">
        <f t="shared" si="17"/>
        <v>4.1922228041752073E-2</v>
      </c>
      <c r="S29" s="2"/>
      <c r="T29" s="7">
        <v>56008.446153846169</v>
      </c>
      <c r="U29" s="2"/>
      <c r="V29" s="6">
        <f t="shared" si="18"/>
        <v>3.6165980792203643E-2</v>
      </c>
      <c r="W29" s="2"/>
      <c r="X29" s="7">
        <f t="shared" si="19"/>
        <v>-11202.146153846166</v>
      </c>
      <c r="Y29" s="2"/>
      <c r="Z29" s="6">
        <f t="shared" si="20"/>
        <v>-0.20000815811021927</v>
      </c>
    </row>
    <row r="30" spans="1:26" s="24" customFormat="1" hidden="1" outlineLevel="2" x14ac:dyDescent="0.25">
      <c r="A30" s="26"/>
      <c r="B30" s="11" t="str">
        <f>CONCATENATE("          ", "6114", " - ", "STATE UNEMPLOYMENT INSURANCE")</f>
        <v xml:space="preserve">          6114 - STATE UNEMPLOYMENT INSURANCE</v>
      </c>
      <c r="C30" s="11"/>
      <c r="D30" s="7">
        <v>15.98</v>
      </c>
      <c r="E30" s="2"/>
      <c r="F30" s="6">
        <f t="shared" si="13"/>
        <v>0</v>
      </c>
      <c r="G30" s="2"/>
      <c r="H30" s="7">
        <v>85.812695000000005</v>
      </c>
      <c r="I30" s="2"/>
      <c r="J30" s="6">
        <f t="shared" si="14"/>
        <v>6.0860067375886526E-4</v>
      </c>
      <c r="K30" s="2"/>
      <c r="L30" s="7">
        <f t="shared" si="15"/>
        <v>-69.832695000000001</v>
      </c>
      <c r="M30" s="2"/>
      <c r="N30" s="6">
        <f t="shared" si="16"/>
        <v>-0.81378046686448891</v>
      </c>
      <c r="O30" s="11"/>
      <c r="P30" s="7">
        <v>860.67</v>
      </c>
      <c r="Q30" s="2"/>
      <c r="R30" s="6">
        <f t="shared" si="17"/>
        <v>8.0527077684822796E-4</v>
      </c>
      <c r="S30" s="2"/>
      <c r="T30" s="7">
        <v>1033.829868</v>
      </c>
      <c r="U30" s="2"/>
      <c r="V30" s="6">
        <f t="shared" si="18"/>
        <v>6.6756844219158619E-4</v>
      </c>
      <c r="W30" s="2"/>
      <c r="X30" s="7">
        <f t="shared" si="19"/>
        <v>-173.15986800000007</v>
      </c>
      <c r="Y30" s="2"/>
      <c r="Z30" s="6">
        <f t="shared" si="20"/>
        <v>-0.16749358222256361</v>
      </c>
    </row>
    <row r="31" spans="1:26" s="24" customFormat="1" hidden="1" outlineLevel="2" x14ac:dyDescent="0.25">
      <c r="A31" s="26"/>
      <c r="B31" s="11" t="str">
        <f>CONCATENATE("          ", "6115", " - ", "P.E.R.S.")</f>
        <v xml:space="preserve">          6115 - P.E.R.S.</v>
      </c>
      <c r="C31" s="11"/>
      <c r="D31" s="7">
        <v>314.18</v>
      </c>
      <c r="E31" s="2"/>
      <c r="F31" s="6">
        <f t="shared" si="13"/>
        <v>0</v>
      </c>
      <c r="G31" s="2"/>
      <c r="H31" s="7">
        <v>776.77846153846201</v>
      </c>
      <c r="I31" s="2"/>
      <c r="J31" s="6">
        <f t="shared" si="14"/>
        <v>5.50906710310966E-3</v>
      </c>
      <c r="K31" s="2"/>
      <c r="L31" s="7">
        <f t="shared" si="15"/>
        <v>-462.598461538462</v>
      </c>
      <c r="M31" s="2"/>
      <c r="N31" s="6">
        <f t="shared" si="16"/>
        <v>-0.59553461436386201</v>
      </c>
      <c r="O31" s="11"/>
      <c r="P31" s="7">
        <v>5667.89</v>
      </c>
      <c r="Q31" s="2"/>
      <c r="R31" s="6">
        <f t="shared" si="17"/>
        <v>5.3030617813915942E-3</v>
      </c>
      <c r="S31" s="2"/>
      <c r="T31" s="7">
        <v>9321.3415384615419</v>
      </c>
      <c r="U31" s="2"/>
      <c r="V31" s="6">
        <f t="shared" si="18"/>
        <v>6.0190110989968952E-3</v>
      </c>
      <c r="W31" s="2"/>
      <c r="X31" s="7">
        <f t="shared" si="19"/>
        <v>-3653.4515384615415</v>
      </c>
      <c r="Y31" s="2"/>
      <c r="Z31" s="6">
        <f t="shared" si="20"/>
        <v>-0.39194482075211379</v>
      </c>
    </row>
    <row r="32" spans="1:26" s="24" customFormat="1" hidden="1" outlineLevel="2" x14ac:dyDescent="0.25">
      <c r="A32" s="26"/>
      <c r="B32" s="11" t="str">
        <f>CONCATENATE("          ", "6116", " - ", "EDUCATIONAL BENEFITS")</f>
        <v xml:space="preserve">          6116 - EDUCATIONAL BENEFITS</v>
      </c>
      <c r="C32" s="11"/>
      <c r="D32" s="7"/>
      <c r="E32" s="2"/>
      <c r="F32" s="6">
        <f t="shared" si="13"/>
        <v>0</v>
      </c>
      <c r="G32" s="2"/>
      <c r="H32" s="7">
        <v>0</v>
      </c>
      <c r="I32" s="2"/>
      <c r="J32" s="6">
        <f t="shared" si="14"/>
        <v>0</v>
      </c>
      <c r="K32" s="2"/>
      <c r="L32" s="7">
        <f t="shared" si="15"/>
        <v>0</v>
      </c>
      <c r="M32" s="2"/>
      <c r="N32" s="6">
        <f t="shared" si="16"/>
        <v>0</v>
      </c>
      <c r="O32" s="11"/>
      <c r="P32" s="7"/>
      <c r="Q32" s="2"/>
      <c r="R32" s="6">
        <f t="shared" si="17"/>
        <v>0</v>
      </c>
      <c r="S32" s="2"/>
      <c r="T32" s="7">
        <v>0</v>
      </c>
      <c r="U32" s="2"/>
      <c r="V32" s="6">
        <f t="shared" si="18"/>
        <v>0</v>
      </c>
      <c r="W32" s="2"/>
      <c r="X32" s="7">
        <f t="shared" si="19"/>
        <v>0</v>
      </c>
      <c r="Y32" s="2"/>
      <c r="Z32" s="6">
        <f t="shared" si="20"/>
        <v>0</v>
      </c>
    </row>
    <row r="33" spans="1:26" s="24" customFormat="1" hidden="1" outlineLevel="2" x14ac:dyDescent="0.25">
      <c r="A33" s="26"/>
      <c r="B33" s="11" t="str">
        <f>CONCATENATE("          ", "6118", " - ", "VACATION")</f>
        <v xml:space="preserve">          6118 - VACATION</v>
      </c>
      <c r="C33" s="11"/>
      <c r="D33" s="7">
        <v>496.42</v>
      </c>
      <c r="E33" s="2"/>
      <c r="F33" s="6">
        <f t="shared" si="13"/>
        <v>0</v>
      </c>
      <c r="G33" s="2"/>
      <c r="H33" s="7">
        <v>590.33538461538501</v>
      </c>
      <c r="I33" s="2"/>
      <c r="J33" s="6">
        <f t="shared" si="14"/>
        <v>4.1867757774140778E-3</v>
      </c>
      <c r="K33" s="2"/>
      <c r="L33" s="7">
        <f t="shared" si="15"/>
        <v>-93.915384615384994</v>
      </c>
      <c r="M33" s="2"/>
      <c r="N33" s="6">
        <f t="shared" si="16"/>
        <v>-0.15908818455219773</v>
      </c>
      <c r="O33" s="11"/>
      <c r="P33" s="7">
        <v>6022.31</v>
      </c>
      <c r="Q33" s="2"/>
      <c r="R33" s="6">
        <f t="shared" si="17"/>
        <v>5.6346686327173618E-3</v>
      </c>
      <c r="S33" s="2"/>
      <c r="T33" s="7">
        <v>6869.0086153846196</v>
      </c>
      <c r="U33" s="2"/>
      <c r="V33" s="6">
        <f t="shared" si="18"/>
        <v>4.4354816229520031E-3</v>
      </c>
      <c r="W33" s="2"/>
      <c r="X33" s="7">
        <f t="shared" si="19"/>
        <v>-846.69861538461919</v>
      </c>
      <c r="Y33" s="2"/>
      <c r="Z33" s="6">
        <f t="shared" si="20"/>
        <v>-0.12326358326123742</v>
      </c>
    </row>
    <row r="34" spans="1:26" s="24" customFormat="1" hidden="1" outlineLevel="2" x14ac:dyDescent="0.25">
      <c r="A34" s="26"/>
      <c r="B34" s="11" t="str">
        <f>CONCATENATE("          ", "6119", " - ", "SICK LEAVE")</f>
        <v xml:space="preserve">          6119 - SICK LEAVE</v>
      </c>
      <c r="C34" s="11"/>
      <c r="D34" s="7">
        <v>283.56</v>
      </c>
      <c r="E34" s="2"/>
      <c r="F34" s="6">
        <f t="shared" si="13"/>
        <v>0</v>
      </c>
      <c r="G34" s="2"/>
      <c r="H34" s="7">
        <v>1226.28063461538</v>
      </c>
      <c r="I34" s="2"/>
      <c r="J34" s="6">
        <f t="shared" si="14"/>
        <v>8.6970257774140417E-3</v>
      </c>
      <c r="K34" s="2"/>
      <c r="L34" s="7">
        <f t="shared" si="15"/>
        <v>-942.72063461538005</v>
      </c>
      <c r="M34" s="2"/>
      <c r="N34" s="6">
        <f t="shared" si="16"/>
        <v>-0.76876418660159473</v>
      </c>
      <c r="O34" s="11"/>
      <c r="P34" s="7">
        <v>-4012.79</v>
      </c>
      <c r="Q34" s="2"/>
      <c r="R34" s="6">
        <f t="shared" si="17"/>
        <v>-3.7544965208834986E-3</v>
      </c>
      <c r="S34" s="2"/>
      <c r="T34" s="7">
        <v>14676.409615384586</v>
      </c>
      <c r="U34" s="2"/>
      <c r="V34" s="6">
        <f t="shared" si="18"/>
        <v>9.4769054436990834E-3</v>
      </c>
      <c r="W34" s="2"/>
      <c r="X34" s="7">
        <f t="shared" si="19"/>
        <v>-18689.199615384587</v>
      </c>
      <c r="Y34" s="2"/>
      <c r="Z34" s="6">
        <f t="shared" si="20"/>
        <v>-1.2734176890098232</v>
      </c>
    </row>
    <row r="35" spans="1:26" s="24" customFormat="1" hidden="1" outlineLevel="2" x14ac:dyDescent="0.25">
      <c r="A35" s="26"/>
      <c r="B35" s="11" t="str">
        <f>CONCATENATE("          ", "6156", " - ", "EMPLOYEE MEALS")</f>
        <v xml:space="preserve">          6156 - EMPLOYEE MEALS</v>
      </c>
      <c r="C35" s="11"/>
      <c r="D35" s="7">
        <v>263</v>
      </c>
      <c r="E35" s="2"/>
      <c r="F35" s="6">
        <f t="shared" si="13"/>
        <v>0</v>
      </c>
      <c r="G35" s="2"/>
      <c r="H35" s="7">
        <v>150</v>
      </c>
      <c r="I35" s="2"/>
      <c r="J35" s="6">
        <f t="shared" si="14"/>
        <v>1.0638297872340426E-3</v>
      </c>
      <c r="K35" s="2"/>
      <c r="L35" s="7">
        <f t="shared" si="15"/>
        <v>113</v>
      </c>
      <c r="M35" s="2"/>
      <c r="N35" s="6">
        <f t="shared" si="16"/>
        <v>0.7533333333333333</v>
      </c>
      <c r="O35" s="11"/>
      <c r="P35" s="7">
        <v>4320.7700000000004</v>
      </c>
      <c r="Q35" s="2"/>
      <c r="R35" s="6">
        <f t="shared" si="17"/>
        <v>4.0426526014413402E-3</v>
      </c>
      <c r="S35" s="2"/>
      <c r="T35" s="7">
        <v>1650</v>
      </c>
      <c r="U35" s="2"/>
      <c r="V35" s="6">
        <f t="shared" si="18"/>
        <v>1.06544409647112E-3</v>
      </c>
      <c r="W35" s="2"/>
      <c r="X35" s="7">
        <f t="shared" si="19"/>
        <v>2670.7700000000004</v>
      </c>
      <c r="Y35" s="2"/>
      <c r="Z35" s="6">
        <f t="shared" si="20"/>
        <v>1.618648484848485</v>
      </c>
    </row>
    <row r="36" spans="1:26" s="27" customFormat="1" outlineLevel="1" collapsed="1" x14ac:dyDescent="0.25">
      <c r="A36" s="25"/>
      <c r="B36" s="12" t="str">
        <f>CONCATENATE("     ","*Payroll                                          ")</f>
        <v xml:space="preserve">     *Payroll                                          </v>
      </c>
      <c r="C36" s="12"/>
      <c r="D36" s="1">
        <f>SUM(OSRRefD22_1x_0)</f>
        <v>4034.42</v>
      </c>
      <c r="E36" s="1"/>
      <c r="F36" s="5">
        <f t="shared" ref="F36:F46" si="21">IF(D$12=0,0,D36/D$12)</f>
        <v>0</v>
      </c>
      <c r="G36" s="1"/>
      <c r="H36" s="1">
        <f>SUM(OSRRefH22_1x_0)</f>
        <v>31824.211923076917</v>
      </c>
      <c r="I36" s="1"/>
      <c r="J36" s="5">
        <f t="shared" ref="J36:J46" si="22">IF(H$12=0,0,H36/H$12)</f>
        <v>0.22570363066011997</v>
      </c>
      <c r="K36" s="1"/>
      <c r="L36" s="1">
        <f t="shared" ref="L36:L46" si="23">+D36-H36</f>
        <v>-27789.791923076918</v>
      </c>
      <c r="M36" s="1"/>
      <c r="N36" s="5">
        <f t="shared" ref="N36:N46" si="24">IF(H36=0,0,L36/H36)</f>
        <v>-0.87322796838609251</v>
      </c>
      <c r="O36" s="12"/>
      <c r="P36" s="1">
        <f>SUM(OSRRefP22_1x_0)</f>
        <v>316688.39</v>
      </c>
      <c r="Q36" s="1"/>
      <c r="R36" s="5">
        <f t="shared" ref="R36:R46" si="25">IF(P$12=0,0,P36/P$12)</f>
        <v>0.29630393278970407</v>
      </c>
      <c r="S36" s="1"/>
      <c r="T36" s="1">
        <f>SUM(OSRRefT22_1x_0)</f>
        <v>383888.85507692327</v>
      </c>
      <c r="U36" s="1"/>
      <c r="V36" s="5">
        <f t="shared" ref="V36:V46" si="26">IF(T$12=0,0,T36/T$12)</f>
        <v>0.24788612990470621</v>
      </c>
      <c r="W36" s="1"/>
      <c r="X36" s="1">
        <f t="shared" ref="X36:X46" si="27">+P36-T36</f>
        <v>-67200.465076923254</v>
      </c>
      <c r="Y36" s="1"/>
      <c r="Z36" s="5">
        <f t="shared" ref="Z36:Z46" si="28">IF(T36=0,0,X36/T36)</f>
        <v>-0.17505187813659684</v>
      </c>
    </row>
    <row r="37" spans="1:26" s="24" customFormat="1" hidden="1" outlineLevel="2" x14ac:dyDescent="0.25">
      <c r="A37" s="26"/>
      <c r="B37" s="11" t="str">
        <f>CONCATENATE("          ", "6001", " - ", "ADMINISTRATIVE SALARIES")</f>
        <v xml:space="preserve">          6001 - ADMINISTRATIVE SALARIES</v>
      </c>
      <c r="C37" s="11"/>
      <c r="D37" s="7"/>
      <c r="E37" s="2"/>
      <c r="F37" s="6">
        <f t="shared" si="21"/>
        <v>0</v>
      </c>
      <c r="G37" s="2"/>
      <c r="H37" s="7">
        <v>0</v>
      </c>
      <c r="I37" s="2"/>
      <c r="J37" s="6">
        <f t="shared" si="22"/>
        <v>0</v>
      </c>
      <c r="K37" s="2"/>
      <c r="L37" s="7">
        <f t="shared" si="23"/>
        <v>0</v>
      </c>
      <c r="M37" s="2"/>
      <c r="N37" s="6">
        <f t="shared" si="24"/>
        <v>0</v>
      </c>
      <c r="O37" s="11"/>
      <c r="P37" s="7"/>
      <c r="Q37" s="2"/>
      <c r="R37" s="6">
        <f t="shared" si="25"/>
        <v>0</v>
      </c>
      <c r="S37" s="2"/>
      <c r="T37" s="7">
        <v>0</v>
      </c>
      <c r="U37" s="2"/>
      <c r="V37" s="6">
        <f t="shared" si="26"/>
        <v>0</v>
      </c>
      <c r="W37" s="2"/>
      <c r="X37" s="7">
        <f t="shared" si="27"/>
        <v>0</v>
      </c>
      <c r="Y37" s="2"/>
      <c r="Z37" s="6">
        <f t="shared" si="28"/>
        <v>0</v>
      </c>
    </row>
    <row r="38" spans="1:26" s="24" customFormat="1" hidden="1" outlineLevel="2" x14ac:dyDescent="0.25">
      <c r="A38" s="26"/>
      <c r="B38" s="11" t="str">
        <f>CONCATENATE("          ", "6002", " - ", "STAFF SALARIES")</f>
        <v xml:space="preserve">          6002 - STAFF SALARIES</v>
      </c>
      <c r="C38" s="11"/>
      <c r="D38" s="7">
        <v>4034.42</v>
      </c>
      <c r="E38" s="2"/>
      <c r="F38" s="6">
        <f t="shared" si="21"/>
        <v>0</v>
      </c>
      <c r="G38" s="2"/>
      <c r="H38" s="7">
        <v>8129.0769230769192</v>
      </c>
      <c r="I38" s="2"/>
      <c r="J38" s="6">
        <f t="shared" si="22"/>
        <v>5.7653027823240562E-2</v>
      </c>
      <c r="K38" s="2"/>
      <c r="L38" s="7">
        <f t="shared" si="23"/>
        <v>-4094.6569230769192</v>
      </c>
      <c r="M38" s="2"/>
      <c r="N38" s="6">
        <f t="shared" si="24"/>
        <v>-0.50370502848274923</v>
      </c>
      <c r="O38" s="11"/>
      <c r="P38" s="7">
        <v>84332.42</v>
      </c>
      <c r="Q38" s="2"/>
      <c r="R38" s="6">
        <f t="shared" si="25"/>
        <v>7.8904148357548234E-2</v>
      </c>
      <c r="S38" s="2"/>
      <c r="T38" s="7">
        <v>97548.923076923238</v>
      </c>
      <c r="U38" s="2"/>
      <c r="V38" s="6">
        <f t="shared" si="26"/>
        <v>6.2989651036014102E-2</v>
      </c>
      <c r="W38" s="2"/>
      <c r="X38" s="7">
        <f t="shared" si="27"/>
        <v>-13216.50307692324</v>
      </c>
      <c r="Y38" s="2"/>
      <c r="Z38" s="6">
        <f t="shared" si="28"/>
        <v>-0.13548589425739971</v>
      </c>
    </row>
    <row r="39" spans="1:26" s="24" customFormat="1" hidden="1" outlineLevel="2" x14ac:dyDescent="0.25">
      <c r="A39" s="26"/>
      <c r="B39" s="11" t="str">
        <f>CONCATENATE("          ", "6003", " - ", "STAFF HOURLY-9 MONTH")</f>
        <v xml:space="preserve">          6003 - STAFF HOURLY-9 MONTH</v>
      </c>
      <c r="C39" s="11"/>
      <c r="D39" s="7"/>
      <c r="E39" s="2"/>
      <c r="F39" s="6">
        <f t="shared" si="21"/>
        <v>0</v>
      </c>
      <c r="G39" s="2"/>
      <c r="H39" s="7">
        <v>0</v>
      </c>
      <c r="I39" s="2"/>
      <c r="J39" s="6">
        <f t="shared" si="22"/>
        <v>0</v>
      </c>
      <c r="K39" s="2"/>
      <c r="L39" s="7">
        <f t="shared" si="23"/>
        <v>0</v>
      </c>
      <c r="M39" s="2"/>
      <c r="N39" s="6">
        <f t="shared" si="24"/>
        <v>0</v>
      </c>
      <c r="O39" s="11"/>
      <c r="P39" s="7"/>
      <c r="Q39" s="2"/>
      <c r="R39" s="6">
        <f t="shared" si="25"/>
        <v>0</v>
      </c>
      <c r="S39" s="2"/>
      <c r="T39" s="7">
        <v>0</v>
      </c>
      <c r="U39" s="2"/>
      <c r="V39" s="6">
        <f t="shared" si="26"/>
        <v>0</v>
      </c>
      <c r="W39" s="2"/>
      <c r="X39" s="7">
        <f t="shared" si="27"/>
        <v>0</v>
      </c>
      <c r="Y39" s="2"/>
      <c r="Z39" s="6">
        <f t="shared" si="28"/>
        <v>0</v>
      </c>
    </row>
    <row r="40" spans="1:26" s="24" customFormat="1" hidden="1" outlineLevel="2" x14ac:dyDescent="0.25">
      <c r="A40" s="26"/>
      <c r="B40" s="11" t="str">
        <f>CONCATENATE("          ", "6004", " - ", "STAFF HOURLY")</f>
        <v xml:space="preserve">          6004 - STAFF HOURLY</v>
      </c>
      <c r="C40" s="11"/>
      <c r="D40" s="7"/>
      <c r="E40" s="2"/>
      <c r="F40" s="6">
        <f t="shared" si="21"/>
        <v>0</v>
      </c>
      <c r="G40" s="2"/>
      <c r="H40" s="7">
        <v>3654.585</v>
      </c>
      <c r="I40" s="2"/>
      <c r="J40" s="6">
        <f t="shared" si="22"/>
        <v>2.5919042553191489E-2</v>
      </c>
      <c r="K40" s="2"/>
      <c r="L40" s="7">
        <f t="shared" si="23"/>
        <v>-3654.585</v>
      </c>
      <c r="M40" s="2"/>
      <c r="N40" s="6">
        <f t="shared" si="24"/>
        <v>-1</v>
      </c>
      <c r="O40" s="11"/>
      <c r="P40" s="7">
        <v>38197.160000000003</v>
      </c>
      <c r="Q40" s="2"/>
      <c r="R40" s="6">
        <f t="shared" si="25"/>
        <v>3.5738502221055762E-2</v>
      </c>
      <c r="S40" s="2"/>
      <c r="T40" s="7">
        <v>38771.982000000004</v>
      </c>
      <c r="U40" s="2"/>
      <c r="V40" s="6">
        <f t="shared" si="26"/>
        <v>2.5035987472960323E-2</v>
      </c>
      <c r="W40" s="2"/>
      <c r="X40" s="7">
        <f t="shared" si="27"/>
        <v>-574.82200000000012</v>
      </c>
      <c r="Y40" s="2"/>
      <c r="Z40" s="6">
        <f t="shared" si="28"/>
        <v>-1.482570584088273E-2</v>
      </c>
    </row>
    <row r="41" spans="1:26" s="24" customFormat="1" hidden="1" outlineLevel="2" x14ac:dyDescent="0.25">
      <c r="A41" s="26"/>
      <c r="B41" s="11" t="str">
        <f>CONCATENATE("          ", "6005", " - ", "TEMPORARY WAGES-HOURLY")</f>
        <v xml:space="preserve">          6005 - TEMPORARY WAGES-HOURLY</v>
      </c>
      <c r="C41" s="11"/>
      <c r="D41" s="7"/>
      <c r="E41" s="2"/>
      <c r="F41" s="6">
        <f t="shared" si="21"/>
        <v>0</v>
      </c>
      <c r="G41" s="2"/>
      <c r="H41" s="7">
        <v>8327.5499999999993</v>
      </c>
      <c r="I41" s="2"/>
      <c r="J41" s="6">
        <f t="shared" si="22"/>
        <v>5.9060638297872337E-2</v>
      </c>
      <c r="K41" s="2"/>
      <c r="L41" s="7">
        <f t="shared" si="23"/>
        <v>-8327.5499999999993</v>
      </c>
      <c r="M41" s="2"/>
      <c r="N41" s="6">
        <f t="shared" si="24"/>
        <v>-1</v>
      </c>
      <c r="O41" s="11"/>
      <c r="P41" s="7">
        <v>91629.97</v>
      </c>
      <c r="Q41" s="2"/>
      <c r="R41" s="6">
        <f t="shared" si="25"/>
        <v>8.5731972910034995E-2</v>
      </c>
      <c r="S41" s="2"/>
      <c r="T41" s="7">
        <v>101213.95</v>
      </c>
      <c r="U41" s="2"/>
      <c r="V41" s="6">
        <f t="shared" si="26"/>
        <v>6.5356245762438245E-2</v>
      </c>
      <c r="W41" s="2"/>
      <c r="X41" s="7">
        <f t="shared" si="27"/>
        <v>-9583.9799999999959</v>
      </c>
      <c r="Y41" s="2"/>
      <c r="Z41" s="6">
        <f t="shared" si="28"/>
        <v>-9.4690307017955486E-2</v>
      </c>
    </row>
    <row r="42" spans="1:26" s="24" customFormat="1" hidden="1" outlineLevel="2" x14ac:dyDescent="0.25">
      <c r="A42" s="26"/>
      <c r="B42" s="11" t="str">
        <f>CONCATENATE("          ", "6006", " - ", "TEMPORARY PART TIME")</f>
        <v xml:space="preserve">          6006 - TEMPORARY PART TIME</v>
      </c>
      <c r="C42" s="11"/>
      <c r="D42" s="7"/>
      <c r="E42" s="2"/>
      <c r="F42" s="6">
        <f t="shared" si="21"/>
        <v>0</v>
      </c>
      <c r="G42" s="2"/>
      <c r="H42" s="7">
        <v>0</v>
      </c>
      <c r="I42" s="2"/>
      <c r="J42" s="6">
        <f t="shared" si="22"/>
        <v>0</v>
      </c>
      <c r="K42" s="2"/>
      <c r="L42" s="7">
        <f t="shared" si="23"/>
        <v>0</v>
      </c>
      <c r="M42" s="2"/>
      <c r="N42" s="6">
        <f t="shared" si="24"/>
        <v>0</v>
      </c>
      <c r="O42" s="11"/>
      <c r="P42" s="7">
        <v>7215.01</v>
      </c>
      <c r="Q42" s="2"/>
      <c r="R42" s="6">
        <f t="shared" si="25"/>
        <v>6.7505974504371404E-3</v>
      </c>
      <c r="S42" s="2"/>
      <c r="T42" s="7">
        <v>0</v>
      </c>
      <c r="U42" s="2"/>
      <c r="V42" s="6">
        <f t="shared" si="26"/>
        <v>0</v>
      </c>
      <c r="W42" s="2"/>
      <c r="X42" s="7">
        <f t="shared" si="27"/>
        <v>7215.01</v>
      </c>
      <c r="Y42" s="2"/>
      <c r="Z42" s="6">
        <f t="shared" si="28"/>
        <v>0</v>
      </c>
    </row>
    <row r="43" spans="1:26" s="24" customFormat="1" hidden="1" outlineLevel="2" x14ac:dyDescent="0.25">
      <c r="A43" s="26"/>
      <c r="B43" s="11" t="str">
        <f>CONCATENATE("          ", "6007", " - ", "STUDENT HOURLY")</f>
        <v xml:space="preserve">          6007 - STUDENT HOURLY</v>
      </c>
      <c r="C43" s="11"/>
      <c r="D43" s="7"/>
      <c r="E43" s="2"/>
      <c r="F43" s="6">
        <f t="shared" si="21"/>
        <v>0</v>
      </c>
      <c r="G43" s="2"/>
      <c r="H43" s="7">
        <v>0</v>
      </c>
      <c r="I43" s="2"/>
      <c r="J43" s="6">
        <f t="shared" si="22"/>
        <v>0</v>
      </c>
      <c r="K43" s="2"/>
      <c r="L43" s="7">
        <f t="shared" si="23"/>
        <v>0</v>
      </c>
      <c r="M43" s="2"/>
      <c r="N43" s="6">
        <f t="shared" si="24"/>
        <v>0</v>
      </c>
      <c r="O43" s="11"/>
      <c r="P43" s="7">
        <v>93483.83</v>
      </c>
      <c r="Q43" s="2"/>
      <c r="R43" s="6">
        <f t="shared" si="25"/>
        <v>8.7466504475405993E-2</v>
      </c>
      <c r="S43" s="2"/>
      <c r="T43" s="7">
        <v>2535</v>
      </c>
      <c r="U43" s="2"/>
      <c r="V43" s="6">
        <f t="shared" si="26"/>
        <v>1.636909566396539E-3</v>
      </c>
      <c r="W43" s="2"/>
      <c r="X43" s="7">
        <f t="shared" si="27"/>
        <v>90948.83</v>
      </c>
      <c r="Y43" s="2"/>
      <c r="Z43" s="6">
        <f t="shared" si="28"/>
        <v>35.877250493096646</v>
      </c>
    </row>
    <row r="44" spans="1:26" s="24" customFormat="1" hidden="1" outlineLevel="2" x14ac:dyDescent="0.25">
      <c r="A44" s="26"/>
      <c r="B44" s="11" t="str">
        <f>CONCATENATE("          ", "6008", " - ", "STUDENT HOURLY-FICA EXEMPT")</f>
        <v xml:space="preserve">          6008 - STUDENT HOURLY-FICA EXEMPT</v>
      </c>
      <c r="C44" s="11"/>
      <c r="D44" s="7"/>
      <c r="E44" s="2"/>
      <c r="F44" s="6">
        <f t="shared" si="21"/>
        <v>0</v>
      </c>
      <c r="G44" s="2"/>
      <c r="H44" s="7">
        <v>11713</v>
      </c>
      <c r="I44" s="2"/>
      <c r="J44" s="6">
        <f t="shared" si="22"/>
        <v>8.3070921985815602E-2</v>
      </c>
      <c r="K44" s="2"/>
      <c r="L44" s="7">
        <f t="shared" si="23"/>
        <v>-11713</v>
      </c>
      <c r="M44" s="2"/>
      <c r="N44" s="6">
        <f t="shared" si="24"/>
        <v>-1</v>
      </c>
      <c r="O44" s="11"/>
      <c r="P44" s="7">
        <v>1830</v>
      </c>
      <c r="Q44" s="2"/>
      <c r="R44" s="6">
        <f t="shared" si="25"/>
        <v>1.7122073752219285E-3</v>
      </c>
      <c r="S44" s="2"/>
      <c r="T44" s="7">
        <v>143819</v>
      </c>
      <c r="U44" s="2"/>
      <c r="V44" s="6">
        <f t="shared" si="26"/>
        <v>9.2867336066896969E-2</v>
      </c>
      <c r="W44" s="2"/>
      <c r="X44" s="7">
        <f t="shared" si="27"/>
        <v>-141989</v>
      </c>
      <c r="Y44" s="2"/>
      <c r="Z44" s="6">
        <f t="shared" si="28"/>
        <v>-0.98727567289440199</v>
      </c>
    </row>
    <row r="45" spans="1:26" s="24" customFormat="1" hidden="1" outlineLevel="2" x14ac:dyDescent="0.25">
      <c r="A45" s="26"/>
      <c r="B45" s="11" t="str">
        <f>CONCATENATE("          ", "6009", " - ", "TEMPORARY-SEASONAL")</f>
        <v xml:space="preserve">          6009 - TEMPORARY-SEASONAL</v>
      </c>
      <c r="C45" s="11"/>
      <c r="D45" s="7"/>
      <c r="E45" s="2"/>
      <c r="F45" s="6">
        <f t="shared" si="21"/>
        <v>0</v>
      </c>
      <c r="G45" s="2"/>
      <c r="H45" s="7">
        <v>0</v>
      </c>
      <c r="I45" s="2"/>
      <c r="J45" s="6">
        <f t="shared" si="22"/>
        <v>0</v>
      </c>
      <c r="K45" s="2"/>
      <c r="L45" s="7">
        <f t="shared" si="23"/>
        <v>0</v>
      </c>
      <c r="M45" s="2"/>
      <c r="N45" s="6">
        <f t="shared" si="24"/>
        <v>0</v>
      </c>
      <c r="O45" s="11"/>
      <c r="P45" s="7"/>
      <c r="Q45" s="2"/>
      <c r="R45" s="6">
        <f t="shared" si="25"/>
        <v>0</v>
      </c>
      <c r="S45" s="2"/>
      <c r="T45" s="7">
        <v>0</v>
      </c>
      <c r="U45" s="2"/>
      <c r="V45" s="6">
        <f t="shared" si="26"/>
        <v>0</v>
      </c>
      <c r="W45" s="2"/>
      <c r="X45" s="7">
        <f t="shared" si="27"/>
        <v>0</v>
      </c>
      <c r="Y45" s="2"/>
      <c r="Z45" s="6">
        <f t="shared" si="28"/>
        <v>0</v>
      </c>
    </row>
    <row r="46" spans="1:26" s="24" customFormat="1" hidden="1" outlineLevel="2" x14ac:dyDescent="0.25">
      <c r="A46" s="26"/>
      <c r="B46" s="11" t="str">
        <f>CONCATENATE("          ", "6010", " - ", "GRATUITY")</f>
        <v xml:space="preserve">          6010 - GRATUITY</v>
      </c>
      <c r="C46" s="11"/>
      <c r="D46" s="7"/>
      <c r="E46" s="2"/>
      <c r="F46" s="6">
        <f t="shared" si="21"/>
        <v>0</v>
      </c>
      <c r="G46" s="2"/>
      <c r="H46" s="7">
        <v>0</v>
      </c>
      <c r="I46" s="2"/>
      <c r="J46" s="6">
        <f t="shared" si="22"/>
        <v>0</v>
      </c>
      <c r="K46" s="2"/>
      <c r="L46" s="7">
        <f t="shared" si="23"/>
        <v>0</v>
      </c>
      <c r="M46" s="2"/>
      <c r="N46" s="6">
        <f t="shared" si="24"/>
        <v>0</v>
      </c>
      <c r="O46" s="11"/>
      <c r="P46" s="7"/>
      <c r="Q46" s="2"/>
      <c r="R46" s="6">
        <f t="shared" si="25"/>
        <v>0</v>
      </c>
      <c r="S46" s="2"/>
      <c r="T46" s="7">
        <v>0</v>
      </c>
      <c r="U46" s="2"/>
      <c r="V46" s="6">
        <f t="shared" si="26"/>
        <v>0</v>
      </c>
      <c r="W46" s="2"/>
      <c r="X46" s="7">
        <f t="shared" si="27"/>
        <v>0</v>
      </c>
      <c r="Y46" s="2"/>
      <c r="Z46" s="6">
        <f t="shared" si="28"/>
        <v>0</v>
      </c>
    </row>
    <row r="47" spans="1:26" s="27" customFormat="1" outlineLevel="1" collapsed="1" x14ac:dyDescent="0.25">
      <c r="A47" s="25"/>
      <c r="B47" s="12" t="str">
        <f>CONCATENATE("     ","Advertising/Promo                                 ")</f>
        <v xml:space="preserve">     Advertising/Promo                                 </v>
      </c>
      <c r="C47" s="12"/>
      <c r="D47" s="1">
        <f>SUM(OSRRefD22_2x_0)</f>
        <v>0</v>
      </c>
      <c r="E47" s="1"/>
      <c r="F47" s="5">
        <f t="shared" ref="F47:F56" si="29">IF(D$12=0,0,D47/D$12)</f>
        <v>0</v>
      </c>
      <c r="G47" s="1"/>
      <c r="H47" s="1">
        <f>SUM(OSRRefH22_2x_0)</f>
        <v>1250</v>
      </c>
      <c r="I47" s="1"/>
      <c r="J47" s="5">
        <f t="shared" ref="J47:J56" si="30">IF(H$12=0,0,H47/H$12)</f>
        <v>8.8652482269503553E-3</v>
      </c>
      <c r="K47" s="1"/>
      <c r="L47" s="1">
        <f t="shared" ref="L47:L56" si="31">+D47-H47</f>
        <v>-1250</v>
      </c>
      <c r="M47" s="1"/>
      <c r="N47" s="5">
        <f t="shared" ref="N47:N56" si="32">IF(H47=0,0,L47/H47)</f>
        <v>-1</v>
      </c>
      <c r="O47" s="12"/>
      <c r="P47" s="1">
        <f>SUM(OSRRefP22_2x_0)</f>
        <v>4363.6499999999996</v>
      </c>
      <c r="Q47" s="1"/>
      <c r="R47" s="5">
        <f t="shared" ref="R47:R56" si="33">IF(P$12=0,0,P47/P$12)</f>
        <v>4.0827725207033703E-3</v>
      </c>
      <c r="S47" s="1"/>
      <c r="T47" s="1">
        <f>SUM(OSRRefT22_2x_0)</f>
        <v>7980</v>
      </c>
      <c r="U47" s="1"/>
      <c r="V47" s="5">
        <f t="shared" ref="V47:V56" si="34">IF(T$12=0,0,T47/T$12)</f>
        <v>5.152875084751235E-3</v>
      </c>
      <c r="W47" s="1"/>
      <c r="X47" s="1">
        <f t="shared" ref="X47:X56" si="35">+P47-T47</f>
        <v>-3616.3500000000004</v>
      </c>
      <c r="Y47" s="1"/>
      <c r="Z47" s="5">
        <f t="shared" ref="Z47:Z56" si="36">IF(T47=0,0,X47/T47)</f>
        <v>-0.45317669172932334</v>
      </c>
    </row>
    <row r="48" spans="1:26" s="24" customFormat="1" hidden="1" outlineLevel="2" x14ac:dyDescent="0.25">
      <c r="A48" s="26"/>
      <c r="B48" s="11" t="str">
        <f>CONCATENATE("          ", "6362", " - ", "ADVERTISING EXPENSE")</f>
        <v xml:space="preserve">          6362 - ADVERTISING EXPENSE</v>
      </c>
      <c r="C48" s="11"/>
      <c r="D48" s="7"/>
      <c r="E48" s="2"/>
      <c r="F48" s="6">
        <f t="shared" si="29"/>
        <v>0</v>
      </c>
      <c r="G48" s="2"/>
      <c r="H48" s="7">
        <v>1250</v>
      </c>
      <c r="I48" s="2"/>
      <c r="J48" s="6">
        <f t="shared" si="30"/>
        <v>8.8652482269503553E-3</v>
      </c>
      <c r="K48" s="2"/>
      <c r="L48" s="7">
        <f t="shared" si="31"/>
        <v>-1250</v>
      </c>
      <c r="M48" s="2"/>
      <c r="N48" s="6">
        <f t="shared" si="32"/>
        <v>-1</v>
      </c>
      <c r="O48" s="11"/>
      <c r="P48" s="7">
        <v>4363.6499999999996</v>
      </c>
      <c r="Q48" s="2"/>
      <c r="R48" s="6">
        <f t="shared" si="33"/>
        <v>4.0827725207033703E-3</v>
      </c>
      <c r="S48" s="2"/>
      <c r="T48" s="7">
        <v>7980</v>
      </c>
      <c r="U48" s="2"/>
      <c r="V48" s="6">
        <f t="shared" si="34"/>
        <v>5.152875084751235E-3</v>
      </c>
      <c r="W48" s="2"/>
      <c r="X48" s="7">
        <f t="shared" si="35"/>
        <v>-3616.3500000000004</v>
      </c>
      <c r="Y48" s="2"/>
      <c r="Z48" s="6">
        <f t="shared" si="36"/>
        <v>-0.45317669172932334</v>
      </c>
    </row>
    <row r="49" spans="1:26" s="27" customFormat="1" outlineLevel="1" collapsed="1" x14ac:dyDescent="0.25">
      <c r="A49" s="25"/>
      <c r="B49" s="12" t="str">
        <f>CONCATENATE("     ","Bad Debts/Over/Short                              ")</f>
        <v xml:space="preserve">     Bad Debts/Over/Short                              </v>
      </c>
      <c r="C49" s="12"/>
      <c r="D49" s="1">
        <f>SUM(OSRRefD22_3x_0)</f>
        <v>0</v>
      </c>
      <c r="E49" s="1"/>
      <c r="F49" s="5">
        <f t="shared" si="29"/>
        <v>0</v>
      </c>
      <c r="G49" s="1"/>
      <c r="H49" s="1">
        <f>SUM(OSRRefH22_3x_0)</f>
        <v>10</v>
      </c>
      <c r="I49" s="1"/>
      <c r="J49" s="5">
        <f t="shared" si="30"/>
        <v>7.0921985815602836E-5</v>
      </c>
      <c r="K49" s="1"/>
      <c r="L49" s="1">
        <f t="shared" si="31"/>
        <v>-10</v>
      </c>
      <c r="M49" s="1"/>
      <c r="N49" s="5">
        <f t="shared" si="32"/>
        <v>-1</v>
      </c>
      <c r="O49" s="12"/>
      <c r="P49" s="1">
        <f>SUM(OSRRefP22_3x_0)</f>
        <v>-326.89</v>
      </c>
      <c r="Q49" s="1"/>
      <c r="R49" s="5">
        <f t="shared" si="33"/>
        <v>-3.0584889010180119E-4</v>
      </c>
      <c r="S49" s="1"/>
      <c r="T49" s="1">
        <f>SUM(OSRRefT22_3x_0)</f>
        <v>110</v>
      </c>
      <c r="U49" s="1"/>
      <c r="V49" s="5">
        <f t="shared" si="34"/>
        <v>7.1029606431408007E-5</v>
      </c>
      <c r="W49" s="1"/>
      <c r="X49" s="1">
        <f t="shared" si="35"/>
        <v>-436.89</v>
      </c>
      <c r="Y49" s="1"/>
      <c r="Z49" s="5">
        <f t="shared" si="36"/>
        <v>-3.9717272727272728</v>
      </c>
    </row>
    <row r="50" spans="1:26" s="24" customFormat="1" hidden="1" outlineLevel="2" x14ac:dyDescent="0.25">
      <c r="A50" s="26"/>
      <c r="B50" s="11" t="str">
        <f>CONCATENATE("          ", "6272", " - ", "CASH (OVER/SHORT)")</f>
        <v xml:space="preserve">          6272 - CASH (OVER/SHORT)</v>
      </c>
      <c r="C50" s="11"/>
      <c r="D50" s="7"/>
      <c r="E50" s="2"/>
      <c r="F50" s="6">
        <f t="shared" si="29"/>
        <v>0</v>
      </c>
      <c r="G50" s="2"/>
      <c r="H50" s="7">
        <v>10</v>
      </c>
      <c r="I50" s="2"/>
      <c r="J50" s="6">
        <f t="shared" si="30"/>
        <v>7.0921985815602836E-5</v>
      </c>
      <c r="K50" s="2"/>
      <c r="L50" s="7">
        <f t="shared" si="31"/>
        <v>-10</v>
      </c>
      <c r="M50" s="2"/>
      <c r="N50" s="6">
        <f t="shared" si="32"/>
        <v>-1</v>
      </c>
      <c r="O50" s="11"/>
      <c r="P50" s="7">
        <v>-326.89</v>
      </c>
      <c r="Q50" s="2"/>
      <c r="R50" s="6">
        <f t="shared" si="33"/>
        <v>-3.0584889010180119E-4</v>
      </c>
      <c r="S50" s="2"/>
      <c r="T50" s="7">
        <v>110</v>
      </c>
      <c r="U50" s="2"/>
      <c r="V50" s="6">
        <f t="shared" si="34"/>
        <v>7.1029606431408007E-5</v>
      </c>
      <c r="W50" s="2"/>
      <c r="X50" s="7">
        <f t="shared" si="35"/>
        <v>-436.89</v>
      </c>
      <c r="Y50" s="2"/>
      <c r="Z50" s="6">
        <f t="shared" si="36"/>
        <v>-3.9717272727272728</v>
      </c>
    </row>
    <row r="51" spans="1:26" s="27" customFormat="1" outlineLevel="1" collapsed="1" x14ac:dyDescent="0.25">
      <c r="A51" s="25"/>
      <c r="B51" s="12" t="str">
        <f>CONCATENATE("     ","Bank/card Fees                                    ")</f>
        <v xml:space="preserve">     Bank/card Fees                                    </v>
      </c>
      <c r="C51" s="12"/>
      <c r="D51" s="1">
        <f>SUM(OSRRefD22_4x_0)</f>
        <v>0</v>
      </c>
      <c r="E51" s="1"/>
      <c r="F51" s="5">
        <f t="shared" si="29"/>
        <v>0</v>
      </c>
      <c r="G51" s="1"/>
      <c r="H51" s="1">
        <f>SUM(OSRRefH22_4x_0)</f>
        <v>5175</v>
      </c>
      <c r="I51" s="1"/>
      <c r="J51" s="5">
        <f t="shared" si="30"/>
        <v>3.6702127659574466E-2</v>
      </c>
      <c r="K51" s="1"/>
      <c r="L51" s="1">
        <f t="shared" si="31"/>
        <v>-5175</v>
      </c>
      <c r="M51" s="1"/>
      <c r="N51" s="5">
        <f t="shared" si="32"/>
        <v>-1</v>
      </c>
      <c r="O51" s="12"/>
      <c r="P51" s="1">
        <f>SUM(OSRRefP22_4x_0)</f>
        <v>42823.43</v>
      </c>
      <c r="Q51" s="1"/>
      <c r="R51" s="5">
        <f t="shared" si="33"/>
        <v>4.0066990534590161E-2</v>
      </c>
      <c r="S51" s="1"/>
      <c r="T51" s="1">
        <f>SUM(OSRRefT22_4x_0)</f>
        <v>56960</v>
      </c>
      <c r="U51" s="1"/>
      <c r="V51" s="5">
        <f t="shared" si="34"/>
        <v>3.6780421657572726E-2</v>
      </c>
      <c r="W51" s="1"/>
      <c r="X51" s="1">
        <f t="shared" si="35"/>
        <v>-14136.57</v>
      </c>
      <c r="Y51" s="1"/>
      <c r="Z51" s="5">
        <f t="shared" si="36"/>
        <v>-0.2481841643258427</v>
      </c>
    </row>
    <row r="52" spans="1:26" s="24" customFormat="1" hidden="1" outlineLevel="2" x14ac:dyDescent="0.25">
      <c r="A52" s="26"/>
      <c r="B52" s="11" t="str">
        <f>CONCATENATE("          ", "6381", " - ", "BANK/CREDIT CARD FEES")</f>
        <v xml:space="preserve">          6381 - BANK/CREDIT CARD FEES</v>
      </c>
      <c r="C52" s="11"/>
      <c r="D52" s="7"/>
      <c r="E52" s="2"/>
      <c r="F52" s="6">
        <f t="shared" si="29"/>
        <v>0</v>
      </c>
      <c r="G52" s="2"/>
      <c r="H52" s="7">
        <v>5175</v>
      </c>
      <c r="I52" s="2"/>
      <c r="J52" s="6">
        <f t="shared" si="30"/>
        <v>3.6702127659574466E-2</v>
      </c>
      <c r="K52" s="2"/>
      <c r="L52" s="7">
        <f t="shared" si="31"/>
        <v>-5175</v>
      </c>
      <c r="M52" s="2"/>
      <c r="N52" s="6">
        <f t="shared" si="32"/>
        <v>-1</v>
      </c>
      <c r="O52" s="11"/>
      <c r="P52" s="7">
        <v>42823.43</v>
      </c>
      <c r="Q52" s="2"/>
      <c r="R52" s="6">
        <f t="shared" si="33"/>
        <v>4.0066990534590161E-2</v>
      </c>
      <c r="S52" s="2"/>
      <c r="T52" s="7">
        <v>56960</v>
      </c>
      <c r="U52" s="2"/>
      <c r="V52" s="6">
        <f t="shared" si="34"/>
        <v>3.6780421657572726E-2</v>
      </c>
      <c r="W52" s="2"/>
      <c r="X52" s="7">
        <f t="shared" si="35"/>
        <v>-14136.57</v>
      </c>
      <c r="Y52" s="2"/>
      <c r="Z52" s="6">
        <f t="shared" si="36"/>
        <v>-0.2481841643258427</v>
      </c>
    </row>
    <row r="53" spans="1:26" s="27" customFormat="1" outlineLevel="1" collapsed="1" x14ac:dyDescent="0.25">
      <c r="A53" s="25"/>
      <c r="B53" s="12" t="str">
        <f>CONCATENATE("     ","Depreciation                                      ")</f>
        <v xml:space="preserve">     Depreciation                                      </v>
      </c>
      <c r="C53" s="12"/>
      <c r="D53" s="1">
        <f>SUM(OSRRefD22_5x_0)</f>
        <v>7177.55</v>
      </c>
      <c r="E53" s="1"/>
      <c r="F53" s="5">
        <f t="shared" si="29"/>
        <v>0</v>
      </c>
      <c r="G53" s="1"/>
      <c r="H53" s="1">
        <f>SUM(OSRRefH22_5x_0)</f>
        <v>8780</v>
      </c>
      <c r="I53" s="1"/>
      <c r="J53" s="5">
        <f t="shared" si="30"/>
        <v>6.2269503546099288E-2</v>
      </c>
      <c r="K53" s="1"/>
      <c r="L53" s="1">
        <f t="shared" si="31"/>
        <v>-1602.4499999999998</v>
      </c>
      <c r="M53" s="1"/>
      <c r="N53" s="5">
        <f t="shared" si="32"/>
        <v>-0.18251138952164006</v>
      </c>
      <c r="O53" s="12"/>
      <c r="P53" s="1">
        <f>SUM(OSRRefP22_5x_0)</f>
        <v>88934.449999999983</v>
      </c>
      <c r="Q53" s="1"/>
      <c r="R53" s="5">
        <f t="shared" si="33"/>
        <v>8.3209956940604263E-2</v>
      </c>
      <c r="S53" s="1"/>
      <c r="T53" s="1">
        <f>SUM(OSRRefT22_5x_0)</f>
        <v>96112</v>
      </c>
      <c r="U53" s="1"/>
      <c r="V53" s="5">
        <f t="shared" si="34"/>
        <v>6.2061795757595323E-2</v>
      </c>
      <c r="W53" s="1"/>
      <c r="X53" s="1">
        <f t="shared" si="35"/>
        <v>-7177.5500000000175</v>
      </c>
      <c r="Y53" s="1"/>
      <c r="Z53" s="5">
        <f t="shared" si="36"/>
        <v>-7.4679020309638938E-2</v>
      </c>
    </row>
    <row r="54" spans="1:26" s="24" customFormat="1" hidden="1" outlineLevel="2" x14ac:dyDescent="0.25">
      <c r="A54" s="26"/>
      <c r="B54" s="11" t="str">
        <f>CONCATENATE("          ", "6321", " - ", "BUILDING DEPRECIATION")</f>
        <v xml:space="preserve">          6321 - BUILDING DEPRECIATION</v>
      </c>
      <c r="C54" s="11"/>
      <c r="D54" s="7">
        <v>6537.05</v>
      </c>
      <c r="E54" s="2"/>
      <c r="F54" s="6">
        <f t="shared" si="29"/>
        <v>0</v>
      </c>
      <c r="G54" s="2"/>
      <c r="H54" s="7">
        <v>6537</v>
      </c>
      <c r="I54" s="2"/>
      <c r="J54" s="6">
        <f t="shared" si="30"/>
        <v>4.6361702127659575E-2</v>
      </c>
      <c r="K54" s="2"/>
      <c r="L54" s="7">
        <f t="shared" si="31"/>
        <v>5.0000000000181899E-2</v>
      </c>
      <c r="M54" s="2"/>
      <c r="N54" s="6">
        <f t="shared" si="32"/>
        <v>7.6487685482915549E-6</v>
      </c>
      <c r="O54" s="11"/>
      <c r="P54" s="7">
        <v>71907.549999999988</v>
      </c>
      <c r="Q54" s="2"/>
      <c r="R54" s="6">
        <f t="shared" si="33"/>
        <v>6.7279036854721072E-2</v>
      </c>
      <c r="S54" s="2"/>
      <c r="T54" s="7">
        <v>71907</v>
      </c>
      <c r="U54" s="2"/>
      <c r="V54" s="6">
        <f t="shared" si="34"/>
        <v>4.6432053724211407E-2</v>
      </c>
      <c r="W54" s="2"/>
      <c r="X54" s="7">
        <f t="shared" si="35"/>
        <v>0.54999999998835847</v>
      </c>
      <c r="Y54" s="2"/>
      <c r="Z54" s="6">
        <f t="shared" si="36"/>
        <v>7.648768548101833E-6</v>
      </c>
    </row>
    <row r="55" spans="1:26" s="24" customFormat="1" hidden="1" outlineLevel="2" x14ac:dyDescent="0.25">
      <c r="A55" s="26"/>
      <c r="B55" s="11" t="str">
        <f>CONCATENATE("          ", "6322", " - ", "EQUIPMENT DEPRECIATION EXPENSE")</f>
        <v xml:space="preserve">          6322 - EQUIPMENT DEPRECIATION EXPENSE</v>
      </c>
      <c r="C55" s="11"/>
      <c r="D55" s="7">
        <v>640.5</v>
      </c>
      <c r="E55" s="2"/>
      <c r="F55" s="6">
        <f t="shared" si="29"/>
        <v>0</v>
      </c>
      <c r="G55" s="2"/>
      <c r="H55" s="7">
        <v>1726</v>
      </c>
      <c r="I55" s="2"/>
      <c r="J55" s="6">
        <f t="shared" si="30"/>
        <v>1.2241134751773049E-2</v>
      </c>
      <c r="K55" s="2"/>
      <c r="L55" s="7">
        <f t="shared" si="31"/>
        <v>-1085.5</v>
      </c>
      <c r="M55" s="2"/>
      <c r="N55" s="6">
        <f t="shared" si="32"/>
        <v>-0.62891077636152959</v>
      </c>
      <c r="O55" s="11"/>
      <c r="P55" s="7">
        <v>17026.900000000001</v>
      </c>
      <c r="Q55" s="2"/>
      <c r="R55" s="6">
        <f t="shared" si="33"/>
        <v>1.5930920085883201E-2</v>
      </c>
      <c r="S55" s="2"/>
      <c r="T55" s="7">
        <v>18986</v>
      </c>
      <c r="U55" s="2"/>
      <c r="V55" s="6">
        <f t="shared" si="34"/>
        <v>1.2259710070061021E-2</v>
      </c>
      <c r="W55" s="2"/>
      <c r="X55" s="7">
        <f t="shared" si="35"/>
        <v>-1959.0999999999985</v>
      </c>
      <c r="Y55" s="2"/>
      <c r="Z55" s="6">
        <f t="shared" si="36"/>
        <v>-0.10318655851680178</v>
      </c>
    </row>
    <row r="56" spans="1:26" s="24" customFormat="1" hidden="1" outlineLevel="2" x14ac:dyDescent="0.25">
      <c r="A56" s="26"/>
      <c r="B56" s="11" t="str">
        <f>CONCATENATE("          ", "6324", " - ", "FURNITURE + FIXT DEPRECIATION")</f>
        <v xml:space="preserve">          6324 - FURNITURE + FIXT DEPRECIATION</v>
      </c>
      <c r="C56" s="11"/>
      <c r="D56" s="7"/>
      <c r="E56" s="2"/>
      <c r="F56" s="6">
        <f t="shared" si="29"/>
        <v>0</v>
      </c>
      <c r="G56" s="2"/>
      <c r="H56" s="7">
        <v>517</v>
      </c>
      <c r="I56" s="2"/>
      <c r="J56" s="6">
        <f t="shared" si="30"/>
        <v>3.6666666666666666E-3</v>
      </c>
      <c r="K56" s="2"/>
      <c r="L56" s="7">
        <f t="shared" si="31"/>
        <v>-517</v>
      </c>
      <c r="M56" s="2"/>
      <c r="N56" s="6">
        <f t="shared" si="32"/>
        <v>-1</v>
      </c>
      <c r="O56" s="11"/>
      <c r="P56" s="7"/>
      <c r="Q56" s="2"/>
      <c r="R56" s="6">
        <f t="shared" si="33"/>
        <v>0</v>
      </c>
      <c r="S56" s="2"/>
      <c r="T56" s="7">
        <v>5219</v>
      </c>
      <c r="U56" s="2"/>
      <c r="V56" s="6">
        <f t="shared" si="34"/>
        <v>3.370031963322894E-3</v>
      </c>
      <c r="W56" s="2"/>
      <c r="X56" s="7">
        <f t="shared" si="35"/>
        <v>-5219</v>
      </c>
      <c r="Y56" s="2"/>
      <c r="Z56" s="6">
        <f t="shared" si="36"/>
        <v>-1</v>
      </c>
    </row>
    <row r="57" spans="1:26" s="27" customFormat="1" outlineLevel="1" collapsed="1" x14ac:dyDescent="0.25">
      <c r="A57" s="25"/>
      <c r="B57" s="12" t="str">
        <f>CONCATENATE("     ","Discounts and Markdowns                           ")</f>
        <v xml:space="preserve">     Discounts and Markdowns                           </v>
      </c>
      <c r="C57" s="12"/>
      <c r="D57" s="1">
        <f>SUM(OSRRefD22_6x_0)</f>
        <v>0</v>
      </c>
      <c r="E57" s="1"/>
      <c r="F57" s="5">
        <f t="shared" ref="F57:F67" si="37">IF(D$12=0,0,D57/D$12)</f>
        <v>0</v>
      </c>
      <c r="G57" s="1"/>
      <c r="H57" s="1">
        <f>SUM(OSRRefH22_6x_0)</f>
        <v>0</v>
      </c>
      <c r="I57" s="1"/>
      <c r="J57" s="5">
        <f t="shared" ref="J57:J67" si="38">IF(H$12=0,0,H57/H$12)</f>
        <v>0</v>
      </c>
      <c r="K57" s="1"/>
      <c r="L57" s="1">
        <f t="shared" ref="L57:L67" si="39">+D57-H57</f>
        <v>0</v>
      </c>
      <c r="M57" s="1"/>
      <c r="N57" s="5">
        <f t="shared" ref="N57:N67" si="40">IF(H57=0,0,L57/H57)</f>
        <v>0</v>
      </c>
      <c r="O57" s="12"/>
      <c r="P57" s="1">
        <f>SUM(OSRRefP22_6x_0)</f>
        <v>0.09</v>
      </c>
      <c r="Q57" s="1"/>
      <c r="R57" s="5">
        <f t="shared" ref="R57:R67" si="41">IF(P$12=0,0,P57/P$12)</f>
        <v>8.4206920092881724E-8</v>
      </c>
      <c r="S57" s="1"/>
      <c r="T57" s="1">
        <f>SUM(OSRRefT22_6x_0)</f>
        <v>0</v>
      </c>
      <c r="U57" s="1"/>
      <c r="V57" s="5">
        <f t="shared" ref="V57:V67" si="42">IF(T$12=0,0,T57/T$12)</f>
        <v>0</v>
      </c>
      <c r="W57" s="1"/>
      <c r="X57" s="1">
        <f t="shared" ref="X57:X67" si="43">+P57-T57</f>
        <v>0.09</v>
      </c>
      <c r="Y57" s="1"/>
      <c r="Z57" s="5">
        <f t="shared" ref="Z57:Z67" si="44">IF(T57=0,0,X57/T57)</f>
        <v>0</v>
      </c>
    </row>
    <row r="58" spans="1:26" s="24" customFormat="1" hidden="1" outlineLevel="2" x14ac:dyDescent="0.25">
      <c r="A58" s="26"/>
      <c r="B58" s="11" t="str">
        <f>CONCATENATE("          ", "6382", " - ", "DISCOUNTS/MARK DOWNS")</f>
        <v xml:space="preserve">          6382 - DISCOUNTS/MARK DOWNS</v>
      </c>
      <c r="C58" s="11"/>
      <c r="D58" s="7"/>
      <c r="E58" s="2"/>
      <c r="F58" s="6">
        <f t="shared" si="37"/>
        <v>0</v>
      </c>
      <c r="G58" s="2"/>
      <c r="H58" s="7"/>
      <c r="I58" s="2"/>
      <c r="J58" s="6">
        <f t="shared" si="38"/>
        <v>0</v>
      </c>
      <c r="K58" s="2"/>
      <c r="L58" s="7">
        <f t="shared" si="39"/>
        <v>0</v>
      </c>
      <c r="M58" s="2"/>
      <c r="N58" s="6">
        <f t="shared" si="40"/>
        <v>0</v>
      </c>
      <c r="O58" s="11"/>
      <c r="P58" s="7">
        <v>0.09</v>
      </c>
      <c r="Q58" s="2"/>
      <c r="R58" s="6">
        <f t="shared" si="41"/>
        <v>8.4206920092881724E-8</v>
      </c>
      <c r="S58" s="2"/>
      <c r="T58" s="7"/>
      <c r="U58" s="2"/>
      <c r="V58" s="6">
        <f t="shared" si="42"/>
        <v>0</v>
      </c>
      <c r="W58" s="2"/>
      <c r="X58" s="7">
        <f t="shared" si="43"/>
        <v>0.09</v>
      </c>
      <c r="Y58" s="2"/>
      <c r="Z58" s="6">
        <f t="shared" si="44"/>
        <v>0</v>
      </c>
    </row>
    <row r="59" spans="1:26" s="27" customFormat="1" outlineLevel="1" collapsed="1" x14ac:dyDescent="0.25">
      <c r="A59" s="25"/>
      <c r="B59" s="12" t="str">
        <f>CONCATENATE("     ","Donations                                         ")</f>
        <v xml:space="preserve">     Donations                                         </v>
      </c>
      <c r="C59" s="12"/>
      <c r="D59" s="1">
        <f>SUM(OSRRefD22_7x_0)</f>
        <v>0</v>
      </c>
      <c r="E59" s="1"/>
      <c r="F59" s="5">
        <f t="shared" si="37"/>
        <v>0</v>
      </c>
      <c r="G59" s="1"/>
      <c r="H59" s="1">
        <f>SUM(OSRRefH22_7x_0)</f>
        <v>0</v>
      </c>
      <c r="I59" s="1"/>
      <c r="J59" s="5">
        <f t="shared" si="38"/>
        <v>0</v>
      </c>
      <c r="K59" s="1"/>
      <c r="L59" s="1">
        <f t="shared" si="39"/>
        <v>0</v>
      </c>
      <c r="M59" s="1"/>
      <c r="N59" s="5">
        <f t="shared" si="40"/>
        <v>0</v>
      </c>
      <c r="O59" s="12"/>
      <c r="P59" s="1">
        <f>SUM(OSRRefP22_7x_0)</f>
        <v>73</v>
      </c>
      <c r="Q59" s="1"/>
      <c r="R59" s="5">
        <f t="shared" si="41"/>
        <v>6.8301168519781851E-5</v>
      </c>
      <c r="S59" s="1"/>
      <c r="T59" s="1">
        <f>SUM(OSRRefT22_7x_0)</f>
        <v>200</v>
      </c>
      <c r="U59" s="1"/>
      <c r="V59" s="5">
        <f t="shared" si="42"/>
        <v>1.2914473896619638E-4</v>
      </c>
      <c r="W59" s="1"/>
      <c r="X59" s="1">
        <f t="shared" si="43"/>
        <v>-127</v>
      </c>
      <c r="Y59" s="1"/>
      <c r="Z59" s="5">
        <f t="shared" si="44"/>
        <v>-0.63500000000000001</v>
      </c>
    </row>
    <row r="60" spans="1:26" s="24" customFormat="1" hidden="1" outlineLevel="2" x14ac:dyDescent="0.25">
      <c r="A60" s="26"/>
      <c r="B60" s="11" t="str">
        <f>CONCATENATE("          ", "6399", " - ", "DONATION-ON CAMPUS")</f>
        <v xml:space="preserve">          6399 - DONATION-ON CAMPUS</v>
      </c>
      <c r="C60" s="11"/>
      <c r="D60" s="7"/>
      <c r="E60" s="2"/>
      <c r="F60" s="6">
        <f t="shared" si="37"/>
        <v>0</v>
      </c>
      <c r="G60" s="2"/>
      <c r="H60" s="7"/>
      <c r="I60" s="2"/>
      <c r="J60" s="6">
        <f t="shared" si="38"/>
        <v>0</v>
      </c>
      <c r="K60" s="2"/>
      <c r="L60" s="7">
        <f t="shared" si="39"/>
        <v>0</v>
      </c>
      <c r="M60" s="2"/>
      <c r="N60" s="6">
        <f t="shared" si="40"/>
        <v>0</v>
      </c>
      <c r="O60" s="11"/>
      <c r="P60" s="7">
        <v>73</v>
      </c>
      <c r="Q60" s="2"/>
      <c r="R60" s="6">
        <f t="shared" si="41"/>
        <v>6.8301168519781851E-5</v>
      </c>
      <c r="S60" s="2"/>
      <c r="T60" s="7">
        <v>200</v>
      </c>
      <c r="U60" s="2"/>
      <c r="V60" s="6">
        <f t="shared" si="42"/>
        <v>1.2914473896619638E-4</v>
      </c>
      <c r="W60" s="2"/>
      <c r="X60" s="7">
        <f t="shared" si="43"/>
        <v>-127</v>
      </c>
      <c r="Y60" s="2"/>
      <c r="Z60" s="6">
        <f t="shared" si="44"/>
        <v>-0.63500000000000001</v>
      </c>
    </row>
    <row r="61" spans="1:26" s="27" customFormat="1" outlineLevel="1" collapsed="1" x14ac:dyDescent="0.25">
      <c r="A61" s="25"/>
      <c r="B61" s="12" t="str">
        <f>CONCATENATE("     ","Employees' Appreciation                           ")</f>
        <v xml:space="preserve">     Employees' Appreciation                           </v>
      </c>
      <c r="C61" s="12"/>
      <c r="D61" s="1">
        <f>SUM(OSRRefD22_8x_0)</f>
        <v>0</v>
      </c>
      <c r="E61" s="1"/>
      <c r="F61" s="5">
        <f t="shared" si="37"/>
        <v>0</v>
      </c>
      <c r="G61" s="1"/>
      <c r="H61" s="1">
        <f>SUM(OSRRefH22_8x_0)</f>
        <v>75</v>
      </c>
      <c r="I61" s="1"/>
      <c r="J61" s="5">
        <f t="shared" si="38"/>
        <v>5.3191489361702129E-4</v>
      </c>
      <c r="K61" s="1"/>
      <c r="L61" s="1">
        <f t="shared" si="39"/>
        <v>-75</v>
      </c>
      <c r="M61" s="1"/>
      <c r="N61" s="5">
        <f t="shared" si="40"/>
        <v>-1</v>
      </c>
      <c r="O61" s="12"/>
      <c r="P61" s="1">
        <f>SUM(OSRRefP22_8x_0)</f>
        <v>8.25</v>
      </c>
      <c r="Q61" s="1"/>
      <c r="R61" s="5">
        <f t="shared" si="41"/>
        <v>7.7189676751808245E-6</v>
      </c>
      <c r="S61" s="1"/>
      <c r="T61" s="1">
        <f>SUM(OSRRefT22_8x_0)</f>
        <v>950</v>
      </c>
      <c r="U61" s="1"/>
      <c r="V61" s="5">
        <f t="shared" si="42"/>
        <v>6.134375100894327E-4</v>
      </c>
      <c r="W61" s="1"/>
      <c r="X61" s="1">
        <f t="shared" si="43"/>
        <v>-941.75</v>
      </c>
      <c r="Y61" s="1"/>
      <c r="Z61" s="5">
        <f t="shared" si="44"/>
        <v>-0.99131578947368426</v>
      </c>
    </row>
    <row r="62" spans="1:26" s="24" customFormat="1" hidden="1" outlineLevel="2" x14ac:dyDescent="0.25">
      <c r="A62" s="26"/>
      <c r="B62" s="11" t="str">
        <f>CONCATENATE("          ", "6277", " - ", "EMPLOYEE APPRECIATION")</f>
        <v xml:space="preserve">          6277 - EMPLOYEE APPRECIATION</v>
      </c>
      <c r="C62" s="11"/>
      <c r="D62" s="7"/>
      <c r="E62" s="2"/>
      <c r="F62" s="6">
        <f t="shared" si="37"/>
        <v>0</v>
      </c>
      <c r="G62" s="2"/>
      <c r="H62" s="7">
        <v>75</v>
      </c>
      <c r="I62" s="2"/>
      <c r="J62" s="6">
        <f t="shared" si="38"/>
        <v>5.3191489361702129E-4</v>
      </c>
      <c r="K62" s="2"/>
      <c r="L62" s="7">
        <f t="shared" si="39"/>
        <v>-75</v>
      </c>
      <c r="M62" s="2"/>
      <c r="N62" s="6">
        <f t="shared" si="40"/>
        <v>-1</v>
      </c>
      <c r="O62" s="11"/>
      <c r="P62" s="7">
        <v>8.25</v>
      </c>
      <c r="Q62" s="2"/>
      <c r="R62" s="6">
        <f t="shared" si="41"/>
        <v>7.7189676751808245E-6</v>
      </c>
      <c r="S62" s="2"/>
      <c r="T62" s="7">
        <v>950</v>
      </c>
      <c r="U62" s="2"/>
      <c r="V62" s="6">
        <f t="shared" si="42"/>
        <v>6.134375100894327E-4</v>
      </c>
      <c r="W62" s="2"/>
      <c r="X62" s="7">
        <f t="shared" si="43"/>
        <v>-941.75</v>
      </c>
      <c r="Y62" s="2"/>
      <c r="Z62" s="6">
        <f t="shared" si="44"/>
        <v>-0.99131578947368426</v>
      </c>
    </row>
    <row r="63" spans="1:26" s="27" customFormat="1" outlineLevel="1" collapsed="1" x14ac:dyDescent="0.25">
      <c r="A63" s="25"/>
      <c r="B63" s="12" t="str">
        <f>CONCATENATE("     ","Equipment Rental                                  ")</f>
        <v xml:space="preserve">     Equipment Rental                                  </v>
      </c>
      <c r="C63" s="12"/>
      <c r="D63" s="1">
        <f>SUM(OSRRefD22_9x_0)</f>
        <v>263.72000000000003</v>
      </c>
      <c r="E63" s="1"/>
      <c r="F63" s="5">
        <f t="shared" si="37"/>
        <v>0</v>
      </c>
      <c r="G63" s="1"/>
      <c r="H63" s="1">
        <f>SUM(OSRRefH22_9x_0)</f>
        <v>320</v>
      </c>
      <c r="I63" s="1"/>
      <c r="J63" s="5">
        <f t="shared" si="38"/>
        <v>2.2695035460992908E-3</v>
      </c>
      <c r="K63" s="1"/>
      <c r="L63" s="1">
        <f t="shared" si="39"/>
        <v>-56.279999999999973</v>
      </c>
      <c r="M63" s="1"/>
      <c r="N63" s="5">
        <f t="shared" si="40"/>
        <v>-0.17587499999999992</v>
      </c>
      <c r="O63" s="12"/>
      <c r="P63" s="1">
        <f>SUM(OSRRefP22_9x_0)</f>
        <v>6851.14</v>
      </c>
      <c r="Q63" s="1"/>
      <c r="R63" s="5">
        <f t="shared" si="41"/>
        <v>6.4101488725016196E-3</v>
      </c>
      <c r="S63" s="1"/>
      <c r="T63" s="1">
        <f>SUM(OSRRefT22_9x_0)</f>
        <v>1331</v>
      </c>
      <c r="U63" s="1"/>
      <c r="V63" s="5">
        <f t="shared" si="42"/>
        <v>8.5945823782003679E-4</v>
      </c>
      <c r="W63" s="1"/>
      <c r="X63" s="1">
        <f t="shared" si="43"/>
        <v>5520.14</v>
      </c>
      <c r="Y63" s="1"/>
      <c r="Z63" s="5">
        <f t="shared" si="44"/>
        <v>4.1473628850488353</v>
      </c>
    </row>
    <row r="64" spans="1:26" s="24" customFormat="1" hidden="1" outlineLevel="2" x14ac:dyDescent="0.25">
      <c r="A64" s="26"/>
      <c r="B64" s="11" t="str">
        <f>CONCATENATE("          ", "6351", " - ", "EQUIPMENT RENTAL")</f>
        <v xml:space="preserve">          6351 - EQUIPMENT RENTAL</v>
      </c>
      <c r="C64" s="11"/>
      <c r="D64" s="7">
        <v>263.72000000000003</v>
      </c>
      <c r="E64" s="2"/>
      <c r="F64" s="6">
        <f t="shared" si="37"/>
        <v>0</v>
      </c>
      <c r="G64" s="2"/>
      <c r="H64" s="7">
        <v>320</v>
      </c>
      <c r="I64" s="2"/>
      <c r="J64" s="6">
        <f t="shared" si="38"/>
        <v>2.2695035460992908E-3</v>
      </c>
      <c r="K64" s="2"/>
      <c r="L64" s="7">
        <f t="shared" si="39"/>
        <v>-56.279999999999973</v>
      </c>
      <c r="M64" s="2"/>
      <c r="N64" s="6">
        <f t="shared" si="40"/>
        <v>-0.17587499999999992</v>
      </c>
      <c r="O64" s="11"/>
      <c r="P64" s="7">
        <v>6851.14</v>
      </c>
      <c r="Q64" s="2"/>
      <c r="R64" s="6">
        <f t="shared" si="41"/>
        <v>6.4101488725016196E-3</v>
      </c>
      <c r="S64" s="2"/>
      <c r="T64" s="7">
        <v>1331</v>
      </c>
      <c r="U64" s="2"/>
      <c r="V64" s="6">
        <f t="shared" si="42"/>
        <v>8.5945823782003679E-4</v>
      </c>
      <c r="W64" s="2"/>
      <c r="X64" s="7">
        <f t="shared" si="43"/>
        <v>5520.14</v>
      </c>
      <c r="Y64" s="2"/>
      <c r="Z64" s="6">
        <f t="shared" si="44"/>
        <v>4.1473628850488353</v>
      </c>
    </row>
    <row r="65" spans="1:26" s="27" customFormat="1" outlineLevel="1" collapsed="1" x14ac:dyDescent="0.25">
      <c r="A65" s="25"/>
      <c r="B65" s="12" t="str">
        <f>CONCATENATE("     ","General                                           ")</f>
        <v xml:space="preserve">     General                                           </v>
      </c>
      <c r="C65" s="12"/>
      <c r="D65" s="1">
        <f>SUM(OSRRefD22_10x_0)</f>
        <v>0</v>
      </c>
      <c r="E65" s="1"/>
      <c r="F65" s="5">
        <f t="shared" si="37"/>
        <v>0</v>
      </c>
      <c r="G65" s="1"/>
      <c r="H65" s="1">
        <f>SUM(OSRRefH22_10x_0)</f>
        <v>300</v>
      </c>
      <c r="I65" s="1"/>
      <c r="J65" s="5">
        <f t="shared" si="38"/>
        <v>2.1276595744680851E-3</v>
      </c>
      <c r="K65" s="1"/>
      <c r="L65" s="1">
        <f t="shared" si="39"/>
        <v>-300</v>
      </c>
      <c r="M65" s="1"/>
      <c r="N65" s="5">
        <f t="shared" si="40"/>
        <v>-1</v>
      </c>
      <c r="O65" s="12"/>
      <c r="P65" s="1">
        <f>SUM(OSRRefP22_10x_0)</f>
        <v>13442.380000000001</v>
      </c>
      <c r="Q65" s="1"/>
      <c r="R65" s="5">
        <f t="shared" si="41"/>
        <v>1.2577126872423907E-2</v>
      </c>
      <c r="S65" s="1"/>
      <c r="T65" s="1">
        <f>SUM(OSRRefT22_10x_0)</f>
        <v>7250</v>
      </c>
      <c r="U65" s="1"/>
      <c r="V65" s="5">
        <f t="shared" si="42"/>
        <v>4.6814967875246178E-3</v>
      </c>
      <c r="W65" s="1"/>
      <c r="X65" s="1">
        <f t="shared" si="43"/>
        <v>6192.380000000001</v>
      </c>
      <c r="Y65" s="1"/>
      <c r="Z65" s="5">
        <f t="shared" si="44"/>
        <v>0.85412137931034493</v>
      </c>
    </row>
    <row r="66" spans="1:26" s="24" customFormat="1" hidden="1" outlineLevel="2" x14ac:dyDescent="0.25">
      <c r="A66" s="26"/>
      <c r="B66" s="11" t="str">
        <f>CONCATENATE("          ", "6269", " - ", "ENTERTAINMENT")</f>
        <v xml:space="preserve">          6269 - ENTERTAINMENT</v>
      </c>
      <c r="C66" s="11"/>
      <c r="D66" s="7"/>
      <c r="E66" s="2"/>
      <c r="F66" s="6">
        <f t="shared" si="37"/>
        <v>0</v>
      </c>
      <c r="G66" s="2"/>
      <c r="H66" s="7">
        <v>300</v>
      </c>
      <c r="I66" s="2"/>
      <c r="J66" s="6">
        <f t="shared" si="38"/>
        <v>2.1276595744680851E-3</v>
      </c>
      <c r="K66" s="2"/>
      <c r="L66" s="7">
        <f t="shared" si="39"/>
        <v>-300</v>
      </c>
      <c r="M66" s="2"/>
      <c r="N66" s="6">
        <f t="shared" si="40"/>
        <v>-1</v>
      </c>
      <c r="O66" s="11"/>
      <c r="P66" s="7">
        <v>10050</v>
      </c>
      <c r="Q66" s="2"/>
      <c r="R66" s="6">
        <f t="shared" si="41"/>
        <v>9.4031060770384603E-3</v>
      </c>
      <c r="S66" s="2"/>
      <c r="T66" s="7">
        <v>7250</v>
      </c>
      <c r="U66" s="2"/>
      <c r="V66" s="6">
        <f t="shared" si="42"/>
        <v>4.6814967875246178E-3</v>
      </c>
      <c r="W66" s="2"/>
      <c r="X66" s="7">
        <f t="shared" si="43"/>
        <v>2800</v>
      </c>
      <c r="Y66" s="2"/>
      <c r="Z66" s="6">
        <f t="shared" si="44"/>
        <v>0.38620689655172413</v>
      </c>
    </row>
    <row r="67" spans="1:26" s="24" customFormat="1" hidden="1" outlineLevel="2" x14ac:dyDescent="0.25">
      <c r="A67" s="26"/>
      <c r="B67" s="11" t="str">
        <f>CONCATENATE("          ", "6279", " - ", "GENERAL EXPENSE")</f>
        <v xml:space="preserve">          6279 - GENERAL EXPENSE</v>
      </c>
      <c r="C67" s="11"/>
      <c r="D67" s="7"/>
      <c r="E67" s="2"/>
      <c r="F67" s="6">
        <f t="shared" si="37"/>
        <v>0</v>
      </c>
      <c r="G67" s="2"/>
      <c r="H67" s="7"/>
      <c r="I67" s="2"/>
      <c r="J67" s="6">
        <f t="shared" si="38"/>
        <v>0</v>
      </c>
      <c r="K67" s="2"/>
      <c r="L67" s="7">
        <f t="shared" si="39"/>
        <v>0</v>
      </c>
      <c r="M67" s="2"/>
      <c r="N67" s="6">
        <f t="shared" si="40"/>
        <v>0</v>
      </c>
      <c r="O67" s="11"/>
      <c r="P67" s="7">
        <v>3392.38</v>
      </c>
      <c r="Q67" s="2"/>
      <c r="R67" s="6">
        <f t="shared" si="41"/>
        <v>3.1740207953854459E-3</v>
      </c>
      <c r="S67" s="2"/>
      <c r="T67" s="7"/>
      <c r="U67" s="2"/>
      <c r="V67" s="6">
        <f t="shared" si="42"/>
        <v>0</v>
      </c>
      <c r="W67" s="2"/>
      <c r="X67" s="7">
        <f t="shared" si="43"/>
        <v>3392.38</v>
      </c>
      <c r="Y67" s="2"/>
      <c r="Z67" s="6">
        <f t="shared" si="44"/>
        <v>0</v>
      </c>
    </row>
    <row r="68" spans="1:26" s="27" customFormat="1" outlineLevel="1" collapsed="1" x14ac:dyDescent="0.25">
      <c r="A68" s="25"/>
      <c r="B68" s="12" t="str">
        <f>CONCATENATE("     ","Repair and Maintenance                            ")</f>
        <v xml:space="preserve">     Repair and Maintenance                            </v>
      </c>
      <c r="C68" s="12"/>
      <c r="D68" s="1">
        <f>SUM(OSRRefD22_11x_0)</f>
        <v>0</v>
      </c>
      <c r="E68" s="1"/>
      <c r="F68" s="5">
        <f t="shared" ref="F68:F71" si="45">IF(D$12=0,0,D68/D$12)</f>
        <v>0</v>
      </c>
      <c r="G68" s="1"/>
      <c r="H68" s="1">
        <f>SUM(OSRRefH22_11x_0)</f>
        <v>1400</v>
      </c>
      <c r="I68" s="1"/>
      <c r="J68" s="5">
        <f t="shared" ref="J68:J71" si="46">IF(H$12=0,0,H68/H$12)</f>
        <v>9.9290780141843976E-3</v>
      </c>
      <c r="K68" s="1"/>
      <c r="L68" s="1">
        <f t="shared" ref="L68:L71" si="47">+D68-H68</f>
        <v>-1400</v>
      </c>
      <c r="M68" s="1"/>
      <c r="N68" s="5">
        <f t="shared" ref="N68:N71" si="48">IF(H68=0,0,L68/H68)</f>
        <v>-1</v>
      </c>
      <c r="O68" s="12"/>
      <c r="P68" s="1">
        <f>SUM(OSRRefP22_11x_0)</f>
        <v>17856.98</v>
      </c>
      <c r="Q68" s="1"/>
      <c r="R68" s="5">
        <f t="shared" ref="R68:R71" si="49">IF(P$12=0,0,P68/P$12)</f>
        <v>1.6707569866224303E-2</v>
      </c>
      <c r="S68" s="1"/>
      <c r="T68" s="1">
        <f>SUM(OSRRefT22_11x_0)</f>
        <v>15964</v>
      </c>
      <c r="U68" s="1"/>
      <c r="V68" s="5">
        <f t="shared" ref="V68:V71" si="50">IF(T$12=0,0,T68/T$12)</f>
        <v>1.0308333064281795E-2</v>
      </c>
      <c r="W68" s="1"/>
      <c r="X68" s="1">
        <f t="shared" ref="X68:X71" si="51">+P68-T68</f>
        <v>1892.9799999999996</v>
      </c>
      <c r="Y68" s="1"/>
      <c r="Z68" s="5">
        <f t="shared" ref="Z68:Z71" si="52">IF(T68=0,0,X68/T68)</f>
        <v>0.1185780506138812</v>
      </c>
    </row>
    <row r="69" spans="1:26" s="24" customFormat="1" hidden="1" outlineLevel="2" x14ac:dyDescent="0.25">
      <c r="A69" s="26"/>
      <c r="B69" s="11" t="str">
        <f>CONCATENATE("          ", "6371", " - ", "COMPUTER SOFTWARE MAINTENANCE")</f>
        <v xml:space="preserve">          6371 - COMPUTER SOFTWARE MAINTENANCE</v>
      </c>
      <c r="C69" s="11"/>
      <c r="D69" s="7"/>
      <c r="E69" s="2"/>
      <c r="F69" s="6">
        <f t="shared" si="45"/>
        <v>0</v>
      </c>
      <c r="G69" s="2"/>
      <c r="H69" s="7"/>
      <c r="I69" s="2"/>
      <c r="J69" s="6">
        <f t="shared" si="46"/>
        <v>0</v>
      </c>
      <c r="K69" s="2"/>
      <c r="L69" s="7">
        <f t="shared" si="47"/>
        <v>0</v>
      </c>
      <c r="M69" s="2"/>
      <c r="N69" s="6">
        <f t="shared" si="48"/>
        <v>0</v>
      </c>
      <c r="O69" s="11"/>
      <c r="P69" s="7">
        <v>2623.85</v>
      </c>
      <c r="Q69" s="2"/>
      <c r="R69" s="6">
        <f t="shared" si="49"/>
        <v>2.454959192063419E-3</v>
      </c>
      <c r="S69" s="2"/>
      <c r="T69" s="7"/>
      <c r="U69" s="2"/>
      <c r="V69" s="6">
        <f t="shared" si="50"/>
        <v>0</v>
      </c>
      <c r="W69" s="2"/>
      <c r="X69" s="7">
        <f t="shared" si="51"/>
        <v>2623.85</v>
      </c>
      <c r="Y69" s="2"/>
      <c r="Z69" s="6">
        <f t="shared" si="52"/>
        <v>0</v>
      </c>
    </row>
    <row r="70" spans="1:26" s="24" customFormat="1" hidden="1" outlineLevel="2" x14ac:dyDescent="0.25">
      <c r="A70" s="26"/>
      <c r="B70" s="11" t="str">
        <f>CONCATENATE("          ", "6373", " - ", "MAINTENANCE CONTRACTS")</f>
        <v xml:space="preserve">          6373 - MAINTENANCE CONTRACTS</v>
      </c>
      <c r="C70" s="11"/>
      <c r="D70" s="7"/>
      <c r="E70" s="2"/>
      <c r="F70" s="6">
        <f t="shared" si="45"/>
        <v>0</v>
      </c>
      <c r="G70" s="2"/>
      <c r="H70" s="7"/>
      <c r="I70" s="2"/>
      <c r="J70" s="6">
        <f t="shared" si="46"/>
        <v>0</v>
      </c>
      <c r="K70" s="2"/>
      <c r="L70" s="7">
        <f t="shared" si="47"/>
        <v>0</v>
      </c>
      <c r="M70" s="2"/>
      <c r="N70" s="6">
        <f t="shared" si="48"/>
        <v>0</v>
      </c>
      <c r="O70" s="11"/>
      <c r="P70" s="7">
        <v>1443.95</v>
      </c>
      <c r="Q70" s="2"/>
      <c r="R70" s="6">
        <f t="shared" si="49"/>
        <v>1.3510064696457397E-3</v>
      </c>
      <c r="S70" s="2"/>
      <c r="T70" s="7">
        <v>564</v>
      </c>
      <c r="U70" s="2"/>
      <c r="V70" s="6">
        <f t="shared" si="50"/>
        <v>3.6418816388467373E-4</v>
      </c>
      <c r="W70" s="2"/>
      <c r="X70" s="7">
        <f t="shared" si="51"/>
        <v>879.95</v>
      </c>
      <c r="Y70" s="2"/>
      <c r="Z70" s="6">
        <f t="shared" si="52"/>
        <v>1.560195035460993</v>
      </c>
    </row>
    <row r="71" spans="1:26" s="24" customFormat="1" hidden="1" outlineLevel="2" x14ac:dyDescent="0.25">
      <c r="A71" s="26"/>
      <c r="B71" s="11" t="str">
        <f>CONCATENATE("          ", "6375", " - ", "OUTSIDE REPAIRS &amp; MAINTENANCE")</f>
        <v xml:space="preserve">          6375 - OUTSIDE REPAIRS &amp; MAINTENANCE</v>
      </c>
      <c r="C71" s="11"/>
      <c r="D71" s="7"/>
      <c r="E71" s="2"/>
      <c r="F71" s="6">
        <f t="shared" si="45"/>
        <v>0</v>
      </c>
      <c r="G71" s="2"/>
      <c r="H71" s="7">
        <v>1400</v>
      </c>
      <c r="I71" s="2"/>
      <c r="J71" s="6">
        <f t="shared" si="46"/>
        <v>9.9290780141843976E-3</v>
      </c>
      <c r="K71" s="2"/>
      <c r="L71" s="7">
        <f t="shared" si="47"/>
        <v>-1400</v>
      </c>
      <c r="M71" s="2"/>
      <c r="N71" s="6">
        <f t="shared" si="48"/>
        <v>-1</v>
      </c>
      <c r="O71" s="11"/>
      <c r="P71" s="7">
        <v>13789.18</v>
      </c>
      <c r="Q71" s="2"/>
      <c r="R71" s="6">
        <f t="shared" si="49"/>
        <v>1.2901604204515143E-2</v>
      </c>
      <c r="S71" s="2"/>
      <c r="T71" s="7">
        <v>15400</v>
      </c>
      <c r="U71" s="2"/>
      <c r="V71" s="6">
        <f t="shared" si="50"/>
        <v>9.94414490039712E-3</v>
      </c>
      <c r="W71" s="2"/>
      <c r="X71" s="7">
        <f t="shared" si="51"/>
        <v>-1610.8199999999997</v>
      </c>
      <c r="Y71" s="2"/>
      <c r="Z71" s="6">
        <f t="shared" si="52"/>
        <v>-0.10459870129870127</v>
      </c>
    </row>
    <row r="72" spans="1:26" s="27" customFormat="1" outlineLevel="1" collapsed="1" x14ac:dyDescent="0.25">
      <c r="A72" s="25"/>
      <c r="B72" s="12" t="str">
        <f>CONCATENATE("     ","Services                                          ")</f>
        <v xml:space="preserve">     Services                                          </v>
      </c>
      <c r="C72" s="12"/>
      <c r="D72" s="1">
        <f>SUM(OSRRefD22_12x_0)</f>
        <v>0</v>
      </c>
      <c r="E72" s="1"/>
      <c r="F72" s="5">
        <f t="shared" ref="F72:F75" si="53">IF(D$12=0,0,D72/D$12)</f>
        <v>0</v>
      </c>
      <c r="G72" s="1"/>
      <c r="H72" s="1">
        <f>SUM(OSRRefH22_12x_0)</f>
        <v>594</v>
      </c>
      <c r="I72" s="1"/>
      <c r="J72" s="5">
        <f t="shared" ref="J72:J75" si="54">IF(H$12=0,0,H72/H$12)</f>
        <v>4.2127659574468087E-3</v>
      </c>
      <c r="K72" s="1"/>
      <c r="L72" s="1">
        <f t="shared" ref="L72:L75" si="55">+D72-H72</f>
        <v>-594</v>
      </c>
      <c r="M72" s="1"/>
      <c r="N72" s="5">
        <f t="shared" ref="N72:N75" si="56">IF(H72=0,0,L72/H72)</f>
        <v>-1</v>
      </c>
      <c r="O72" s="12"/>
      <c r="P72" s="1">
        <f>SUM(OSRRefP22_12x_0)</f>
        <v>3851.3999999999996</v>
      </c>
      <c r="Q72" s="1"/>
      <c r="R72" s="5">
        <f t="shared" ref="R72:R75" si="57">IF(P$12=0,0,P72/P$12)</f>
        <v>3.6034948005080518E-3</v>
      </c>
      <c r="S72" s="1"/>
      <c r="T72" s="1">
        <f>SUM(OSRRefT22_12x_0)</f>
        <v>6830</v>
      </c>
      <c r="U72" s="1"/>
      <c r="V72" s="5">
        <f t="shared" ref="V72:V75" si="58">IF(T$12=0,0,T72/T$12)</f>
        <v>4.4102928356956062E-3</v>
      </c>
      <c r="W72" s="1"/>
      <c r="X72" s="1">
        <f t="shared" ref="X72:X75" si="59">+P72-T72</f>
        <v>-2978.6000000000004</v>
      </c>
      <c r="Y72" s="1"/>
      <c r="Z72" s="5">
        <f t="shared" ref="Z72:Z75" si="60">IF(T72=0,0,X72/T72)</f>
        <v>-0.43610541727672042</v>
      </c>
    </row>
    <row r="73" spans="1:26" s="24" customFormat="1" hidden="1" outlineLevel="2" x14ac:dyDescent="0.25">
      <c r="A73" s="26"/>
      <c r="B73" s="11" t="str">
        <f>CONCATENATE("          ", "6283", " - ", "PLANT SERVICE")</f>
        <v xml:space="preserve">          6283 - PLANT SERVICE</v>
      </c>
      <c r="C73" s="11"/>
      <c r="D73" s="7"/>
      <c r="E73" s="2"/>
      <c r="F73" s="6">
        <f t="shared" si="53"/>
        <v>0</v>
      </c>
      <c r="G73" s="2"/>
      <c r="H73" s="7">
        <v>30</v>
      </c>
      <c r="I73" s="2"/>
      <c r="J73" s="6">
        <f t="shared" si="54"/>
        <v>2.1276595744680851E-4</v>
      </c>
      <c r="K73" s="2"/>
      <c r="L73" s="7">
        <f t="shared" si="55"/>
        <v>-30</v>
      </c>
      <c r="M73" s="2"/>
      <c r="N73" s="6">
        <f t="shared" si="56"/>
        <v>-1</v>
      </c>
      <c r="O73" s="11"/>
      <c r="P73" s="7">
        <v>357.75</v>
      </c>
      <c r="Q73" s="2"/>
      <c r="R73" s="6">
        <f t="shared" si="57"/>
        <v>3.3472250736920489E-4</v>
      </c>
      <c r="S73" s="2"/>
      <c r="T73" s="7">
        <v>330</v>
      </c>
      <c r="U73" s="2"/>
      <c r="V73" s="6">
        <f t="shared" si="58"/>
        <v>2.1308881929422399E-4</v>
      </c>
      <c r="W73" s="2"/>
      <c r="X73" s="7">
        <f t="shared" si="59"/>
        <v>27.75</v>
      </c>
      <c r="Y73" s="2"/>
      <c r="Z73" s="6">
        <f t="shared" si="60"/>
        <v>8.4090909090909091E-2</v>
      </c>
    </row>
    <row r="74" spans="1:26" s="24" customFormat="1" hidden="1" outlineLevel="2" x14ac:dyDescent="0.25">
      <c r="A74" s="26"/>
      <c r="B74" s="11" t="str">
        <f>CONCATENATE("          ", "6285", " - ", "JANITORIAL SERVICES")</f>
        <v xml:space="preserve">          6285 - JANITORIAL SERVICES</v>
      </c>
      <c r="C74" s="11"/>
      <c r="D74" s="7"/>
      <c r="E74" s="2"/>
      <c r="F74" s="6">
        <f t="shared" si="53"/>
        <v>0</v>
      </c>
      <c r="G74" s="2"/>
      <c r="H74" s="7">
        <v>288</v>
      </c>
      <c r="I74" s="2"/>
      <c r="J74" s="6">
        <f t="shared" si="54"/>
        <v>2.0425531914893616E-3</v>
      </c>
      <c r="K74" s="2"/>
      <c r="L74" s="7">
        <f t="shared" si="55"/>
        <v>-288</v>
      </c>
      <c r="M74" s="2"/>
      <c r="N74" s="6">
        <f t="shared" si="56"/>
        <v>-1</v>
      </c>
      <c r="O74" s="11"/>
      <c r="P74" s="7">
        <v>1876.6</v>
      </c>
      <c r="Q74" s="2"/>
      <c r="R74" s="6">
        <f t="shared" si="57"/>
        <v>1.7558078471811315E-3</v>
      </c>
      <c r="S74" s="2"/>
      <c r="T74" s="7">
        <v>3456</v>
      </c>
      <c r="U74" s="2"/>
      <c r="V74" s="6">
        <f t="shared" si="58"/>
        <v>2.2316210893358734E-3</v>
      </c>
      <c r="W74" s="2"/>
      <c r="X74" s="7">
        <f t="shared" si="59"/>
        <v>-1579.4</v>
      </c>
      <c r="Y74" s="2"/>
      <c r="Z74" s="6">
        <f t="shared" si="60"/>
        <v>-0.45700231481481485</v>
      </c>
    </row>
    <row r="75" spans="1:26" s="24" customFormat="1" hidden="1" outlineLevel="2" x14ac:dyDescent="0.25">
      <c r="A75" s="26"/>
      <c r="B75" s="11" t="str">
        <f>CONCATENATE("          ", "6286", " - ", "LAUNDRY EXPENSE")</f>
        <v xml:space="preserve">          6286 - LAUNDRY EXPENSE</v>
      </c>
      <c r="C75" s="11"/>
      <c r="D75" s="7"/>
      <c r="E75" s="2"/>
      <c r="F75" s="6">
        <f t="shared" si="53"/>
        <v>0</v>
      </c>
      <c r="G75" s="2"/>
      <c r="H75" s="7">
        <v>276</v>
      </c>
      <c r="I75" s="2"/>
      <c r="J75" s="6">
        <f t="shared" si="54"/>
        <v>1.9574468085106385E-3</v>
      </c>
      <c r="K75" s="2"/>
      <c r="L75" s="7">
        <f t="shared" si="55"/>
        <v>-276</v>
      </c>
      <c r="M75" s="2"/>
      <c r="N75" s="6">
        <f t="shared" si="56"/>
        <v>-1</v>
      </c>
      <c r="O75" s="11"/>
      <c r="P75" s="7">
        <v>1617.05</v>
      </c>
      <c r="Q75" s="2"/>
      <c r="R75" s="6">
        <f t="shared" si="57"/>
        <v>1.5129644459577155E-3</v>
      </c>
      <c r="S75" s="2"/>
      <c r="T75" s="7">
        <v>3044</v>
      </c>
      <c r="U75" s="2"/>
      <c r="V75" s="6">
        <f t="shared" si="58"/>
        <v>1.9655829270655086E-3</v>
      </c>
      <c r="W75" s="2"/>
      <c r="X75" s="7">
        <f t="shared" si="59"/>
        <v>-1426.95</v>
      </c>
      <c r="Y75" s="2"/>
      <c r="Z75" s="6">
        <f t="shared" si="60"/>
        <v>-0.46877463863337715</v>
      </c>
    </row>
    <row r="76" spans="1:26" s="27" customFormat="1" outlineLevel="1" collapsed="1" x14ac:dyDescent="0.25">
      <c r="A76" s="25"/>
      <c r="B76" s="12" t="str">
        <f>CONCATENATE("     ","Subscriptions &amp; Dues                              ")</f>
        <v xml:space="preserve">     Subscriptions &amp; Dues                              </v>
      </c>
      <c r="C76" s="12"/>
      <c r="D76" s="1">
        <f>SUM(OSRRefD22_13x_0)</f>
        <v>0</v>
      </c>
      <c r="E76" s="1"/>
      <c r="F76" s="5">
        <f t="shared" ref="F76:F78" si="61">IF(D$12=0,0,D76/D$12)</f>
        <v>0</v>
      </c>
      <c r="G76" s="1"/>
      <c r="H76" s="1">
        <f>SUM(OSRRefH22_13x_0)</f>
        <v>194</v>
      </c>
      <c r="I76" s="1"/>
      <c r="J76" s="5">
        <f t="shared" ref="J76:J78" si="62">IF(H$12=0,0,H76/H$12)</f>
        <v>1.3758865248226951E-3</v>
      </c>
      <c r="K76" s="1"/>
      <c r="L76" s="1">
        <f t="shared" ref="L76:L78" si="63">+D76-H76</f>
        <v>-194</v>
      </c>
      <c r="M76" s="1"/>
      <c r="N76" s="5">
        <f t="shared" ref="N76:N78" si="64">IF(H76=0,0,L76/H76)</f>
        <v>-1</v>
      </c>
      <c r="O76" s="12"/>
      <c r="P76" s="1">
        <f>SUM(OSRRefP22_13x_0)</f>
        <v>2642.69</v>
      </c>
      <c r="Q76" s="1"/>
      <c r="R76" s="5">
        <f t="shared" ref="R76:R78" si="65">IF(P$12=0,0,P76/P$12)</f>
        <v>2.4725865073361958E-3</v>
      </c>
      <c r="S76" s="1"/>
      <c r="T76" s="1">
        <f>SUM(OSRRefT22_13x_0)</f>
        <v>1959</v>
      </c>
      <c r="U76" s="1"/>
      <c r="V76" s="5">
        <f t="shared" ref="V76:V78" si="66">IF(T$12=0,0,T76/T$12)</f>
        <v>1.2649727181738935E-3</v>
      </c>
      <c r="W76" s="1"/>
      <c r="X76" s="1">
        <f t="shared" ref="X76:X78" si="67">+P76-T76</f>
        <v>683.69</v>
      </c>
      <c r="Y76" s="1"/>
      <c r="Z76" s="5">
        <f t="shared" ref="Z76:Z78" si="68">IF(T76=0,0,X76/T76)</f>
        <v>0.34899948953547733</v>
      </c>
    </row>
    <row r="77" spans="1:26" s="24" customFormat="1" hidden="1" outlineLevel="2" x14ac:dyDescent="0.25">
      <c r="A77" s="26"/>
      <c r="B77" s="11" t="str">
        <f>CONCATENATE("          ", "6258", " - ", "MEMBERSHIP DUES")</f>
        <v xml:space="preserve">          6258 - MEMBERSHIP DUES</v>
      </c>
      <c r="C77" s="11"/>
      <c r="D77" s="7"/>
      <c r="E77" s="2"/>
      <c r="F77" s="6">
        <f t="shared" si="61"/>
        <v>0</v>
      </c>
      <c r="G77" s="2"/>
      <c r="H77" s="7"/>
      <c r="I77" s="2"/>
      <c r="J77" s="6">
        <f t="shared" si="62"/>
        <v>0</v>
      </c>
      <c r="K77" s="2"/>
      <c r="L77" s="7">
        <f t="shared" si="63"/>
        <v>0</v>
      </c>
      <c r="M77" s="2"/>
      <c r="N77" s="6">
        <f t="shared" si="64"/>
        <v>0</v>
      </c>
      <c r="O77" s="11"/>
      <c r="P77" s="7">
        <v>978</v>
      </c>
      <c r="Q77" s="2"/>
      <c r="R77" s="6">
        <f t="shared" si="65"/>
        <v>9.1504853167598146E-4</v>
      </c>
      <c r="S77" s="2"/>
      <c r="T77" s="7"/>
      <c r="U77" s="2"/>
      <c r="V77" s="6">
        <f t="shared" si="66"/>
        <v>0</v>
      </c>
      <c r="W77" s="2"/>
      <c r="X77" s="7">
        <f t="shared" si="67"/>
        <v>978</v>
      </c>
      <c r="Y77" s="2"/>
      <c r="Z77" s="6">
        <f t="shared" si="68"/>
        <v>0</v>
      </c>
    </row>
    <row r="78" spans="1:26" s="24" customFormat="1" hidden="1" outlineLevel="2" x14ac:dyDescent="0.25">
      <c r="A78" s="26"/>
      <c r="B78" s="11" t="str">
        <f>CONCATENATE("          ", "6275", " - ", "SUBSCRIPTIONS")</f>
        <v xml:space="preserve">          6275 - SUBSCRIPTIONS</v>
      </c>
      <c r="C78" s="11"/>
      <c r="D78" s="7"/>
      <c r="E78" s="2"/>
      <c r="F78" s="6">
        <f t="shared" si="61"/>
        <v>0</v>
      </c>
      <c r="G78" s="2"/>
      <c r="H78" s="7">
        <v>194</v>
      </c>
      <c r="I78" s="2"/>
      <c r="J78" s="6">
        <f t="shared" si="62"/>
        <v>1.3758865248226951E-3</v>
      </c>
      <c r="K78" s="2"/>
      <c r="L78" s="7">
        <f t="shared" si="63"/>
        <v>-194</v>
      </c>
      <c r="M78" s="2"/>
      <c r="N78" s="6">
        <f t="shared" si="64"/>
        <v>-1</v>
      </c>
      <c r="O78" s="11"/>
      <c r="P78" s="7">
        <v>1664.69</v>
      </c>
      <c r="Q78" s="2"/>
      <c r="R78" s="6">
        <f t="shared" si="65"/>
        <v>1.5575379756602144E-3</v>
      </c>
      <c r="S78" s="2"/>
      <c r="T78" s="7">
        <v>1959</v>
      </c>
      <c r="U78" s="2"/>
      <c r="V78" s="6">
        <f t="shared" si="66"/>
        <v>1.2649727181738935E-3</v>
      </c>
      <c r="W78" s="2"/>
      <c r="X78" s="7">
        <f t="shared" si="67"/>
        <v>-294.30999999999995</v>
      </c>
      <c r="Y78" s="2"/>
      <c r="Z78" s="6">
        <f t="shared" si="68"/>
        <v>-0.15023481368044919</v>
      </c>
    </row>
    <row r="79" spans="1:26" s="27" customFormat="1" outlineLevel="1" collapsed="1" x14ac:dyDescent="0.25">
      <c r="A79" s="25"/>
      <c r="B79" s="12" t="str">
        <f>CONCATENATE("     ","Supplies                                          ")</f>
        <v xml:space="preserve">     Supplies                                          </v>
      </c>
      <c r="C79" s="12"/>
      <c r="D79" s="1">
        <f>SUM(OSRRefD22_14x_0)</f>
        <v>0</v>
      </c>
      <c r="E79" s="1"/>
      <c r="F79" s="5">
        <f t="shared" ref="F79:F87" si="69">IF(D$12=0,0,D79/D$12)</f>
        <v>0</v>
      </c>
      <c r="G79" s="1"/>
      <c r="H79" s="1">
        <f>SUM(OSRRefH22_14x_0)</f>
        <v>800</v>
      </c>
      <c r="I79" s="1"/>
      <c r="J79" s="5">
        <f t="shared" ref="J79:J87" si="70">IF(H$12=0,0,H79/H$12)</f>
        <v>5.6737588652482273E-3</v>
      </c>
      <c r="K79" s="1"/>
      <c r="L79" s="1">
        <f t="shared" ref="L79:L87" si="71">+D79-H79</f>
        <v>-800</v>
      </c>
      <c r="M79" s="1"/>
      <c r="N79" s="5">
        <f t="shared" ref="N79:N87" si="72">IF(H79=0,0,L79/H79)</f>
        <v>-1</v>
      </c>
      <c r="O79" s="12"/>
      <c r="P79" s="1">
        <f>SUM(OSRRefP22_14x_0)</f>
        <v>8790.9</v>
      </c>
      <c r="Q79" s="1"/>
      <c r="R79" s="5">
        <f t="shared" ref="R79:R87" si="73">IF(P$12=0,0,P79/P$12)</f>
        <v>8.2250512649390435E-3</v>
      </c>
      <c r="S79" s="1"/>
      <c r="T79" s="1">
        <f>SUM(OSRRefT22_14x_0)</f>
        <v>14970</v>
      </c>
      <c r="U79" s="1"/>
      <c r="V79" s="5">
        <f t="shared" ref="V79:V87" si="74">IF(T$12=0,0,T79/T$12)</f>
        <v>9.6664837116197978E-3</v>
      </c>
      <c r="W79" s="1"/>
      <c r="X79" s="1">
        <f t="shared" ref="X79:X87" si="75">+P79-T79</f>
        <v>-6179.1</v>
      </c>
      <c r="Y79" s="1"/>
      <c r="Z79" s="5">
        <f t="shared" ref="Z79:Z87" si="76">IF(T79=0,0,X79/T79)</f>
        <v>-0.41276553106212427</v>
      </c>
    </row>
    <row r="80" spans="1:26" s="24" customFormat="1" hidden="1" outlineLevel="2" x14ac:dyDescent="0.25">
      <c r="A80" s="26"/>
      <c r="B80" s="11" t="str">
        <f>CONCATENATE("          ", "6234", " - ", "EXPENDABLE SUPPLIES &amp; EQUIPMEN")</f>
        <v xml:space="preserve">          6234 - EXPENDABLE SUPPLIES &amp; EQUIPMEN</v>
      </c>
      <c r="C80" s="11"/>
      <c r="D80" s="7"/>
      <c r="E80" s="2"/>
      <c r="F80" s="6">
        <f t="shared" si="69"/>
        <v>0</v>
      </c>
      <c r="G80" s="2"/>
      <c r="H80" s="7"/>
      <c r="I80" s="2"/>
      <c r="J80" s="6">
        <f t="shared" si="70"/>
        <v>0</v>
      </c>
      <c r="K80" s="2"/>
      <c r="L80" s="7">
        <f t="shared" si="71"/>
        <v>0</v>
      </c>
      <c r="M80" s="2"/>
      <c r="N80" s="6">
        <f t="shared" si="72"/>
        <v>0</v>
      </c>
      <c r="O80" s="11"/>
      <c r="P80" s="7">
        <v>333.92</v>
      </c>
      <c r="Q80" s="2"/>
      <c r="R80" s="6">
        <f t="shared" si="73"/>
        <v>3.1242638619350077E-4</v>
      </c>
      <c r="S80" s="2"/>
      <c r="T80" s="7"/>
      <c r="U80" s="2"/>
      <c r="V80" s="6">
        <f t="shared" si="74"/>
        <v>0</v>
      </c>
      <c r="W80" s="2"/>
      <c r="X80" s="7">
        <f t="shared" si="75"/>
        <v>333.92</v>
      </c>
      <c r="Y80" s="2"/>
      <c r="Z80" s="6">
        <f t="shared" si="76"/>
        <v>0</v>
      </c>
    </row>
    <row r="81" spans="1:26" s="24" customFormat="1" hidden="1" outlineLevel="2" x14ac:dyDescent="0.25">
      <c r="A81" s="26"/>
      <c r="B81" s="11" t="str">
        <f>CONCATENATE("          ", "6237", " - ", "JANITORIAL SUPPLIES")</f>
        <v xml:space="preserve">          6237 - JANITORIAL SUPPLIES</v>
      </c>
      <c r="C81" s="11"/>
      <c r="D81" s="7"/>
      <c r="E81" s="2"/>
      <c r="F81" s="6">
        <f t="shared" si="69"/>
        <v>0</v>
      </c>
      <c r="G81" s="2"/>
      <c r="H81" s="7">
        <v>250</v>
      </c>
      <c r="I81" s="2"/>
      <c r="J81" s="6">
        <f t="shared" si="70"/>
        <v>1.7730496453900709E-3</v>
      </c>
      <c r="K81" s="2"/>
      <c r="L81" s="7">
        <f t="shared" si="71"/>
        <v>-250</v>
      </c>
      <c r="M81" s="2"/>
      <c r="N81" s="6">
        <f t="shared" si="72"/>
        <v>-1</v>
      </c>
      <c r="O81" s="11"/>
      <c r="P81" s="7">
        <v>17.62</v>
      </c>
      <c r="Q81" s="2"/>
      <c r="R81" s="6">
        <f t="shared" si="73"/>
        <v>1.6485843689295292E-5</v>
      </c>
      <c r="S81" s="2"/>
      <c r="T81" s="7">
        <v>2890</v>
      </c>
      <c r="U81" s="2"/>
      <c r="V81" s="6">
        <f t="shared" si="74"/>
        <v>1.8661414780615374E-3</v>
      </c>
      <c r="W81" s="2"/>
      <c r="X81" s="7">
        <f t="shared" si="75"/>
        <v>-2872.38</v>
      </c>
      <c r="Y81" s="2"/>
      <c r="Z81" s="6">
        <f t="shared" si="76"/>
        <v>-0.99390311418685129</v>
      </c>
    </row>
    <row r="82" spans="1:26" s="24" customFormat="1" hidden="1" outlineLevel="2" x14ac:dyDescent="0.25">
      <c r="A82" s="26"/>
      <c r="B82" s="11" t="str">
        <f>CONCATENATE("          ", "6239", " - ", "KITCHEN SUPPLIES")</f>
        <v xml:space="preserve">          6239 - KITCHEN SUPPLIES</v>
      </c>
      <c r="C82" s="11"/>
      <c r="D82" s="7"/>
      <c r="E82" s="2"/>
      <c r="F82" s="6">
        <f t="shared" si="69"/>
        <v>0</v>
      </c>
      <c r="G82" s="2"/>
      <c r="H82" s="7"/>
      <c r="I82" s="2"/>
      <c r="J82" s="6">
        <f t="shared" si="70"/>
        <v>0</v>
      </c>
      <c r="K82" s="2"/>
      <c r="L82" s="7">
        <f t="shared" si="71"/>
        <v>0</v>
      </c>
      <c r="M82" s="2"/>
      <c r="N82" s="6">
        <f t="shared" si="72"/>
        <v>0</v>
      </c>
      <c r="O82" s="11"/>
      <c r="P82" s="7">
        <v>788.08</v>
      </c>
      <c r="Q82" s="2"/>
      <c r="R82" s="6">
        <f t="shared" si="73"/>
        <v>7.3735321763109148E-4</v>
      </c>
      <c r="S82" s="2"/>
      <c r="T82" s="7">
        <v>1175</v>
      </c>
      <c r="U82" s="2"/>
      <c r="V82" s="6">
        <f t="shared" si="74"/>
        <v>7.5872534142640367E-4</v>
      </c>
      <c r="W82" s="2"/>
      <c r="X82" s="7">
        <f t="shared" si="75"/>
        <v>-386.91999999999996</v>
      </c>
      <c r="Y82" s="2"/>
      <c r="Z82" s="6">
        <f t="shared" si="76"/>
        <v>-0.32929361702127657</v>
      </c>
    </row>
    <row r="83" spans="1:26" s="24" customFormat="1" hidden="1" outlineLevel="2" x14ac:dyDescent="0.25">
      <c r="A83" s="26"/>
      <c r="B83" s="11" t="str">
        <f>CONCATENATE("          ", "6241", " - ", "OFFICE EXPENSE")</f>
        <v xml:space="preserve">          6241 - OFFICE EXPENSE</v>
      </c>
      <c r="C83" s="11"/>
      <c r="D83" s="7"/>
      <c r="E83" s="2"/>
      <c r="F83" s="6">
        <f t="shared" si="69"/>
        <v>0</v>
      </c>
      <c r="G83" s="2"/>
      <c r="H83" s="7">
        <v>50</v>
      </c>
      <c r="I83" s="2"/>
      <c r="J83" s="6">
        <f t="shared" si="70"/>
        <v>3.5460992907801421E-4</v>
      </c>
      <c r="K83" s="2"/>
      <c r="L83" s="7">
        <f t="shared" si="71"/>
        <v>-50</v>
      </c>
      <c r="M83" s="2"/>
      <c r="N83" s="6">
        <f t="shared" si="72"/>
        <v>-1</v>
      </c>
      <c r="O83" s="11"/>
      <c r="P83" s="7">
        <v>1698.1</v>
      </c>
      <c r="Q83" s="2"/>
      <c r="R83" s="6">
        <f t="shared" si="73"/>
        <v>1.5887974556635829E-3</v>
      </c>
      <c r="S83" s="2"/>
      <c r="T83" s="7">
        <v>1180</v>
      </c>
      <c r="U83" s="2"/>
      <c r="V83" s="6">
        <f t="shared" si="74"/>
        <v>7.6195395990055856E-4</v>
      </c>
      <c r="W83" s="2"/>
      <c r="X83" s="7">
        <f t="shared" si="75"/>
        <v>518.09999999999991</v>
      </c>
      <c r="Y83" s="2"/>
      <c r="Z83" s="6">
        <f t="shared" si="76"/>
        <v>0.43906779661016943</v>
      </c>
    </row>
    <row r="84" spans="1:26" s="24" customFormat="1" hidden="1" outlineLevel="2" x14ac:dyDescent="0.25">
      <c r="A84" s="26"/>
      <c r="B84" s="11" t="str">
        <f>CONCATENATE("          ", "6243", " - ", "PAPER SUPPLIES")</f>
        <v xml:space="preserve">          6243 - PAPER SUPPLIES</v>
      </c>
      <c r="C84" s="11"/>
      <c r="D84" s="7"/>
      <c r="E84" s="2"/>
      <c r="F84" s="6">
        <f t="shared" si="69"/>
        <v>0</v>
      </c>
      <c r="G84" s="2"/>
      <c r="H84" s="7">
        <v>500</v>
      </c>
      <c r="I84" s="2"/>
      <c r="J84" s="6">
        <f t="shared" si="70"/>
        <v>3.5460992907801418E-3</v>
      </c>
      <c r="K84" s="2"/>
      <c r="L84" s="7">
        <f t="shared" si="71"/>
        <v>-500</v>
      </c>
      <c r="M84" s="2"/>
      <c r="N84" s="6">
        <f t="shared" si="72"/>
        <v>-1</v>
      </c>
      <c r="O84" s="11"/>
      <c r="P84" s="7">
        <v>3574.75</v>
      </c>
      <c r="Q84" s="2"/>
      <c r="R84" s="6">
        <f t="shared" si="73"/>
        <v>3.3446520844669886E-3</v>
      </c>
      <c r="S84" s="2"/>
      <c r="T84" s="7">
        <v>7125</v>
      </c>
      <c r="U84" s="2"/>
      <c r="V84" s="6">
        <f t="shared" si="74"/>
        <v>4.6007813256707455E-3</v>
      </c>
      <c r="W84" s="2"/>
      <c r="X84" s="7">
        <f t="shared" si="75"/>
        <v>-3550.25</v>
      </c>
      <c r="Y84" s="2"/>
      <c r="Z84" s="6">
        <f t="shared" si="76"/>
        <v>-0.49828070175438599</v>
      </c>
    </row>
    <row r="85" spans="1:26" s="24" customFormat="1" hidden="1" outlineLevel="2" x14ac:dyDescent="0.25">
      <c r="A85" s="26"/>
      <c r="B85" s="11" t="str">
        <f>CONCATENATE("          ", "6245", " - ", "PRINTING")</f>
        <v xml:space="preserve">          6245 - PRINTING</v>
      </c>
      <c r="C85" s="11"/>
      <c r="D85" s="7"/>
      <c r="E85" s="2"/>
      <c r="F85" s="6">
        <f t="shared" si="69"/>
        <v>0</v>
      </c>
      <c r="G85" s="2"/>
      <c r="H85" s="7"/>
      <c r="I85" s="2"/>
      <c r="J85" s="6">
        <f t="shared" si="70"/>
        <v>0</v>
      </c>
      <c r="K85" s="2"/>
      <c r="L85" s="7">
        <f t="shared" si="71"/>
        <v>0</v>
      </c>
      <c r="M85" s="2"/>
      <c r="N85" s="6">
        <f t="shared" si="72"/>
        <v>0</v>
      </c>
      <c r="O85" s="11"/>
      <c r="P85" s="7">
        <v>22.05</v>
      </c>
      <c r="Q85" s="2"/>
      <c r="R85" s="6">
        <f t="shared" si="73"/>
        <v>2.0630695422756023E-5</v>
      </c>
      <c r="S85" s="2"/>
      <c r="T85" s="7"/>
      <c r="U85" s="2"/>
      <c r="V85" s="6">
        <f t="shared" si="74"/>
        <v>0</v>
      </c>
      <c r="W85" s="2"/>
      <c r="X85" s="7">
        <f t="shared" si="75"/>
        <v>22.05</v>
      </c>
      <c r="Y85" s="2"/>
      <c r="Z85" s="6">
        <f t="shared" si="76"/>
        <v>0</v>
      </c>
    </row>
    <row r="86" spans="1:26" s="24" customFormat="1" hidden="1" outlineLevel="2" x14ac:dyDescent="0.25">
      <c r="A86" s="26"/>
      <c r="B86" s="11" t="str">
        <f>CONCATENATE("          ", "6247", " - ", "STORE SUPPLIES")</f>
        <v xml:space="preserve">          6247 - STORE SUPPLIES</v>
      </c>
      <c r="C86" s="11"/>
      <c r="D86" s="7"/>
      <c r="E86" s="2"/>
      <c r="F86" s="6">
        <f t="shared" si="69"/>
        <v>0</v>
      </c>
      <c r="G86" s="2"/>
      <c r="H86" s="7"/>
      <c r="I86" s="2"/>
      <c r="J86" s="6">
        <f t="shared" si="70"/>
        <v>0</v>
      </c>
      <c r="K86" s="2"/>
      <c r="L86" s="7">
        <f t="shared" si="71"/>
        <v>0</v>
      </c>
      <c r="M86" s="2"/>
      <c r="N86" s="6">
        <f t="shared" si="72"/>
        <v>0</v>
      </c>
      <c r="O86" s="11"/>
      <c r="P86" s="7">
        <v>1534.61</v>
      </c>
      <c r="Q86" s="2"/>
      <c r="R86" s="6">
        <f t="shared" si="73"/>
        <v>1.4358309071526357E-3</v>
      </c>
      <c r="S86" s="2"/>
      <c r="T86" s="7">
        <v>1000</v>
      </c>
      <c r="U86" s="2"/>
      <c r="V86" s="6">
        <f t="shared" si="74"/>
        <v>6.4572369483098177E-4</v>
      </c>
      <c r="W86" s="2"/>
      <c r="X86" s="7">
        <f t="shared" si="75"/>
        <v>534.6099999999999</v>
      </c>
      <c r="Y86" s="2"/>
      <c r="Z86" s="6">
        <f t="shared" si="76"/>
        <v>0.53460999999999992</v>
      </c>
    </row>
    <row r="87" spans="1:26" s="24" customFormat="1" hidden="1" outlineLevel="2" x14ac:dyDescent="0.25">
      <c r="A87" s="26"/>
      <c r="B87" s="11" t="str">
        <f>CONCATENATE("          ", "6248", " - ", "UNIFORMS")</f>
        <v xml:space="preserve">          6248 - UNIFORMS</v>
      </c>
      <c r="C87" s="11"/>
      <c r="D87" s="7"/>
      <c r="E87" s="2"/>
      <c r="F87" s="6">
        <f t="shared" si="69"/>
        <v>0</v>
      </c>
      <c r="G87" s="2"/>
      <c r="H87" s="7"/>
      <c r="I87" s="2"/>
      <c r="J87" s="6">
        <f t="shared" si="70"/>
        <v>0</v>
      </c>
      <c r="K87" s="2"/>
      <c r="L87" s="7">
        <f t="shared" si="71"/>
        <v>0</v>
      </c>
      <c r="M87" s="2"/>
      <c r="N87" s="6">
        <f t="shared" si="72"/>
        <v>0</v>
      </c>
      <c r="O87" s="11"/>
      <c r="P87" s="7">
        <v>821.77</v>
      </c>
      <c r="Q87" s="2"/>
      <c r="R87" s="6">
        <f t="shared" si="73"/>
        <v>7.6887467471919351E-4</v>
      </c>
      <c r="S87" s="2"/>
      <c r="T87" s="7">
        <v>1600</v>
      </c>
      <c r="U87" s="2"/>
      <c r="V87" s="6">
        <f t="shared" si="74"/>
        <v>1.033157911729571E-3</v>
      </c>
      <c r="W87" s="2"/>
      <c r="X87" s="7">
        <f t="shared" si="75"/>
        <v>-778.23</v>
      </c>
      <c r="Y87" s="2"/>
      <c r="Z87" s="6">
        <f t="shared" si="76"/>
        <v>-0.48639375000000001</v>
      </c>
    </row>
    <row r="88" spans="1:26" s="27" customFormat="1" outlineLevel="1" collapsed="1" x14ac:dyDescent="0.25">
      <c r="A88" s="25"/>
      <c r="B88" s="12" t="str">
        <f>CONCATENATE("     ","Telephone/Data Lines                              ")</f>
        <v xml:space="preserve">     Telephone/Data Lines                              </v>
      </c>
      <c r="C88" s="12"/>
      <c r="D88" s="1">
        <f>SUM(OSRRefD22_15x_0)</f>
        <v>106</v>
      </c>
      <c r="E88" s="1"/>
      <c r="F88" s="5">
        <f t="shared" ref="F88:F94" si="77">IF(D$12=0,0,D88/D$12)</f>
        <v>0</v>
      </c>
      <c r="G88" s="1"/>
      <c r="H88" s="1">
        <f>SUM(OSRRefH22_15x_0)</f>
        <v>160</v>
      </c>
      <c r="I88" s="1"/>
      <c r="J88" s="5">
        <f t="shared" ref="J88:J94" si="78">IF(H$12=0,0,H88/H$12)</f>
        <v>1.1347517730496454E-3</v>
      </c>
      <c r="K88" s="1"/>
      <c r="L88" s="1">
        <f t="shared" ref="L88:L94" si="79">+D88-H88</f>
        <v>-54</v>
      </c>
      <c r="M88" s="1"/>
      <c r="N88" s="5">
        <f t="shared" ref="N88:N94" si="80">IF(H88=0,0,L88/H88)</f>
        <v>-0.33750000000000002</v>
      </c>
      <c r="O88" s="12"/>
      <c r="P88" s="1">
        <f>SUM(OSRRefP22_15x_0)</f>
        <v>1566.34</v>
      </c>
      <c r="Q88" s="1"/>
      <c r="R88" s="5">
        <f t="shared" ref="R88:R94" si="81">IF(P$12=0,0,P88/P$12)</f>
        <v>1.4655185246476041E-3</v>
      </c>
      <c r="S88" s="1"/>
      <c r="T88" s="1">
        <f>SUM(OSRRefT22_15x_0)</f>
        <v>1760</v>
      </c>
      <c r="U88" s="1"/>
      <c r="V88" s="5">
        <f t="shared" ref="V88:V94" si="82">IF(T$12=0,0,T88/T$12)</f>
        <v>1.1364737029025281E-3</v>
      </c>
      <c r="W88" s="1"/>
      <c r="X88" s="1">
        <f t="shared" ref="X88:X94" si="83">+P88-T88</f>
        <v>-193.66000000000008</v>
      </c>
      <c r="Y88" s="1"/>
      <c r="Z88" s="5">
        <f t="shared" ref="Z88:Z94" si="84">IF(T88=0,0,X88/T88)</f>
        <v>-0.11003409090909096</v>
      </c>
    </row>
    <row r="89" spans="1:26" s="24" customFormat="1" hidden="1" outlineLevel="2" x14ac:dyDescent="0.25">
      <c r="A89" s="26"/>
      <c r="B89" s="11" t="str">
        <f>CONCATENATE("          ", "6309", " - ", "TELEPHONE")</f>
        <v xml:space="preserve">          6309 - TELEPHONE</v>
      </c>
      <c r="C89" s="11"/>
      <c r="D89" s="7">
        <v>106</v>
      </c>
      <c r="E89" s="2"/>
      <c r="F89" s="6">
        <f t="shared" si="77"/>
        <v>0</v>
      </c>
      <c r="G89" s="2"/>
      <c r="H89" s="7">
        <v>160</v>
      </c>
      <c r="I89" s="2"/>
      <c r="J89" s="6">
        <f t="shared" si="78"/>
        <v>1.1347517730496454E-3</v>
      </c>
      <c r="K89" s="2"/>
      <c r="L89" s="7">
        <f t="shared" si="79"/>
        <v>-54</v>
      </c>
      <c r="M89" s="2"/>
      <c r="N89" s="6">
        <f t="shared" si="80"/>
        <v>-0.33750000000000002</v>
      </c>
      <c r="O89" s="11"/>
      <c r="P89" s="7">
        <v>1566.34</v>
      </c>
      <c r="Q89" s="2"/>
      <c r="R89" s="6">
        <f t="shared" si="81"/>
        <v>1.4655185246476041E-3</v>
      </c>
      <c r="S89" s="2"/>
      <c r="T89" s="7">
        <v>1760</v>
      </c>
      <c r="U89" s="2"/>
      <c r="V89" s="6">
        <f t="shared" si="82"/>
        <v>1.1364737029025281E-3</v>
      </c>
      <c r="W89" s="2"/>
      <c r="X89" s="7">
        <f t="shared" si="83"/>
        <v>-193.66000000000008</v>
      </c>
      <c r="Y89" s="2"/>
      <c r="Z89" s="6">
        <f t="shared" si="84"/>
        <v>-0.11003409090909096</v>
      </c>
    </row>
    <row r="90" spans="1:26" s="27" customFormat="1" outlineLevel="1" collapsed="1" x14ac:dyDescent="0.25">
      <c r="A90" s="25"/>
      <c r="B90" s="12" t="str">
        <f>CONCATENATE("     ","Training                                          ")</f>
        <v xml:space="preserve">     Training                                          </v>
      </c>
      <c r="C90" s="12"/>
      <c r="D90" s="1">
        <f>SUM(OSRRefD22_16x_0)</f>
        <v>0</v>
      </c>
      <c r="E90" s="1"/>
      <c r="F90" s="5">
        <f t="shared" si="77"/>
        <v>0</v>
      </c>
      <c r="G90" s="1"/>
      <c r="H90" s="1">
        <f>SUM(OSRRefH22_16x_0)</f>
        <v>0</v>
      </c>
      <c r="I90" s="1"/>
      <c r="J90" s="5">
        <f t="shared" si="78"/>
        <v>0</v>
      </c>
      <c r="K90" s="1"/>
      <c r="L90" s="1">
        <f t="shared" si="79"/>
        <v>0</v>
      </c>
      <c r="M90" s="1"/>
      <c r="N90" s="5">
        <f t="shared" si="80"/>
        <v>0</v>
      </c>
      <c r="O90" s="12"/>
      <c r="P90" s="1">
        <f>SUM(OSRRefP22_16x_0)</f>
        <v>279.95</v>
      </c>
      <c r="Q90" s="1"/>
      <c r="R90" s="5">
        <f t="shared" si="81"/>
        <v>2.6193030311113597E-4</v>
      </c>
      <c r="S90" s="1"/>
      <c r="T90" s="1">
        <f>SUM(OSRRefT22_16x_0)</f>
        <v>480</v>
      </c>
      <c r="U90" s="1"/>
      <c r="V90" s="5">
        <f t="shared" si="82"/>
        <v>3.099473735188713E-4</v>
      </c>
      <c r="W90" s="1"/>
      <c r="X90" s="1">
        <f t="shared" si="83"/>
        <v>-200.05</v>
      </c>
      <c r="Y90" s="1"/>
      <c r="Z90" s="5">
        <f t="shared" si="84"/>
        <v>-0.41677083333333337</v>
      </c>
    </row>
    <row r="91" spans="1:26" s="24" customFormat="1" hidden="1" outlineLevel="2" x14ac:dyDescent="0.25">
      <c r="A91" s="26"/>
      <c r="B91" s="11" t="str">
        <f>CONCATENATE("          ", "6376", " - ", "TRAINING")</f>
        <v xml:space="preserve">          6376 - TRAINING</v>
      </c>
      <c r="C91" s="11"/>
      <c r="D91" s="7"/>
      <c r="E91" s="2"/>
      <c r="F91" s="6">
        <f t="shared" si="77"/>
        <v>0</v>
      </c>
      <c r="G91" s="2"/>
      <c r="H91" s="7"/>
      <c r="I91" s="2"/>
      <c r="J91" s="6">
        <f t="shared" si="78"/>
        <v>0</v>
      </c>
      <c r="K91" s="2"/>
      <c r="L91" s="7">
        <f t="shared" si="79"/>
        <v>0</v>
      </c>
      <c r="M91" s="2"/>
      <c r="N91" s="6">
        <f t="shared" si="80"/>
        <v>0</v>
      </c>
      <c r="O91" s="11"/>
      <c r="P91" s="7">
        <v>279.95</v>
      </c>
      <c r="Q91" s="2"/>
      <c r="R91" s="6">
        <f t="shared" si="81"/>
        <v>2.6193030311113597E-4</v>
      </c>
      <c r="S91" s="2"/>
      <c r="T91" s="7">
        <v>480</v>
      </c>
      <c r="U91" s="2"/>
      <c r="V91" s="6">
        <f t="shared" si="82"/>
        <v>3.099473735188713E-4</v>
      </c>
      <c r="W91" s="2"/>
      <c r="X91" s="7">
        <f t="shared" si="83"/>
        <v>-200.05</v>
      </c>
      <c r="Y91" s="2"/>
      <c r="Z91" s="6">
        <f t="shared" si="84"/>
        <v>-0.41677083333333337</v>
      </c>
    </row>
    <row r="92" spans="1:26" s="27" customFormat="1" outlineLevel="1" collapsed="1" x14ac:dyDescent="0.25">
      <c r="A92" s="25"/>
      <c r="B92" s="12" t="str">
        <f>CONCATENATE("     ","Travel                                            ")</f>
        <v xml:space="preserve">     Travel                                            </v>
      </c>
      <c r="C92" s="12"/>
      <c r="D92" s="1">
        <f>SUM(OSRRefD22_17x_0)</f>
        <v>0</v>
      </c>
      <c r="E92" s="1"/>
      <c r="F92" s="5">
        <f t="shared" si="77"/>
        <v>0</v>
      </c>
      <c r="G92" s="1"/>
      <c r="H92" s="1">
        <f>SUM(OSRRefH22_17x_0)</f>
        <v>0</v>
      </c>
      <c r="I92" s="1"/>
      <c r="J92" s="5">
        <f t="shared" si="78"/>
        <v>0</v>
      </c>
      <c r="K92" s="1"/>
      <c r="L92" s="1">
        <f t="shared" si="79"/>
        <v>0</v>
      </c>
      <c r="M92" s="1"/>
      <c r="N92" s="5">
        <f t="shared" si="80"/>
        <v>0</v>
      </c>
      <c r="O92" s="12"/>
      <c r="P92" s="1">
        <f>SUM(OSRRefP22_17x_0)</f>
        <v>0</v>
      </c>
      <c r="Q92" s="1"/>
      <c r="R92" s="5">
        <f t="shared" si="81"/>
        <v>0</v>
      </c>
      <c r="S92" s="1"/>
      <c r="T92" s="1">
        <f>SUM(OSRRefT22_17x_0)</f>
        <v>2120</v>
      </c>
      <c r="U92" s="1"/>
      <c r="V92" s="5">
        <f t="shared" si="82"/>
        <v>1.3689342330416815E-3</v>
      </c>
      <c r="W92" s="1"/>
      <c r="X92" s="1">
        <f t="shared" si="83"/>
        <v>-2120</v>
      </c>
      <c r="Y92" s="1"/>
      <c r="Z92" s="5">
        <f t="shared" si="84"/>
        <v>-1</v>
      </c>
    </row>
    <row r="93" spans="1:26" s="24" customFormat="1" hidden="1" outlineLevel="2" x14ac:dyDescent="0.25">
      <c r="A93" s="26"/>
      <c r="B93" s="11" t="str">
        <f>CONCATENATE("          ", "6292", " - ", "TRAVEL/CONFERENCE")</f>
        <v xml:space="preserve">          6292 - TRAVEL/CONFERENCE</v>
      </c>
      <c r="C93" s="11"/>
      <c r="D93" s="7"/>
      <c r="E93" s="2"/>
      <c r="F93" s="6">
        <f t="shared" si="77"/>
        <v>0</v>
      </c>
      <c r="G93" s="2"/>
      <c r="H93" s="7"/>
      <c r="I93" s="2"/>
      <c r="J93" s="6">
        <f t="shared" si="78"/>
        <v>0</v>
      </c>
      <c r="K93" s="2"/>
      <c r="L93" s="7">
        <f t="shared" si="79"/>
        <v>0</v>
      </c>
      <c r="M93" s="2"/>
      <c r="N93" s="6">
        <f t="shared" si="80"/>
        <v>0</v>
      </c>
      <c r="O93" s="11"/>
      <c r="P93" s="7"/>
      <c r="Q93" s="2"/>
      <c r="R93" s="6">
        <f t="shared" si="81"/>
        <v>0</v>
      </c>
      <c r="S93" s="2"/>
      <c r="T93" s="7">
        <v>2000</v>
      </c>
      <c r="U93" s="2"/>
      <c r="V93" s="6">
        <f t="shared" si="82"/>
        <v>1.2914473896619635E-3</v>
      </c>
      <c r="W93" s="2"/>
      <c r="X93" s="7">
        <f t="shared" si="83"/>
        <v>-2000</v>
      </c>
      <c r="Y93" s="2"/>
      <c r="Z93" s="6">
        <f t="shared" si="84"/>
        <v>-1</v>
      </c>
    </row>
    <row r="94" spans="1:26" s="24" customFormat="1" hidden="1" outlineLevel="2" x14ac:dyDescent="0.25">
      <c r="A94" s="26"/>
      <c r="B94" s="11" t="str">
        <f>CONCATENATE("          ", "6294", " - ", "TRAVEL OPERATIONAL")</f>
        <v xml:space="preserve">          6294 - TRAVEL OPERATIONAL</v>
      </c>
      <c r="C94" s="11"/>
      <c r="D94" s="7"/>
      <c r="E94" s="2"/>
      <c r="F94" s="6">
        <f t="shared" si="77"/>
        <v>0</v>
      </c>
      <c r="G94" s="2"/>
      <c r="H94" s="7"/>
      <c r="I94" s="2"/>
      <c r="J94" s="6">
        <f t="shared" si="78"/>
        <v>0</v>
      </c>
      <c r="K94" s="2"/>
      <c r="L94" s="7">
        <f t="shared" si="79"/>
        <v>0</v>
      </c>
      <c r="M94" s="2"/>
      <c r="N94" s="6">
        <f t="shared" si="80"/>
        <v>0</v>
      </c>
      <c r="O94" s="11"/>
      <c r="P94" s="7"/>
      <c r="Q94" s="2"/>
      <c r="R94" s="6">
        <f t="shared" si="81"/>
        <v>0</v>
      </c>
      <c r="S94" s="2"/>
      <c r="T94" s="7">
        <v>120</v>
      </c>
      <c r="U94" s="2"/>
      <c r="V94" s="6">
        <f t="shared" si="82"/>
        <v>7.7486843379717825E-5</v>
      </c>
      <c r="W94" s="2"/>
      <c r="X94" s="7">
        <f t="shared" si="83"/>
        <v>-120</v>
      </c>
      <c r="Y94" s="2"/>
      <c r="Z94" s="6">
        <f t="shared" si="84"/>
        <v>-1</v>
      </c>
    </row>
    <row r="95" spans="1:26" s="62" customFormat="1" x14ac:dyDescent="0.25">
      <c r="A95" s="36"/>
      <c r="B95" s="36"/>
      <c r="C95" s="36"/>
      <c r="D95" s="1"/>
      <c r="E95" s="1"/>
      <c r="F95" s="5"/>
      <c r="G95" s="1"/>
      <c r="H95" s="1"/>
      <c r="I95" s="1"/>
      <c r="J95" s="5"/>
      <c r="K95" s="1"/>
      <c r="L95" s="1"/>
      <c r="M95" s="1"/>
      <c r="N95" s="5"/>
      <c r="O95" s="36"/>
      <c r="P95" s="1"/>
      <c r="Q95" s="1"/>
      <c r="R95" s="5"/>
      <c r="S95" s="1"/>
      <c r="T95" s="1"/>
      <c r="U95" s="1"/>
      <c r="V95" s="5"/>
      <c r="W95" s="1"/>
      <c r="X95" s="1"/>
      <c r="Y95" s="1"/>
      <c r="Z95" s="5"/>
    </row>
    <row r="96" spans="1:26" s="23" customFormat="1" x14ac:dyDescent="0.25">
      <c r="A96" s="10"/>
      <c r="B96" s="28" t="s">
        <v>0</v>
      </c>
      <c r="C96" s="10"/>
      <c r="D96" s="4">
        <f>SUM(0)</f>
        <v>0</v>
      </c>
      <c r="E96" s="4"/>
      <c r="F96" s="13">
        <f>IF(D$12=0,0,D96/D$12)</f>
        <v>0</v>
      </c>
      <c r="G96" s="4"/>
      <c r="H96" s="4">
        <f>SUM(0)</f>
        <v>0</v>
      </c>
      <c r="I96" s="4"/>
      <c r="J96" s="13">
        <f>IF(H$12=0,0,H96/H$12)</f>
        <v>0</v>
      </c>
      <c r="K96" s="4"/>
      <c r="L96" s="4">
        <f>+D96-H96</f>
        <v>0</v>
      </c>
      <c r="M96" s="4"/>
      <c r="N96" s="13">
        <f>IF(H96=0,0,L96/H96)</f>
        <v>0</v>
      </c>
      <c r="O96" s="10"/>
      <c r="P96" s="4">
        <f>SUM(0)</f>
        <v>0</v>
      </c>
      <c r="Q96" s="4"/>
      <c r="R96" s="13">
        <f>IF(P$12=0,0,P96/P$12)</f>
        <v>0</v>
      </c>
      <c r="S96" s="4"/>
      <c r="T96" s="4">
        <f>SUM(0)</f>
        <v>0</v>
      </c>
      <c r="U96" s="4"/>
      <c r="V96" s="13">
        <f>IF(T$12=0,0,T96/T$12)</f>
        <v>0</v>
      </c>
      <c r="W96" s="4"/>
      <c r="X96" s="4">
        <f>+P96-T96</f>
        <v>0</v>
      </c>
      <c r="Y96" s="4"/>
      <c r="Z96" s="13">
        <f>IF(T96=0,0,X96/T96)</f>
        <v>0</v>
      </c>
    </row>
    <row r="97" spans="1:26" x14ac:dyDescent="0.25">
      <c r="A97" s="9"/>
      <c r="B97" s="10"/>
      <c r="C97" s="10"/>
      <c r="D97" s="3"/>
      <c r="E97" s="3"/>
      <c r="F97" s="8"/>
      <c r="G97" s="3"/>
      <c r="H97" s="3"/>
      <c r="I97" s="3"/>
      <c r="J97" s="8"/>
      <c r="K97" s="3"/>
      <c r="L97" s="3"/>
      <c r="M97" s="3"/>
      <c r="N97" s="8"/>
      <c r="O97" s="10"/>
      <c r="P97" s="3"/>
      <c r="Q97" s="3"/>
      <c r="R97" s="8"/>
      <c r="S97" s="3"/>
      <c r="T97" s="3"/>
      <c r="U97" s="3"/>
      <c r="V97" s="8"/>
      <c r="W97" s="3"/>
      <c r="X97" s="3"/>
      <c r="Y97" s="3"/>
      <c r="Z97" s="8"/>
    </row>
    <row r="98" spans="1:26" s="23" customFormat="1" x14ac:dyDescent="0.25">
      <c r="A98" s="10"/>
      <c r="B98" s="29" t="s">
        <v>3</v>
      </c>
      <c r="C98" s="29"/>
      <c r="D98" s="20">
        <f>+D23-D25+D96</f>
        <v>-18226.7</v>
      </c>
      <c r="E98" s="14"/>
      <c r="F98" s="22">
        <f>IF(D$12=0,0,D98/D$12)</f>
        <v>0</v>
      </c>
      <c r="G98" s="14"/>
      <c r="H98" s="20">
        <f>+H23-H25+H96</f>
        <v>36500.907994826928</v>
      </c>
      <c r="I98" s="14"/>
      <c r="J98" s="22">
        <f>IF(H$12=0,0,H98/H$12)</f>
        <v>0.25887168790657394</v>
      </c>
      <c r="K98" s="16"/>
      <c r="L98" s="20">
        <f>+D98-H98</f>
        <v>-54727.607994826933</v>
      </c>
      <c r="M98" s="16"/>
      <c r="N98" s="22">
        <f>IF(H98=0,0,L98/H98)</f>
        <v>-1.4993492217394475</v>
      </c>
      <c r="O98" s="28"/>
      <c r="P98" s="20">
        <f>+P23-P25+P96</f>
        <v>111998.41000000015</v>
      </c>
      <c r="Q98" s="14"/>
      <c r="R98" s="22">
        <f>IF(P$12=0,0,P98/P$12)</f>
        <v>0.10478934623777576</v>
      </c>
      <c r="S98" s="14"/>
      <c r="T98" s="20">
        <f>+T23-T25+T96</f>
        <v>356280.17361225374</v>
      </c>
      <c r="U98" s="14"/>
      <c r="V98" s="22">
        <f>IF(T$12=0,0,T98/T$12)</f>
        <v>0.23005855009992815</v>
      </c>
      <c r="W98" s="16"/>
      <c r="X98" s="20">
        <f>+P98-T98</f>
        <v>-244281.76361225359</v>
      </c>
      <c r="Y98" s="16"/>
      <c r="Z98" s="22">
        <f>IF(T98=0,0,X98/T98)</f>
        <v>-0.68564512343061201</v>
      </c>
    </row>
    <row r="99" spans="1:26" x14ac:dyDescent="0.25">
      <c r="A99" s="9"/>
      <c r="B99" s="10"/>
      <c r="C99" s="9"/>
      <c r="D99" s="3"/>
      <c r="E99" s="3"/>
      <c r="F99" s="8"/>
      <c r="G99" s="3"/>
      <c r="H99" s="3"/>
      <c r="I99" s="3"/>
      <c r="J99" s="8"/>
      <c r="K99" s="3"/>
      <c r="L99" s="3"/>
      <c r="M99" s="3"/>
      <c r="N99" s="8"/>
      <c r="P99" s="3"/>
      <c r="Q99" s="3"/>
      <c r="R99" s="8"/>
      <c r="S99" s="3"/>
      <c r="T99" s="3"/>
      <c r="U99" s="3"/>
      <c r="V99" s="8"/>
      <c r="W99" s="3"/>
      <c r="X99" s="3"/>
      <c r="Y99" s="3"/>
      <c r="Z99" s="8"/>
    </row>
    <row r="100" spans="1:26" s="23" customFormat="1" x14ac:dyDescent="0.25">
      <c r="A100" s="52"/>
      <c r="B100" s="10" t="s">
        <v>14</v>
      </c>
      <c r="C100" s="10"/>
      <c r="D100" s="4">
        <v>5208</v>
      </c>
      <c r="E100" s="4"/>
      <c r="F100" s="13">
        <f>IF(D$12=0,0,D100/D$12)</f>
        <v>0</v>
      </c>
      <c r="G100" s="4"/>
      <c r="H100" s="4">
        <v>14901</v>
      </c>
      <c r="I100" s="4"/>
      <c r="J100" s="13">
        <f>IF(H$12=0,0,H100/H$12)</f>
        <v>0.10568085106382978</v>
      </c>
      <c r="K100" s="4"/>
      <c r="L100" s="4">
        <f>+D100-H100</f>
        <v>-9693</v>
      </c>
      <c r="M100" s="4"/>
      <c r="N100" s="13">
        <f>IF(H100=0,0,L100/H100)</f>
        <v>-0.65049325548620895</v>
      </c>
      <c r="O100" s="10"/>
      <c r="P100" s="4">
        <v>126562.11000000002</v>
      </c>
      <c r="Q100" s="4"/>
      <c r="R100" s="13">
        <f>IF(P$12=0,0,P100/P$12)</f>
        <v>0.11841561648396121</v>
      </c>
      <c r="S100" s="4"/>
      <c r="T100" s="4">
        <v>179375</v>
      </c>
      <c r="U100" s="4"/>
      <c r="V100" s="13">
        <f>IF(T$12=0,0,T100/T$12)</f>
        <v>0.11582668776030737</v>
      </c>
      <c r="W100" s="4"/>
      <c r="X100" s="4">
        <f>+P100-T100</f>
        <v>-52812.889999999985</v>
      </c>
      <c r="Y100" s="4"/>
      <c r="Z100" s="13">
        <f>IF(T100=0,0,X100/T100)</f>
        <v>-0.29442726132404173</v>
      </c>
    </row>
    <row r="101" spans="1:26" x14ac:dyDescent="0.25">
      <c r="A101" s="9"/>
      <c r="B101" s="10"/>
      <c r="C101" s="10"/>
      <c r="D101" s="3"/>
      <c r="E101" s="3"/>
      <c r="F101" s="8"/>
      <c r="G101" s="3"/>
      <c r="H101" s="3"/>
      <c r="I101" s="3"/>
      <c r="J101" s="8"/>
      <c r="K101" s="3"/>
      <c r="L101" s="3"/>
      <c r="M101" s="3"/>
      <c r="N101" s="8"/>
      <c r="O101" s="10"/>
      <c r="P101" s="3"/>
      <c r="Q101" s="3"/>
      <c r="R101" s="8"/>
      <c r="S101" s="3"/>
      <c r="T101" s="3"/>
      <c r="U101" s="3"/>
      <c r="V101" s="8"/>
      <c r="W101" s="3"/>
      <c r="X101" s="3"/>
      <c r="Y101" s="3"/>
      <c r="Z101" s="8"/>
    </row>
    <row r="102" spans="1:26" s="23" customFormat="1" ht="15.75" thickBot="1" x14ac:dyDescent="0.3">
      <c r="A102" s="10"/>
      <c r="B102" s="29" t="s">
        <v>4</v>
      </c>
      <c r="C102" s="29"/>
      <c r="D102" s="35">
        <f>+D98-D100</f>
        <v>-23434.7</v>
      </c>
      <c r="E102" s="14"/>
      <c r="F102" s="32">
        <f>IF(D$12=0,0,D102/D$12)</f>
        <v>0</v>
      </c>
      <c r="G102" s="14"/>
      <c r="H102" s="35">
        <f>+H98-H100</f>
        <v>21599.907994826928</v>
      </c>
      <c r="I102" s="14"/>
      <c r="J102" s="32">
        <f>IF(H$12=0,0,H102/H$12)</f>
        <v>0.15319083684274418</v>
      </c>
      <c r="K102" s="16"/>
      <c r="L102" s="35">
        <f>D102-H102</f>
        <v>-45034.607994826933</v>
      </c>
      <c r="M102" s="16"/>
      <c r="N102" s="32">
        <f>IF(H102=0,0,L102/H102)</f>
        <v>-2.0849444361342884</v>
      </c>
      <c r="O102" s="28"/>
      <c r="P102" s="35">
        <f>+P98-P100</f>
        <v>-14563.699999999866</v>
      </c>
      <c r="Q102" s="14"/>
      <c r="R102" s="32">
        <f>IF(P$12=0,0,P102/P$12)</f>
        <v>-1.3626270246185448E-2</v>
      </c>
      <c r="S102" s="14"/>
      <c r="T102" s="35">
        <f>+T98-T100</f>
        <v>176905.17361225374</v>
      </c>
      <c r="U102" s="14"/>
      <c r="V102" s="32">
        <f>IF(T$12=0,0,T102/T$12)</f>
        <v>0.11423186233962079</v>
      </c>
      <c r="W102" s="16"/>
      <c r="X102" s="35">
        <f>P102-T102</f>
        <v>-191468.87361225361</v>
      </c>
      <c r="Y102" s="16"/>
      <c r="Z102" s="32">
        <f>IF(T102=0,0,X102/T102)</f>
        <v>-1.0823248958898231</v>
      </c>
    </row>
    <row r="103" spans="1:26" ht="15.75" thickTop="1" x14ac:dyDescent="0.25">
      <c r="A103" s="9"/>
      <c r="B103" s="9"/>
      <c r="C103" s="9"/>
      <c r="D103" s="3"/>
      <c r="E103" s="3"/>
      <c r="F103" s="8"/>
      <c r="G103" s="3"/>
      <c r="H103" s="3"/>
      <c r="I103" s="3"/>
      <c r="J103" s="8"/>
      <c r="K103" s="3"/>
      <c r="L103" s="3"/>
      <c r="M103" s="3"/>
      <c r="N103" s="8"/>
      <c r="P103" s="3"/>
      <c r="Q103" s="3"/>
      <c r="R103" s="8"/>
      <c r="S103" s="3"/>
      <c r="T103" s="3"/>
      <c r="U103" s="3"/>
      <c r="V103" s="8"/>
      <c r="W103" s="3"/>
      <c r="X103" s="3"/>
      <c r="Y103" s="3"/>
      <c r="Z103" s="8"/>
    </row>
    <row r="104" spans="1:26" x14ac:dyDescent="0.25">
      <c r="A104" s="9"/>
      <c r="B104" s="9"/>
      <c r="C104" s="9"/>
      <c r="D104" s="3"/>
      <c r="E104" s="3"/>
      <c r="F104" s="8"/>
      <c r="G104" s="3"/>
      <c r="H104" s="3"/>
      <c r="I104" s="3"/>
      <c r="J104" s="8"/>
      <c r="K104" s="3"/>
      <c r="L104" s="3"/>
      <c r="M104" s="3"/>
      <c r="N104" s="8"/>
      <c r="P104" s="3"/>
      <c r="Q104" s="3"/>
      <c r="R104" s="8"/>
      <c r="S104" s="3"/>
      <c r="T104" s="3"/>
      <c r="U104" s="3"/>
      <c r="V104" s="8"/>
      <c r="W104" s="3"/>
      <c r="X104" s="3"/>
      <c r="Y104" s="3"/>
      <c r="Z104" s="8"/>
    </row>
    <row r="105" spans="1:26" s="23" customFormat="1" ht="15.75" thickBot="1" x14ac:dyDescent="0.3">
      <c r="A105" s="10"/>
      <c r="B105" s="29" t="s">
        <v>5</v>
      </c>
      <c r="C105" s="29"/>
      <c r="D105" s="34">
        <f>SUM(D102:D104)</f>
        <v>-23434.7</v>
      </c>
      <c r="E105" s="14"/>
      <c r="F105" s="31">
        <f>IF(D$12=0,0,D105/D$12)</f>
        <v>0</v>
      </c>
      <c r="G105" s="14"/>
      <c r="H105" s="34">
        <f>SUM(H102:H104)</f>
        <v>21599.907994826928</v>
      </c>
      <c r="I105" s="14"/>
      <c r="J105" s="31">
        <f>IF(H$12=0,0,H105/H$12)</f>
        <v>0.15319083684274418</v>
      </c>
      <c r="K105" s="16"/>
      <c r="L105" s="34">
        <f>+D105-H105</f>
        <v>-45034.607994826933</v>
      </c>
      <c r="M105" s="16"/>
      <c r="N105" s="31">
        <f>IF(H105=0,0,L105/H105)</f>
        <v>-2.0849444361342884</v>
      </c>
      <c r="O105" s="28"/>
      <c r="P105" s="34">
        <f>SUM(P102:P104)</f>
        <v>-14563.699999999866</v>
      </c>
      <c r="Q105" s="14"/>
      <c r="R105" s="31">
        <f>IF(P$12=0,0,P105/P$12)</f>
        <v>-1.3626270246185448E-2</v>
      </c>
      <c r="S105" s="14"/>
      <c r="T105" s="34">
        <f>SUM(T102:T104)</f>
        <v>176905.17361225374</v>
      </c>
      <c r="U105" s="14"/>
      <c r="V105" s="31">
        <f>IF(T$12=0,0,T105/T$12)</f>
        <v>0.11423186233962079</v>
      </c>
      <c r="W105" s="16"/>
      <c r="X105" s="34">
        <f>+P105-T105</f>
        <v>-191468.87361225361</v>
      </c>
      <c r="Y105" s="16"/>
      <c r="Z105" s="31">
        <f>IF(T105=0,0,X105/T105)</f>
        <v>-1.0823248958898231</v>
      </c>
    </row>
    <row r="106" spans="1:26" ht="15.75" thickTop="1" x14ac:dyDescent="0.25">
      <c r="A106" s="9"/>
      <c r="C106" s="9"/>
      <c r="D106" s="18"/>
      <c r="E106" s="18"/>
      <c r="G106" s="18"/>
      <c r="H106" s="18"/>
      <c r="I106" s="18"/>
      <c r="J106" s="42"/>
      <c r="K106" s="18"/>
      <c r="L106" s="18"/>
      <c r="M106" s="18"/>
      <c r="P106" s="18"/>
      <c r="Q106" s="18"/>
      <c r="R106" s="42"/>
      <c r="S106" s="18"/>
      <c r="T106" s="18"/>
      <c r="U106" s="18"/>
      <c r="V106" s="42"/>
      <c r="W106" s="18"/>
      <c r="X106" s="18"/>
    </row>
    <row r="107" spans="1:26" x14ac:dyDescent="0.25">
      <c r="A107" s="9"/>
      <c r="B107" s="59">
        <v>43992.372155868055</v>
      </c>
      <c r="D107" s="18"/>
      <c r="E107" s="18"/>
      <c r="G107" s="18"/>
      <c r="H107" s="18"/>
      <c r="I107" s="18"/>
      <c r="J107" s="42"/>
      <c r="K107" s="18"/>
      <c r="L107" s="18"/>
      <c r="M107" s="18"/>
      <c r="P107" s="18"/>
      <c r="Q107" s="18"/>
      <c r="R107" s="42"/>
      <c r="S107" s="18"/>
      <c r="T107" s="18"/>
      <c r="U107" s="18"/>
      <c r="V107" s="42"/>
      <c r="W107" s="18"/>
      <c r="X107" s="18"/>
    </row>
    <row r="108" spans="1:26" x14ac:dyDescent="0.25">
      <c r="A108" s="9"/>
      <c r="B108" s="56" t="s">
        <v>314</v>
      </c>
      <c r="D108" s="18"/>
      <c r="E108" s="18"/>
      <c r="G108" s="18"/>
      <c r="H108" s="18"/>
      <c r="I108" s="18"/>
      <c r="J108" s="42"/>
      <c r="K108" s="18"/>
      <c r="L108" s="18"/>
      <c r="M108" s="18"/>
      <c r="P108" s="18"/>
      <c r="Q108" s="18"/>
      <c r="R108" s="42"/>
      <c r="S108" s="18"/>
      <c r="T108" s="18"/>
      <c r="U108" s="18"/>
      <c r="V108" s="42"/>
      <c r="W108" s="18"/>
      <c r="X108" s="18"/>
    </row>
    <row r="109" spans="1:26" x14ac:dyDescent="0.25">
      <c r="A109" s="9"/>
      <c r="B109" s="54"/>
      <c r="D109" s="18"/>
      <c r="E109" s="18"/>
      <c r="G109" s="18"/>
      <c r="H109" s="18"/>
      <c r="I109" s="18"/>
      <c r="J109" s="42"/>
      <c r="K109" s="18"/>
      <c r="L109" s="18"/>
      <c r="M109" s="18"/>
      <c r="P109" s="18"/>
      <c r="Q109" s="18"/>
      <c r="R109" s="42"/>
      <c r="S109" s="18"/>
      <c r="T109" s="18"/>
      <c r="U109" s="18"/>
      <c r="V109" s="42"/>
      <c r="W109" s="18"/>
      <c r="X109" s="18"/>
    </row>
    <row r="110" spans="1:26" x14ac:dyDescent="0.25">
      <c r="D110" s="18"/>
      <c r="E110" s="18"/>
      <c r="G110" s="18"/>
      <c r="H110" s="18"/>
      <c r="I110" s="18"/>
      <c r="J110" s="42"/>
      <c r="K110" s="18"/>
      <c r="L110" s="18"/>
      <c r="M110" s="18"/>
      <c r="P110" s="18"/>
      <c r="Q110" s="18"/>
      <c r="R110" s="42"/>
      <c r="S110" s="18"/>
      <c r="T110" s="18"/>
      <c r="U110" s="18"/>
      <c r="V110" s="42"/>
      <c r="W110" s="18"/>
      <c r="X110" s="18"/>
    </row>
  </sheetData>
  <pageMargins left="0.25" right="0.25" top="0.75" bottom="0.75" header="0.3" footer="0.3"/>
  <pageSetup scale="55" fitToWidth="2" orientation="landscape"/>
  <drawing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67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63" t="s">
        <v>13</v>
      </c>
    </row>
    <row r="3" spans="1:26" x14ac:dyDescent="0.25">
      <c r="D3" s="63" t="s">
        <v>296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61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63" t="str">
        <f>CONCATENATE("Period ",RIGHT(202011,2),", ",2020)</f>
        <v>Period 11, 2020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61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4">
        <v>43981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61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51"/>
      <c r="C6" s="51"/>
      <c r="D6" s="23" t="str">
        <f>CONCATENATE("Department ","423", " - ", "Contract Revenue")</f>
        <v>Department 423 - Contract Revenue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57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5" t="s">
        <v>294</v>
      </c>
      <c r="E9" s="15"/>
      <c r="F9" s="38"/>
      <c r="G9" s="15"/>
      <c r="H9" s="15"/>
      <c r="I9" s="15"/>
      <c r="J9" s="46"/>
      <c r="K9" s="15"/>
      <c r="L9" s="15"/>
      <c r="M9" s="15"/>
      <c r="N9" s="38"/>
      <c r="P9" s="15" t="s">
        <v>295</v>
      </c>
      <c r="Q9" s="15"/>
      <c r="R9" s="38"/>
      <c r="S9" s="15"/>
      <c r="T9" s="15"/>
      <c r="U9" s="15"/>
      <c r="V9" s="46"/>
      <c r="W9" s="15"/>
      <c r="X9" s="15"/>
      <c r="Y9" s="15"/>
      <c r="Z9" s="38"/>
    </row>
    <row r="10" spans="1:26" x14ac:dyDescent="0.25">
      <c r="A10" s="10"/>
      <c r="B10" s="55"/>
      <c r="C10" s="10"/>
      <c r="D10" s="43" t="s">
        <v>10</v>
      </c>
      <c r="E10" s="33"/>
      <c r="F10" s="40" t="s">
        <v>15</v>
      </c>
      <c r="G10" s="33"/>
      <c r="H10" s="47" t="s">
        <v>11</v>
      </c>
      <c r="I10" s="33"/>
      <c r="J10" s="45" t="s">
        <v>16</v>
      </c>
      <c r="K10" s="10"/>
      <c r="L10" s="43" t="s">
        <v>12</v>
      </c>
      <c r="M10" s="10"/>
      <c r="N10" s="40" t="s">
        <v>17</v>
      </c>
      <c r="O10" s="10"/>
      <c r="P10" s="53" t="s">
        <v>10</v>
      </c>
      <c r="Q10" s="33"/>
      <c r="R10" s="40" t="s">
        <v>15</v>
      </c>
      <c r="S10" s="33"/>
      <c r="T10" s="47" t="s">
        <v>11</v>
      </c>
      <c r="U10" s="33"/>
      <c r="V10" s="45" t="s">
        <v>16</v>
      </c>
      <c r="W10" s="10"/>
      <c r="X10" s="43" t="s">
        <v>12</v>
      </c>
      <c r="Y10" s="10"/>
      <c r="Z10" s="40" t="s">
        <v>17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x14ac:dyDescent="0.25">
      <c r="A12" s="10"/>
      <c r="B12" s="28" t="s">
        <v>7</v>
      </c>
      <c r="C12" s="10"/>
      <c r="D12" s="4">
        <f>SUM(0)</f>
        <v>0</v>
      </c>
      <c r="E12" s="4"/>
      <c r="F12" s="13"/>
      <c r="G12" s="4"/>
      <c r="H12" s="4">
        <f>SUM(0)</f>
        <v>0</v>
      </c>
      <c r="I12" s="4"/>
      <c r="J12" s="13"/>
      <c r="K12" s="4"/>
      <c r="L12" s="4">
        <f>+D12-H12</f>
        <v>0</v>
      </c>
      <c r="M12" s="4"/>
      <c r="N12" s="13">
        <f>IF(H12=0,0,L12/H12)</f>
        <v>0</v>
      </c>
      <c r="O12" s="10"/>
      <c r="P12" s="4">
        <f>SUM(0)</f>
        <v>0</v>
      </c>
      <c r="Q12" s="4"/>
      <c r="R12" s="13"/>
      <c r="S12" s="4"/>
      <c r="T12" s="4">
        <f>SUM(0)</f>
        <v>0</v>
      </c>
      <c r="U12" s="4"/>
      <c r="V12" s="13"/>
      <c r="W12" s="4"/>
      <c r="X12" s="4">
        <f>+P12-T12</f>
        <v>0</v>
      </c>
      <c r="Y12" s="4"/>
      <c r="Z12" s="13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collapsed="1" x14ac:dyDescent="0.25">
      <c r="A14" s="10"/>
      <c r="B14" s="28" t="s">
        <v>8</v>
      </c>
      <c r="C14" s="10"/>
      <c r="D14" s="4">
        <f>SUM(OSRRefD16x_0)</f>
        <v>0</v>
      </c>
      <c r="E14" s="4"/>
      <c r="F14" s="13">
        <f t="shared" ref="F14:F15" si="0">IF(D$12=0,0,D14/D$12)</f>
        <v>0</v>
      </c>
      <c r="G14" s="4"/>
      <c r="H14" s="4">
        <f>SUM(OSRRefH16x_0)</f>
        <v>0</v>
      </c>
      <c r="I14" s="4"/>
      <c r="J14" s="13">
        <f t="shared" ref="J14:J15" si="1">IF(H$12=0,0,H14/H$12)</f>
        <v>0</v>
      </c>
      <c r="K14" s="4"/>
      <c r="L14" s="4">
        <f t="shared" ref="L14:L15" si="2">+D14-H14</f>
        <v>0</v>
      </c>
      <c r="M14" s="4"/>
      <c r="N14" s="13">
        <f t="shared" ref="N14:N15" si="3">IF(H14=0,0,L14/H14)</f>
        <v>0</v>
      </c>
      <c r="O14" s="10"/>
      <c r="P14" s="4">
        <f>SUM(OSRRefP16x_0)</f>
        <v>-729.38</v>
      </c>
      <c r="Q14" s="4"/>
      <c r="R14" s="13">
        <f t="shared" ref="R14:R15" si="4">IF(P$12=0,0,P14/P$12)</f>
        <v>0</v>
      </c>
      <c r="S14" s="4"/>
      <c r="T14" s="4">
        <f>SUM(OSRRefT16x_0)</f>
        <v>0</v>
      </c>
      <c r="U14" s="4"/>
      <c r="V14" s="13">
        <f t="shared" ref="V14:V15" si="5">IF(T$12=0,0,T14/T$12)</f>
        <v>0</v>
      </c>
      <c r="W14" s="4"/>
      <c r="X14" s="4">
        <f t="shared" ref="X14:X15" si="6">+P14-T14</f>
        <v>-729.38</v>
      </c>
      <c r="Y14" s="4"/>
      <c r="Z14" s="13">
        <f t="shared" ref="Z14:Z15" si="7">IF(T14=0,0,X14/T14)</f>
        <v>0</v>
      </c>
    </row>
    <row r="15" spans="1:26" s="24" customFormat="1" hidden="1" outlineLevel="1" x14ac:dyDescent="0.25">
      <c r="A15" s="44"/>
      <c r="B15" s="11" t="str">
        <f>CONCATENATE("          ", "5053", " - ", "PURCHASES @ COST-FOOD")</f>
        <v xml:space="preserve">          5053 - PURCHASES @ COST-FOOD</v>
      </c>
      <c r="C15" s="11"/>
      <c r="D15" s="2"/>
      <c r="E15" s="2"/>
      <c r="F15" s="19">
        <f t="shared" si="0"/>
        <v>0</v>
      </c>
      <c r="G15" s="2"/>
      <c r="H15" s="2"/>
      <c r="I15" s="2"/>
      <c r="J15" s="19">
        <f t="shared" si="1"/>
        <v>0</v>
      </c>
      <c r="K15" s="2"/>
      <c r="L15" s="2">
        <f t="shared" si="2"/>
        <v>0</v>
      </c>
      <c r="M15" s="2"/>
      <c r="N15" s="19">
        <f t="shared" si="3"/>
        <v>0</v>
      </c>
      <c r="O15" s="11"/>
      <c r="P15" s="2">
        <v>-729.38</v>
      </c>
      <c r="Q15" s="2"/>
      <c r="R15" s="19">
        <f t="shared" si="4"/>
        <v>0</v>
      </c>
      <c r="S15" s="2"/>
      <c r="T15" s="2"/>
      <c r="U15" s="2"/>
      <c r="V15" s="19">
        <f t="shared" si="5"/>
        <v>0</v>
      </c>
      <c r="W15" s="2"/>
      <c r="X15" s="2">
        <f t="shared" si="6"/>
        <v>-729.38</v>
      </c>
      <c r="Y15" s="2"/>
      <c r="Z15" s="19">
        <f t="shared" si="7"/>
        <v>0</v>
      </c>
    </row>
    <row r="16" spans="1:26" x14ac:dyDescent="0.25">
      <c r="A16" s="9"/>
      <c r="B16" s="10"/>
      <c r="C16" s="10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O16" s="10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3" customFormat="1" x14ac:dyDescent="0.25">
      <c r="A17" s="10"/>
      <c r="B17" s="29" t="s">
        <v>6</v>
      </c>
      <c r="C17" s="29"/>
      <c r="D17" s="20">
        <f>D12-D14</f>
        <v>0</v>
      </c>
      <c r="E17" s="14"/>
      <c r="F17" s="22">
        <f>IF(D$12=0,0,D17/D$12)</f>
        <v>0</v>
      </c>
      <c r="G17" s="14"/>
      <c r="H17" s="20">
        <f>H12-H14</f>
        <v>0</v>
      </c>
      <c r="I17" s="14"/>
      <c r="J17" s="22">
        <f>IF(H$12=0,0,H17/H$12)</f>
        <v>0</v>
      </c>
      <c r="K17" s="16"/>
      <c r="L17" s="20">
        <f>+D17-H17</f>
        <v>0</v>
      </c>
      <c r="M17" s="16"/>
      <c r="N17" s="22">
        <f>IF(H17=0,0,L17/H17)</f>
        <v>0</v>
      </c>
      <c r="O17" s="28"/>
      <c r="P17" s="20">
        <f>P12-P14</f>
        <v>729.38</v>
      </c>
      <c r="Q17" s="14"/>
      <c r="R17" s="22">
        <f>IF(P$12=0,0,P17/P$12)</f>
        <v>0</v>
      </c>
      <c r="S17" s="14"/>
      <c r="T17" s="20">
        <f>T12-T14</f>
        <v>0</v>
      </c>
      <c r="U17" s="14"/>
      <c r="V17" s="22">
        <f>IF(T$12=0,0,T17/T$12)</f>
        <v>0</v>
      </c>
      <c r="W17" s="16"/>
      <c r="X17" s="20">
        <f>+P17-T17</f>
        <v>729.38</v>
      </c>
      <c r="Y17" s="16"/>
      <c r="Z17" s="22">
        <f>IF(T17=0,0,X17/T17)</f>
        <v>0</v>
      </c>
    </row>
    <row r="18" spans="1:26" x14ac:dyDescent="0.25">
      <c r="A18" s="9"/>
      <c r="B18" s="10"/>
      <c r="C18" s="9"/>
      <c r="D18" s="1"/>
      <c r="E18" s="1"/>
      <c r="F18" s="5"/>
      <c r="G18" s="1"/>
      <c r="H18" s="1"/>
      <c r="I18" s="1"/>
      <c r="J18" s="5"/>
      <c r="K18" s="1"/>
      <c r="L18" s="1"/>
      <c r="M18" s="1"/>
      <c r="N18" s="5"/>
      <c r="O18" s="36"/>
      <c r="P18" s="1"/>
      <c r="Q18" s="1"/>
      <c r="R18" s="5"/>
      <c r="S18" s="1"/>
      <c r="T18" s="1"/>
      <c r="U18" s="1"/>
      <c r="V18" s="5"/>
      <c r="W18" s="1"/>
      <c r="X18" s="1"/>
      <c r="Y18" s="1"/>
      <c r="Z18" s="5"/>
    </row>
    <row r="19" spans="1:26" s="23" customFormat="1" x14ac:dyDescent="0.25">
      <c r="A19" s="10"/>
      <c r="B19" s="28" t="s">
        <v>9</v>
      </c>
      <c r="C19" s="10"/>
      <c r="D19" s="21">
        <f>SUM(OSRRefD22x_0)</f>
        <v>15392.11</v>
      </c>
      <c r="E19" s="21"/>
      <c r="F19" s="30">
        <f t="shared" ref="F19:F29" si="8">IF(D$12=0,0,D19/D$12)</f>
        <v>0</v>
      </c>
      <c r="G19" s="21"/>
      <c r="H19" s="21">
        <f>SUM(OSRRefH22x_0)</f>
        <v>6331.7953308384567</v>
      </c>
      <c r="I19" s="21"/>
      <c r="J19" s="30">
        <f t="shared" ref="J19:J29" si="9">IF(H$12=0,0,H19/H$12)</f>
        <v>0</v>
      </c>
      <c r="K19" s="4"/>
      <c r="L19" s="21">
        <f t="shared" ref="L19:L29" si="10">+D19-H19</f>
        <v>9060.3146691615439</v>
      </c>
      <c r="M19" s="4"/>
      <c r="N19" s="30">
        <f t="shared" ref="N19:N29" si="11">IF(H19=0,0,L19/H19)</f>
        <v>1.4309234894302525</v>
      </c>
      <c r="O19" s="10"/>
      <c r="P19" s="21">
        <f>SUM(OSRRefP22x_0)</f>
        <v>152120.79999999999</v>
      </c>
      <c r="Q19" s="21"/>
      <c r="R19" s="30">
        <f t="shared" ref="R19:R29" si="12">IF(P$12=0,0,P19/P$12)</f>
        <v>0</v>
      </c>
      <c r="S19" s="21"/>
      <c r="T19" s="21">
        <f>SUM(OSRRefT22x_0)</f>
        <v>79283.04397006151</v>
      </c>
      <c r="U19" s="21"/>
      <c r="V19" s="30">
        <f t="shared" ref="V19:V29" si="13">IF(T$12=0,0,T19/T$12)</f>
        <v>0</v>
      </c>
      <c r="W19" s="4"/>
      <c r="X19" s="21">
        <f t="shared" ref="X19:X29" si="14">+P19-T19</f>
        <v>72837.756029938479</v>
      </c>
      <c r="Y19" s="4"/>
      <c r="Z19" s="30">
        <f t="shared" ref="Z19:Z29" si="15">IF(T19=0,0,X19/T19)</f>
        <v>0.91870534205829846</v>
      </c>
    </row>
    <row r="20" spans="1:26" s="27" customFormat="1" outlineLevel="1" collapsed="1" x14ac:dyDescent="0.25">
      <c r="A20" s="25"/>
      <c r="B20" s="12" t="str">
        <f>CONCATENATE("     ","*Benefits                                         ")</f>
        <v xml:space="preserve">     *Benefits                                         </v>
      </c>
      <c r="C20" s="12"/>
      <c r="D20" s="1">
        <f>SUM(OSRRefD22_0x_0)</f>
        <v>5487.1100000000006</v>
      </c>
      <c r="E20" s="1"/>
      <c r="F20" s="5">
        <f t="shared" si="8"/>
        <v>0</v>
      </c>
      <c r="G20" s="1"/>
      <c r="H20" s="1">
        <f>SUM(OSRRefH22_0x_0)</f>
        <v>2140.130946223077</v>
      </c>
      <c r="I20" s="1"/>
      <c r="J20" s="5">
        <f t="shared" si="9"/>
        <v>0</v>
      </c>
      <c r="K20" s="1"/>
      <c r="L20" s="1">
        <f t="shared" si="10"/>
        <v>3346.9790537769236</v>
      </c>
      <c r="M20" s="1"/>
      <c r="N20" s="5">
        <f t="shared" si="11"/>
        <v>1.5639132080603309</v>
      </c>
      <c r="O20" s="12"/>
      <c r="P20" s="1">
        <f>SUM(OSRRefP22_0x_0)</f>
        <v>64224.45</v>
      </c>
      <c r="Q20" s="1"/>
      <c r="R20" s="5">
        <f t="shared" si="12"/>
        <v>0</v>
      </c>
      <c r="S20" s="1"/>
      <c r="T20" s="1">
        <f>SUM(OSRRefT22_0x_0)</f>
        <v>24841.071354676926</v>
      </c>
      <c r="U20" s="1"/>
      <c r="V20" s="5">
        <f t="shared" si="13"/>
        <v>0</v>
      </c>
      <c r="W20" s="1"/>
      <c r="X20" s="1">
        <f t="shared" si="14"/>
        <v>39383.378645323071</v>
      </c>
      <c r="Y20" s="1"/>
      <c r="Z20" s="5">
        <f t="shared" si="15"/>
        <v>1.585413852849314</v>
      </c>
    </row>
    <row r="21" spans="1:26" s="24" customFormat="1" hidden="1" outlineLevel="2" x14ac:dyDescent="0.25">
      <c r="A21" s="26"/>
      <c r="B21" s="11" t="str">
        <f>CONCATENATE("          ", "6111", " - ", "F.I.C.A.")</f>
        <v xml:space="preserve">          6111 - F.I.C.A.</v>
      </c>
      <c r="C21" s="11"/>
      <c r="D21" s="7">
        <v>846.8</v>
      </c>
      <c r="E21" s="2"/>
      <c r="F21" s="6">
        <f t="shared" si="8"/>
        <v>0</v>
      </c>
      <c r="G21" s="2"/>
      <c r="H21" s="7">
        <v>350.05369483846198</v>
      </c>
      <c r="I21" s="2"/>
      <c r="J21" s="6">
        <f t="shared" si="9"/>
        <v>0</v>
      </c>
      <c r="K21" s="2"/>
      <c r="L21" s="7">
        <f t="shared" si="10"/>
        <v>496.74630516153798</v>
      </c>
      <c r="M21" s="2"/>
      <c r="N21" s="6">
        <f t="shared" si="11"/>
        <v>1.419057454573561</v>
      </c>
      <c r="O21" s="11"/>
      <c r="P21" s="7">
        <v>7522.95</v>
      </c>
      <c r="Q21" s="2"/>
      <c r="R21" s="6">
        <f t="shared" si="12"/>
        <v>0</v>
      </c>
      <c r="S21" s="2"/>
      <c r="T21" s="7">
        <v>4200.6443380615419</v>
      </c>
      <c r="U21" s="2"/>
      <c r="V21" s="6">
        <f t="shared" si="13"/>
        <v>0</v>
      </c>
      <c r="W21" s="2"/>
      <c r="X21" s="7">
        <f t="shared" si="14"/>
        <v>3322.3056619384579</v>
      </c>
      <c r="Y21" s="2"/>
      <c r="Z21" s="6">
        <f t="shared" si="15"/>
        <v>0.79090382202450205</v>
      </c>
    </row>
    <row r="22" spans="1:26" s="24" customFormat="1" hidden="1" outlineLevel="2" x14ac:dyDescent="0.25">
      <c r="A22" s="26"/>
      <c r="B22" s="11" t="str">
        <f>CONCATENATE("          ", "6112", " - ", "COMPENSATION INSURANCE")</f>
        <v xml:space="preserve">          6112 - COMPENSATION INSURANCE</v>
      </c>
      <c r="C22" s="11"/>
      <c r="D22" s="7">
        <v>56.45</v>
      </c>
      <c r="E22" s="2"/>
      <c r="F22" s="6">
        <f t="shared" si="8"/>
        <v>0</v>
      </c>
      <c r="G22" s="2"/>
      <c r="H22" s="7">
        <v>86.907359230769202</v>
      </c>
      <c r="I22" s="2"/>
      <c r="J22" s="6">
        <f t="shared" si="9"/>
        <v>0</v>
      </c>
      <c r="K22" s="2"/>
      <c r="L22" s="7">
        <f t="shared" si="10"/>
        <v>-30.4573592307692</v>
      </c>
      <c r="M22" s="2"/>
      <c r="N22" s="6">
        <f t="shared" si="11"/>
        <v>-0.35045776905836407</v>
      </c>
      <c r="O22" s="11"/>
      <c r="P22" s="7">
        <v>291.05</v>
      </c>
      <c r="Q22" s="2"/>
      <c r="R22" s="6">
        <f t="shared" si="12"/>
        <v>0</v>
      </c>
      <c r="S22" s="2"/>
      <c r="T22" s="7">
        <v>1042.8883107692322</v>
      </c>
      <c r="U22" s="2"/>
      <c r="V22" s="6">
        <f t="shared" si="13"/>
        <v>0</v>
      </c>
      <c r="W22" s="2"/>
      <c r="X22" s="7">
        <f t="shared" si="14"/>
        <v>-751.83831076923229</v>
      </c>
      <c r="Y22" s="2"/>
      <c r="Z22" s="6">
        <f t="shared" si="15"/>
        <v>-0.72091929979987779</v>
      </c>
    </row>
    <row r="23" spans="1:26" s="24" customFormat="1" hidden="1" outlineLevel="2" x14ac:dyDescent="0.25">
      <c r="A23" s="26"/>
      <c r="B23" s="11" t="str">
        <f>CONCATENATE("          ", "6113", " - ", "GROUP INSURANCE")</f>
        <v xml:space="preserve">          6113 - GROUP INSURANCE</v>
      </c>
      <c r="C23" s="11"/>
      <c r="D23" s="7">
        <v>1868.2</v>
      </c>
      <c r="E23" s="2"/>
      <c r="F23" s="6">
        <f t="shared" si="8"/>
        <v>0</v>
      </c>
      <c r="G23" s="2"/>
      <c r="H23" s="7">
        <v>690.5</v>
      </c>
      <c r="I23" s="2"/>
      <c r="J23" s="6">
        <f t="shared" si="9"/>
        <v>0</v>
      </c>
      <c r="K23" s="2"/>
      <c r="L23" s="7">
        <f t="shared" si="10"/>
        <v>1177.7</v>
      </c>
      <c r="M23" s="2"/>
      <c r="N23" s="6">
        <f t="shared" si="11"/>
        <v>1.7055756698044895</v>
      </c>
      <c r="O23" s="11"/>
      <c r="P23" s="7">
        <v>12937.48</v>
      </c>
      <c r="Q23" s="2"/>
      <c r="R23" s="6">
        <f t="shared" si="12"/>
        <v>0</v>
      </c>
      <c r="S23" s="2"/>
      <c r="T23" s="7">
        <v>7595.5</v>
      </c>
      <c r="U23" s="2"/>
      <c r="V23" s="6">
        <f t="shared" si="13"/>
        <v>0</v>
      </c>
      <c r="W23" s="2"/>
      <c r="X23" s="7">
        <f t="shared" si="14"/>
        <v>5341.98</v>
      </c>
      <c r="Y23" s="2"/>
      <c r="Z23" s="6">
        <f t="shared" si="15"/>
        <v>0.70330853795010195</v>
      </c>
    </row>
    <row r="24" spans="1:26" s="24" customFormat="1" hidden="1" outlineLevel="2" x14ac:dyDescent="0.25">
      <c r="A24" s="26"/>
      <c r="B24" s="11" t="str">
        <f>CONCATENATE("          ", "6114", " - ", "STATE UNEMPLOYMENT INSURANCE")</f>
        <v xml:space="preserve">          6114 - STATE UNEMPLOYMENT INSURANCE</v>
      </c>
      <c r="C24" s="11"/>
      <c r="D24" s="7">
        <v>43.17</v>
      </c>
      <c r="E24" s="2"/>
      <c r="F24" s="6">
        <f t="shared" si="8"/>
        <v>0</v>
      </c>
      <c r="G24" s="2"/>
      <c r="H24" s="7">
        <v>11.892586</v>
      </c>
      <c r="I24" s="2"/>
      <c r="J24" s="6">
        <f t="shared" si="9"/>
        <v>0</v>
      </c>
      <c r="K24" s="2"/>
      <c r="L24" s="7">
        <f t="shared" si="10"/>
        <v>31.277414</v>
      </c>
      <c r="M24" s="2"/>
      <c r="N24" s="6">
        <f t="shared" si="11"/>
        <v>2.6299926693824203</v>
      </c>
      <c r="O24" s="11"/>
      <c r="P24" s="7">
        <v>235.04</v>
      </c>
      <c r="Q24" s="2"/>
      <c r="R24" s="6">
        <f t="shared" si="12"/>
        <v>0</v>
      </c>
      <c r="S24" s="2"/>
      <c r="T24" s="7">
        <v>142.71103199999999</v>
      </c>
      <c r="U24" s="2"/>
      <c r="V24" s="6">
        <f t="shared" si="13"/>
        <v>0</v>
      </c>
      <c r="W24" s="2"/>
      <c r="X24" s="7">
        <f t="shared" si="14"/>
        <v>92.328968000000003</v>
      </c>
      <c r="Y24" s="2"/>
      <c r="Z24" s="6">
        <f t="shared" si="15"/>
        <v>0.64696447573863813</v>
      </c>
    </row>
    <row r="25" spans="1:26" s="24" customFormat="1" hidden="1" outlineLevel="2" x14ac:dyDescent="0.25">
      <c r="A25" s="26"/>
      <c r="B25" s="11" t="str">
        <f>CONCATENATE("          ", "6115", " - ", "P.E.R.S.")</f>
        <v xml:space="preserve">          6115 - P.E.R.S.</v>
      </c>
      <c r="C25" s="11"/>
      <c r="D25" s="7">
        <v>1131.3900000000001</v>
      </c>
      <c r="E25" s="2"/>
      <c r="F25" s="6">
        <f t="shared" si="8"/>
        <v>0</v>
      </c>
      <c r="G25" s="2"/>
      <c r="H25" s="7">
        <v>393.37015230769197</v>
      </c>
      <c r="I25" s="2"/>
      <c r="J25" s="6">
        <f t="shared" si="9"/>
        <v>0</v>
      </c>
      <c r="K25" s="2"/>
      <c r="L25" s="7">
        <f t="shared" si="10"/>
        <v>738.01984769230808</v>
      </c>
      <c r="M25" s="2"/>
      <c r="N25" s="6">
        <f t="shared" si="11"/>
        <v>1.8761460252201163</v>
      </c>
      <c r="O25" s="11"/>
      <c r="P25" s="7">
        <v>8674.7800000000007</v>
      </c>
      <c r="Q25" s="2"/>
      <c r="R25" s="6">
        <f t="shared" si="12"/>
        <v>0</v>
      </c>
      <c r="S25" s="2"/>
      <c r="T25" s="7">
        <v>4720.4418276923043</v>
      </c>
      <c r="U25" s="2"/>
      <c r="V25" s="6">
        <f t="shared" si="13"/>
        <v>0</v>
      </c>
      <c r="W25" s="2"/>
      <c r="X25" s="7">
        <f t="shared" si="14"/>
        <v>3954.3381723076964</v>
      </c>
      <c r="Y25" s="2"/>
      <c r="Z25" s="6">
        <f t="shared" si="15"/>
        <v>0.83770509555052919</v>
      </c>
    </row>
    <row r="26" spans="1:26" s="24" customFormat="1" hidden="1" outlineLevel="2" x14ac:dyDescent="0.25">
      <c r="A26" s="26"/>
      <c r="B26" s="11" t="str">
        <f>CONCATENATE("          ", "6116", " - ", "EDUCATIONAL BENEFITS")</f>
        <v xml:space="preserve">          6116 - EDUCATIONAL BENEFITS</v>
      </c>
      <c r="C26" s="11"/>
      <c r="D26" s="7"/>
      <c r="E26" s="2"/>
      <c r="F26" s="6">
        <f t="shared" si="8"/>
        <v>0</v>
      </c>
      <c r="G26" s="2"/>
      <c r="H26" s="7">
        <v>0</v>
      </c>
      <c r="I26" s="2"/>
      <c r="J26" s="6">
        <f t="shared" si="9"/>
        <v>0</v>
      </c>
      <c r="K26" s="2"/>
      <c r="L26" s="7">
        <f t="shared" si="10"/>
        <v>0</v>
      </c>
      <c r="M26" s="2"/>
      <c r="N26" s="6">
        <f t="shared" si="11"/>
        <v>0</v>
      </c>
      <c r="O26" s="11"/>
      <c r="P26" s="7"/>
      <c r="Q26" s="2"/>
      <c r="R26" s="6">
        <f t="shared" si="12"/>
        <v>0</v>
      </c>
      <c r="S26" s="2"/>
      <c r="T26" s="7">
        <v>0</v>
      </c>
      <c r="U26" s="2"/>
      <c r="V26" s="6">
        <f t="shared" si="13"/>
        <v>0</v>
      </c>
      <c r="W26" s="2"/>
      <c r="X26" s="7">
        <f t="shared" si="14"/>
        <v>0</v>
      </c>
      <c r="Y26" s="2"/>
      <c r="Z26" s="6">
        <f t="shared" si="15"/>
        <v>0</v>
      </c>
    </row>
    <row r="27" spans="1:26" s="24" customFormat="1" hidden="1" outlineLevel="2" x14ac:dyDescent="0.25">
      <c r="A27" s="26"/>
      <c r="B27" s="11" t="str">
        <f>CONCATENATE("          ", "6118", " - ", "VACATION")</f>
        <v xml:space="preserve">          6118 - VACATION</v>
      </c>
      <c r="C27" s="11"/>
      <c r="D27" s="7">
        <v>1022.52</v>
      </c>
      <c r="E27" s="2"/>
      <c r="F27" s="6">
        <f t="shared" si="8"/>
        <v>0</v>
      </c>
      <c r="G27" s="2"/>
      <c r="H27" s="7">
        <v>457.40715384615396</v>
      </c>
      <c r="I27" s="2"/>
      <c r="J27" s="6">
        <f t="shared" si="9"/>
        <v>0</v>
      </c>
      <c r="K27" s="2"/>
      <c r="L27" s="7">
        <f t="shared" si="10"/>
        <v>565.11284615384602</v>
      </c>
      <c r="M27" s="2"/>
      <c r="N27" s="6">
        <f t="shared" si="11"/>
        <v>1.2354700651313342</v>
      </c>
      <c r="O27" s="11"/>
      <c r="P27" s="7">
        <v>11242.98</v>
      </c>
      <c r="Q27" s="2"/>
      <c r="R27" s="6">
        <f t="shared" si="12"/>
        <v>0</v>
      </c>
      <c r="S27" s="2"/>
      <c r="T27" s="7">
        <v>5488.8858461538457</v>
      </c>
      <c r="U27" s="2"/>
      <c r="V27" s="6">
        <f t="shared" si="13"/>
        <v>0</v>
      </c>
      <c r="W27" s="2"/>
      <c r="X27" s="7">
        <f t="shared" si="14"/>
        <v>5754.0941538461539</v>
      </c>
      <c r="Y27" s="2"/>
      <c r="Z27" s="6">
        <f t="shared" si="15"/>
        <v>1.048317329805309</v>
      </c>
    </row>
    <row r="28" spans="1:26" s="24" customFormat="1" hidden="1" outlineLevel="2" x14ac:dyDescent="0.25">
      <c r="A28" s="26"/>
      <c r="B28" s="11" t="str">
        <f>CONCATENATE("          ", "6119", " - ", "SICK LEAVE")</f>
        <v xml:space="preserve">          6119 - SICK LEAVE</v>
      </c>
      <c r="C28" s="11"/>
      <c r="D28" s="7">
        <v>510.58</v>
      </c>
      <c r="E28" s="2"/>
      <c r="F28" s="6">
        <f t="shared" si="8"/>
        <v>0</v>
      </c>
      <c r="G28" s="2"/>
      <c r="H28" s="7">
        <v>0</v>
      </c>
      <c r="I28" s="2"/>
      <c r="J28" s="6">
        <f t="shared" si="9"/>
        <v>0</v>
      </c>
      <c r="K28" s="2"/>
      <c r="L28" s="7">
        <f t="shared" si="10"/>
        <v>510.58</v>
      </c>
      <c r="M28" s="2"/>
      <c r="N28" s="6">
        <f t="shared" si="11"/>
        <v>0</v>
      </c>
      <c r="O28" s="11"/>
      <c r="P28" s="7">
        <v>22030.080000000002</v>
      </c>
      <c r="Q28" s="2"/>
      <c r="R28" s="6">
        <f t="shared" si="12"/>
        <v>0</v>
      </c>
      <c r="S28" s="2"/>
      <c r="T28" s="7">
        <v>0</v>
      </c>
      <c r="U28" s="2"/>
      <c r="V28" s="6">
        <f t="shared" si="13"/>
        <v>0</v>
      </c>
      <c r="W28" s="2"/>
      <c r="X28" s="7">
        <f t="shared" si="14"/>
        <v>22030.080000000002</v>
      </c>
      <c r="Y28" s="2"/>
      <c r="Z28" s="6">
        <f t="shared" si="15"/>
        <v>0</v>
      </c>
    </row>
    <row r="29" spans="1:26" s="24" customFormat="1" hidden="1" outlineLevel="2" x14ac:dyDescent="0.25">
      <c r="A29" s="26"/>
      <c r="B29" s="11" t="str">
        <f>CONCATENATE("          ", "6156", " - ", "EMPLOYEE MEALS")</f>
        <v xml:space="preserve">          6156 - EMPLOYEE MEALS</v>
      </c>
      <c r="C29" s="11"/>
      <c r="D29" s="7">
        <v>8</v>
      </c>
      <c r="E29" s="2"/>
      <c r="F29" s="6">
        <f t="shared" si="8"/>
        <v>0</v>
      </c>
      <c r="G29" s="2"/>
      <c r="H29" s="7">
        <v>150</v>
      </c>
      <c r="I29" s="2"/>
      <c r="J29" s="6">
        <f t="shared" si="9"/>
        <v>0</v>
      </c>
      <c r="K29" s="2"/>
      <c r="L29" s="7">
        <f t="shared" si="10"/>
        <v>-142</v>
      </c>
      <c r="M29" s="2"/>
      <c r="N29" s="6">
        <f t="shared" si="11"/>
        <v>-0.94666666666666666</v>
      </c>
      <c r="O29" s="11"/>
      <c r="P29" s="7">
        <v>1290.0899999999999</v>
      </c>
      <c r="Q29" s="2"/>
      <c r="R29" s="6">
        <f t="shared" si="12"/>
        <v>0</v>
      </c>
      <c r="S29" s="2"/>
      <c r="T29" s="7">
        <v>1650</v>
      </c>
      <c r="U29" s="2"/>
      <c r="V29" s="6">
        <f t="shared" si="13"/>
        <v>0</v>
      </c>
      <c r="W29" s="2"/>
      <c r="X29" s="7">
        <f t="shared" si="14"/>
        <v>-359.91000000000008</v>
      </c>
      <c r="Y29" s="2"/>
      <c r="Z29" s="6">
        <f t="shared" si="15"/>
        <v>-0.21812727272727278</v>
      </c>
    </row>
    <row r="30" spans="1:26" s="27" customFormat="1" outlineLevel="1" collapsed="1" x14ac:dyDescent="0.25">
      <c r="A30" s="25"/>
      <c r="B30" s="12" t="str">
        <f>CONCATENATE("     ","*Payroll                                          ")</f>
        <v xml:space="preserve">     *Payroll                                          </v>
      </c>
      <c r="C30" s="12"/>
      <c r="D30" s="1">
        <f>SUM(OSRRefD22_1x_0)</f>
        <v>9962.35</v>
      </c>
      <c r="E30" s="1"/>
      <c r="F30" s="5">
        <f t="shared" ref="F30:F40" si="16">IF(D$12=0,0,D30/D$12)</f>
        <v>0</v>
      </c>
      <c r="G30" s="1"/>
      <c r="H30" s="1">
        <f>SUM(OSRRefH22_1x_0)</f>
        <v>4116.6643846153802</v>
      </c>
      <c r="I30" s="1"/>
      <c r="J30" s="5">
        <f t="shared" ref="J30:J40" si="17">IF(H$12=0,0,H30/H$12)</f>
        <v>0</v>
      </c>
      <c r="K30" s="1"/>
      <c r="L30" s="1">
        <f t="shared" ref="L30:L40" si="18">+D30-H30</f>
        <v>5845.6856153846202</v>
      </c>
      <c r="M30" s="1"/>
      <c r="N30" s="5">
        <f t="shared" ref="N30:N40" si="19">IF(H30=0,0,L30/H30)</f>
        <v>1.4200053900995337</v>
      </c>
      <c r="O30" s="12"/>
      <c r="P30" s="1">
        <f>SUM(OSRRefP22_1x_0)</f>
        <v>70948.680000000008</v>
      </c>
      <c r="Q30" s="1"/>
      <c r="R30" s="5">
        <f t="shared" ref="R30:R40" si="20">IF(P$12=0,0,P30/P$12)</f>
        <v>0</v>
      </c>
      <c r="S30" s="1"/>
      <c r="T30" s="1">
        <f>SUM(OSRRefT22_1x_0)</f>
        <v>49399.972615384584</v>
      </c>
      <c r="U30" s="1"/>
      <c r="V30" s="5">
        <f t="shared" ref="V30:V40" si="21">IF(T$12=0,0,T30/T$12)</f>
        <v>0</v>
      </c>
      <c r="W30" s="1"/>
      <c r="X30" s="1">
        <f t="shared" ref="X30:X40" si="22">+P30-T30</f>
        <v>21548.707384615424</v>
      </c>
      <c r="Y30" s="1"/>
      <c r="Z30" s="5">
        <f t="shared" ref="Z30:Z40" si="23">IF(T30=0,0,X30/T30)</f>
        <v>0.43620889332040907</v>
      </c>
    </row>
    <row r="31" spans="1:26" s="24" customFormat="1" hidden="1" outlineLevel="2" x14ac:dyDescent="0.25">
      <c r="A31" s="26"/>
      <c r="B31" s="11" t="str">
        <f>CONCATENATE("          ", "6001", " - ", "ADMINISTRATIVE SALARIES")</f>
        <v xml:space="preserve">          6001 - ADMINISTRATIVE SALARIES</v>
      </c>
      <c r="C31" s="11"/>
      <c r="D31" s="7">
        <v>9962.35</v>
      </c>
      <c r="E31" s="2"/>
      <c r="F31" s="6">
        <f t="shared" si="16"/>
        <v>0</v>
      </c>
      <c r="G31" s="2"/>
      <c r="H31" s="7">
        <v>4116.6643846153802</v>
      </c>
      <c r="I31" s="2"/>
      <c r="J31" s="6">
        <f t="shared" si="17"/>
        <v>0</v>
      </c>
      <c r="K31" s="2"/>
      <c r="L31" s="7">
        <f t="shared" si="18"/>
        <v>5845.6856153846202</v>
      </c>
      <c r="M31" s="2"/>
      <c r="N31" s="6">
        <f t="shared" si="19"/>
        <v>1.4200053900995337</v>
      </c>
      <c r="O31" s="11"/>
      <c r="P31" s="7">
        <v>74822.930000000008</v>
      </c>
      <c r="Q31" s="2"/>
      <c r="R31" s="6">
        <f t="shared" si="20"/>
        <v>0</v>
      </c>
      <c r="S31" s="2"/>
      <c r="T31" s="7">
        <v>49399.972615384584</v>
      </c>
      <c r="U31" s="2"/>
      <c r="V31" s="6">
        <f t="shared" si="21"/>
        <v>0</v>
      </c>
      <c r="W31" s="2"/>
      <c r="X31" s="7">
        <f t="shared" si="22"/>
        <v>25422.957384615424</v>
      </c>
      <c r="Y31" s="2"/>
      <c r="Z31" s="6">
        <f t="shared" si="23"/>
        <v>0.5146350501558371</v>
      </c>
    </row>
    <row r="32" spans="1:26" s="24" customFormat="1" hidden="1" outlineLevel="2" x14ac:dyDescent="0.25">
      <c r="A32" s="26"/>
      <c r="B32" s="11" t="str">
        <f>CONCATENATE("          ", "6002", " - ", "STAFF SALARIES")</f>
        <v xml:space="preserve">          6002 - STAFF SALARIES</v>
      </c>
      <c r="C32" s="11"/>
      <c r="D32" s="7"/>
      <c r="E32" s="2"/>
      <c r="F32" s="6">
        <f t="shared" si="16"/>
        <v>0</v>
      </c>
      <c r="G32" s="2"/>
      <c r="H32" s="7">
        <v>0</v>
      </c>
      <c r="I32" s="2"/>
      <c r="J32" s="6">
        <f t="shared" si="17"/>
        <v>0</v>
      </c>
      <c r="K32" s="2"/>
      <c r="L32" s="7">
        <f t="shared" si="18"/>
        <v>0</v>
      </c>
      <c r="M32" s="2"/>
      <c r="N32" s="6">
        <f t="shared" si="19"/>
        <v>0</v>
      </c>
      <c r="O32" s="11"/>
      <c r="P32" s="7">
        <v>-3874.25</v>
      </c>
      <c r="Q32" s="2"/>
      <c r="R32" s="6">
        <f t="shared" si="20"/>
        <v>0</v>
      </c>
      <c r="S32" s="2"/>
      <c r="T32" s="7">
        <v>0</v>
      </c>
      <c r="U32" s="2"/>
      <c r="V32" s="6">
        <f t="shared" si="21"/>
        <v>0</v>
      </c>
      <c r="W32" s="2"/>
      <c r="X32" s="7">
        <f t="shared" si="22"/>
        <v>-3874.25</v>
      </c>
      <c r="Y32" s="2"/>
      <c r="Z32" s="6">
        <f t="shared" si="23"/>
        <v>0</v>
      </c>
    </row>
    <row r="33" spans="1:26" s="24" customFormat="1" hidden="1" outlineLevel="2" x14ac:dyDescent="0.25">
      <c r="A33" s="26"/>
      <c r="B33" s="11" t="str">
        <f>CONCATENATE("          ", "6003", " - ", "STAFF HOURLY-9 MONTH")</f>
        <v xml:space="preserve">          6003 - STAFF HOURLY-9 MONTH</v>
      </c>
      <c r="C33" s="11"/>
      <c r="D33" s="7"/>
      <c r="E33" s="2"/>
      <c r="F33" s="6">
        <f t="shared" si="16"/>
        <v>0</v>
      </c>
      <c r="G33" s="2"/>
      <c r="H33" s="7">
        <v>0</v>
      </c>
      <c r="I33" s="2"/>
      <c r="J33" s="6">
        <f t="shared" si="17"/>
        <v>0</v>
      </c>
      <c r="K33" s="2"/>
      <c r="L33" s="7">
        <f t="shared" si="18"/>
        <v>0</v>
      </c>
      <c r="M33" s="2"/>
      <c r="N33" s="6">
        <f t="shared" si="19"/>
        <v>0</v>
      </c>
      <c r="O33" s="11"/>
      <c r="P33" s="7"/>
      <c r="Q33" s="2"/>
      <c r="R33" s="6">
        <f t="shared" si="20"/>
        <v>0</v>
      </c>
      <c r="S33" s="2"/>
      <c r="T33" s="7">
        <v>0</v>
      </c>
      <c r="U33" s="2"/>
      <c r="V33" s="6">
        <f t="shared" si="21"/>
        <v>0</v>
      </c>
      <c r="W33" s="2"/>
      <c r="X33" s="7">
        <f t="shared" si="22"/>
        <v>0</v>
      </c>
      <c r="Y33" s="2"/>
      <c r="Z33" s="6">
        <f t="shared" si="23"/>
        <v>0</v>
      </c>
    </row>
    <row r="34" spans="1:26" s="24" customFormat="1" hidden="1" outlineLevel="2" x14ac:dyDescent="0.25">
      <c r="A34" s="26"/>
      <c r="B34" s="11" t="str">
        <f>CONCATENATE("          ", "6004", " - ", "STAFF HOURLY")</f>
        <v xml:space="preserve">          6004 - STAFF HOURLY</v>
      </c>
      <c r="C34" s="11"/>
      <c r="D34" s="7"/>
      <c r="E34" s="2"/>
      <c r="F34" s="6">
        <f t="shared" si="16"/>
        <v>0</v>
      </c>
      <c r="G34" s="2"/>
      <c r="H34" s="7">
        <v>0</v>
      </c>
      <c r="I34" s="2"/>
      <c r="J34" s="6">
        <f t="shared" si="17"/>
        <v>0</v>
      </c>
      <c r="K34" s="2"/>
      <c r="L34" s="7">
        <f t="shared" si="18"/>
        <v>0</v>
      </c>
      <c r="M34" s="2"/>
      <c r="N34" s="6">
        <f t="shared" si="19"/>
        <v>0</v>
      </c>
      <c r="O34" s="11"/>
      <c r="P34" s="7"/>
      <c r="Q34" s="2"/>
      <c r="R34" s="6">
        <f t="shared" si="20"/>
        <v>0</v>
      </c>
      <c r="S34" s="2"/>
      <c r="T34" s="7">
        <v>0</v>
      </c>
      <c r="U34" s="2"/>
      <c r="V34" s="6">
        <f t="shared" si="21"/>
        <v>0</v>
      </c>
      <c r="W34" s="2"/>
      <c r="X34" s="7">
        <f t="shared" si="22"/>
        <v>0</v>
      </c>
      <c r="Y34" s="2"/>
      <c r="Z34" s="6">
        <f t="shared" si="23"/>
        <v>0</v>
      </c>
    </row>
    <row r="35" spans="1:26" s="24" customFormat="1" hidden="1" outlineLevel="2" x14ac:dyDescent="0.25">
      <c r="A35" s="26"/>
      <c r="B35" s="11" t="str">
        <f>CONCATENATE("          ", "6005", " - ", "TEMPORARY WAGES-HOURLY")</f>
        <v xml:space="preserve">          6005 - TEMPORARY WAGES-HOURLY</v>
      </c>
      <c r="C35" s="11"/>
      <c r="D35" s="7"/>
      <c r="E35" s="2"/>
      <c r="F35" s="6">
        <f t="shared" si="16"/>
        <v>0</v>
      </c>
      <c r="G35" s="2"/>
      <c r="H35" s="7">
        <v>0</v>
      </c>
      <c r="I35" s="2"/>
      <c r="J35" s="6">
        <f t="shared" si="17"/>
        <v>0</v>
      </c>
      <c r="K35" s="2"/>
      <c r="L35" s="7">
        <f t="shared" si="18"/>
        <v>0</v>
      </c>
      <c r="M35" s="2"/>
      <c r="N35" s="6">
        <f t="shared" si="19"/>
        <v>0</v>
      </c>
      <c r="O35" s="11"/>
      <c r="P35" s="7"/>
      <c r="Q35" s="2"/>
      <c r="R35" s="6">
        <f t="shared" si="20"/>
        <v>0</v>
      </c>
      <c r="S35" s="2"/>
      <c r="T35" s="7">
        <v>0</v>
      </c>
      <c r="U35" s="2"/>
      <c r="V35" s="6">
        <f t="shared" si="21"/>
        <v>0</v>
      </c>
      <c r="W35" s="2"/>
      <c r="X35" s="7">
        <f t="shared" si="22"/>
        <v>0</v>
      </c>
      <c r="Y35" s="2"/>
      <c r="Z35" s="6">
        <f t="shared" si="23"/>
        <v>0</v>
      </c>
    </row>
    <row r="36" spans="1:26" s="24" customFormat="1" hidden="1" outlineLevel="2" x14ac:dyDescent="0.25">
      <c r="A36" s="26"/>
      <c r="B36" s="11" t="str">
        <f>CONCATENATE("          ", "6006", " - ", "TEMPORARY PART TIME")</f>
        <v xml:space="preserve">          6006 - TEMPORARY PART TIME</v>
      </c>
      <c r="C36" s="11"/>
      <c r="D36" s="7"/>
      <c r="E36" s="2"/>
      <c r="F36" s="6">
        <f t="shared" si="16"/>
        <v>0</v>
      </c>
      <c r="G36" s="2"/>
      <c r="H36" s="7">
        <v>0</v>
      </c>
      <c r="I36" s="2"/>
      <c r="J36" s="6">
        <f t="shared" si="17"/>
        <v>0</v>
      </c>
      <c r="K36" s="2"/>
      <c r="L36" s="7">
        <f t="shared" si="18"/>
        <v>0</v>
      </c>
      <c r="M36" s="2"/>
      <c r="N36" s="6">
        <f t="shared" si="19"/>
        <v>0</v>
      </c>
      <c r="O36" s="11"/>
      <c r="P36" s="7"/>
      <c r="Q36" s="2"/>
      <c r="R36" s="6">
        <f t="shared" si="20"/>
        <v>0</v>
      </c>
      <c r="S36" s="2"/>
      <c r="T36" s="7">
        <v>0</v>
      </c>
      <c r="U36" s="2"/>
      <c r="V36" s="6">
        <f t="shared" si="21"/>
        <v>0</v>
      </c>
      <c r="W36" s="2"/>
      <c r="X36" s="7">
        <f t="shared" si="22"/>
        <v>0</v>
      </c>
      <c r="Y36" s="2"/>
      <c r="Z36" s="6">
        <f t="shared" si="23"/>
        <v>0</v>
      </c>
    </row>
    <row r="37" spans="1:26" s="24" customFormat="1" hidden="1" outlineLevel="2" x14ac:dyDescent="0.25">
      <c r="A37" s="26"/>
      <c r="B37" s="11" t="str">
        <f>CONCATENATE("          ", "6007", " - ", "STUDENT HOURLY")</f>
        <v xml:space="preserve">          6007 - STUDENT HOURLY</v>
      </c>
      <c r="C37" s="11"/>
      <c r="D37" s="7"/>
      <c r="E37" s="2"/>
      <c r="F37" s="6">
        <f t="shared" si="16"/>
        <v>0</v>
      </c>
      <c r="G37" s="2"/>
      <c r="H37" s="7">
        <v>0</v>
      </c>
      <c r="I37" s="2"/>
      <c r="J37" s="6">
        <f t="shared" si="17"/>
        <v>0</v>
      </c>
      <c r="K37" s="2"/>
      <c r="L37" s="7">
        <f t="shared" si="18"/>
        <v>0</v>
      </c>
      <c r="M37" s="2"/>
      <c r="N37" s="6">
        <f t="shared" si="19"/>
        <v>0</v>
      </c>
      <c r="O37" s="11"/>
      <c r="P37" s="7"/>
      <c r="Q37" s="2"/>
      <c r="R37" s="6">
        <f t="shared" si="20"/>
        <v>0</v>
      </c>
      <c r="S37" s="2"/>
      <c r="T37" s="7">
        <v>0</v>
      </c>
      <c r="U37" s="2"/>
      <c r="V37" s="6">
        <f t="shared" si="21"/>
        <v>0</v>
      </c>
      <c r="W37" s="2"/>
      <c r="X37" s="7">
        <f t="shared" si="22"/>
        <v>0</v>
      </c>
      <c r="Y37" s="2"/>
      <c r="Z37" s="6">
        <f t="shared" si="23"/>
        <v>0</v>
      </c>
    </row>
    <row r="38" spans="1:26" s="24" customFormat="1" hidden="1" outlineLevel="2" x14ac:dyDescent="0.25">
      <c r="A38" s="26"/>
      <c r="B38" s="11" t="str">
        <f>CONCATENATE("          ", "6008", " - ", "STUDENT HOURLY-FICA EXEMPT")</f>
        <v xml:space="preserve">          6008 - STUDENT HOURLY-FICA EXEMPT</v>
      </c>
      <c r="C38" s="11"/>
      <c r="D38" s="7"/>
      <c r="E38" s="2"/>
      <c r="F38" s="6">
        <f t="shared" si="16"/>
        <v>0</v>
      </c>
      <c r="G38" s="2"/>
      <c r="H38" s="7">
        <v>0</v>
      </c>
      <c r="I38" s="2"/>
      <c r="J38" s="6">
        <f t="shared" si="17"/>
        <v>0</v>
      </c>
      <c r="K38" s="2"/>
      <c r="L38" s="7">
        <f t="shared" si="18"/>
        <v>0</v>
      </c>
      <c r="M38" s="2"/>
      <c r="N38" s="6">
        <f t="shared" si="19"/>
        <v>0</v>
      </c>
      <c r="O38" s="11"/>
      <c r="P38" s="7"/>
      <c r="Q38" s="2"/>
      <c r="R38" s="6">
        <f t="shared" si="20"/>
        <v>0</v>
      </c>
      <c r="S38" s="2"/>
      <c r="T38" s="7">
        <v>0</v>
      </c>
      <c r="U38" s="2"/>
      <c r="V38" s="6">
        <f t="shared" si="21"/>
        <v>0</v>
      </c>
      <c r="W38" s="2"/>
      <c r="X38" s="7">
        <f t="shared" si="22"/>
        <v>0</v>
      </c>
      <c r="Y38" s="2"/>
      <c r="Z38" s="6">
        <f t="shared" si="23"/>
        <v>0</v>
      </c>
    </row>
    <row r="39" spans="1:26" s="24" customFormat="1" hidden="1" outlineLevel="2" x14ac:dyDescent="0.25">
      <c r="A39" s="26"/>
      <c r="B39" s="11" t="str">
        <f>CONCATENATE("          ", "6009", " - ", "TEMPORARY-SEASONAL")</f>
        <v xml:space="preserve">          6009 - TEMPORARY-SEASONAL</v>
      </c>
      <c r="C39" s="11"/>
      <c r="D39" s="7"/>
      <c r="E39" s="2"/>
      <c r="F39" s="6">
        <f t="shared" si="16"/>
        <v>0</v>
      </c>
      <c r="G39" s="2"/>
      <c r="H39" s="7">
        <v>0</v>
      </c>
      <c r="I39" s="2"/>
      <c r="J39" s="6">
        <f t="shared" si="17"/>
        <v>0</v>
      </c>
      <c r="K39" s="2"/>
      <c r="L39" s="7">
        <f t="shared" si="18"/>
        <v>0</v>
      </c>
      <c r="M39" s="2"/>
      <c r="N39" s="6">
        <f t="shared" si="19"/>
        <v>0</v>
      </c>
      <c r="O39" s="11"/>
      <c r="P39" s="7"/>
      <c r="Q39" s="2"/>
      <c r="R39" s="6">
        <f t="shared" si="20"/>
        <v>0</v>
      </c>
      <c r="S39" s="2"/>
      <c r="T39" s="7">
        <v>0</v>
      </c>
      <c r="U39" s="2"/>
      <c r="V39" s="6">
        <f t="shared" si="21"/>
        <v>0</v>
      </c>
      <c r="W39" s="2"/>
      <c r="X39" s="7">
        <f t="shared" si="22"/>
        <v>0</v>
      </c>
      <c r="Y39" s="2"/>
      <c r="Z39" s="6">
        <f t="shared" si="23"/>
        <v>0</v>
      </c>
    </row>
    <row r="40" spans="1:26" s="24" customFormat="1" hidden="1" outlineLevel="2" x14ac:dyDescent="0.25">
      <c r="A40" s="26"/>
      <c r="B40" s="11" t="str">
        <f>CONCATENATE("          ", "6010", " - ", "GRATUITY")</f>
        <v xml:space="preserve">          6010 - GRATUITY</v>
      </c>
      <c r="C40" s="11"/>
      <c r="D40" s="7"/>
      <c r="E40" s="2"/>
      <c r="F40" s="6">
        <f t="shared" si="16"/>
        <v>0</v>
      </c>
      <c r="G40" s="2"/>
      <c r="H40" s="7">
        <v>0</v>
      </c>
      <c r="I40" s="2"/>
      <c r="J40" s="6">
        <f t="shared" si="17"/>
        <v>0</v>
      </c>
      <c r="K40" s="2"/>
      <c r="L40" s="7">
        <f t="shared" si="18"/>
        <v>0</v>
      </c>
      <c r="M40" s="2"/>
      <c r="N40" s="6">
        <f t="shared" si="19"/>
        <v>0</v>
      </c>
      <c r="O40" s="11"/>
      <c r="P40" s="7"/>
      <c r="Q40" s="2"/>
      <c r="R40" s="6">
        <f t="shared" si="20"/>
        <v>0</v>
      </c>
      <c r="S40" s="2"/>
      <c r="T40" s="7">
        <v>0</v>
      </c>
      <c r="U40" s="2"/>
      <c r="V40" s="6">
        <f t="shared" si="21"/>
        <v>0</v>
      </c>
      <c r="W40" s="2"/>
      <c r="X40" s="7">
        <f t="shared" si="22"/>
        <v>0</v>
      </c>
      <c r="Y40" s="2"/>
      <c r="Z40" s="6">
        <f t="shared" si="23"/>
        <v>0</v>
      </c>
    </row>
    <row r="41" spans="1:26" s="27" customFormat="1" outlineLevel="1" collapsed="1" x14ac:dyDescent="0.25">
      <c r="A41" s="25"/>
      <c r="B41" s="12" t="str">
        <f>CONCATENATE("     ","General                                           ")</f>
        <v xml:space="preserve">     General                                           </v>
      </c>
      <c r="C41" s="12"/>
      <c r="D41" s="1">
        <f>SUM(OSRRefD22_2x_0)</f>
        <v>0</v>
      </c>
      <c r="E41" s="1"/>
      <c r="F41" s="5">
        <f t="shared" ref="F41:F50" si="24">IF(D$12=0,0,D41/D$12)</f>
        <v>0</v>
      </c>
      <c r="G41" s="1"/>
      <c r="H41" s="1">
        <f>SUM(OSRRefH22_2x_0)</f>
        <v>0</v>
      </c>
      <c r="I41" s="1"/>
      <c r="J41" s="5">
        <f t="shared" ref="J41:J50" si="25">IF(H$12=0,0,H41/H$12)</f>
        <v>0</v>
      </c>
      <c r="K41" s="1"/>
      <c r="L41" s="1">
        <f t="shared" ref="L41:L50" si="26">+D41-H41</f>
        <v>0</v>
      </c>
      <c r="M41" s="1"/>
      <c r="N41" s="5">
        <f t="shared" ref="N41:N50" si="27">IF(H41=0,0,L41/H41)</f>
        <v>0</v>
      </c>
      <c r="O41" s="12"/>
      <c r="P41" s="1">
        <f>SUM(OSRRefP22_2x_0)</f>
        <v>2443.65</v>
      </c>
      <c r="Q41" s="1"/>
      <c r="R41" s="5">
        <f t="shared" ref="R41:R50" si="28">IF(P$12=0,0,P41/P$12)</f>
        <v>0</v>
      </c>
      <c r="S41" s="1"/>
      <c r="T41" s="1">
        <f>SUM(OSRRefT22_2x_0)</f>
        <v>2500</v>
      </c>
      <c r="U41" s="1"/>
      <c r="V41" s="5">
        <f t="shared" ref="V41:V50" si="29">IF(T$12=0,0,T41/T$12)</f>
        <v>0</v>
      </c>
      <c r="W41" s="1"/>
      <c r="X41" s="1">
        <f t="shared" ref="X41:X50" si="30">+P41-T41</f>
        <v>-56.349999999999909</v>
      </c>
      <c r="Y41" s="1"/>
      <c r="Z41" s="5">
        <f t="shared" ref="Z41:Z50" si="31">IF(T41=0,0,X41/T41)</f>
        <v>-2.2539999999999963E-2</v>
      </c>
    </row>
    <row r="42" spans="1:26" s="24" customFormat="1" hidden="1" outlineLevel="2" x14ac:dyDescent="0.25">
      <c r="A42" s="26"/>
      <c r="B42" s="11" t="str">
        <f>CONCATENATE("          ", "6279", " - ", "GENERAL EXPENSE")</f>
        <v xml:space="preserve">          6279 - GENERAL EXPENSE</v>
      </c>
      <c r="C42" s="11"/>
      <c r="D42" s="7"/>
      <c r="E42" s="2"/>
      <c r="F42" s="6">
        <f t="shared" si="24"/>
        <v>0</v>
      </c>
      <c r="G42" s="2"/>
      <c r="H42" s="7"/>
      <c r="I42" s="2"/>
      <c r="J42" s="6">
        <f t="shared" si="25"/>
        <v>0</v>
      </c>
      <c r="K42" s="2"/>
      <c r="L42" s="7">
        <f t="shared" si="26"/>
        <v>0</v>
      </c>
      <c r="M42" s="2"/>
      <c r="N42" s="6">
        <f t="shared" si="27"/>
        <v>0</v>
      </c>
      <c r="O42" s="11"/>
      <c r="P42" s="7">
        <v>2443.65</v>
      </c>
      <c r="Q42" s="2"/>
      <c r="R42" s="6">
        <f t="shared" si="28"/>
        <v>0</v>
      </c>
      <c r="S42" s="2"/>
      <c r="T42" s="7">
        <v>2500</v>
      </c>
      <c r="U42" s="2"/>
      <c r="V42" s="6">
        <f t="shared" si="29"/>
        <v>0</v>
      </c>
      <c r="W42" s="2"/>
      <c r="X42" s="7">
        <f t="shared" si="30"/>
        <v>-56.349999999999909</v>
      </c>
      <c r="Y42" s="2"/>
      <c r="Z42" s="6">
        <f t="shared" si="31"/>
        <v>-2.2539999999999963E-2</v>
      </c>
    </row>
    <row r="43" spans="1:26" s="27" customFormat="1" outlineLevel="1" collapsed="1" x14ac:dyDescent="0.25">
      <c r="A43" s="25"/>
      <c r="B43" s="12" t="str">
        <f>CONCATENATE("     ","Royalty &amp; Commissions                             ")</f>
        <v xml:space="preserve">     Royalty &amp; Commissions                             </v>
      </c>
      <c r="C43" s="12"/>
      <c r="D43" s="1">
        <f>SUM(OSRRefD22_3x_0)</f>
        <v>0</v>
      </c>
      <c r="E43" s="1"/>
      <c r="F43" s="5">
        <f t="shared" si="24"/>
        <v>0</v>
      </c>
      <c r="G43" s="1"/>
      <c r="H43" s="1">
        <f>SUM(OSRRefH22_3x_0)</f>
        <v>0</v>
      </c>
      <c r="I43" s="1"/>
      <c r="J43" s="5">
        <f t="shared" si="25"/>
        <v>0</v>
      </c>
      <c r="K43" s="1"/>
      <c r="L43" s="1">
        <f t="shared" si="26"/>
        <v>0</v>
      </c>
      <c r="M43" s="1"/>
      <c r="N43" s="5">
        <f t="shared" si="27"/>
        <v>0</v>
      </c>
      <c r="O43" s="12"/>
      <c r="P43" s="1">
        <f>SUM(OSRRefP22_3x_0)</f>
        <v>10393.31</v>
      </c>
      <c r="Q43" s="1"/>
      <c r="R43" s="5">
        <f t="shared" si="28"/>
        <v>0</v>
      </c>
      <c r="S43" s="1"/>
      <c r="T43" s="1">
        <f>SUM(OSRRefT22_3x_0)</f>
        <v>1117</v>
      </c>
      <c r="U43" s="1"/>
      <c r="V43" s="5">
        <f t="shared" si="29"/>
        <v>0</v>
      </c>
      <c r="W43" s="1"/>
      <c r="X43" s="1">
        <f t="shared" si="30"/>
        <v>9276.31</v>
      </c>
      <c r="Y43" s="1"/>
      <c r="Z43" s="5">
        <f t="shared" si="31"/>
        <v>8.3046642793196064</v>
      </c>
    </row>
    <row r="44" spans="1:26" s="24" customFormat="1" hidden="1" outlineLevel="2" x14ac:dyDescent="0.25">
      <c r="A44" s="26"/>
      <c r="B44" s="11" t="str">
        <f>CONCATENATE("          ", "6254", " - ", "ROYALTY &amp; COMMISSIONS")</f>
        <v xml:space="preserve">          6254 - ROYALTY &amp; COMMISSIONS</v>
      </c>
      <c r="C44" s="11"/>
      <c r="D44" s="7"/>
      <c r="E44" s="2"/>
      <c r="F44" s="6">
        <f t="shared" si="24"/>
        <v>0</v>
      </c>
      <c r="G44" s="2"/>
      <c r="H44" s="7"/>
      <c r="I44" s="2"/>
      <c r="J44" s="6">
        <f t="shared" si="25"/>
        <v>0</v>
      </c>
      <c r="K44" s="2"/>
      <c r="L44" s="7">
        <f t="shared" si="26"/>
        <v>0</v>
      </c>
      <c r="M44" s="2"/>
      <c r="N44" s="6">
        <f t="shared" si="27"/>
        <v>0</v>
      </c>
      <c r="O44" s="11"/>
      <c r="P44" s="7">
        <v>10393.31</v>
      </c>
      <c r="Q44" s="2"/>
      <c r="R44" s="6">
        <f t="shared" si="28"/>
        <v>0</v>
      </c>
      <c r="S44" s="2"/>
      <c r="T44" s="7">
        <v>1117</v>
      </c>
      <c r="U44" s="2"/>
      <c r="V44" s="6">
        <f t="shared" si="29"/>
        <v>0</v>
      </c>
      <c r="W44" s="2"/>
      <c r="X44" s="7">
        <f t="shared" si="30"/>
        <v>9276.31</v>
      </c>
      <c r="Y44" s="2"/>
      <c r="Z44" s="6">
        <f t="shared" si="31"/>
        <v>8.3046642793196064</v>
      </c>
    </row>
    <row r="45" spans="1:26" s="27" customFormat="1" outlineLevel="1" collapsed="1" x14ac:dyDescent="0.25">
      <c r="A45" s="25"/>
      <c r="B45" s="12" t="str">
        <f>CONCATENATE("     ","Supplies                                          ")</f>
        <v xml:space="preserve">     Supplies                                          </v>
      </c>
      <c r="C45" s="12"/>
      <c r="D45" s="1">
        <f>SUM(OSRRefD22_4x_0)</f>
        <v>0</v>
      </c>
      <c r="E45" s="1"/>
      <c r="F45" s="5">
        <f t="shared" si="24"/>
        <v>0</v>
      </c>
      <c r="G45" s="1"/>
      <c r="H45" s="1">
        <f>SUM(OSRRefH22_4x_0)</f>
        <v>0</v>
      </c>
      <c r="I45" s="1"/>
      <c r="J45" s="5">
        <f t="shared" si="25"/>
        <v>0</v>
      </c>
      <c r="K45" s="1"/>
      <c r="L45" s="1">
        <f t="shared" si="26"/>
        <v>0</v>
      </c>
      <c r="M45" s="1"/>
      <c r="N45" s="5">
        <f t="shared" si="27"/>
        <v>0</v>
      </c>
      <c r="O45" s="12"/>
      <c r="P45" s="1">
        <f>SUM(OSRRefP22_4x_0)</f>
        <v>140.55000000000001</v>
      </c>
      <c r="Q45" s="1"/>
      <c r="R45" s="5">
        <f t="shared" si="28"/>
        <v>0</v>
      </c>
      <c r="S45" s="1"/>
      <c r="T45" s="1">
        <f>SUM(OSRRefT22_4x_0)</f>
        <v>0</v>
      </c>
      <c r="U45" s="1"/>
      <c r="V45" s="5">
        <f t="shared" si="29"/>
        <v>0</v>
      </c>
      <c r="W45" s="1"/>
      <c r="X45" s="1">
        <f t="shared" si="30"/>
        <v>140.55000000000001</v>
      </c>
      <c r="Y45" s="1"/>
      <c r="Z45" s="5">
        <f t="shared" si="31"/>
        <v>0</v>
      </c>
    </row>
    <row r="46" spans="1:26" s="24" customFormat="1" hidden="1" outlineLevel="2" x14ac:dyDescent="0.25">
      <c r="A46" s="26"/>
      <c r="B46" s="11" t="str">
        <f>CONCATENATE("          ", "6241", " - ", "OFFICE EXPENSE")</f>
        <v xml:space="preserve">          6241 - OFFICE EXPENSE</v>
      </c>
      <c r="C46" s="11"/>
      <c r="D46" s="7"/>
      <c r="E46" s="2"/>
      <c r="F46" s="6">
        <f t="shared" si="24"/>
        <v>0</v>
      </c>
      <c r="G46" s="2"/>
      <c r="H46" s="7"/>
      <c r="I46" s="2"/>
      <c r="J46" s="6">
        <f t="shared" si="25"/>
        <v>0</v>
      </c>
      <c r="K46" s="2"/>
      <c r="L46" s="7">
        <f t="shared" si="26"/>
        <v>0</v>
      </c>
      <c r="M46" s="2"/>
      <c r="N46" s="6">
        <f t="shared" si="27"/>
        <v>0</v>
      </c>
      <c r="O46" s="11"/>
      <c r="P46" s="7">
        <v>140.55000000000001</v>
      </c>
      <c r="Q46" s="2"/>
      <c r="R46" s="6">
        <f t="shared" si="28"/>
        <v>0</v>
      </c>
      <c r="S46" s="2"/>
      <c r="T46" s="7"/>
      <c r="U46" s="2"/>
      <c r="V46" s="6">
        <f t="shared" si="29"/>
        <v>0</v>
      </c>
      <c r="W46" s="2"/>
      <c r="X46" s="7">
        <f t="shared" si="30"/>
        <v>140.55000000000001</v>
      </c>
      <c r="Y46" s="2"/>
      <c r="Z46" s="6">
        <f t="shared" si="31"/>
        <v>0</v>
      </c>
    </row>
    <row r="47" spans="1:26" s="27" customFormat="1" outlineLevel="1" collapsed="1" x14ac:dyDescent="0.25">
      <c r="A47" s="25"/>
      <c r="B47" s="12" t="str">
        <f>CONCATENATE("     ","Telephone/Data Lines                              ")</f>
        <v xml:space="preserve">     Telephone/Data Lines                              </v>
      </c>
      <c r="C47" s="12"/>
      <c r="D47" s="1">
        <f>SUM(OSRRefD22_5x_0)</f>
        <v>-57.35</v>
      </c>
      <c r="E47" s="1"/>
      <c r="F47" s="5">
        <f t="shared" si="24"/>
        <v>0</v>
      </c>
      <c r="G47" s="1"/>
      <c r="H47" s="1">
        <f>SUM(OSRRefH22_5x_0)</f>
        <v>75</v>
      </c>
      <c r="I47" s="1"/>
      <c r="J47" s="5">
        <f t="shared" si="25"/>
        <v>0</v>
      </c>
      <c r="K47" s="1"/>
      <c r="L47" s="1">
        <f t="shared" si="26"/>
        <v>-132.35</v>
      </c>
      <c r="M47" s="1"/>
      <c r="N47" s="5">
        <f t="shared" si="27"/>
        <v>-1.7646666666666666</v>
      </c>
      <c r="O47" s="12"/>
      <c r="P47" s="1">
        <f>SUM(OSRRefP22_5x_0)</f>
        <v>1210.3499999999999</v>
      </c>
      <c r="Q47" s="1"/>
      <c r="R47" s="5">
        <f t="shared" si="28"/>
        <v>0</v>
      </c>
      <c r="S47" s="1"/>
      <c r="T47" s="1">
        <f>SUM(OSRRefT22_5x_0)</f>
        <v>1425</v>
      </c>
      <c r="U47" s="1"/>
      <c r="V47" s="5">
        <f t="shared" si="29"/>
        <v>0</v>
      </c>
      <c r="W47" s="1"/>
      <c r="X47" s="1">
        <f t="shared" si="30"/>
        <v>-214.65000000000009</v>
      </c>
      <c r="Y47" s="1"/>
      <c r="Z47" s="5">
        <f t="shared" si="31"/>
        <v>-0.15063157894736848</v>
      </c>
    </row>
    <row r="48" spans="1:26" s="24" customFormat="1" hidden="1" outlineLevel="2" x14ac:dyDescent="0.25">
      <c r="A48" s="26"/>
      <c r="B48" s="11" t="str">
        <f>CONCATENATE("          ", "6309", " - ", "TELEPHONE")</f>
        <v xml:space="preserve">          6309 - TELEPHONE</v>
      </c>
      <c r="C48" s="11"/>
      <c r="D48" s="7">
        <v>-57.35</v>
      </c>
      <c r="E48" s="2"/>
      <c r="F48" s="6">
        <f t="shared" si="24"/>
        <v>0</v>
      </c>
      <c r="G48" s="2"/>
      <c r="H48" s="7">
        <v>75</v>
      </c>
      <c r="I48" s="2"/>
      <c r="J48" s="6">
        <f t="shared" si="25"/>
        <v>0</v>
      </c>
      <c r="K48" s="2"/>
      <c r="L48" s="7">
        <f t="shared" si="26"/>
        <v>-132.35</v>
      </c>
      <c r="M48" s="2"/>
      <c r="N48" s="6">
        <f t="shared" si="27"/>
        <v>-1.7646666666666666</v>
      </c>
      <c r="O48" s="11"/>
      <c r="P48" s="7">
        <v>1210.3499999999999</v>
      </c>
      <c r="Q48" s="2"/>
      <c r="R48" s="6">
        <f t="shared" si="28"/>
        <v>0</v>
      </c>
      <c r="S48" s="2"/>
      <c r="T48" s="7">
        <v>1425</v>
      </c>
      <c r="U48" s="2"/>
      <c r="V48" s="6">
        <f t="shared" si="29"/>
        <v>0</v>
      </c>
      <c r="W48" s="2"/>
      <c r="X48" s="7">
        <f t="shared" si="30"/>
        <v>-214.65000000000009</v>
      </c>
      <c r="Y48" s="2"/>
      <c r="Z48" s="6">
        <f t="shared" si="31"/>
        <v>-0.15063157894736848</v>
      </c>
    </row>
    <row r="49" spans="1:26" s="27" customFormat="1" outlineLevel="1" collapsed="1" x14ac:dyDescent="0.25">
      <c r="A49" s="25"/>
      <c r="B49" s="12" t="str">
        <f>CONCATENATE("     ","Travel                                            ")</f>
        <v xml:space="preserve">     Travel                                            </v>
      </c>
      <c r="C49" s="12"/>
      <c r="D49" s="1">
        <f>SUM(OSRRefD22_6x_0)</f>
        <v>0</v>
      </c>
      <c r="E49" s="1"/>
      <c r="F49" s="5">
        <f t="shared" si="24"/>
        <v>0</v>
      </c>
      <c r="G49" s="1"/>
      <c r="H49" s="1">
        <f>SUM(OSRRefH22_6x_0)</f>
        <v>0</v>
      </c>
      <c r="I49" s="1"/>
      <c r="J49" s="5">
        <f t="shared" si="25"/>
        <v>0</v>
      </c>
      <c r="K49" s="1"/>
      <c r="L49" s="1">
        <f t="shared" si="26"/>
        <v>0</v>
      </c>
      <c r="M49" s="1"/>
      <c r="N49" s="5">
        <f t="shared" si="27"/>
        <v>0</v>
      </c>
      <c r="O49" s="12"/>
      <c r="P49" s="1">
        <f>SUM(OSRRefP22_6x_0)</f>
        <v>2759.81</v>
      </c>
      <c r="Q49" s="1"/>
      <c r="R49" s="5">
        <f t="shared" si="28"/>
        <v>0</v>
      </c>
      <c r="S49" s="1"/>
      <c r="T49" s="1">
        <f>SUM(OSRRefT22_6x_0)</f>
        <v>0</v>
      </c>
      <c r="U49" s="1"/>
      <c r="V49" s="5">
        <f t="shared" si="29"/>
        <v>0</v>
      </c>
      <c r="W49" s="1"/>
      <c r="X49" s="1">
        <f t="shared" si="30"/>
        <v>2759.81</v>
      </c>
      <c r="Y49" s="1"/>
      <c r="Z49" s="5">
        <f t="shared" si="31"/>
        <v>0</v>
      </c>
    </row>
    <row r="50" spans="1:26" s="24" customFormat="1" hidden="1" outlineLevel="2" x14ac:dyDescent="0.25">
      <c r="A50" s="26"/>
      <c r="B50" s="11" t="str">
        <f>CONCATENATE("          ", "6292", " - ", "TRAVEL/CONFERENCE")</f>
        <v xml:space="preserve">          6292 - TRAVEL/CONFERENCE</v>
      </c>
      <c r="C50" s="11"/>
      <c r="D50" s="7"/>
      <c r="E50" s="2"/>
      <c r="F50" s="6">
        <f t="shared" si="24"/>
        <v>0</v>
      </c>
      <c r="G50" s="2"/>
      <c r="H50" s="7"/>
      <c r="I50" s="2"/>
      <c r="J50" s="6">
        <f t="shared" si="25"/>
        <v>0</v>
      </c>
      <c r="K50" s="2"/>
      <c r="L50" s="7">
        <f t="shared" si="26"/>
        <v>0</v>
      </c>
      <c r="M50" s="2"/>
      <c r="N50" s="6">
        <f t="shared" si="27"/>
        <v>0</v>
      </c>
      <c r="O50" s="11"/>
      <c r="P50" s="7">
        <v>2759.81</v>
      </c>
      <c r="Q50" s="2"/>
      <c r="R50" s="6">
        <f t="shared" si="28"/>
        <v>0</v>
      </c>
      <c r="S50" s="2"/>
      <c r="T50" s="7"/>
      <c r="U50" s="2"/>
      <c r="V50" s="6">
        <f t="shared" si="29"/>
        <v>0</v>
      </c>
      <c r="W50" s="2"/>
      <c r="X50" s="7">
        <f t="shared" si="30"/>
        <v>2759.81</v>
      </c>
      <c r="Y50" s="2"/>
      <c r="Z50" s="6">
        <f t="shared" si="31"/>
        <v>0</v>
      </c>
    </row>
    <row r="51" spans="1:26" s="62" customFormat="1" x14ac:dyDescent="0.25">
      <c r="A51" s="36"/>
      <c r="B51" s="36"/>
      <c r="C51" s="36"/>
      <c r="D51" s="1"/>
      <c r="E51" s="1"/>
      <c r="F51" s="5"/>
      <c r="G51" s="1"/>
      <c r="H51" s="1"/>
      <c r="I51" s="1"/>
      <c r="J51" s="5"/>
      <c r="K51" s="1"/>
      <c r="L51" s="1"/>
      <c r="M51" s="1"/>
      <c r="N51" s="5"/>
      <c r="O51" s="36"/>
      <c r="P51" s="1"/>
      <c r="Q51" s="1"/>
      <c r="R51" s="5"/>
      <c r="S51" s="1"/>
      <c r="T51" s="1"/>
      <c r="U51" s="1"/>
      <c r="V51" s="5"/>
      <c r="W51" s="1"/>
      <c r="X51" s="1"/>
      <c r="Y51" s="1"/>
      <c r="Z51" s="5"/>
    </row>
    <row r="52" spans="1:26" s="23" customFormat="1" collapsed="1" x14ac:dyDescent="0.25">
      <c r="A52" s="10"/>
      <c r="B52" s="28" t="s">
        <v>0</v>
      </c>
      <c r="C52" s="10"/>
      <c r="D52" s="4">
        <f>SUM(OSRRefD25x_0)</f>
        <v>0</v>
      </c>
      <c r="E52" s="4"/>
      <c r="F52" s="13">
        <f t="shared" ref="F52:F53" si="32">IF(D$12=0,0,D52/D$12)</f>
        <v>0</v>
      </c>
      <c r="G52" s="4"/>
      <c r="H52" s="4">
        <f>SUM(OSRRefH25x_0)</f>
        <v>32951</v>
      </c>
      <c r="I52" s="4"/>
      <c r="J52" s="13">
        <f t="shared" ref="J52:J53" si="33">IF(H$12=0,0,H52/H$12)</f>
        <v>0</v>
      </c>
      <c r="K52" s="4"/>
      <c r="L52" s="4">
        <f t="shared" ref="L52:L53" si="34">+D52-H52</f>
        <v>-32951</v>
      </c>
      <c r="M52" s="4"/>
      <c r="N52" s="13">
        <f t="shared" ref="N52:N53" si="35">IF(H52=0,0,L52/H52)</f>
        <v>-1</v>
      </c>
      <c r="O52" s="10"/>
      <c r="P52" s="4">
        <f>SUM(OSRRefP25x_0)</f>
        <v>155658.1</v>
      </c>
      <c r="Q52" s="4"/>
      <c r="R52" s="13">
        <f t="shared" ref="R52:R53" si="36">IF(P$12=0,0,P52/P$12)</f>
        <v>0</v>
      </c>
      <c r="S52" s="4"/>
      <c r="T52" s="4">
        <f>SUM(OSRRefT25x_0)</f>
        <v>213609</v>
      </c>
      <c r="U52" s="4"/>
      <c r="V52" s="13">
        <f t="shared" ref="V52:V53" si="37">IF(T$12=0,0,T52/T$12)</f>
        <v>0</v>
      </c>
      <c r="W52" s="4"/>
      <c r="X52" s="4">
        <f t="shared" ref="X52:X53" si="38">+P52-T52</f>
        <v>-57950.899999999994</v>
      </c>
      <c r="Y52" s="4"/>
      <c r="Z52" s="13">
        <f t="shared" ref="Z52:Z53" si="39">IF(T52=0,0,X52/T52)</f>
        <v>-0.27129428067169453</v>
      </c>
    </row>
    <row r="53" spans="1:26" s="24" customFormat="1" hidden="1" outlineLevel="1" x14ac:dyDescent="0.25">
      <c r="A53" s="44"/>
      <c r="B53" s="11" t="str">
        <f>CONCATENATE("          ", "9150", " - ", "MISC. INCOME")</f>
        <v xml:space="preserve">          9150 - MISC. INCOME</v>
      </c>
      <c r="C53" s="11"/>
      <c r="D53" s="2">
        <f>0</f>
        <v>0</v>
      </c>
      <c r="E53" s="2"/>
      <c r="F53" s="19">
        <f t="shared" si="32"/>
        <v>0</v>
      </c>
      <c r="G53" s="2"/>
      <c r="H53" s="2">
        <v>32951</v>
      </c>
      <c r="I53" s="2"/>
      <c r="J53" s="19">
        <f t="shared" si="33"/>
        <v>0</v>
      </c>
      <c r="K53" s="2"/>
      <c r="L53" s="2">
        <f t="shared" si="34"/>
        <v>-32951</v>
      </c>
      <c r="M53" s="2"/>
      <c r="N53" s="19">
        <f t="shared" si="35"/>
        <v>-1</v>
      </c>
      <c r="O53" s="11"/>
      <c r="P53" s="2">
        <f>--155658.1</f>
        <v>155658.1</v>
      </c>
      <c r="Q53" s="2"/>
      <c r="R53" s="19">
        <f t="shared" si="36"/>
        <v>0</v>
      </c>
      <c r="S53" s="2"/>
      <c r="T53" s="2">
        <v>213609</v>
      </c>
      <c r="U53" s="2"/>
      <c r="V53" s="19">
        <f t="shared" si="37"/>
        <v>0</v>
      </c>
      <c r="W53" s="2"/>
      <c r="X53" s="2">
        <f t="shared" si="38"/>
        <v>-57950.899999999994</v>
      </c>
      <c r="Y53" s="2"/>
      <c r="Z53" s="19">
        <f t="shared" si="39"/>
        <v>-0.27129428067169453</v>
      </c>
    </row>
    <row r="54" spans="1:26" x14ac:dyDescent="0.25">
      <c r="A54" s="9"/>
      <c r="B54" s="10"/>
      <c r="C54" s="10"/>
      <c r="D54" s="3"/>
      <c r="E54" s="3"/>
      <c r="F54" s="8"/>
      <c r="G54" s="3"/>
      <c r="H54" s="3"/>
      <c r="I54" s="3"/>
      <c r="J54" s="8"/>
      <c r="K54" s="3"/>
      <c r="L54" s="3"/>
      <c r="M54" s="3"/>
      <c r="N54" s="8"/>
      <c r="O54" s="10"/>
      <c r="P54" s="3"/>
      <c r="Q54" s="3"/>
      <c r="R54" s="8"/>
      <c r="S54" s="3"/>
      <c r="T54" s="3"/>
      <c r="U54" s="3"/>
      <c r="V54" s="8"/>
      <c r="W54" s="3"/>
      <c r="X54" s="3"/>
      <c r="Y54" s="3"/>
      <c r="Z54" s="8"/>
    </row>
    <row r="55" spans="1:26" s="23" customFormat="1" x14ac:dyDescent="0.25">
      <c r="A55" s="10"/>
      <c r="B55" s="29" t="s">
        <v>3</v>
      </c>
      <c r="C55" s="29"/>
      <c r="D55" s="20">
        <f>+D17-D19+D52</f>
        <v>-15392.11</v>
      </c>
      <c r="E55" s="14"/>
      <c r="F55" s="22">
        <f>IF(D$12=0,0,D55/D$12)</f>
        <v>0</v>
      </c>
      <c r="G55" s="14"/>
      <c r="H55" s="20">
        <f>+H17-H19+H52</f>
        <v>26619.204669161543</v>
      </c>
      <c r="I55" s="14"/>
      <c r="J55" s="22">
        <f>IF(H$12=0,0,H55/H$12)</f>
        <v>0</v>
      </c>
      <c r="K55" s="16"/>
      <c r="L55" s="20">
        <f>+D55-H55</f>
        <v>-42011.31466916154</v>
      </c>
      <c r="M55" s="16"/>
      <c r="N55" s="22">
        <f>IF(H55=0,0,L55/H55)</f>
        <v>-1.5782332789916831</v>
      </c>
      <c r="O55" s="28"/>
      <c r="P55" s="20">
        <f>+P17-P19+P52</f>
        <v>4266.6800000000221</v>
      </c>
      <c r="Q55" s="14"/>
      <c r="R55" s="22">
        <f>IF(P$12=0,0,P55/P$12)</f>
        <v>0</v>
      </c>
      <c r="S55" s="14"/>
      <c r="T55" s="20">
        <f>+T17-T19+T52</f>
        <v>134325.95602993848</v>
      </c>
      <c r="U55" s="14"/>
      <c r="V55" s="22">
        <f>IF(T$12=0,0,T55/T$12)</f>
        <v>0</v>
      </c>
      <c r="W55" s="16"/>
      <c r="X55" s="20">
        <f>+P55-T55</f>
        <v>-130059.27602993845</v>
      </c>
      <c r="Y55" s="16"/>
      <c r="Z55" s="22">
        <f>IF(T55=0,0,X55/T55)</f>
        <v>-0.96823636975232796</v>
      </c>
    </row>
    <row r="56" spans="1:26" x14ac:dyDescent="0.25">
      <c r="A56" s="9"/>
      <c r="B56" s="10"/>
      <c r="C56" s="9"/>
      <c r="D56" s="3"/>
      <c r="E56" s="3"/>
      <c r="F56" s="8"/>
      <c r="G56" s="3"/>
      <c r="H56" s="3"/>
      <c r="I56" s="3"/>
      <c r="J56" s="8"/>
      <c r="K56" s="3"/>
      <c r="L56" s="3"/>
      <c r="M56" s="3"/>
      <c r="N56" s="8"/>
      <c r="P56" s="3"/>
      <c r="Q56" s="3"/>
      <c r="R56" s="8"/>
      <c r="S56" s="3"/>
      <c r="T56" s="3"/>
      <c r="U56" s="3"/>
      <c r="V56" s="8"/>
      <c r="W56" s="3"/>
      <c r="X56" s="3"/>
      <c r="Y56" s="3"/>
      <c r="Z56" s="8"/>
    </row>
    <row r="57" spans="1:26" s="23" customFormat="1" x14ac:dyDescent="0.25">
      <c r="A57" s="52"/>
      <c r="B57" s="10" t="s">
        <v>14</v>
      </c>
      <c r="C57" s="10"/>
      <c r="D57" s="4"/>
      <c r="E57" s="4"/>
      <c r="F57" s="13">
        <f>IF(D$12=0,0,D57/D$12)</f>
        <v>0</v>
      </c>
      <c r="G57" s="4"/>
      <c r="H57" s="4"/>
      <c r="I57" s="4"/>
      <c r="J57" s="13">
        <f>IF(H$12=0,0,H57/H$12)</f>
        <v>0</v>
      </c>
      <c r="K57" s="4"/>
      <c r="L57" s="4">
        <f>+D57-H57</f>
        <v>0</v>
      </c>
      <c r="M57" s="4"/>
      <c r="N57" s="13">
        <f>IF(H57=0,0,L57/H57)</f>
        <v>0</v>
      </c>
      <c r="O57" s="10"/>
      <c r="P57" s="4"/>
      <c r="Q57" s="4"/>
      <c r="R57" s="13">
        <f>IF(P$12=0,0,P57/P$12)</f>
        <v>0</v>
      </c>
      <c r="S57" s="4"/>
      <c r="T57" s="4"/>
      <c r="U57" s="4"/>
      <c r="V57" s="13">
        <f>IF(T$12=0,0,T57/T$12)</f>
        <v>0</v>
      </c>
      <c r="W57" s="4"/>
      <c r="X57" s="4">
        <f>+P57-T57</f>
        <v>0</v>
      </c>
      <c r="Y57" s="4"/>
      <c r="Z57" s="13">
        <f>IF(T57=0,0,X57/T57)</f>
        <v>0</v>
      </c>
    </row>
    <row r="58" spans="1:26" x14ac:dyDescent="0.25">
      <c r="A58" s="9"/>
      <c r="B58" s="10"/>
      <c r="C58" s="10"/>
      <c r="D58" s="3"/>
      <c r="E58" s="3"/>
      <c r="F58" s="8"/>
      <c r="G58" s="3"/>
      <c r="H58" s="3"/>
      <c r="I58" s="3"/>
      <c r="J58" s="8"/>
      <c r="K58" s="3"/>
      <c r="L58" s="3"/>
      <c r="M58" s="3"/>
      <c r="N58" s="8"/>
      <c r="O58" s="10"/>
      <c r="P58" s="3"/>
      <c r="Q58" s="3"/>
      <c r="R58" s="8"/>
      <c r="S58" s="3"/>
      <c r="T58" s="3"/>
      <c r="U58" s="3"/>
      <c r="V58" s="8"/>
      <c r="W58" s="3"/>
      <c r="X58" s="3"/>
      <c r="Y58" s="3"/>
      <c r="Z58" s="8"/>
    </row>
    <row r="59" spans="1:26" s="23" customFormat="1" ht="15.75" thickBot="1" x14ac:dyDescent="0.3">
      <c r="A59" s="10"/>
      <c r="B59" s="29" t="s">
        <v>4</v>
      </c>
      <c r="C59" s="29"/>
      <c r="D59" s="35">
        <f>+D55-D57</f>
        <v>-15392.11</v>
      </c>
      <c r="E59" s="14"/>
      <c r="F59" s="32">
        <f>IF(D$12=0,0,D59/D$12)</f>
        <v>0</v>
      </c>
      <c r="G59" s="14"/>
      <c r="H59" s="35">
        <f>+H55-H57</f>
        <v>26619.204669161543</v>
      </c>
      <c r="I59" s="14"/>
      <c r="J59" s="32">
        <f>IF(H$12=0,0,H59/H$12)</f>
        <v>0</v>
      </c>
      <c r="K59" s="16"/>
      <c r="L59" s="35">
        <f>D59-H59</f>
        <v>-42011.31466916154</v>
      </c>
      <c r="M59" s="16"/>
      <c r="N59" s="32">
        <f>IF(H59=0,0,L59/H59)</f>
        <v>-1.5782332789916831</v>
      </c>
      <c r="O59" s="28"/>
      <c r="P59" s="35">
        <f>+P55-P57</f>
        <v>4266.6800000000221</v>
      </c>
      <c r="Q59" s="14"/>
      <c r="R59" s="32">
        <f>IF(P$12=0,0,P59/P$12)</f>
        <v>0</v>
      </c>
      <c r="S59" s="14"/>
      <c r="T59" s="35">
        <f>+T55-T57</f>
        <v>134325.95602993848</v>
      </c>
      <c r="U59" s="14"/>
      <c r="V59" s="32">
        <f>IF(T$12=0,0,T59/T$12)</f>
        <v>0</v>
      </c>
      <c r="W59" s="16"/>
      <c r="X59" s="35">
        <f>P59-T59</f>
        <v>-130059.27602993845</v>
      </c>
      <c r="Y59" s="16"/>
      <c r="Z59" s="32">
        <f>IF(T59=0,0,X59/T59)</f>
        <v>-0.96823636975232796</v>
      </c>
    </row>
    <row r="60" spans="1:26" ht="15.75" thickTop="1" x14ac:dyDescent="0.25">
      <c r="A60" s="9"/>
      <c r="B60" s="9"/>
      <c r="C60" s="9"/>
      <c r="D60" s="3"/>
      <c r="E60" s="3"/>
      <c r="F60" s="8"/>
      <c r="G60" s="3"/>
      <c r="H60" s="3"/>
      <c r="I60" s="3"/>
      <c r="J60" s="8"/>
      <c r="K60" s="3"/>
      <c r="L60" s="3"/>
      <c r="M60" s="3"/>
      <c r="N60" s="8"/>
      <c r="P60" s="3"/>
      <c r="Q60" s="3"/>
      <c r="R60" s="8"/>
      <c r="S60" s="3"/>
      <c r="T60" s="3"/>
      <c r="U60" s="3"/>
      <c r="V60" s="8"/>
      <c r="W60" s="3"/>
      <c r="X60" s="3"/>
      <c r="Y60" s="3"/>
      <c r="Z60" s="8"/>
    </row>
    <row r="61" spans="1:26" x14ac:dyDescent="0.25">
      <c r="A61" s="9"/>
      <c r="B61" s="9"/>
      <c r="C61" s="9"/>
      <c r="D61" s="3"/>
      <c r="E61" s="3"/>
      <c r="F61" s="8"/>
      <c r="G61" s="3"/>
      <c r="H61" s="3"/>
      <c r="I61" s="3"/>
      <c r="J61" s="8"/>
      <c r="K61" s="3"/>
      <c r="L61" s="3"/>
      <c r="M61" s="3"/>
      <c r="N61" s="8"/>
      <c r="P61" s="3"/>
      <c r="Q61" s="3"/>
      <c r="R61" s="8"/>
      <c r="S61" s="3"/>
      <c r="T61" s="3"/>
      <c r="U61" s="3"/>
      <c r="V61" s="8"/>
      <c r="W61" s="3"/>
      <c r="X61" s="3"/>
      <c r="Y61" s="3"/>
      <c r="Z61" s="8"/>
    </row>
    <row r="62" spans="1:26" s="23" customFormat="1" ht="15.75" thickBot="1" x14ac:dyDescent="0.3">
      <c r="A62" s="10"/>
      <c r="B62" s="29" t="s">
        <v>5</v>
      </c>
      <c r="C62" s="29"/>
      <c r="D62" s="34">
        <f>SUM(D59:D61)</f>
        <v>-15392.11</v>
      </c>
      <c r="E62" s="14"/>
      <c r="F62" s="31">
        <f>IF(D$12=0,0,D62/D$12)</f>
        <v>0</v>
      </c>
      <c r="G62" s="14"/>
      <c r="H62" s="34">
        <f>SUM(H59:H61)</f>
        <v>26619.204669161543</v>
      </c>
      <c r="I62" s="14"/>
      <c r="J62" s="31">
        <f>IF(H$12=0,0,H62/H$12)</f>
        <v>0</v>
      </c>
      <c r="K62" s="16"/>
      <c r="L62" s="34">
        <f>+D62-H62</f>
        <v>-42011.31466916154</v>
      </c>
      <c r="M62" s="16"/>
      <c r="N62" s="31">
        <f>IF(H62=0,0,L62/H62)</f>
        <v>-1.5782332789916831</v>
      </c>
      <c r="O62" s="28"/>
      <c r="P62" s="34">
        <f>SUM(P59:P61)</f>
        <v>4266.6800000000221</v>
      </c>
      <c r="Q62" s="14"/>
      <c r="R62" s="31">
        <f>IF(P$12=0,0,P62/P$12)</f>
        <v>0</v>
      </c>
      <c r="S62" s="14"/>
      <c r="T62" s="34">
        <f>SUM(T59:T61)</f>
        <v>134325.95602993848</v>
      </c>
      <c r="U62" s="14"/>
      <c r="V62" s="31">
        <f>IF(T$12=0,0,T62/T$12)</f>
        <v>0</v>
      </c>
      <c r="W62" s="16"/>
      <c r="X62" s="34">
        <f>+P62-T62</f>
        <v>-130059.27602993845</v>
      </c>
      <c r="Y62" s="16"/>
      <c r="Z62" s="31">
        <f>IF(T62=0,0,X62/T62)</f>
        <v>-0.96823636975232796</v>
      </c>
    </row>
    <row r="63" spans="1:26" ht="15.75" thickTop="1" x14ac:dyDescent="0.25">
      <c r="A63" s="9"/>
      <c r="C63" s="9"/>
      <c r="D63" s="18"/>
      <c r="E63" s="18"/>
      <c r="G63" s="18"/>
      <c r="H63" s="18"/>
      <c r="I63" s="18"/>
      <c r="J63" s="42"/>
      <c r="K63" s="18"/>
      <c r="L63" s="18"/>
      <c r="M63" s="18"/>
      <c r="P63" s="18"/>
      <c r="Q63" s="18"/>
      <c r="R63" s="42"/>
      <c r="S63" s="18"/>
      <c r="T63" s="18"/>
      <c r="U63" s="18"/>
      <c r="V63" s="42"/>
      <c r="W63" s="18"/>
      <c r="X63" s="18"/>
    </row>
    <row r="64" spans="1:26" x14ac:dyDescent="0.25">
      <c r="A64" s="9"/>
      <c r="B64" s="59">
        <v>43992.372187233799</v>
      </c>
      <c r="D64" s="18"/>
      <c r="E64" s="18"/>
      <c r="G64" s="18"/>
      <c r="H64" s="18"/>
      <c r="I64" s="18"/>
      <c r="J64" s="42"/>
      <c r="K64" s="18"/>
      <c r="L64" s="18"/>
      <c r="M64" s="18"/>
      <c r="P64" s="18"/>
      <c r="Q64" s="18"/>
      <c r="R64" s="42"/>
      <c r="S64" s="18"/>
      <c r="T64" s="18"/>
      <c r="U64" s="18"/>
      <c r="V64" s="42"/>
      <c r="W64" s="18"/>
      <c r="X64" s="18"/>
    </row>
    <row r="65" spans="1:24" x14ac:dyDescent="0.25">
      <c r="A65" s="9"/>
      <c r="B65" s="56" t="s">
        <v>314</v>
      </c>
      <c r="D65" s="18"/>
      <c r="E65" s="18"/>
      <c r="G65" s="18"/>
      <c r="H65" s="18"/>
      <c r="I65" s="18"/>
      <c r="J65" s="42"/>
      <c r="K65" s="18"/>
      <c r="L65" s="18"/>
      <c r="M65" s="18"/>
      <c r="P65" s="18"/>
      <c r="Q65" s="18"/>
      <c r="R65" s="42"/>
      <c r="S65" s="18"/>
      <c r="T65" s="18"/>
      <c r="U65" s="18"/>
      <c r="V65" s="42"/>
      <c r="W65" s="18"/>
      <c r="X65" s="18"/>
    </row>
    <row r="66" spans="1:24" x14ac:dyDescent="0.25">
      <c r="A66" s="9"/>
      <c r="B66" s="54"/>
      <c r="D66" s="18"/>
      <c r="E66" s="18"/>
      <c r="G66" s="18"/>
      <c r="H66" s="18"/>
      <c r="I66" s="18"/>
      <c r="J66" s="42"/>
      <c r="K66" s="18"/>
      <c r="L66" s="18"/>
      <c r="M66" s="18"/>
      <c r="P66" s="18"/>
      <c r="Q66" s="18"/>
      <c r="R66" s="42"/>
      <c r="S66" s="18"/>
      <c r="T66" s="18"/>
      <c r="U66" s="18"/>
      <c r="V66" s="42"/>
      <c r="W66" s="18"/>
      <c r="X66" s="18"/>
    </row>
    <row r="67" spans="1:24" x14ac:dyDescent="0.25">
      <c r="D67" s="18"/>
      <c r="E67" s="18"/>
      <c r="G67" s="18"/>
      <c r="H67" s="18"/>
      <c r="I67" s="18"/>
      <c r="J67" s="42"/>
      <c r="K67" s="18"/>
      <c r="L67" s="18"/>
      <c r="M67" s="18"/>
      <c r="P67" s="18"/>
      <c r="Q67" s="18"/>
      <c r="R67" s="42"/>
      <c r="S67" s="18"/>
      <c r="T67" s="18"/>
      <c r="U67" s="18"/>
      <c r="V67" s="42"/>
      <c r="W67" s="18"/>
      <c r="X67" s="18"/>
    </row>
  </sheetData>
  <pageMargins left="0.25" right="0.25" top="0.75" bottom="0.75" header="0.3" footer="0.3"/>
  <pageSetup scale="55" fitToWidth="2" orientation="landscape"/>
  <drawing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92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63" t="s">
        <v>13</v>
      </c>
    </row>
    <row r="3" spans="1:26" x14ac:dyDescent="0.25">
      <c r="D3" s="63" t="s">
        <v>296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61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63" t="str">
        <f>CONCATENATE("Period ",RIGHT(202011,2),", ",2020)</f>
        <v>Period 11, 2020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61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4">
        <v>43981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61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51"/>
      <c r="C6" s="51"/>
      <c r="D6" s="23" t="str">
        <f>CONCATENATE("Department ","424", " - ", "Blair Field")</f>
        <v>Department 424 - Blair Field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57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5" t="s">
        <v>294</v>
      </c>
      <c r="E9" s="15"/>
      <c r="F9" s="38"/>
      <c r="G9" s="15"/>
      <c r="H9" s="15"/>
      <c r="I9" s="15"/>
      <c r="J9" s="46"/>
      <c r="K9" s="15"/>
      <c r="L9" s="15"/>
      <c r="M9" s="15"/>
      <c r="N9" s="38"/>
      <c r="P9" s="15" t="s">
        <v>295</v>
      </c>
      <c r="Q9" s="15"/>
      <c r="R9" s="38"/>
      <c r="S9" s="15"/>
      <c r="T9" s="15"/>
      <c r="U9" s="15"/>
      <c r="V9" s="46"/>
      <c r="W9" s="15"/>
      <c r="X9" s="15"/>
      <c r="Y9" s="15"/>
      <c r="Z9" s="38"/>
    </row>
    <row r="10" spans="1:26" x14ac:dyDescent="0.25">
      <c r="A10" s="10"/>
      <c r="B10" s="55"/>
      <c r="C10" s="10"/>
      <c r="D10" s="43" t="s">
        <v>10</v>
      </c>
      <c r="E10" s="33"/>
      <c r="F10" s="40" t="s">
        <v>15</v>
      </c>
      <c r="G10" s="33"/>
      <c r="H10" s="47" t="s">
        <v>11</v>
      </c>
      <c r="I10" s="33"/>
      <c r="J10" s="45" t="s">
        <v>16</v>
      </c>
      <c r="K10" s="10"/>
      <c r="L10" s="43" t="s">
        <v>12</v>
      </c>
      <c r="M10" s="10"/>
      <c r="N10" s="40" t="s">
        <v>17</v>
      </c>
      <c r="O10" s="10"/>
      <c r="P10" s="53" t="s">
        <v>10</v>
      </c>
      <c r="Q10" s="33"/>
      <c r="R10" s="40" t="s">
        <v>15</v>
      </c>
      <c r="S10" s="33"/>
      <c r="T10" s="47" t="s">
        <v>11</v>
      </c>
      <c r="U10" s="33"/>
      <c r="V10" s="45" t="s">
        <v>16</v>
      </c>
      <c r="W10" s="10"/>
      <c r="X10" s="43" t="s">
        <v>12</v>
      </c>
      <c r="Y10" s="10"/>
      <c r="Z10" s="40" t="s">
        <v>17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0</v>
      </c>
      <c r="E12" s="4"/>
      <c r="F12" s="13"/>
      <c r="G12" s="4"/>
      <c r="H12" s="4">
        <f>SUM(OSRRefH13x_0)</f>
        <v>53000</v>
      </c>
      <c r="I12" s="4"/>
      <c r="J12" s="13"/>
      <c r="K12" s="4"/>
      <c r="L12" s="4">
        <f t="shared" ref="L12:L16" si="0">+D12-H12</f>
        <v>-53000</v>
      </c>
      <c r="M12" s="4"/>
      <c r="N12" s="13">
        <f t="shared" ref="N12:N16" si="1">IF(H12=0,0,L12/H12)</f>
        <v>-1</v>
      </c>
      <c r="O12" s="10"/>
      <c r="P12" s="4">
        <f>SUM(OSRRefP13x_0)</f>
        <v>157290.23000000001</v>
      </c>
      <c r="Q12" s="4"/>
      <c r="R12" s="13"/>
      <c r="S12" s="4"/>
      <c r="T12" s="4">
        <f>SUM(OSRRefT13x_0)</f>
        <v>250000</v>
      </c>
      <c r="U12" s="4"/>
      <c r="V12" s="13"/>
      <c r="W12" s="4"/>
      <c r="X12" s="4">
        <f t="shared" ref="X12:X16" si="2">+P12-T12</f>
        <v>-92709.76999999999</v>
      </c>
      <c r="Y12" s="4"/>
      <c r="Z12" s="13">
        <f t="shared" ref="Z12:Z16" si="3">IF(T12=0,0,X12/T12)</f>
        <v>-0.37083907999999993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 t="shared" ref="D13:D16" si="4">0</f>
        <v>0</v>
      </c>
      <c r="E13" s="2"/>
      <c r="F13" s="19"/>
      <c r="G13" s="2"/>
      <c r="H13" s="2">
        <v>13250</v>
      </c>
      <c r="I13" s="2"/>
      <c r="J13" s="19"/>
      <c r="K13" s="2"/>
      <c r="L13" s="2">
        <f t="shared" si="0"/>
        <v>-13250</v>
      </c>
      <c r="M13" s="2"/>
      <c r="N13" s="19">
        <f t="shared" si="1"/>
        <v>-1</v>
      </c>
      <c r="O13" s="11"/>
      <c r="P13" s="2">
        <f>0</f>
        <v>0</v>
      </c>
      <c r="Q13" s="2"/>
      <c r="R13" s="19"/>
      <c r="S13" s="2"/>
      <c r="T13" s="2">
        <v>62500</v>
      </c>
      <c r="U13" s="2"/>
      <c r="V13" s="19"/>
      <c r="W13" s="2"/>
      <c r="X13" s="2">
        <f t="shared" si="2"/>
        <v>-62500</v>
      </c>
      <c r="Y13" s="2"/>
      <c r="Z13" s="19">
        <f t="shared" si="3"/>
        <v>-1</v>
      </c>
    </row>
    <row r="14" spans="1:26" s="24" customFormat="1" hidden="1" outlineLevel="1" x14ac:dyDescent="0.25">
      <c r="A14" s="44"/>
      <c r="B14" s="11" t="str">
        <f>CONCATENATE("          ", "4053", " - ", "TAXABLE SALES-FOOD")</f>
        <v xml:space="preserve">          4053 - TAXABLE SALES-FOOD</v>
      </c>
      <c r="C14" s="11"/>
      <c r="D14" s="2">
        <f t="shared" si="4"/>
        <v>0</v>
      </c>
      <c r="E14" s="2"/>
      <c r="F14" s="19"/>
      <c r="G14" s="2"/>
      <c r="H14" s="2"/>
      <c r="I14" s="2"/>
      <c r="J14" s="19"/>
      <c r="K14" s="2"/>
      <c r="L14" s="2">
        <f t="shared" si="0"/>
        <v>0</v>
      </c>
      <c r="M14" s="2"/>
      <c r="N14" s="19">
        <f t="shared" si="1"/>
        <v>0</v>
      </c>
      <c r="O14" s="11"/>
      <c r="P14" s="2">
        <f>--157788.64</f>
        <v>157788.64000000001</v>
      </c>
      <c r="Q14" s="2"/>
      <c r="R14" s="19"/>
      <c r="S14" s="2"/>
      <c r="T14" s="2"/>
      <c r="U14" s="2"/>
      <c r="V14" s="19"/>
      <c r="W14" s="2"/>
      <c r="X14" s="2">
        <f t="shared" si="2"/>
        <v>157788.64000000001</v>
      </c>
      <c r="Y14" s="2"/>
      <c r="Z14" s="19">
        <f t="shared" si="3"/>
        <v>0</v>
      </c>
    </row>
    <row r="15" spans="1:26" s="24" customFormat="1" hidden="1" outlineLevel="1" x14ac:dyDescent="0.25">
      <c r="A15" s="44"/>
      <c r="B15" s="11" t="str">
        <f>CONCATENATE("          ", "4100", " - ", "NON-TAXABLE SALES")</f>
        <v xml:space="preserve">          4100 - NON-TAXABLE SALES</v>
      </c>
      <c r="C15" s="11"/>
      <c r="D15" s="2">
        <f t="shared" si="4"/>
        <v>0</v>
      </c>
      <c r="E15" s="2"/>
      <c r="F15" s="19"/>
      <c r="G15" s="2"/>
      <c r="H15" s="2">
        <v>39750</v>
      </c>
      <c r="I15" s="2"/>
      <c r="J15" s="19"/>
      <c r="K15" s="2"/>
      <c r="L15" s="2">
        <f t="shared" si="0"/>
        <v>-39750</v>
      </c>
      <c r="M15" s="2"/>
      <c r="N15" s="19">
        <f t="shared" si="1"/>
        <v>-1</v>
      </c>
      <c r="O15" s="11"/>
      <c r="P15" s="2">
        <f>0</f>
        <v>0</v>
      </c>
      <c r="Q15" s="2"/>
      <c r="R15" s="19"/>
      <c r="S15" s="2"/>
      <c r="T15" s="2">
        <v>187500</v>
      </c>
      <c r="U15" s="2"/>
      <c r="V15" s="19"/>
      <c r="W15" s="2"/>
      <c r="X15" s="2">
        <f t="shared" si="2"/>
        <v>-187500</v>
      </c>
      <c r="Y15" s="2"/>
      <c r="Z15" s="19">
        <f t="shared" si="3"/>
        <v>-1</v>
      </c>
    </row>
    <row r="16" spans="1:26" s="24" customFormat="1" hidden="1" outlineLevel="1" x14ac:dyDescent="0.25">
      <c r="A16" s="44"/>
      <c r="B16" s="11" t="str">
        <f>CONCATENATE("          ", "4153", " - ", "NON-TAXABLE SALES-FOOD")</f>
        <v xml:space="preserve">          4153 - NON-TAXABLE SALES-FOOD</v>
      </c>
      <c r="C16" s="11"/>
      <c r="D16" s="2">
        <f t="shared" si="4"/>
        <v>0</v>
      </c>
      <c r="E16" s="2"/>
      <c r="F16" s="19"/>
      <c r="G16" s="2"/>
      <c r="H16" s="2"/>
      <c r="I16" s="2"/>
      <c r="J16" s="19"/>
      <c r="K16" s="2"/>
      <c r="L16" s="2">
        <f t="shared" si="0"/>
        <v>0</v>
      </c>
      <c r="M16" s="2"/>
      <c r="N16" s="19">
        <f t="shared" si="1"/>
        <v>0</v>
      </c>
      <c r="O16" s="11"/>
      <c r="P16" s="2">
        <f>-498.41</f>
        <v>-498.41</v>
      </c>
      <c r="Q16" s="2"/>
      <c r="R16" s="19"/>
      <c r="S16" s="2"/>
      <c r="T16" s="2"/>
      <c r="U16" s="2"/>
      <c r="V16" s="19"/>
      <c r="W16" s="2"/>
      <c r="X16" s="2">
        <f t="shared" si="2"/>
        <v>-498.41</v>
      </c>
      <c r="Y16" s="2"/>
      <c r="Z16" s="19">
        <f t="shared" si="3"/>
        <v>0</v>
      </c>
    </row>
    <row r="17" spans="1:26" x14ac:dyDescent="0.25">
      <c r="A17" s="9"/>
      <c r="B17" s="10"/>
      <c r="C17" s="9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collapsed="1" x14ac:dyDescent="0.25">
      <c r="A18" s="10"/>
      <c r="B18" s="28" t="s">
        <v>8</v>
      </c>
      <c r="C18" s="10"/>
      <c r="D18" s="4">
        <f>SUM(OSRRefD16x_0)</f>
        <v>0</v>
      </c>
      <c r="E18" s="4"/>
      <c r="F18" s="13">
        <f t="shared" ref="F18:F21" si="5">IF(D$12=0,0,D18/D$12)</f>
        <v>0</v>
      </c>
      <c r="G18" s="4"/>
      <c r="H18" s="4">
        <f>SUM(OSRRefH16x_0)</f>
        <v>13250</v>
      </c>
      <c r="I18" s="4"/>
      <c r="J18" s="13">
        <f t="shared" ref="J18:J21" si="6">IF(H$12=0,0,H18/H$12)</f>
        <v>0.25</v>
      </c>
      <c r="K18" s="4"/>
      <c r="L18" s="4">
        <f t="shared" ref="L18:L21" si="7">+D18-H18</f>
        <v>-13250</v>
      </c>
      <c r="M18" s="4"/>
      <c r="N18" s="13">
        <f t="shared" ref="N18:N21" si="8">IF(H18=0,0,L18/H18)</f>
        <v>-1</v>
      </c>
      <c r="O18" s="10"/>
      <c r="P18" s="4">
        <f>SUM(OSRRefP16x_0)</f>
        <v>43321.25</v>
      </c>
      <c r="Q18" s="4"/>
      <c r="R18" s="13">
        <f t="shared" ref="R18:R21" si="9">IF(P$12=0,0,P18/P$12)</f>
        <v>0.27542238319570134</v>
      </c>
      <c r="S18" s="4"/>
      <c r="T18" s="4">
        <f>SUM(OSRRefT16x_0)</f>
        <v>62500</v>
      </c>
      <c r="U18" s="4"/>
      <c r="V18" s="13">
        <f t="shared" ref="V18:V21" si="10">IF(T$12=0,0,T18/T$12)</f>
        <v>0.25</v>
      </c>
      <c r="W18" s="4"/>
      <c r="X18" s="4">
        <f t="shared" ref="X18:X21" si="11">+P18-T18</f>
        <v>-19178.75</v>
      </c>
      <c r="Y18" s="4"/>
      <c r="Z18" s="13">
        <f t="shared" ref="Z18:Z21" si="12">IF(T18=0,0,X18/T18)</f>
        <v>-0.30686000000000002</v>
      </c>
    </row>
    <row r="19" spans="1:26" s="24" customFormat="1" hidden="1" outlineLevel="1" x14ac:dyDescent="0.25">
      <c r="A19" s="44"/>
      <c r="B19" s="11" t="str">
        <f>CONCATENATE("          ", "5000", " - ", "PURCHASES @ COST")</f>
        <v xml:space="preserve">          5000 - PURCHASES @ COST</v>
      </c>
      <c r="C19" s="11"/>
      <c r="D19" s="2"/>
      <c r="E19" s="2"/>
      <c r="F19" s="19">
        <f t="shared" si="5"/>
        <v>0</v>
      </c>
      <c r="G19" s="2"/>
      <c r="H19" s="2">
        <v>13250</v>
      </c>
      <c r="I19" s="2"/>
      <c r="J19" s="19">
        <f t="shared" si="6"/>
        <v>0.25</v>
      </c>
      <c r="K19" s="2"/>
      <c r="L19" s="2">
        <f t="shared" si="7"/>
        <v>-13250</v>
      </c>
      <c r="M19" s="2"/>
      <c r="N19" s="19">
        <f t="shared" si="8"/>
        <v>-1</v>
      </c>
      <c r="O19" s="11"/>
      <c r="P19" s="2"/>
      <c r="Q19" s="2"/>
      <c r="R19" s="19">
        <f t="shared" si="9"/>
        <v>0</v>
      </c>
      <c r="S19" s="2"/>
      <c r="T19" s="2">
        <v>62500</v>
      </c>
      <c r="U19" s="2"/>
      <c r="V19" s="19">
        <f t="shared" si="10"/>
        <v>0.25</v>
      </c>
      <c r="W19" s="2"/>
      <c r="X19" s="2">
        <f t="shared" si="11"/>
        <v>-62500</v>
      </c>
      <c r="Y19" s="2"/>
      <c r="Z19" s="19">
        <f t="shared" si="12"/>
        <v>-1</v>
      </c>
    </row>
    <row r="20" spans="1:26" s="24" customFormat="1" hidden="1" outlineLevel="1" x14ac:dyDescent="0.25">
      <c r="A20" s="44"/>
      <c r="B20" s="11" t="str">
        <f>CONCATENATE("          ", "5053", " - ", "PURCHASES @ COST-FOOD")</f>
        <v xml:space="preserve">          5053 - PURCHASES @ COST-FOOD</v>
      </c>
      <c r="C20" s="11"/>
      <c r="D20" s="2"/>
      <c r="E20" s="2"/>
      <c r="F20" s="19">
        <f t="shared" si="5"/>
        <v>0</v>
      </c>
      <c r="G20" s="2"/>
      <c r="H20" s="2"/>
      <c r="I20" s="2"/>
      <c r="J20" s="19">
        <f t="shared" si="6"/>
        <v>0</v>
      </c>
      <c r="K20" s="2"/>
      <c r="L20" s="2">
        <f t="shared" si="7"/>
        <v>0</v>
      </c>
      <c r="M20" s="2"/>
      <c r="N20" s="19">
        <f t="shared" si="8"/>
        <v>0</v>
      </c>
      <c r="O20" s="11"/>
      <c r="P20" s="2">
        <v>43126.25</v>
      </c>
      <c r="Q20" s="2"/>
      <c r="R20" s="19">
        <f t="shared" si="9"/>
        <v>0.27418263677279892</v>
      </c>
      <c r="S20" s="2"/>
      <c r="T20" s="2"/>
      <c r="U20" s="2"/>
      <c r="V20" s="19">
        <f t="shared" si="10"/>
        <v>0</v>
      </c>
      <c r="W20" s="2"/>
      <c r="X20" s="2">
        <f t="shared" si="11"/>
        <v>43126.25</v>
      </c>
      <c r="Y20" s="2"/>
      <c r="Z20" s="19">
        <f t="shared" si="12"/>
        <v>0</v>
      </c>
    </row>
    <row r="21" spans="1:26" s="24" customFormat="1" hidden="1" outlineLevel="1" x14ac:dyDescent="0.25">
      <c r="A21" s="44"/>
      <c r="B21" s="11" t="str">
        <f>CONCATENATE("          ", "5059", " - ", "PURCHASES @ COST-FOOD")</f>
        <v xml:space="preserve">          5059 - PURCHASES @ COST-FOOD</v>
      </c>
      <c r="C21" s="11"/>
      <c r="D21" s="2"/>
      <c r="E21" s="2"/>
      <c r="F21" s="19">
        <f t="shared" si="5"/>
        <v>0</v>
      </c>
      <c r="G21" s="2"/>
      <c r="H21" s="2"/>
      <c r="I21" s="2"/>
      <c r="J21" s="19">
        <f t="shared" si="6"/>
        <v>0</v>
      </c>
      <c r="K21" s="2"/>
      <c r="L21" s="2">
        <f t="shared" si="7"/>
        <v>0</v>
      </c>
      <c r="M21" s="2"/>
      <c r="N21" s="19">
        <f t="shared" si="8"/>
        <v>0</v>
      </c>
      <c r="O21" s="11"/>
      <c r="P21" s="2">
        <v>195</v>
      </c>
      <c r="Q21" s="2"/>
      <c r="R21" s="19">
        <f t="shared" si="9"/>
        <v>1.239746422902427E-3</v>
      </c>
      <c r="S21" s="2"/>
      <c r="T21" s="2"/>
      <c r="U21" s="2"/>
      <c r="V21" s="19">
        <f t="shared" si="10"/>
        <v>0</v>
      </c>
      <c r="W21" s="2"/>
      <c r="X21" s="2">
        <f t="shared" si="11"/>
        <v>195</v>
      </c>
      <c r="Y21" s="2"/>
      <c r="Z21" s="19">
        <f t="shared" si="12"/>
        <v>0</v>
      </c>
    </row>
    <row r="22" spans="1:26" x14ac:dyDescent="0.25">
      <c r="A22" s="9"/>
      <c r="B22" s="10"/>
      <c r="C22" s="10"/>
      <c r="D22" s="3"/>
      <c r="E22" s="3"/>
      <c r="F22" s="8"/>
      <c r="G22" s="3"/>
      <c r="H22" s="3"/>
      <c r="I22" s="3"/>
      <c r="J22" s="8"/>
      <c r="K22" s="3"/>
      <c r="L22" s="3"/>
      <c r="M22" s="3"/>
      <c r="N22" s="8"/>
      <c r="O22" s="10"/>
      <c r="P22" s="3"/>
      <c r="Q22" s="3"/>
      <c r="R22" s="8"/>
      <c r="S22" s="3"/>
      <c r="T22" s="3"/>
      <c r="U22" s="3"/>
      <c r="V22" s="8"/>
      <c r="W22" s="3"/>
      <c r="X22" s="3"/>
      <c r="Y22" s="3"/>
      <c r="Z22" s="8"/>
    </row>
    <row r="23" spans="1:26" s="23" customFormat="1" x14ac:dyDescent="0.25">
      <c r="A23" s="10"/>
      <c r="B23" s="29" t="s">
        <v>6</v>
      </c>
      <c r="C23" s="29"/>
      <c r="D23" s="20">
        <f>D12-D18</f>
        <v>0</v>
      </c>
      <c r="E23" s="14"/>
      <c r="F23" s="22">
        <f>IF(D$12=0,0,D23/D$12)</f>
        <v>0</v>
      </c>
      <c r="G23" s="14"/>
      <c r="H23" s="20">
        <f>H12-H18</f>
        <v>39750</v>
      </c>
      <c r="I23" s="14"/>
      <c r="J23" s="22">
        <f>IF(H$12=0,0,H23/H$12)</f>
        <v>0.75</v>
      </c>
      <c r="K23" s="16"/>
      <c r="L23" s="20">
        <f>+D23-H23</f>
        <v>-39750</v>
      </c>
      <c r="M23" s="16"/>
      <c r="N23" s="22">
        <f>IF(H23=0,0,L23/H23)</f>
        <v>-1</v>
      </c>
      <c r="O23" s="28"/>
      <c r="P23" s="20">
        <f>P12-P18</f>
        <v>113968.98000000001</v>
      </c>
      <c r="Q23" s="14"/>
      <c r="R23" s="22">
        <f>IF(P$12=0,0,P23/P$12)</f>
        <v>0.72457761680429866</v>
      </c>
      <c r="S23" s="14"/>
      <c r="T23" s="20">
        <f>T12-T18</f>
        <v>187500</v>
      </c>
      <c r="U23" s="14"/>
      <c r="V23" s="22">
        <f>IF(T$12=0,0,T23/T$12)</f>
        <v>0.75</v>
      </c>
      <c r="W23" s="16"/>
      <c r="X23" s="20">
        <f>+P23-T23</f>
        <v>-73531.01999999999</v>
      </c>
      <c r="Y23" s="16"/>
      <c r="Z23" s="22">
        <f>IF(T23=0,0,X23/T23)</f>
        <v>-0.39216543999999992</v>
      </c>
    </row>
    <row r="24" spans="1:26" x14ac:dyDescent="0.25">
      <c r="A24" s="9"/>
      <c r="B24" s="10"/>
      <c r="C24" s="9"/>
      <c r="D24" s="1"/>
      <c r="E24" s="1"/>
      <c r="F24" s="5"/>
      <c r="G24" s="1"/>
      <c r="H24" s="1"/>
      <c r="I24" s="1"/>
      <c r="J24" s="5"/>
      <c r="K24" s="1"/>
      <c r="L24" s="1"/>
      <c r="M24" s="1"/>
      <c r="N24" s="5"/>
      <c r="O24" s="36"/>
      <c r="P24" s="1"/>
      <c r="Q24" s="1"/>
      <c r="R24" s="5"/>
      <c r="S24" s="1"/>
      <c r="T24" s="1"/>
      <c r="U24" s="1"/>
      <c r="V24" s="5"/>
      <c r="W24" s="1"/>
      <c r="X24" s="1"/>
      <c r="Y24" s="1"/>
      <c r="Z24" s="5"/>
    </row>
    <row r="25" spans="1:26" s="23" customFormat="1" x14ac:dyDescent="0.25">
      <c r="A25" s="10"/>
      <c r="B25" s="28" t="s">
        <v>9</v>
      </c>
      <c r="C25" s="10"/>
      <c r="D25" s="21">
        <f>SUM(OSRRefD22x_0)</f>
        <v>693.3</v>
      </c>
      <c r="E25" s="21"/>
      <c r="F25" s="30">
        <f t="shared" ref="F25:F34" si="13">IF(D$12=0,0,D25/D$12)</f>
        <v>0</v>
      </c>
      <c r="G25" s="21"/>
      <c r="H25" s="21">
        <f>SUM(OSRRefH22x_0)</f>
        <v>19891.821499999998</v>
      </c>
      <c r="I25" s="21"/>
      <c r="J25" s="30">
        <f t="shared" ref="J25:J34" si="14">IF(H$12=0,0,H25/H$12)</f>
        <v>0.3753173867924528</v>
      </c>
      <c r="K25" s="4"/>
      <c r="L25" s="21">
        <f t="shared" ref="L25:L34" si="15">+D25-H25</f>
        <v>-19198.521499999999</v>
      </c>
      <c r="M25" s="4"/>
      <c r="N25" s="30">
        <f t="shared" ref="N25:N34" si="16">IF(H25=0,0,L25/H25)</f>
        <v>-0.96514647992392255</v>
      </c>
      <c r="O25" s="10"/>
      <c r="P25" s="21">
        <f>SUM(OSRRefP22x_0)</f>
        <v>90232.239999999991</v>
      </c>
      <c r="Q25" s="21"/>
      <c r="R25" s="30">
        <f t="shared" ref="R25:R34" si="17">IF(P$12=0,0,P25/P$12)</f>
        <v>0.5736671629255039</v>
      </c>
      <c r="S25" s="21"/>
      <c r="T25" s="21">
        <f>SUM(OSRRefT22x_0)</f>
        <v>116355.1672</v>
      </c>
      <c r="U25" s="21"/>
      <c r="V25" s="30">
        <f t="shared" ref="V25:V34" si="18">IF(T$12=0,0,T25/T$12)</f>
        <v>0.46542066879999999</v>
      </c>
      <c r="W25" s="4"/>
      <c r="X25" s="21">
        <f t="shared" ref="X25:X34" si="19">+P25-T25</f>
        <v>-26122.927200000006</v>
      </c>
      <c r="Y25" s="4"/>
      <c r="Z25" s="30">
        <f t="shared" ref="Z25:Z34" si="20">IF(T25=0,0,X25/T25)</f>
        <v>-0.2245102459016535</v>
      </c>
    </row>
    <row r="26" spans="1:26" s="27" customFormat="1" outlineLevel="1" collapsed="1" x14ac:dyDescent="0.25">
      <c r="A26" s="25"/>
      <c r="B26" s="12" t="str">
        <f>CONCATENATE("     ","*Benefits                                         ")</f>
        <v xml:space="preserve">     *Benefits                                         </v>
      </c>
      <c r="C26" s="12"/>
      <c r="D26" s="1">
        <f>SUM(OSRRefD22_0x_0)</f>
        <v>0</v>
      </c>
      <c r="E26" s="1"/>
      <c r="F26" s="5">
        <f t="shared" si="13"/>
        <v>0</v>
      </c>
      <c r="G26" s="1"/>
      <c r="H26" s="1">
        <f>SUM(OSRRefH22_0x_0)</f>
        <v>241.32149999999999</v>
      </c>
      <c r="I26" s="1"/>
      <c r="J26" s="5">
        <f t="shared" si="14"/>
        <v>4.5532358490566038E-3</v>
      </c>
      <c r="K26" s="1"/>
      <c r="L26" s="1">
        <f t="shared" si="15"/>
        <v>-241.32149999999999</v>
      </c>
      <c r="M26" s="1"/>
      <c r="N26" s="5">
        <f t="shared" si="16"/>
        <v>-1</v>
      </c>
      <c r="O26" s="12"/>
      <c r="P26" s="1">
        <f>SUM(OSRRefP22_0x_0)</f>
        <v>1171.8399999999999</v>
      </c>
      <c r="Q26" s="1"/>
      <c r="R26" s="5">
        <f t="shared" si="17"/>
        <v>7.4501766575075885E-3</v>
      </c>
      <c r="S26" s="1"/>
      <c r="T26" s="1">
        <f>SUM(OSRRefT22_0x_0)</f>
        <v>1655.1672000000001</v>
      </c>
      <c r="U26" s="1"/>
      <c r="V26" s="5">
        <f t="shared" si="18"/>
        <v>6.6206688E-3</v>
      </c>
      <c r="W26" s="1"/>
      <c r="X26" s="1">
        <f t="shared" si="19"/>
        <v>-483.32720000000018</v>
      </c>
      <c r="Y26" s="1"/>
      <c r="Z26" s="5">
        <f t="shared" si="20"/>
        <v>-0.29201110316830842</v>
      </c>
    </row>
    <row r="27" spans="1:26" s="24" customFormat="1" hidden="1" outlineLevel="2" x14ac:dyDescent="0.25">
      <c r="A27" s="26"/>
      <c r="B27" s="11" t="str">
        <f>CONCATENATE("          ", "6111", " - ", "F.I.C.A.")</f>
        <v xml:space="preserve">          6111 - F.I.C.A.</v>
      </c>
      <c r="C27" s="11"/>
      <c r="D27" s="7"/>
      <c r="E27" s="2"/>
      <c r="F27" s="6">
        <f t="shared" si="13"/>
        <v>0</v>
      </c>
      <c r="G27" s="2"/>
      <c r="H27" s="7">
        <v>0</v>
      </c>
      <c r="I27" s="2"/>
      <c r="J27" s="6">
        <f t="shared" si="14"/>
        <v>0</v>
      </c>
      <c r="K27" s="2"/>
      <c r="L27" s="7">
        <f t="shared" si="15"/>
        <v>0</v>
      </c>
      <c r="M27" s="2"/>
      <c r="N27" s="6">
        <f t="shared" si="16"/>
        <v>0</v>
      </c>
      <c r="O27" s="11"/>
      <c r="P27" s="7">
        <v>1182.24</v>
      </c>
      <c r="Q27" s="2"/>
      <c r="R27" s="6">
        <f t="shared" si="17"/>
        <v>7.5162964667290517E-3</v>
      </c>
      <c r="S27" s="2"/>
      <c r="T27" s="7">
        <v>0</v>
      </c>
      <c r="U27" s="2"/>
      <c r="V27" s="6">
        <f t="shared" si="18"/>
        <v>0</v>
      </c>
      <c r="W27" s="2"/>
      <c r="X27" s="7">
        <f t="shared" si="19"/>
        <v>1182.24</v>
      </c>
      <c r="Y27" s="2"/>
      <c r="Z27" s="6">
        <f t="shared" si="20"/>
        <v>0</v>
      </c>
    </row>
    <row r="28" spans="1:26" s="24" customFormat="1" hidden="1" outlineLevel="2" x14ac:dyDescent="0.25">
      <c r="A28" s="26"/>
      <c r="B28" s="11" t="str">
        <f>CONCATENATE("          ", "6112", " - ", "COMPENSATION INSURANCE")</f>
        <v xml:space="preserve">          6112 - COMPENSATION INSURANCE</v>
      </c>
      <c r="C28" s="11"/>
      <c r="D28" s="7"/>
      <c r="E28" s="2"/>
      <c r="F28" s="6">
        <f t="shared" si="13"/>
        <v>0</v>
      </c>
      <c r="G28" s="2"/>
      <c r="H28" s="7">
        <v>0</v>
      </c>
      <c r="I28" s="2"/>
      <c r="J28" s="6">
        <f t="shared" si="14"/>
        <v>0</v>
      </c>
      <c r="K28" s="2"/>
      <c r="L28" s="7">
        <f t="shared" si="15"/>
        <v>0</v>
      </c>
      <c r="M28" s="2"/>
      <c r="N28" s="6">
        <f t="shared" si="16"/>
        <v>0</v>
      </c>
      <c r="O28" s="11"/>
      <c r="P28" s="7">
        <v>-10.4</v>
      </c>
      <c r="Q28" s="2"/>
      <c r="R28" s="6">
        <f t="shared" si="17"/>
        <v>-6.6119809221462769E-5</v>
      </c>
      <c r="S28" s="2"/>
      <c r="T28" s="7">
        <v>0</v>
      </c>
      <c r="U28" s="2"/>
      <c r="V28" s="6">
        <f t="shared" si="18"/>
        <v>0</v>
      </c>
      <c r="W28" s="2"/>
      <c r="X28" s="7">
        <f t="shared" si="19"/>
        <v>-10.4</v>
      </c>
      <c r="Y28" s="2"/>
      <c r="Z28" s="6">
        <f t="shared" si="20"/>
        <v>0</v>
      </c>
    </row>
    <row r="29" spans="1:26" s="24" customFormat="1" hidden="1" outlineLevel="2" x14ac:dyDescent="0.25">
      <c r="A29" s="26"/>
      <c r="B29" s="11" t="str">
        <f>CONCATENATE("          ", "6113", " - ", "GROUP INSURANCE")</f>
        <v xml:space="preserve">          6113 - GROUP INSURANCE</v>
      </c>
      <c r="C29" s="11"/>
      <c r="D29" s="7"/>
      <c r="E29" s="2"/>
      <c r="F29" s="6">
        <f t="shared" si="13"/>
        <v>0</v>
      </c>
      <c r="G29" s="2"/>
      <c r="H29" s="7">
        <v>0</v>
      </c>
      <c r="I29" s="2"/>
      <c r="J29" s="6">
        <f t="shared" si="14"/>
        <v>0</v>
      </c>
      <c r="K29" s="2"/>
      <c r="L29" s="7">
        <f t="shared" si="15"/>
        <v>0</v>
      </c>
      <c r="M29" s="2"/>
      <c r="N29" s="6">
        <f t="shared" si="16"/>
        <v>0</v>
      </c>
      <c r="O29" s="11"/>
      <c r="P29" s="7"/>
      <c r="Q29" s="2"/>
      <c r="R29" s="6">
        <f t="shared" si="17"/>
        <v>0</v>
      </c>
      <c r="S29" s="2"/>
      <c r="T29" s="7">
        <v>0</v>
      </c>
      <c r="U29" s="2"/>
      <c r="V29" s="6">
        <f t="shared" si="18"/>
        <v>0</v>
      </c>
      <c r="W29" s="2"/>
      <c r="X29" s="7">
        <f t="shared" si="19"/>
        <v>0</v>
      </c>
      <c r="Y29" s="2"/>
      <c r="Z29" s="6">
        <f t="shared" si="20"/>
        <v>0</v>
      </c>
    </row>
    <row r="30" spans="1:26" s="24" customFormat="1" hidden="1" outlineLevel="2" x14ac:dyDescent="0.25">
      <c r="A30" s="26"/>
      <c r="B30" s="11" t="str">
        <f>CONCATENATE("          ", "6114", " - ", "STATE UNEMPLOYMENT INSURANCE")</f>
        <v xml:space="preserve">          6114 - STATE UNEMPLOYMENT INSURANCE</v>
      </c>
      <c r="C30" s="11"/>
      <c r="D30" s="7"/>
      <c r="E30" s="2"/>
      <c r="F30" s="6">
        <f t="shared" si="13"/>
        <v>0</v>
      </c>
      <c r="G30" s="2"/>
      <c r="H30" s="7">
        <v>19.246500000000001</v>
      </c>
      <c r="I30" s="2"/>
      <c r="J30" s="6">
        <f t="shared" si="14"/>
        <v>3.6314150943396228E-4</v>
      </c>
      <c r="K30" s="2"/>
      <c r="L30" s="7">
        <f t="shared" si="15"/>
        <v>-19.246500000000001</v>
      </c>
      <c r="M30" s="2"/>
      <c r="N30" s="6">
        <f t="shared" si="16"/>
        <v>-1</v>
      </c>
      <c r="O30" s="11"/>
      <c r="P30" s="7"/>
      <c r="Q30" s="2"/>
      <c r="R30" s="6">
        <f t="shared" si="17"/>
        <v>0</v>
      </c>
      <c r="S30" s="2"/>
      <c r="T30" s="7">
        <v>132.00720000000001</v>
      </c>
      <c r="U30" s="2"/>
      <c r="V30" s="6">
        <f t="shared" si="18"/>
        <v>5.280288E-4</v>
      </c>
      <c r="W30" s="2"/>
      <c r="X30" s="7">
        <f t="shared" si="19"/>
        <v>-132.00720000000001</v>
      </c>
      <c r="Y30" s="2"/>
      <c r="Z30" s="6">
        <f t="shared" si="20"/>
        <v>-1</v>
      </c>
    </row>
    <row r="31" spans="1:26" s="24" customFormat="1" hidden="1" outlineLevel="2" x14ac:dyDescent="0.25">
      <c r="A31" s="26"/>
      <c r="B31" s="11" t="str">
        <f>CONCATENATE("          ", "6115", " - ", "P.E.R.S.")</f>
        <v xml:space="preserve">          6115 - P.E.R.S.</v>
      </c>
      <c r="C31" s="11"/>
      <c r="D31" s="7"/>
      <c r="E31" s="2"/>
      <c r="F31" s="6">
        <f t="shared" si="13"/>
        <v>0</v>
      </c>
      <c r="G31" s="2"/>
      <c r="H31" s="7">
        <v>0</v>
      </c>
      <c r="I31" s="2"/>
      <c r="J31" s="6">
        <f t="shared" si="14"/>
        <v>0</v>
      </c>
      <c r="K31" s="2"/>
      <c r="L31" s="7">
        <f t="shared" si="15"/>
        <v>0</v>
      </c>
      <c r="M31" s="2"/>
      <c r="N31" s="6">
        <f t="shared" si="16"/>
        <v>0</v>
      </c>
      <c r="O31" s="11"/>
      <c r="P31" s="7"/>
      <c r="Q31" s="2"/>
      <c r="R31" s="6">
        <f t="shared" si="17"/>
        <v>0</v>
      </c>
      <c r="S31" s="2"/>
      <c r="T31" s="7">
        <v>0</v>
      </c>
      <c r="U31" s="2"/>
      <c r="V31" s="6">
        <f t="shared" si="18"/>
        <v>0</v>
      </c>
      <c r="W31" s="2"/>
      <c r="X31" s="7">
        <f t="shared" si="19"/>
        <v>0</v>
      </c>
      <c r="Y31" s="2"/>
      <c r="Z31" s="6">
        <f t="shared" si="20"/>
        <v>0</v>
      </c>
    </row>
    <row r="32" spans="1:26" s="24" customFormat="1" hidden="1" outlineLevel="2" x14ac:dyDescent="0.25">
      <c r="A32" s="26"/>
      <c r="B32" s="11" t="str">
        <f>CONCATENATE("          ", "6116", " - ", "EDUCATIONAL BENEFITS")</f>
        <v xml:space="preserve">          6116 - EDUCATIONAL BENEFITS</v>
      </c>
      <c r="C32" s="11"/>
      <c r="D32" s="7"/>
      <c r="E32" s="2"/>
      <c r="F32" s="6">
        <f t="shared" si="13"/>
        <v>0</v>
      </c>
      <c r="G32" s="2"/>
      <c r="H32" s="7">
        <v>0</v>
      </c>
      <c r="I32" s="2"/>
      <c r="J32" s="6">
        <f t="shared" si="14"/>
        <v>0</v>
      </c>
      <c r="K32" s="2"/>
      <c r="L32" s="7">
        <f t="shared" si="15"/>
        <v>0</v>
      </c>
      <c r="M32" s="2"/>
      <c r="N32" s="6">
        <f t="shared" si="16"/>
        <v>0</v>
      </c>
      <c r="O32" s="11"/>
      <c r="P32" s="7"/>
      <c r="Q32" s="2"/>
      <c r="R32" s="6">
        <f t="shared" si="17"/>
        <v>0</v>
      </c>
      <c r="S32" s="2"/>
      <c r="T32" s="7">
        <v>0</v>
      </c>
      <c r="U32" s="2"/>
      <c r="V32" s="6">
        <f t="shared" si="18"/>
        <v>0</v>
      </c>
      <c r="W32" s="2"/>
      <c r="X32" s="7">
        <f t="shared" si="19"/>
        <v>0</v>
      </c>
      <c r="Y32" s="2"/>
      <c r="Z32" s="6">
        <f t="shared" si="20"/>
        <v>0</v>
      </c>
    </row>
    <row r="33" spans="1:26" s="24" customFormat="1" hidden="1" outlineLevel="2" x14ac:dyDescent="0.25">
      <c r="A33" s="26"/>
      <c r="B33" s="11" t="str">
        <f>CONCATENATE("          ", "6118", " - ", "VACATION")</f>
        <v xml:space="preserve">          6118 - VACATION</v>
      </c>
      <c r="C33" s="11"/>
      <c r="D33" s="7"/>
      <c r="E33" s="2"/>
      <c r="F33" s="6">
        <f t="shared" si="13"/>
        <v>0</v>
      </c>
      <c r="G33" s="2"/>
      <c r="H33" s="7">
        <v>0</v>
      </c>
      <c r="I33" s="2"/>
      <c r="J33" s="6">
        <f t="shared" si="14"/>
        <v>0</v>
      </c>
      <c r="K33" s="2"/>
      <c r="L33" s="7">
        <f t="shared" si="15"/>
        <v>0</v>
      </c>
      <c r="M33" s="2"/>
      <c r="N33" s="6">
        <f t="shared" si="16"/>
        <v>0</v>
      </c>
      <c r="O33" s="11"/>
      <c r="P33" s="7"/>
      <c r="Q33" s="2"/>
      <c r="R33" s="6">
        <f t="shared" si="17"/>
        <v>0</v>
      </c>
      <c r="S33" s="2"/>
      <c r="T33" s="7">
        <v>0</v>
      </c>
      <c r="U33" s="2"/>
      <c r="V33" s="6">
        <f t="shared" si="18"/>
        <v>0</v>
      </c>
      <c r="W33" s="2"/>
      <c r="X33" s="7">
        <f t="shared" si="19"/>
        <v>0</v>
      </c>
      <c r="Y33" s="2"/>
      <c r="Z33" s="6">
        <f t="shared" si="20"/>
        <v>0</v>
      </c>
    </row>
    <row r="34" spans="1:26" s="24" customFormat="1" hidden="1" outlineLevel="2" x14ac:dyDescent="0.25">
      <c r="A34" s="26"/>
      <c r="B34" s="11" t="str">
        <f>CONCATENATE("          ", "6119", " - ", "SICK LEAVE")</f>
        <v xml:space="preserve">          6119 - SICK LEAVE</v>
      </c>
      <c r="C34" s="11"/>
      <c r="D34" s="7"/>
      <c r="E34" s="2"/>
      <c r="F34" s="6">
        <f t="shared" si="13"/>
        <v>0</v>
      </c>
      <c r="G34" s="2"/>
      <c r="H34" s="7">
        <v>222.07499999999999</v>
      </c>
      <c r="I34" s="2"/>
      <c r="J34" s="6">
        <f t="shared" si="14"/>
        <v>4.1900943396226409E-3</v>
      </c>
      <c r="K34" s="2"/>
      <c r="L34" s="7">
        <f t="shared" si="15"/>
        <v>-222.07499999999999</v>
      </c>
      <c r="M34" s="2"/>
      <c r="N34" s="6">
        <f t="shared" si="16"/>
        <v>-1</v>
      </c>
      <c r="O34" s="11"/>
      <c r="P34" s="7"/>
      <c r="Q34" s="2"/>
      <c r="R34" s="6">
        <f t="shared" si="17"/>
        <v>0</v>
      </c>
      <c r="S34" s="2"/>
      <c r="T34" s="7">
        <v>1523.16</v>
      </c>
      <c r="U34" s="2"/>
      <c r="V34" s="6">
        <f t="shared" si="18"/>
        <v>6.0926400000000007E-3</v>
      </c>
      <c r="W34" s="2"/>
      <c r="X34" s="7">
        <f t="shared" si="19"/>
        <v>-1523.16</v>
      </c>
      <c r="Y34" s="2"/>
      <c r="Z34" s="6">
        <f t="shared" si="20"/>
        <v>-1</v>
      </c>
    </row>
    <row r="35" spans="1:26" s="27" customFormat="1" outlineLevel="1" collapsed="1" x14ac:dyDescent="0.25">
      <c r="A35" s="25"/>
      <c r="B35" s="12" t="str">
        <f>CONCATENATE("     ","*Payroll                                          ")</f>
        <v xml:space="preserve">     *Payroll                                          </v>
      </c>
      <c r="C35" s="12"/>
      <c r="D35" s="1">
        <f>SUM(OSRRefD22_1x_0)</f>
        <v>0</v>
      </c>
      <c r="E35" s="1"/>
      <c r="F35" s="5">
        <f t="shared" ref="F35:F45" si="21">IF(D$12=0,0,D35/D$12)</f>
        <v>0</v>
      </c>
      <c r="G35" s="1"/>
      <c r="H35" s="1">
        <f>SUM(OSRRefH22_1x_0)</f>
        <v>7402.5</v>
      </c>
      <c r="I35" s="1"/>
      <c r="J35" s="5">
        <f t="shared" ref="J35:J45" si="22">IF(H$12=0,0,H35/H$12)</f>
        <v>0.13966981132075471</v>
      </c>
      <c r="K35" s="1"/>
      <c r="L35" s="1">
        <f t="shared" ref="L35:L45" si="23">+D35-H35</f>
        <v>-7402.5</v>
      </c>
      <c r="M35" s="1"/>
      <c r="N35" s="5">
        <f t="shared" ref="N35:N45" si="24">IF(H35=0,0,L35/H35)</f>
        <v>-1</v>
      </c>
      <c r="O35" s="12"/>
      <c r="P35" s="1">
        <f>SUM(OSRRefP22_1x_0)</f>
        <v>29540.829999999998</v>
      </c>
      <c r="Q35" s="1"/>
      <c r="R35" s="5">
        <f t="shared" ref="R35:R45" si="25">IF(P$12=0,0,P35/P$12)</f>
        <v>0.18781096575419845</v>
      </c>
      <c r="S35" s="1"/>
      <c r="T35" s="1">
        <f>SUM(OSRRefT22_1x_0)</f>
        <v>50772</v>
      </c>
      <c r="U35" s="1"/>
      <c r="V35" s="5">
        <f t="shared" ref="V35:V45" si="26">IF(T$12=0,0,T35/T$12)</f>
        <v>0.20308799999999999</v>
      </c>
      <c r="W35" s="1"/>
      <c r="X35" s="1">
        <f t="shared" ref="X35:X45" si="27">+P35-T35</f>
        <v>-21231.170000000002</v>
      </c>
      <c r="Y35" s="1"/>
      <c r="Z35" s="5">
        <f t="shared" ref="Z35:Z45" si="28">IF(T35=0,0,X35/T35)</f>
        <v>-0.41816690301741122</v>
      </c>
    </row>
    <row r="36" spans="1:26" s="24" customFormat="1" hidden="1" outlineLevel="2" x14ac:dyDescent="0.25">
      <c r="A36" s="26"/>
      <c r="B36" s="11" t="str">
        <f>CONCATENATE("          ", "6001", " - ", "ADMINISTRATIVE SALARIES")</f>
        <v xml:space="preserve">          6001 - ADMINISTRATIVE SALARIES</v>
      </c>
      <c r="C36" s="11"/>
      <c r="D36" s="7"/>
      <c r="E36" s="2"/>
      <c r="F36" s="6">
        <f t="shared" si="21"/>
        <v>0</v>
      </c>
      <c r="G36" s="2"/>
      <c r="H36" s="7">
        <v>0</v>
      </c>
      <c r="I36" s="2"/>
      <c r="J36" s="6">
        <f t="shared" si="22"/>
        <v>0</v>
      </c>
      <c r="K36" s="2"/>
      <c r="L36" s="7">
        <f t="shared" si="23"/>
        <v>0</v>
      </c>
      <c r="M36" s="2"/>
      <c r="N36" s="6">
        <f t="shared" si="24"/>
        <v>0</v>
      </c>
      <c r="O36" s="11"/>
      <c r="P36" s="7"/>
      <c r="Q36" s="2"/>
      <c r="R36" s="6">
        <f t="shared" si="25"/>
        <v>0</v>
      </c>
      <c r="S36" s="2"/>
      <c r="T36" s="7">
        <v>0</v>
      </c>
      <c r="U36" s="2"/>
      <c r="V36" s="6">
        <f t="shared" si="26"/>
        <v>0</v>
      </c>
      <c r="W36" s="2"/>
      <c r="X36" s="7">
        <f t="shared" si="27"/>
        <v>0</v>
      </c>
      <c r="Y36" s="2"/>
      <c r="Z36" s="6">
        <f t="shared" si="28"/>
        <v>0</v>
      </c>
    </row>
    <row r="37" spans="1:26" s="24" customFormat="1" hidden="1" outlineLevel="2" x14ac:dyDescent="0.25">
      <c r="A37" s="26"/>
      <c r="B37" s="11" t="str">
        <f>CONCATENATE("          ", "6002", " - ", "STAFF SALARIES")</f>
        <v xml:space="preserve">          6002 - STAFF SALARIES</v>
      </c>
      <c r="C37" s="11"/>
      <c r="D37" s="7"/>
      <c r="E37" s="2"/>
      <c r="F37" s="6">
        <f t="shared" si="21"/>
        <v>0</v>
      </c>
      <c r="G37" s="2"/>
      <c r="H37" s="7">
        <v>0</v>
      </c>
      <c r="I37" s="2"/>
      <c r="J37" s="6">
        <f t="shared" si="22"/>
        <v>0</v>
      </c>
      <c r="K37" s="2"/>
      <c r="L37" s="7">
        <f t="shared" si="23"/>
        <v>0</v>
      </c>
      <c r="M37" s="2"/>
      <c r="N37" s="6">
        <f t="shared" si="24"/>
        <v>0</v>
      </c>
      <c r="O37" s="11"/>
      <c r="P37" s="7"/>
      <c r="Q37" s="2"/>
      <c r="R37" s="6">
        <f t="shared" si="25"/>
        <v>0</v>
      </c>
      <c r="S37" s="2"/>
      <c r="T37" s="7">
        <v>0</v>
      </c>
      <c r="U37" s="2"/>
      <c r="V37" s="6">
        <f t="shared" si="26"/>
        <v>0</v>
      </c>
      <c r="W37" s="2"/>
      <c r="X37" s="7">
        <f t="shared" si="27"/>
        <v>0</v>
      </c>
      <c r="Y37" s="2"/>
      <c r="Z37" s="6">
        <f t="shared" si="28"/>
        <v>0</v>
      </c>
    </row>
    <row r="38" spans="1:26" s="24" customFormat="1" hidden="1" outlineLevel="2" x14ac:dyDescent="0.25">
      <c r="A38" s="26"/>
      <c r="B38" s="11" t="str">
        <f>CONCATENATE("          ", "6003", " - ", "STAFF HOURLY-9 MONTH")</f>
        <v xml:space="preserve">          6003 - STAFF HOURLY-9 MONTH</v>
      </c>
      <c r="C38" s="11"/>
      <c r="D38" s="7"/>
      <c r="E38" s="2"/>
      <c r="F38" s="6">
        <f t="shared" si="21"/>
        <v>0</v>
      </c>
      <c r="G38" s="2"/>
      <c r="H38" s="7">
        <v>0</v>
      </c>
      <c r="I38" s="2"/>
      <c r="J38" s="6">
        <f t="shared" si="22"/>
        <v>0</v>
      </c>
      <c r="K38" s="2"/>
      <c r="L38" s="7">
        <f t="shared" si="23"/>
        <v>0</v>
      </c>
      <c r="M38" s="2"/>
      <c r="N38" s="6">
        <f t="shared" si="24"/>
        <v>0</v>
      </c>
      <c r="O38" s="11"/>
      <c r="P38" s="7"/>
      <c r="Q38" s="2"/>
      <c r="R38" s="6">
        <f t="shared" si="25"/>
        <v>0</v>
      </c>
      <c r="S38" s="2"/>
      <c r="T38" s="7">
        <v>0</v>
      </c>
      <c r="U38" s="2"/>
      <c r="V38" s="6">
        <f t="shared" si="26"/>
        <v>0</v>
      </c>
      <c r="W38" s="2"/>
      <c r="X38" s="7">
        <f t="shared" si="27"/>
        <v>0</v>
      </c>
      <c r="Y38" s="2"/>
      <c r="Z38" s="6">
        <f t="shared" si="28"/>
        <v>0</v>
      </c>
    </row>
    <row r="39" spans="1:26" s="24" customFormat="1" hidden="1" outlineLevel="2" x14ac:dyDescent="0.25">
      <c r="A39" s="26"/>
      <c r="B39" s="11" t="str">
        <f>CONCATENATE("          ", "6004", " - ", "STAFF HOURLY")</f>
        <v xml:space="preserve">          6004 - STAFF HOURLY</v>
      </c>
      <c r="C39" s="11"/>
      <c r="D39" s="7"/>
      <c r="E39" s="2"/>
      <c r="F39" s="6">
        <f t="shared" si="21"/>
        <v>0</v>
      </c>
      <c r="G39" s="2"/>
      <c r="H39" s="7">
        <v>0</v>
      </c>
      <c r="I39" s="2"/>
      <c r="J39" s="6">
        <f t="shared" si="22"/>
        <v>0</v>
      </c>
      <c r="K39" s="2"/>
      <c r="L39" s="7">
        <f t="shared" si="23"/>
        <v>0</v>
      </c>
      <c r="M39" s="2"/>
      <c r="N39" s="6">
        <f t="shared" si="24"/>
        <v>0</v>
      </c>
      <c r="O39" s="11"/>
      <c r="P39" s="7">
        <v>3193.41</v>
      </c>
      <c r="Q39" s="2"/>
      <c r="R39" s="6">
        <f t="shared" si="25"/>
        <v>2.0302659612106866E-2</v>
      </c>
      <c r="S39" s="2"/>
      <c r="T39" s="7">
        <v>0</v>
      </c>
      <c r="U39" s="2"/>
      <c r="V39" s="6">
        <f t="shared" si="26"/>
        <v>0</v>
      </c>
      <c r="W39" s="2"/>
      <c r="X39" s="7">
        <f t="shared" si="27"/>
        <v>3193.41</v>
      </c>
      <c r="Y39" s="2"/>
      <c r="Z39" s="6">
        <f t="shared" si="28"/>
        <v>0</v>
      </c>
    </row>
    <row r="40" spans="1:26" s="24" customFormat="1" hidden="1" outlineLevel="2" x14ac:dyDescent="0.25">
      <c r="A40" s="26"/>
      <c r="B40" s="11" t="str">
        <f>CONCATENATE("          ", "6005", " - ", "TEMPORARY WAGES-HOURLY")</f>
        <v xml:space="preserve">          6005 - TEMPORARY WAGES-HOURLY</v>
      </c>
      <c r="C40" s="11"/>
      <c r="D40" s="7"/>
      <c r="E40" s="2"/>
      <c r="F40" s="6">
        <f t="shared" si="21"/>
        <v>0</v>
      </c>
      <c r="G40" s="2"/>
      <c r="H40" s="7">
        <v>2362.5</v>
      </c>
      <c r="I40" s="2"/>
      <c r="J40" s="6">
        <f t="shared" si="22"/>
        <v>4.4575471698113205E-2</v>
      </c>
      <c r="K40" s="2"/>
      <c r="L40" s="7">
        <f t="shared" si="23"/>
        <v>-2362.5</v>
      </c>
      <c r="M40" s="2"/>
      <c r="N40" s="6">
        <f t="shared" si="24"/>
        <v>-1</v>
      </c>
      <c r="O40" s="11"/>
      <c r="P40" s="7">
        <v>9782.57</v>
      </c>
      <c r="Q40" s="2"/>
      <c r="R40" s="6">
        <f t="shared" si="25"/>
        <v>6.2194390586115866E-2</v>
      </c>
      <c r="S40" s="2"/>
      <c r="T40" s="7">
        <v>22236</v>
      </c>
      <c r="U40" s="2"/>
      <c r="V40" s="6">
        <f t="shared" si="26"/>
        <v>8.8943999999999995E-2</v>
      </c>
      <c r="W40" s="2"/>
      <c r="X40" s="7">
        <f t="shared" si="27"/>
        <v>-12453.43</v>
      </c>
      <c r="Y40" s="2"/>
      <c r="Z40" s="6">
        <f t="shared" si="28"/>
        <v>-0.56005711458895491</v>
      </c>
    </row>
    <row r="41" spans="1:26" s="24" customFormat="1" hidden="1" outlineLevel="2" x14ac:dyDescent="0.25">
      <c r="A41" s="26"/>
      <c r="B41" s="11" t="str">
        <f>CONCATENATE("          ", "6006", " - ", "TEMPORARY PART TIME")</f>
        <v xml:space="preserve">          6006 - TEMPORARY PART TIME</v>
      </c>
      <c r="C41" s="11"/>
      <c r="D41" s="7"/>
      <c r="E41" s="2"/>
      <c r="F41" s="6">
        <f t="shared" si="21"/>
        <v>0</v>
      </c>
      <c r="G41" s="2"/>
      <c r="H41" s="7">
        <v>0</v>
      </c>
      <c r="I41" s="2"/>
      <c r="J41" s="6">
        <f t="shared" si="22"/>
        <v>0</v>
      </c>
      <c r="K41" s="2"/>
      <c r="L41" s="7">
        <f t="shared" si="23"/>
        <v>0</v>
      </c>
      <c r="M41" s="2"/>
      <c r="N41" s="6">
        <f t="shared" si="24"/>
        <v>0</v>
      </c>
      <c r="O41" s="11"/>
      <c r="P41" s="7">
        <v>247.5</v>
      </c>
      <c r="Q41" s="2"/>
      <c r="R41" s="6">
        <f t="shared" si="25"/>
        <v>1.5735243059915418E-3</v>
      </c>
      <c r="S41" s="2"/>
      <c r="T41" s="7">
        <v>0</v>
      </c>
      <c r="U41" s="2"/>
      <c r="V41" s="6">
        <f t="shared" si="26"/>
        <v>0</v>
      </c>
      <c r="W41" s="2"/>
      <c r="X41" s="7">
        <f t="shared" si="27"/>
        <v>247.5</v>
      </c>
      <c r="Y41" s="2"/>
      <c r="Z41" s="6">
        <f t="shared" si="28"/>
        <v>0</v>
      </c>
    </row>
    <row r="42" spans="1:26" s="24" customFormat="1" hidden="1" outlineLevel="2" x14ac:dyDescent="0.25">
      <c r="A42" s="26"/>
      <c r="B42" s="11" t="str">
        <f>CONCATENATE("          ", "6007", " - ", "STUDENT HOURLY")</f>
        <v xml:space="preserve">          6007 - STUDENT HOURLY</v>
      </c>
      <c r="C42" s="11"/>
      <c r="D42" s="7"/>
      <c r="E42" s="2"/>
      <c r="F42" s="6">
        <f t="shared" si="21"/>
        <v>0</v>
      </c>
      <c r="G42" s="2"/>
      <c r="H42" s="7">
        <v>0</v>
      </c>
      <c r="I42" s="2"/>
      <c r="J42" s="6">
        <f t="shared" si="22"/>
        <v>0</v>
      </c>
      <c r="K42" s="2"/>
      <c r="L42" s="7">
        <f t="shared" si="23"/>
        <v>0</v>
      </c>
      <c r="M42" s="2"/>
      <c r="N42" s="6">
        <f t="shared" si="24"/>
        <v>0</v>
      </c>
      <c r="O42" s="11"/>
      <c r="P42" s="7">
        <v>13228</v>
      </c>
      <c r="Q42" s="2"/>
      <c r="R42" s="6">
        <f t="shared" si="25"/>
        <v>8.4099311190529755E-2</v>
      </c>
      <c r="S42" s="2"/>
      <c r="T42" s="7">
        <v>0</v>
      </c>
      <c r="U42" s="2"/>
      <c r="V42" s="6">
        <f t="shared" si="26"/>
        <v>0</v>
      </c>
      <c r="W42" s="2"/>
      <c r="X42" s="7">
        <f t="shared" si="27"/>
        <v>13228</v>
      </c>
      <c r="Y42" s="2"/>
      <c r="Z42" s="6">
        <f t="shared" si="28"/>
        <v>0</v>
      </c>
    </row>
    <row r="43" spans="1:26" s="24" customFormat="1" hidden="1" outlineLevel="2" x14ac:dyDescent="0.25">
      <c r="A43" s="26"/>
      <c r="B43" s="11" t="str">
        <f>CONCATENATE("          ", "6008", " - ", "STUDENT HOURLY-FICA EXEMPT")</f>
        <v xml:space="preserve">          6008 - STUDENT HOURLY-FICA EXEMPT</v>
      </c>
      <c r="C43" s="11"/>
      <c r="D43" s="7"/>
      <c r="E43" s="2"/>
      <c r="F43" s="6">
        <f t="shared" si="21"/>
        <v>0</v>
      </c>
      <c r="G43" s="2"/>
      <c r="H43" s="7">
        <v>5040</v>
      </c>
      <c r="I43" s="2"/>
      <c r="J43" s="6">
        <f t="shared" si="22"/>
        <v>9.5094339622641508E-2</v>
      </c>
      <c r="K43" s="2"/>
      <c r="L43" s="7">
        <f t="shared" si="23"/>
        <v>-5040</v>
      </c>
      <c r="M43" s="2"/>
      <c r="N43" s="6">
        <f t="shared" si="24"/>
        <v>-1</v>
      </c>
      <c r="O43" s="11"/>
      <c r="P43" s="7">
        <v>3089.35</v>
      </c>
      <c r="Q43" s="2"/>
      <c r="R43" s="6">
        <f t="shared" si="25"/>
        <v>1.9641080059454422E-2</v>
      </c>
      <c r="S43" s="2"/>
      <c r="T43" s="7">
        <v>28536</v>
      </c>
      <c r="U43" s="2"/>
      <c r="V43" s="6">
        <f t="shared" si="26"/>
        <v>0.114144</v>
      </c>
      <c r="W43" s="2"/>
      <c r="X43" s="7">
        <f t="shared" si="27"/>
        <v>-25446.65</v>
      </c>
      <c r="Y43" s="2"/>
      <c r="Z43" s="6">
        <f t="shared" si="28"/>
        <v>-0.89173850574712654</v>
      </c>
    </row>
    <row r="44" spans="1:26" s="24" customFormat="1" hidden="1" outlineLevel="2" x14ac:dyDescent="0.25">
      <c r="A44" s="26"/>
      <c r="B44" s="11" t="str">
        <f>CONCATENATE("          ", "6009", " - ", "TEMPORARY-SEASONAL")</f>
        <v xml:space="preserve">          6009 - TEMPORARY-SEASONAL</v>
      </c>
      <c r="C44" s="11"/>
      <c r="D44" s="7"/>
      <c r="E44" s="2"/>
      <c r="F44" s="6">
        <f t="shared" si="21"/>
        <v>0</v>
      </c>
      <c r="G44" s="2"/>
      <c r="H44" s="7">
        <v>0</v>
      </c>
      <c r="I44" s="2"/>
      <c r="J44" s="6">
        <f t="shared" si="22"/>
        <v>0</v>
      </c>
      <c r="K44" s="2"/>
      <c r="L44" s="7">
        <f t="shared" si="23"/>
        <v>0</v>
      </c>
      <c r="M44" s="2"/>
      <c r="N44" s="6">
        <f t="shared" si="24"/>
        <v>0</v>
      </c>
      <c r="O44" s="11"/>
      <c r="P44" s="7"/>
      <c r="Q44" s="2"/>
      <c r="R44" s="6">
        <f t="shared" si="25"/>
        <v>0</v>
      </c>
      <c r="S44" s="2"/>
      <c r="T44" s="7">
        <v>0</v>
      </c>
      <c r="U44" s="2"/>
      <c r="V44" s="6">
        <f t="shared" si="26"/>
        <v>0</v>
      </c>
      <c r="W44" s="2"/>
      <c r="X44" s="7">
        <f t="shared" si="27"/>
        <v>0</v>
      </c>
      <c r="Y44" s="2"/>
      <c r="Z44" s="6">
        <f t="shared" si="28"/>
        <v>0</v>
      </c>
    </row>
    <row r="45" spans="1:26" s="24" customFormat="1" hidden="1" outlineLevel="2" x14ac:dyDescent="0.25">
      <c r="A45" s="26"/>
      <c r="B45" s="11" t="str">
        <f>CONCATENATE("          ", "6010", " - ", "GRATUITY")</f>
        <v xml:space="preserve">          6010 - GRATUITY</v>
      </c>
      <c r="C45" s="11"/>
      <c r="D45" s="7"/>
      <c r="E45" s="2"/>
      <c r="F45" s="6">
        <f t="shared" si="21"/>
        <v>0</v>
      </c>
      <c r="G45" s="2"/>
      <c r="H45" s="7">
        <v>0</v>
      </c>
      <c r="I45" s="2"/>
      <c r="J45" s="6">
        <f t="shared" si="22"/>
        <v>0</v>
      </c>
      <c r="K45" s="2"/>
      <c r="L45" s="7">
        <f t="shared" si="23"/>
        <v>0</v>
      </c>
      <c r="M45" s="2"/>
      <c r="N45" s="6">
        <f t="shared" si="24"/>
        <v>0</v>
      </c>
      <c r="O45" s="11"/>
      <c r="P45" s="7"/>
      <c r="Q45" s="2"/>
      <c r="R45" s="6">
        <f t="shared" si="25"/>
        <v>0</v>
      </c>
      <c r="S45" s="2"/>
      <c r="T45" s="7">
        <v>0</v>
      </c>
      <c r="U45" s="2"/>
      <c r="V45" s="6">
        <f t="shared" si="26"/>
        <v>0</v>
      </c>
      <c r="W45" s="2"/>
      <c r="X45" s="7">
        <f t="shared" si="27"/>
        <v>0</v>
      </c>
      <c r="Y45" s="2"/>
      <c r="Z45" s="6">
        <f t="shared" si="28"/>
        <v>0</v>
      </c>
    </row>
    <row r="46" spans="1:26" s="27" customFormat="1" outlineLevel="1" collapsed="1" x14ac:dyDescent="0.25">
      <c r="A46" s="25"/>
      <c r="B46" s="12" t="str">
        <f>CONCATENATE("     ","Advertising/Promo                                 ")</f>
        <v xml:space="preserve">     Advertising/Promo                                 </v>
      </c>
      <c r="C46" s="12"/>
      <c r="D46" s="1">
        <f>SUM(OSRRefD22_2x_0)</f>
        <v>0</v>
      </c>
      <c r="E46" s="1"/>
      <c r="F46" s="5">
        <f t="shared" ref="F46:F60" si="29">IF(D$12=0,0,D46/D$12)</f>
        <v>0</v>
      </c>
      <c r="G46" s="1"/>
      <c r="H46" s="1">
        <f>SUM(OSRRefH22_2x_0)</f>
        <v>50</v>
      </c>
      <c r="I46" s="1"/>
      <c r="J46" s="5">
        <f t="shared" ref="J46:J60" si="30">IF(H$12=0,0,H46/H$12)</f>
        <v>9.4339622641509435E-4</v>
      </c>
      <c r="K46" s="1"/>
      <c r="L46" s="1">
        <f t="shared" ref="L46:L60" si="31">+D46-H46</f>
        <v>-50</v>
      </c>
      <c r="M46" s="1"/>
      <c r="N46" s="5">
        <f t="shared" ref="N46:N60" si="32">IF(H46=0,0,L46/H46)</f>
        <v>-1</v>
      </c>
      <c r="O46" s="12"/>
      <c r="P46" s="1">
        <f>SUM(OSRRefP22_2x_0)</f>
        <v>3023.77</v>
      </c>
      <c r="Q46" s="1"/>
      <c r="R46" s="5">
        <f t="shared" ref="R46:R60" si="33">IF(P$12=0,0,P46/P$12)</f>
        <v>1.9224143800921391E-2</v>
      </c>
      <c r="S46" s="1"/>
      <c r="T46" s="1">
        <f>SUM(OSRRefT22_2x_0)</f>
        <v>300</v>
      </c>
      <c r="U46" s="1"/>
      <c r="V46" s="5">
        <f t="shared" ref="V46:V60" si="34">IF(T$12=0,0,T46/T$12)</f>
        <v>1.1999999999999999E-3</v>
      </c>
      <c r="W46" s="1"/>
      <c r="X46" s="1">
        <f t="shared" ref="X46:X60" si="35">+P46-T46</f>
        <v>2723.77</v>
      </c>
      <c r="Y46" s="1"/>
      <c r="Z46" s="5">
        <f t="shared" ref="Z46:Z60" si="36">IF(T46=0,0,X46/T46)</f>
        <v>9.0792333333333328</v>
      </c>
    </row>
    <row r="47" spans="1:26" s="24" customFormat="1" hidden="1" outlineLevel="2" x14ac:dyDescent="0.25">
      <c r="A47" s="26"/>
      <c r="B47" s="11" t="str">
        <f>CONCATENATE("          ", "6362", " - ", "ADVERTISING EXPENSE")</f>
        <v xml:space="preserve">          6362 - ADVERTISING EXPENSE</v>
      </c>
      <c r="C47" s="11"/>
      <c r="D47" s="7"/>
      <c r="E47" s="2"/>
      <c r="F47" s="6">
        <f t="shared" si="29"/>
        <v>0</v>
      </c>
      <c r="G47" s="2"/>
      <c r="H47" s="7">
        <v>50</v>
      </c>
      <c r="I47" s="2"/>
      <c r="J47" s="6">
        <f t="shared" si="30"/>
        <v>9.4339622641509435E-4</v>
      </c>
      <c r="K47" s="2"/>
      <c r="L47" s="7">
        <f t="shared" si="31"/>
        <v>-50</v>
      </c>
      <c r="M47" s="2"/>
      <c r="N47" s="6">
        <f t="shared" si="32"/>
        <v>-1</v>
      </c>
      <c r="O47" s="11"/>
      <c r="P47" s="7">
        <v>3023.77</v>
      </c>
      <c r="Q47" s="2"/>
      <c r="R47" s="6">
        <f t="shared" si="33"/>
        <v>1.9224143800921391E-2</v>
      </c>
      <c r="S47" s="2"/>
      <c r="T47" s="7">
        <v>300</v>
      </c>
      <c r="U47" s="2"/>
      <c r="V47" s="6">
        <f t="shared" si="34"/>
        <v>1.1999999999999999E-3</v>
      </c>
      <c r="W47" s="2"/>
      <c r="X47" s="7">
        <f t="shared" si="35"/>
        <v>2723.77</v>
      </c>
      <c r="Y47" s="2"/>
      <c r="Z47" s="6">
        <f t="shared" si="36"/>
        <v>9.0792333333333328</v>
      </c>
    </row>
    <row r="48" spans="1:26" s="27" customFormat="1" outlineLevel="1" collapsed="1" x14ac:dyDescent="0.25">
      <c r="A48" s="25"/>
      <c r="B48" s="12" t="str">
        <f>CONCATENATE("     ","Bad Debts/Over/Short                              ")</f>
        <v xml:space="preserve">     Bad Debts/Over/Short                              </v>
      </c>
      <c r="C48" s="12"/>
      <c r="D48" s="1">
        <f>SUM(OSRRefD22_3x_0)</f>
        <v>0</v>
      </c>
      <c r="E48" s="1"/>
      <c r="F48" s="5">
        <f t="shared" si="29"/>
        <v>0</v>
      </c>
      <c r="G48" s="1"/>
      <c r="H48" s="1">
        <f>SUM(OSRRefH22_3x_0)</f>
        <v>25</v>
      </c>
      <c r="I48" s="1"/>
      <c r="J48" s="5">
        <f t="shared" si="30"/>
        <v>4.7169811320754717E-4</v>
      </c>
      <c r="K48" s="1"/>
      <c r="L48" s="1">
        <f t="shared" si="31"/>
        <v>-25</v>
      </c>
      <c r="M48" s="1"/>
      <c r="N48" s="5">
        <f t="shared" si="32"/>
        <v>-1</v>
      </c>
      <c r="O48" s="12"/>
      <c r="P48" s="1">
        <f>SUM(OSRRefP22_3x_0)</f>
        <v>19.399999999999999</v>
      </c>
      <c r="Q48" s="1"/>
      <c r="R48" s="5">
        <f t="shared" si="33"/>
        <v>1.2333887489388246E-4</v>
      </c>
      <c r="S48" s="1"/>
      <c r="T48" s="1">
        <f>SUM(OSRRefT22_3x_0)</f>
        <v>125</v>
      </c>
      <c r="U48" s="1"/>
      <c r="V48" s="5">
        <f t="shared" si="34"/>
        <v>5.0000000000000001E-4</v>
      </c>
      <c r="W48" s="1"/>
      <c r="X48" s="1">
        <f t="shared" si="35"/>
        <v>-105.6</v>
      </c>
      <c r="Y48" s="1"/>
      <c r="Z48" s="5">
        <f t="shared" si="36"/>
        <v>-0.8448</v>
      </c>
    </row>
    <row r="49" spans="1:26" s="24" customFormat="1" hidden="1" outlineLevel="2" x14ac:dyDescent="0.25">
      <c r="A49" s="26"/>
      <c r="B49" s="11" t="str">
        <f>CONCATENATE("          ", "6272", " - ", "CASH (OVER/SHORT)")</f>
        <v xml:space="preserve">          6272 - CASH (OVER/SHORT)</v>
      </c>
      <c r="C49" s="11"/>
      <c r="D49" s="7"/>
      <c r="E49" s="2"/>
      <c r="F49" s="6">
        <f t="shared" si="29"/>
        <v>0</v>
      </c>
      <c r="G49" s="2"/>
      <c r="H49" s="7">
        <v>25</v>
      </c>
      <c r="I49" s="2"/>
      <c r="J49" s="6">
        <f t="shared" si="30"/>
        <v>4.7169811320754717E-4</v>
      </c>
      <c r="K49" s="2"/>
      <c r="L49" s="7">
        <f t="shared" si="31"/>
        <v>-25</v>
      </c>
      <c r="M49" s="2"/>
      <c r="N49" s="6">
        <f t="shared" si="32"/>
        <v>-1</v>
      </c>
      <c r="O49" s="11"/>
      <c r="P49" s="7">
        <v>19.399999999999999</v>
      </c>
      <c r="Q49" s="2"/>
      <c r="R49" s="6">
        <f t="shared" si="33"/>
        <v>1.2333887489388246E-4</v>
      </c>
      <c r="S49" s="2"/>
      <c r="T49" s="7">
        <v>125</v>
      </c>
      <c r="U49" s="2"/>
      <c r="V49" s="6">
        <f t="shared" si="34"/>
        <v>5.0000000000000001E-4</v>
      </c>
      <c r="W49" s="2"/>
      <c r="X49" s="7">
        <f t="shared" si="35"/>
        <v>-105.6</v>
      </c>
      <c r="Y49" s="2"/>
      <c r="Z49" s="6">
        <f t="shared" si="36"/>
        <v>-0.8448</v>
      </c>
    </row>
    <row r="50" spans="1:26" s="27" customFormat="1" outlineLevel="1" collapsed="1" x14ac:dyDescent="0.25">
      <c r="A50" s="25"/>
      <c r="B50" s="12" t="str">
        <f>CONCATENATE("     ","Bank/card Fees                                    ")</f>
        <v xml:space="preserve">     Bank/card Fees                                    </v>
      </c>
      <c r="C50" s="12"/>
      <c r="D50" s="1">
        <f>SUM(OSRRefD22_4x_0)</f>
        <v>0</v>
      </c>
      <c r="E50" s="1"/>
      <c r="F50" s="5">
        <f t="shared" si="29"/>
        <v>0</v>
      </c>
      <c r="G50" s="1"/>
      <c r="H50" s="1">
        <f>SUM(OSRRefH22_4x_0)</f>
        <v>250</v>
      </c>
      <c r="I50" s="1"/>
      <c r="J50" s="5">
        <f t="shared" si="30"/>
        <v>4.7169811320754715E-3</v>
      </c>
      <c r="K50" s="1"/>
      <c r="L50" s="1">
        <f t="shared" si="31"/>
        <v>-250</v>
      </c>
      <c r="M50" s="1"/>
      <c r="N50" s="5">
        <f t="shared" si="32"/>
        <v>-1</v>
      </c>
      <c r="O50" s="12"/>
      <c r="P50" s="1">
        <f>SUM(OSRRefP22_4x_0)</f>
        <v>4064.54</v>
      </c>
      <c r="Q50" s="1"/>
      <c r="R50" s="5">
        <f t="shared" si="33"/>
        <v>2.5841020132019641E-2</v>
      </c>
      <c r="S50" s="1"/>
      <c r="T50" s="1">
        <f>SUM(OSRRefT22_4x_0)</f>
        <v>850</v>
      </c>
      <c r="U50" s="1"/>
      <c r="V50" s="5">
        <f t="shared" si="34"/>
        <v>3.3999999999999998E-3</v>
      </c>
      <c r="W50" s="1"/>
      <c r="X50" s="1">
        <f t="shared" si="35"/>
        <v>3214.54</v>
      </c>
      <c r="Y50" s="1"/>
      <c r="Z50" s="5">
        <f t="shared" si="36"/>
        <v>3.7818117647058824</v>
      </c>
    </row>
    <row r="51" spans="1:26" s="24" customFormat="1" hidden="1" outlineLevel="2" x14ac:dyDescent="0.25">
      <c r="A51" s="26"/>
      <c r="B51" s="11" t="str">
        <f>CONCATENATE("          ", "6381", " - ", "BANK/CREDIT CARD FEES")</f>
        <v xml:space="preserve">          6381 - BANK/CREDIT CARD FEES</v>
      </c>
      <c r="C51" s="11"/>
      <c r="D51" s="7"/>
      <c r="E51" s="2"/>
      <c r="F51" s="6">
        <f t="shared" si="29"/>
        <v>0</v>
      </c>
      <c r="G51" s="2"/>
      <c r="H51" s="7">
        <v>250</v>
      </c>
      <c r="I51" s="2"/>
      <c r="J51" s="6">
        <f t="shared" si="30"/>
        <v>4.7169811320754715E-3</v>
      </c>
      <c r="K51" s="2"/>
      <c r="L51" s="7">
        <f t="shared" si="31"/>
        <v>-250</v>
      </c>
      <c r="M51" s="2"/>
      <c r="N51" s="6">
        <f t="shared" si="32"/>
        <v>-1</v>
      </c>
      <c r="O51" s="11"/>
      <c r="P51" s="7">
        <v>4064.54</v>
      </c>
      <c r="Q51" s="2"/>
      <c r="R51" s="6">
        <f t="shared" si="33"/>
        <v>2.5841020132019641E-2</v>
      </c>
      <c r="S51" s="2"/>
      <c r="T51" s="7">
        <v>850</v>
      </c>
      <c r="U51" s="2"/>
      <c r="V51" s="6">
        <f t="shared" si="34"/>
        <v>3.3999999999999998E-3</v>
      </c>
      <c r="W51" s="2"/>
      <c r="X51" s="7">
        <f t="shared" si="35"/>
        <v>3214.54</v>
      </c>
      <c r="Y51" s="2"/>
      <c r="Z51" s="6">
        <f t="shared" si="36"/>
        <v>3.7818117647058824</v>
      </c>
    </row>
    <row r="52" spans="1:26" s="27" customFormat="1" outlineLevel="1" collapsed="1" x14ac:dyDescent="0.25">
      <c r="A52" s="25"/>
      <c r="B52" s="12" t="str">
        <f>CONCATENATE("     ","Depreciation                                      ")</f>
        <v xml:space="preserve">     Depreciation                                      </v>
      </c>
      <c r="C52" s="12"/>
      <c r="D52" s="1">
        <f>SUM(OSRRefD22_5x_0)</f>
        <v>479.29</v>
      </c>
      <c r="E52" s="1"/>
      <c r="F52" s="5">
        <f t="shared" si="29"/>
        <v>0</v>
      </c>
      <c r="G52" s="1"/>
      <c r="H52" s="1">
        <f>SUM(OSRRefH22_5x_0)</f>
        <v>0</v>
      </c>
      <c r="I52" s="1"/>
      <c r="J52" s="5">
        <f t="shared" si="30"/>
        <v>0</v>
      </c>
      <c r="K52" s="1"/>
      <c r="L52" s="1">
        <f t="shared" si="31"/>
        <v>479.29</v>
      </c>
      <c r="M52" s="1"/>
      <c r="N52" s="5">
        <f t="shared" si="32"/>
        <v>0</v>
      </c>
      <c r="O52" s="12"/>
      <c r="P52" s="1">
        <f>SUM(OSRRefP22_5x_0)</f>
        <v>1437.87</v>
      </c>
      <c r="Q52" s="1"/>
      <c r="R52" s="5">
        <f t="shared" si="33"/>
        <v>9.1415086620446791E-3</v>
      </c>
      <c r="S52" s="1"/>
      <c r="T52" s="1">
        <f>SUM(OSRRefT22_5x_0)</f>
        <v>0</v>
      </c>
      <c r="U52" s="1"/>
      <c r="V52" s="5">
        <f t="shared" si="34"/>
        <v>0</v>
      </c>
      <c r="W52" s="1"/>
      <c r="X52" s="1">
        <f t="shared" si="35"/>
        <v>1437.87</v>
      </c>
      <c r="Y52" s="1"/>
      <c r="Z52" s="5">
        <f t="shared" si="36"/>
        <v>0</v>
      </c>
    </row>
    <row r="53" spans="1:26" s="24" customFormat="1" hidden="1" outlineLevel="2" x14ac:dyDescent="0.25">
      <c r="A53" s="26"/>
      <c r="B53" s="11" t="str">
        <f>CONCATENATE("          ", "6322", " - ", "EQUIPMENT DEPRECIATION EXPENSE")</f>
        <v xml:space="preserve">          6322 - EQUIPMENT DEPRECIATION EXPENSE</v>
      </c>
      <c r="C53" s="11"/>
      <c r="D53" s="7">
        <v>479.29</v>
      </c>
      <c r="E53" s="2"/>
      <c r="F53" s="6">
        <f t="shared" si="29"/>
        <v>0</v>
      </c>
      <c r="G53" s="2"/>
      <c r="H53" s="7"/>
      <c r="I53" s="2"/>
      <c r="J53" s="6">
        <f t="shared" si="30"/>
        <v>0</v>
      </c>
      <c r="K53" s="2"/>
      <c r="L53" s="7">
        <f t="shared" si="31"/>
        <v>479.29</v>
      </c>
      <c r="M53" s="2"/>
      <c r="N53" s="6">
        <f t="shared" si="32"/>
        <v>0</v>
      </c>
      <c r="O53" s="11"/>
      <c r="P53" s="7">
        <v>1437.87</v>
      </c>
      <c r="Q53" s="2"/>
      <c r="R53" s="6">
        <f t="shared" si="33"/>
        <v>9.1415086620446791E-3</v>
      </c>
      <c r="S53" s="2"/>
      <c r="T53" s="7"/>
      <c r="U53" s="2"/>
      <c r="V53" s="6">
        <f t="shared" si="34"/>
        <v>0</v>
      </c>
      <c r="W53" s="2"/>
      <c r="X53" s="7">
        <f t="shared" si="35"/>
        <v>1437.87</v>
      </c>
      <c r="Y53" s="2"/>
      <c r="Z53" s="6">
        <f t="shared" si="36"/>
        <v>0</v>
      </c>
    </row>
    <row r="54" spans="1:26" s="27" customFormat="1" outlineLevel="1" collapsed="1" x14ac:dyDescent="0.25">
      <c r="A54" s="25"/>
      <c r="B54" s="12" t="str">
        <f>CONCATENATE("     ","Employees' Appreciation                           ")</f>
        <v xml:space="preserve">     Employees' Appreciation                           </v>
      </c>
      <c r="C54" s="12"/>
      <c r="D54" s="1">
        <f>SUM(OSRRefD22_6x_0)</f>
        <v>0</v>
      </c>
      <c r="E54" s="1"/>
      <c r="F54" s="5">
        <f t="shared" si="29"/>
        <v>0</v>
      </c>
      <c r="G54" s="1"/>
      <c r="H54" s="1">
        <f>SUM(OSRRefH22_6x_0)</f>
        <v>150</v>
      </c>
      <c r="I54" s="1"/>
      <c r="J54" s="5">
        <f t="shared" si="30"/>
        <v>2.8301886792452828E-3</v>
      </c>
      <c r="K54" s="1"/>
      <c r="L54" s="1">
        <f t="shared" si="31"/>
        <v>-150</v>
      </c>
      <c r="M54" s="1"/>
      <c r="N54" s="5">
        <f t="shared" si="32"/>
        <v>-1</v>
      </c>
      <c r="O54" s="12"/>
      <c r="P54" s="1">
        <f>SUM(OSRRefP22_6x_0)</f>
        <v>307.2</v>
      </c>
      <c r="Q54" s="1"/>
      <c r="R54" s="5">
        <f t="shared" si="33"/>
        <v>1.9530774416185923E-3</v>
      </c>
      <c r="S54" s="1"/>
      <c r="T54" s="1">
        <f>SUM(OSRRefT22_6x_0)</f>
        <v>250</v>
      </c>
      <c r="U54" s="1"/>
      <c r="V54" s="5">
        <f t="shared" si="34"/>
        <v>1E-3</v>
      </c>
      <c r="W54" s="1"/>
      <c r="X54" s="1">
        <f t="shared" si="35"/>
        <v>57.199999999999989</v>
      </c>
      <c r="Y54" s="1"/>
      <c r="Z54" s="5">
        <f t="shared" si="36"/>
        <v>0.22879999999999995</v>
      </c>
    </row>
    <row r="55" spans="1:26" s="24" customFormat="1" hidden="1" outlineLevel="2" x14ac:dyDescent="0.25">
      <c r="A55" s="26"/>
      <c r="B55" s="11" t="str">
        <f>CONCATENATE("          ", "6277", " - ", "EMPLOYEE APPRECIATION")</f>
        <v xml:space="preserve">          6277 - EMPLOYEE APPRECIATION</v>
      </c>
      <c r="C55" s="11"/>
      <c r="D55" s="7"/>
      <c r="E55" s="2"/>
      <c r="F55" s="6">
        <f t="shared" si="29"/>
        <v>0</v>
      </c>
      <c r="G55" s="2"/>
      <c r="H55" s="7">
        <v>150</v>
      </c>
      <c r="I55" s="2"/>
      <c r="J55" s="6">
        <f t="shared" si="30"/>
        <v>2.8301886792452828E-3</v>
      </c>
      <c r="K55" s="2"/>
      <c r="L55" s="7">
        <f t="shared" si="31"/>
        <v>-150</v>
      </c>
      <c r="M55" s="2"/>
      <c r="N55" s="6">
        <f t="shared" si="32"/>
        <v>-1</v>
      </c>
      <c r="O55" s="11"/>
      <c r="P55" s="7">
        <v>307.2</v>
      </c>
      <c r="Q55" s="2"/>
      <c r="R55" s="6">
        <f t="shared" si="33"/>
        <v>1.9530774416185923E-3</v>
      </c>
      <c r="S55" s="2"/>
      <c r="T55" s="7">
        <v>250</v>
      </c>
      <c r="U55" s="2"/>
      <c r="V55" s="6">
        <f t="shared" si="34"/>
        <v>1E-3</v>
      </c>
      <c r="W55" s="2"/>
      <c r="X55" s="7">
        <f t="shared" si="35"/>
        <v>57.199999999999989</v>
      </c>
      <c r="Y55" s="2"/>
      <c r="Z55" s="6">
        <f t="shared" si="36"/>
        <v>0.22879999999999995</v>
      </c>
    </row>
    <row r="56" spans="1:26" s="27" customFormat="1" outlineLevel="1" collapsed="1" x14ac:dyDescent="0.25">
      <c r="A56" s="25"/>
      <c r="B56" s="12" t="str">
        <f>CONCATENATE("     ","General                                           ")</f>
        <v xml:space="preserve">     General                                           </v>
      </c>
      <c r="C56" s="12"/>
      <c r="D56" s="1">
        <f>SUM(OSRRefD22_7x_0)</f>
        <v>0</v>
      </c>
      <c r="E56" s="1"/>
      <c r="F56" s="5">
        <f t="shared" si="29"/>
        <v>0</v>
      </c>
      <c r="G56" s="1"/>
      <c r="H56" s="1">
        <f>SUM(OSRRefH22_7x_0)</f>
        <v>0</v>
      </c>
      <c r="I56" s="1"/>
      <c r="J56" s="5">
        <f t="shared" si="30"/>
        <v>0</v>
      </c>
      <c r="K56" s="1"/>
      <c r="L56" s="1">
        <f t="shared" si="31"/>
        <v>0</v>
      </c>
      <c r="M56" s="1"/>
      <c r="N56" s="5">
        <f t="shared" si="32"/>
        <v>0</v>
      </c>
      <c r="O56" s="12"/>
      <c r="P56" s="1">
        <f>SUM(OSRRefP22_7x_0)</f>
        <v>5005.68</v>
      </c>
      <c r="Q56" s="1"/>
      <c r="R56" s="5">
        <f t="shared" si="33"/>
        <v>3.1824481406124205E-2</v>
      </c>
      <c r="S56" s="1"/>
      <c r="T56" s="1">
        <f>SUM(OSRRefT22_7x_0)</f>
        <v>0</v>
      </c>
      <c r="U56" s="1"/>
      <c r="V56" s="5">
        <f t="shared" si="34"/>
        <v>0</v>
      </c>
      <c r="W56" s="1"/>
      <c r="X56" s="1">
        <f t="shared" si="35"/>
        <v>5005.68</v>
      </c>
      <c r="Y56" s="1"/>
      <c r="Z56" s="5">
        <f t="shared" si="36"/>
        <v>0</v>
      </c>
    </row>
    <row r="57" spans="1:26" s="24" customFormat="1" hidden="1" outlineLevel="2" x14ac:dyDescent="0.25">
      <c r="A57" s="26"/>
      <c r="B57" s="11" t="str">
        <f>CONCATENATE("          ", "6279", " - ", "GENERAL EXPENSE")</f>
        <v xml:space="preserve">          6279 - GENERAL EXPENSE</v>
      </c>
      <c r="C57" s="11"/>
      <c r="D57" s="7"/>
      <c r="E57" s="2"/>
      <c r="F57" s="6">
        <f t="shared" si="29"/>
        <v>0</v>
      </c>
      <c r="G57" s="2"/>
      <c r="H57" s="7"/>
      <c r="I57" s="2"/>
      <c r="J57" s="6">
        <f t="shared" si="30"/>
        <v>0</v>
      </c>
      <c r="K57" s="2"/>
      <c r="L57" s="7">
        <f t="shared" si="31"/>
        <v>0</v>
      </c>
      <c r="M57" s="2"/>
      <c r="N57" s="6">
        <f t="shared" si="32"/>
        <v>0</v>
      </c>
      <c r="O57" s="11"/>
      <c r="P57" s="7">
        <v>5005.68</v>
      </c>
      <c r="Q57" s="2"/>
      <c r="R57" s="6">
        <f t="shared" si="33"/>
        <v>3.1824481406124205E-2</v>
      </c>
      <c r="S57" s="2"/>
      <c r="T57" s="7"/>
      <c r="U57" s="2"/>
      <c r="V57" s="6">
        <f t="shared" si="34"/>
        <v>0</v>
      </c>
      <c r="W57" s="2"/>
      <c r="X57" s="7">
        <f t="shared" si="35"/>
        <v>5005.68</v>
      </c>
      <c r="Y57" s="2"/>
      <c r="Z57" s="6">
        <f t="shared" si="36"/>
        <v>0</v>
      </c>
    </row>
    <row r="58" spans="1:26" s="27" customFormat="1" outlineLevel="1" collapsed="1" x14ac:dyDescent="0.25">
      <c r="A58" s="25"/>
      <c r="B58" s="12" t="str">
        <f>CONCATENATE("     ","Repair and Maintenance                            ")</f>
        <v xml:space="preserve">     Repair and Maintenance                            </v>
      </c>
      <c r="C58" s="12"/>
      <c r="D58" s="1">
        <f>SUM(OSRRefD22_8x_0)</f>
        <v>0</v>
      </c>
      <c r="E58" s="1"/>
      <c r="F58" s="5">
        <f t="shared" si="29"/>
        <v>0</v>
      </c>
      <c r="G58" s="1"/>
      <c r="H58" s="1">
        <f>SUM(OSRRefH22_8x_0)</f>
        <v>0</v>
      </c>
      <c r="I58" s="1"/>
      <c r="J58" s="5">
        <f t="shared" si="30"/>
        <v>0</v>
      </c>
      <c r="K58" s="1"/>
      <c r="L58" s="1">
        <f t="shared" si="31"/>
        <v>0</v>
      </c>
      <c r="M58" s="1"/>
      <c r="N58" s="5">
        <f t="shared" si="32"/>
        <v>0</v>
      </c>
      <c r="O58" s="12"/>
      <c r="P58" s="1">
        <f>SUM(OSRRefP22_8x_0)</f>
        <v>1797.2199999999998</v>
      </c>
      <c r="Q58" s="1"/>
      <c r="R58" s="5">
        <f t="shared" si="33"/>
        <v>1.1426138800865125E-2</v>
      </c>
      <c r="S58" s="1"/>
      <c r="T58" s="1">
        <f>SUM(OSRRefT22_8x_0)</f>
        <v>5000</v>
      </c>
      <c r="U58" s="1"/>
      <c r="V58" s="5">
        <f t="shared" si="34"/>
        <v>0.02</v>
      </c>
      <c r="W58" s="1"/>
      <c r="X58" s="1">
        <f t="shared" si="35"/>
        <v>-3202.78</v>
      </c>
      <c r="Y58" s="1"/>
      <c r="Z58" s="5">
        <f t="shared" si="36"/>
        <v>-0.64055600000000001</v>
      </c>
    </row>
    <row r="59" spans="1:26" s="24" customFormat="1" hidden="1" outlineLevel="2" x14ac:dyDescent="0.25">
      <c r="A59" s="26"/>
      <c r="B59" s="11" t="str">
        <f>CONCATENATE("          ", "6373", " - ", "MAINTENANCE CONTRACTS")</f>
        <v xml:space="preserve">          6373 - MAINTENANCE CONTRACTS</v>
      </c>
      <c r="C59" s="11"/>
      <c r="D59" s="7"/>
      <c r="E59" s="2"/>
      <c r="F59" s="6">
        <f t="shared" si="29"/>
        <v>0</v>
      </c>
      <c r="G59" s="2"/>
      <c r="H59" s="7"/>
      <c r="I59" s="2"/>
      <c r="J59" s="6">
        <f t="shared" si="30"/>
        <v>0</v>
      </c>
      <c r="K59" s="2"/>
      <c r="L59" s="7">
        <f t="shared" si="31"/>
        <v>0</v>
      </c>
      <c r="M59" s="2"/>
      <c r="N59" s="6">
        <f t="shared" si="32"/>
        <v>0</v>
      </c>
      <c r="O59" s="11"/>
      <c r="P59" s="7">
        <v>296.64</v>
      </c>
      <c r="Q59" s="2"/>
      <c r="R59" s="6">
        <f t="shared" si="33"/>
        <v>1.8859404045629532E-3</v>
      </c>
      <c r="S59" s="2"/>
      <c r="T59" s="7"/>
      <c r="U59" s="2"/>
      <c r="V59" s="6">
        <f t="shared" si="34"/>
        <v>0</v>
      </c>
      <c r="W59" s="2"/>
      <c r="X59" s="7">
        <f t="shared" si="35"/>
        <v>296.64</v>
      </c>
      <c r="Y59" s="2"/>
      <c r="Z59" s="6">
        <f t="shared" si="36"/>
        <v>0</v>
      </c>
    </row>
    <row r="60" spans="1:26" s="24" customFormat="1" hidden="1" outlineLevel="2" x14ac:dyDescent="0.25">
      <c r="A60" s="26"/>
      <c r="B60" s="11" t="str">
        <f>CONCATENATE("          ", "6375", " - ", "OUTSIDE REPAIRS &amp; MAINTENANCE")</f>
        <v xml:space="preserve">          6375 - OUTSIDE REPAIRS &amp; MAINTENANCE</v>
      </c>
      <c r="C60" s="11"/>
      <c r="D60" s="7"/>
      <c r="E60" s="2"/>
      <c r="F60" s="6">
        <f t="shared" si="29"/>
        <v>0</v>
      </c>
      <c r="G60" s="2"/>
      <c r="H60" s="7"/>
      <c r="I60" s="2"/>
      <c r="J60" s="6">
        <f t="shared" si="30"/>
        <v>0</v>
      </c>
      <c r="K60" s="2"/>
      <c r="L60" s="7">
        <f t="shared" si="31"/>
        <v>0</v>
      </c>
      <c r="M60" s="2"/>
      <c r="N60" s="6">
        <f t="shared" si="32"/>
        <v>0</v>
      </c>
      <c r="O60" s="11"/>
      <c r="P60" s="7">
        <v>1500.58</v>
      </c>
      <c r="Q60" s="2"/>
      <c r="R60" s="6">
        <f t="shared" si="33"/>
        <v>9.5401983963021731E-3</v>
      </c>
      <c r="S60" s="2"/>
      <c r="T60" s="7">
        <v>5000</v>
      </c>
      <c r="U60" s="2"/>
      <c r="V60" s="6">
        <f t="shared" si="34"/>
        <v>0.02</v>
      </c>
      <c r="W60" s="2"/>
      <c r="X60" s="7">
        <f t="shared" si="35"/>
        <v>-3499.42</v>
      </c>
      <c r="Y60" s="2"/>
      <c r="Z60" s="6">
        <f t="shared" si="36"/>
        <v>-0.69988400000000006</v>
      </c>
    </row>
    <row r="61" spans="1:26" s="27" customFormat="1" outlineLevel="1" collapsed="1" x14ac:dyDescent="0.25">
      <c r="A61" s="25"/>
      <c r="B61" s="12" t="str">
        <f>CONCATENATE("     ","Royalty &amp; Commissions                             ")</f>
        <v xml:space="preserve">     Royalty &amp; Commissions                             </v>
      </c>
      <c r="C61" s="12"/>
      <c r="D61" s="1">
        <f>SUM(OSRRefD22_9x_0)</f>
        <v>0</v>
      </c>
      <c r="E61" s="1"/>
      <c r="F61" s="5">
        <f t="shared" ref="F61:F64" si="37">IF(D$12=0,0,D61/D$12)</f>
        <v>0</v>
      </c>
      <c r="G61" s="1"/>
      <c r="H61" s="1">
        <f>SUM(OSRRefH22_9x_0)</f>
        <v>10600</v>
      </c>
      <c r="I61" s="1"/>
      <c r="J61" s="5">
        <f t="shared" ref="J61:J64" si="38">IF(H$12=0,0,H61/H$12)</f>
        <v>0.2</v>
      </c>
      <c r="K61" s="1"/>
      <c r="L61" s="1">
        <f t="shared" ref="L61:L64" si="39">+D61-H61</f>
        <v>-10600</v>
      </c>
      <c r="M61" s="1"/>
      <c r="N61" s="5">
        <f t="shared" ref="N61:N64" si="40">IF(H61=0,0,L61/H61)</f>
        <v>-1</v>
      </c>
      <c r="O61" s="12"/>
      <c r="P61" s="1">
        <f>SUM(OSRRefP22_9x_0)</f>
        <v>35313.08</v>
      </c>
      <c r="Q61" s="1"/>
      <c r="R61" s="5">
        <f t="shared" ref="R61:R64" si="41">IF(P$12=0,0,P61/P$12)</f>
        <v>0.2245090492906012</v>
      </c>
      <c r="S61" s="1"/>
      <c r="T61" s="1">
        <f>SUM(OSRRefT22_9x_0)</f>
        <v>50000</v>
      </c>
      <c r="U61" s="1"/>
      <c r="V61" s="5">
        <f t="shared" ref="V61:V64" si="42">IF(T$12=0,0,T61/T$12)</f>
        <v>0.2</v>
      </c>
      <c r="W61" s="1"/>
      <c r="X61" s="1">
        <f t="shared" ref="X61:X64" si="43">+P61-T61</f>
        <v>-14686.919999999998</v>
      </c>
      <c r="Y61" s="1"/>
      <c r="Z61" s="5">
        <f t="shared" ref="Z61:Z64" si="44">IF(T61=0,0,X61/T61)</f>
        <v>-0.29373839999999996</v>
      </c>
    </row>
    <row r="62" spans="1:26" s="24" customFormat="1" hidden="1" outlineLevel="2" x14ac:dyDescent="0.25">
      <c r="A62" s="26"/>
      <c r="B62" s="11" t="str">
        <f>CONCATENATE("          ", "6252", " - ", "ROYALTY DUE CSTV")</f>
        <v xml:space="preserve">          6252 - ROYALTY DUE CSTV</v>
      </c>
      <c r="C62" s="11"/>
      <c r="D62" s="7"/>
      <c r="E62" s="2"/>
      <c r="F62" s="6">
        <f t="shared" si="37"/>
        <v>0</v>
      </c>
      <c r="G62" s="2"/>
      <c r="H62" s="7">
        <v>10600</v>
      </c>
      <c r="I62" s="2"/>
      <c r="J62" s="6">
        <f t="shared" si="38"/>
        <v>0.2</v>
      </c>
      <c r="K62" s="2"/>
      <c r="L62" s="7">
        <f t="shared" si="39"/>
        <v>-10600</v>
      </c>
      <c r="M62" s="2"/>
      <c r="N62" s="6">
        <f t="shared" si="40"/>
        <v>-1</v>
      </c>
      <c r="O62" s="11"/>
      <c r="P62" s="7"/>
      <c r="Q62" s="2"/>
      <c r="R62" s="6">
        <f t="shared" si="41"/>
        <v>0</v>
      </c>
      <c r="S62" s="2"/>
      <c r="T62" s="7">
        <v>46000</v>
      </c>
      <c r="U62" s="2"/>
      <c r="V62" s="6">
        <f t="shared" si="42"/>
        <v>0.184</v>
      </c>
      <c r="W62" s="2"/>
      <c r="X62" s="7">
        <f t="shared" si="43"/>
        <v>-46000</v>
      </c>
      <c r="Y62" s="2"/>
      <c r="Z62" s="6">
        <f t="shared" si="44"/>
        <v>-1</v>
      </c>
    </row>
    <row r="63" spans="1:26" s="24" customFormat="1" hidden="1" outlineLevel="2" x14ac:dyDescent="0.25">
      <c r="A63" s="26"/>
      <c r="B63" s="11" t="str">
        <f>CONCATENATE("          ", "6253", " - ", "ROYALTY DUE ATHLETICS-LRG")</f>
        <v xml:space="preserve">          6253 - ROYALTY DUE ATHLETICS-LRG</v>
      </c>
      <c r="C63" s="11"/>
      <c r="D63" s="7"/>
      <c r="E63" s="2"/>
      <c r="F63" s="6">
        <f t="shared" si="37"/>
        <v>0</v>
      </c>
      <c r="G63" s="2"/>
      <c r="H63" s="7"/>
      <c r="I63" s="2"/>
      <c r="J63" s="6">
        <f t="shared" si="38"/>
        <v>0</v>
      </c>
      <c r="K63" s="2"/>
      <c r="L63" s="7">
        <f t="shared" si="39"/>
        <v>0</v>
      </c>
      <c r="M63" s="2"/>
      <c r="N63" s="6">
        <f t="shared" si="40"/>
        <v>0</v>
      </c>
      <c r="O63" s="11"/>
      <c r="P63" s="7"/>
      <c r="Q63" s="2"/>
      <c r="R63" s="6">
        <f t="shared" si="41"/>
        <v>0</v>
      </c>
      <c r="S63" s="2"/>
      <c r="T63" s="7">
        <v>4000</v>
      </c>
      <c r="U63" s="2"/>
      <c r="V63" s="6">
        <f t="shared" si="42"/>
        <v>1.6E-2</v>
      </c>
      <c r="W63" s="2"/>
      <c r="X63" s="7">
        <f t="shared" si="43"/>
        <v>-4000</v>
      </c>
      <c r="Y63" s="2"/>
      <c r="Z63" s="6">
        <f t="shared" si="44"/>
        <v>-1</v>
      </c>
    </row>
    <row r="64" spans="1:26" s="24" customFormat="1" hidden="1" outlineLevel="2" x14ac:dyDescent="0.25">
      <c r="A64" s="26"/>
      <c r="B64" s="11" t="str">
        <f>CONCATENATE("          ", "6254", " - ", "ROYALTY &amp; COMMISSIONS")</f>
        <v xml:space="preserve">          6254 - ROYALTY &amp; COMMISSIONS</v>
      </c>
      <c r="C64" s="11"/>
      <c r="D64" s="7"/>
      <c r="E64" s="2"/>
      <c r="F64" s="6">
        <f t="shared" si="37"/>
        <v>0</v>
      </c>
      <c r="G64" s="2"/>
      <c r="H64" s="7"/>
      <c r="I64" s="2"/>
      <c r="J64" s="6">
        <f t="shared" si="38"/>
        <v>0</v>
      </c>
      <c r="K64" s="2"/>
      <c r="L64" s="7">
        <f t="shared" si="39"/>
        <v>0</v>
      </c>
      <c r="M64" s="2"/>
      <c r="N64" s="6">
        <f t="shared" si="40"/>
        <v>0</v>
      </c>
      <c r="O64" s="11"/>
      <c r="P64" s="7">
        <v>35313.08</v>
      </c>
      <c r="Q64" s="2"/>
      <c r="R64" s="6">
        <f t="shared" si="41"/>
        <v>0.2245090492906012</v>
      </c>
      <c r="S64" s="2"/>
      <c r="T64" s="7"/>
      <c r="U64" s="2"/>
      <c r="V64" s="6">
        <f t="shared" si="42"/>
        <v>0</v>
      </c>
      <c r="W64" s="2"/>
      <c r="X64" s="7">
        <f t="shared" si="43"/>
        <v>35313.08</v>
      </c>
      <c r="Y64" s="2"/>
      <c r="Z64" s="6">
        <f t="shared" si="44"/>
        <v>0</v>
      </c>
    </row>
    <row r="65" spans="1:26" s="27" customFormat="1" outlineLevel="1" collapsed="1" x14ac:dyDescent="0.25">
      <c r="A65" s="25"/>
      <c r="B65" s="12" t="str">
        <f>CONCATENATE("     ","Services                                          ")</f>
        <v xml:space="preserve">     Services                                          </v>
      </c>
      <c r="C65" s="12"/>
      <c r="D65" s="1">
        <f>SUM(OSRRefD22_10x_0)</f>
        <v>0</v>
      </c>
      <c r="E65" s="1"/>
      <c r="F65" s="5">
        <f t="shared" ref="F65:F72" si="45">IF(D$12=0,0,D65/D$12)</f>
        <v>0</v>
      </c>
      <c r="G65" s="1"/>
      <c r="H65" s="1">
        <f>SUM(OSRRefH22_10x_0)</f>
        <v>25</v>
      </c>
      <c r="I65" s="1"/>
      <c r="J65" s="5">
        <f t="shared" ref="J65:J72" si="46">IF(H$12=0,0,H65/H$12)</f>
        <v>4.7169811320754717E-4</v>
      </c>
      <c r="K65" s="1"/>
      <c r="L65" s="1">
        <f t="shared" ref="L65:L72" si="47">+D65-H65</f>
        <v>-25</v>
      </c>
      <c r="M65" s="1"/>
      <c r="N65" s="5">
        <f t="shared" ref="N65:N72" si="48">IF(H65=0,0,L65/H65)</f>
        <v>-1</v>
      </c>
      <c r="O65" s="12"/>
      <c r="P65" s="1">
        <f>SUM(OSRRefP22_10x_0)</f>
        <v>126</v>
      </c>
      <c r="Q65" s="1"/>
      <c r="R65" s="5">
        <f t="shared" ref="R65:R72" si="49">IF(P$12=0,0,P65/P$12)</f>
        <v>8.0106691941387578E-4</v>
      </c>
      <c r="S65" s="1"/>
      <c r="T65" s="1">
        <f>SUM(OSRRefT22_10x_0)</f>
        <v>125</v>
      </c>
      <c r="U65" s="1"/>
      <c r="V65" s="5">
        <f t="shared" ref="V65:V72" si="50">IF(T$12=0,0,T65/T$12)</f>
        <v>5.0000000000000001E-4</v>
      </c>
      <c r="W65" s="1"/>
      <c r="X65" s="1">
        <f t="shared" ref="X65:X72" si="51">+P65-T65</f>
        <v>1</v>
      </c>
      <c r="Y65" s="1"/>
      <c r="Z65" s="5">
        <f t="shared" ref="Z65:Z72" si="52">IF(T65=0,0,X65/T65)</f>
        <v>8.0000000000000002E-3</v>
      </c>
    </row>
    <row r="66" spans="1:26" s="24" customFormat="1" hidden="1" outlineLevel="2" x14ac:dyDescent="0.25">
      <c r="A66" s="26"/>
      <c r="B66" s="11" t="str">
        <f>CONCATENATE("          ", "6286", " - ", "LAUNDRY EXPENSE")</f>
        <v xml:space="preserve">          6286 - LAUNDRY EXPENSE</v>
      </c>
      <c r="C66" s="11"/>
      <c r="D66" s="7"/>
      <c r="E66" s="2"/>
      <c r="F66" s="6">
        <f t="shared" si="45"/>
        <v>0</v>
      </c>
      <c r="G66" s="2"/>
      <c r="H66" s="7">
        <v>25</v>
      </c>
      <c r="I66" s="2"/>
      <c r="J66" s="6">
        <f t="shared" si="46"/>
        <v>4.7169811320754717E-4</v>
      </c>
      <c r="K66" s="2"/>
      <c r="L66" s="7">
        <f t="shared" si="47"/>
        <v>-25</v>
      </c>
      <c r="M66" s="2"/>
      <c r="N66" s="6">
        <f t="shared" si="48"/>
        <v>-1</v>
      </c>
      <c r="O66" s="11"/>
      <c r="P66" s="7">
        <v>126</v>
      </c>
      <c r="Q66" s="2"/>
      <c r="R66" s="6">
        <f t="shared" si="49"/>
        <v>8.0106691941387578E-4</v>
      </c>
      <c r="S66" s="2"/>
      <c r="T66" s="7">
        <v>125</v>
      </c>
      <c r="U66" s="2"/>
      <c r="V66" s="6">
        <f t="shared" si="50"/>
        <v>5.0000000000000001E-4</v>
      </c>
      <c r="W66" s="2"/>
      <c r="X66" s="7">
        <f t="shared" si="51"/>
        <v>1</v>
      </c>
      <c r="Y66" s="2"/>
      <c r="Z66" s="6">
        <f t="shared" si="52"/>
        <v>8.0000000000000002E-3</v>
      </c>
    </row>
    <row r="67" spans="1:26" s="27" customFormat="1" outlineLevel="1" collapsed="1" x14ac:dyDescent="0.25">
      <c r="A67" s="25"/>
      <c r="B67" s="12" t="str">
        <f>CONCATENATE("     ","Supplies                                          ")</f>
        <v xml:space="preserve">     Supplies                                          </v>
      </c>
      <c r="C67" s="12"/>
      <c r="D67" s="1">
        <f>SUM(OSRRefD22_11x_0)</f>
        <v>0</v>
      </c>
      <c r="E67" s="1"/>
      <c r="F67" s="5">
        <f t="shared" si="45"/>
        <v>0</v>
      </c>
      <c r="G67" s="1"/>
      <c r="H67" s="1">
        <f>SUM(OSRRefH22_11x_0)</f>
        <v>850</v>
      </c>
      <c r="I67" s="1"/>
      <c r="J67" s="5">
        <f t="shared" si="46"/>
        <v>1.6037735849056604E-2</v>
      </c>
      <c r="K67" s="1"/>
      <c r="L67" s="1">
        <f t="shared" si="47"/>
        <v>-850</v>
      </c>
      <c r="M67" s="1"/>
      <c r="N67" s="5">
        <f t="shared" si="48"/>
        <v>-1</v>
      </c>
      <c r="O67" s="12"/>
      <c r="P67" s="1">
        <f>SUM(OSRRefP22_11x_0)</f>
        <v>6070.7100000000009</v>
      </c>
      <c r="Q67" s="1"/>
      <c r="R67" s="5">
        <f t="shared" si="49"/>
        <v>3.8595594907579453E-2</v>
      </c>
      <c r="S67" s="1"/>
      <c r="T67" s="1">
        <f>SUM(OSRRefT22_11x_0)</f>
        <v>4000</v>
      </c>
      <c r="U67" s="1"/>
      <c r="V67" s="5">
        <f t="shared" si="50"/>
        <v>1.6E-2</v>
      </c>
      <c r="W67" s="1"/>
      <c r="X67" s="1">
        <f t="shared" si="51"/>
        <v>2070.7100000000009</v>
      </c>
      <c r="Y67" s="1"/>
      <c r="Z67" s="5">
        <f t="shared" si="52"/>
        <v>0.51767750000000023</v>
      </c>
    </row>
    <row r="68" spans="1:26" s="24" customFormat="1" hidden="1" outlineLevel="2" x14ac:dyDescent="0.25">
      <c r="A68" s="26"/>
      <c r="B68" s="11" t="str">
        <f>CONCATENATE("          ", "6237", " - ", "JANITORIAL SUPPLIES")</f>
        <v xml:space="preserve">          6237 - JANITORIAL SUPPLIES</v>
      </c>
      <c r="C68" s="11"/>
      <c r="D68" s="7"/>
      <c r="E68" s="2"/>
      <c r="F68" s="6">
        <f t="shared" si="45"/>
        <v>0</v>
      </c>
      <c r="G68" s="2"/>
      <c r="H68" s="7"/>
      <c r="I68" s="2"/>
      <c r="J68" s="6">
        <f t="shared" si="46"/>
        <v>0</v>
      </c>
      <c r="K68" s="2"/>
      <c r="L68" s="7">
        <f t="shared" si="47"/>
        <v>0</v>
      </c>
      <c r="M68" s="2"/>
      <c r="N68" s="6">
        <f t="shared" si="48"/>
        <v>0</v>
      </c>
      <c r="O68" s="11"/>
      <c r="P68" s="7">
        <v>78.81</v>
      </c>
      <c r="Q68" s="2"/>
      <c r="R68" s="6">
        <f t="shared" si="49"/>
        <v>5.0104828507148858E-4</v>
      </c>
      <c r="S68" s="2"/>
      <c r="T68" s="7"/>
      <c r="U68" s="2"/>
      <c r="V68" s="6">
        <f t="shared" si="50"/>
        <v>0</v>
      </c>
      <c r="W68" s="2"/>
      <c r="X68" s="7">
        <f t="shared" si="51"/>
        <v>78.81</v>
      </c>
      <c r="Y68" s="2"/>
      <c r="Z68" s="6">
        <f t="shared" si="52"/>
        <v>0</v>
      </c>
    </row>
    <row r="69" spans="1:26" s="24" customFormat="1" hidden="1" outlineLevel="2" x14ac:dyDescent="0.25">
      <c r="A69" s="26"/>
      <c r="B69" s="11" t="str">
        <f>CONCATENATE("          ", "6239", " - ", "KITCHEN SUPPLIES")</f>
        <v xml:space="preserve">          6239 - KITCHEN SUPPLIES</v>
      </c>
      <c r="C69" s="11"/>
      <c r="D69" s="7"/>
      <c r="E69" s="2"/>
      <c r="F69" s="6">
        <f t="shared" si="45"/>
        <v>0</v>
      </c>
      <c r="G69" s="2"/>
      <c r="H69" s="7">
        <v>100</v>
      </c>
      <c r="I69" s="2"/>
      <c r="J69" s="6">
        <f t="shared" si="46"/>
        <v>1.8867924528301887E-3</v>
      </c>
      <c r="K69" s="2"/>
      <c r="L69" s="7">
        <f t="shared" si="47"/>
        <v>-100</v>
      </c>
      <c r="M69" s="2"/>
      <c r="N69" s="6">
        <f t="shared" si="48"/>
        <v>-1</v>
      </c>
      <c r="O69" s="11"/>
      <c r="P69" s="7">
        <v>4802.42</v>
      </c>
      <c r="Q69" s="2"/>
      <c r="R69" s="6">
        <f t="shared" si="49"/>
        <v>3.0532220596282425E-2</v>
      </c>
      <c r="S69" s="2"/>
      <c r="T69" s="7">
        <v>500</v>
      </c>
      <c r="U69" s="2"/>
      <c r="V69" s="6">
        <f t="shared" si="50"/>
        <v>2E-3</v>
      </c>
      <c r="W69" s="2"/>
      <c r="X69" s="7">
        <f t="shared" si="51"/>
        <v>4302.42</v>
      </c>
      <c r="Y69" s="2"/>
      <c r="Z69" s="6">
        <f t="shared" si="52"/>
        <v>8.6048399999999994</v>
      </c>
    </row>
    <row r="70" spans="1:26" s="24" customFormat="1" hidden="1" outlineLevel="2" x14ac:dyDescent="0.25">
      <c r="A70" s="26"/>
      <c r="B70" s="11" t="str">
        <f>CONCATENATE("          ", "6241", " - ", "OFFICE EXPENSE")</f>
        <v xml:space="preserve">          6241 - OFFICE EXPENSE</v>
      </c>
      <c r="C70" s="11"/>
      <c r="D70" s="7"/>
      <c r="E70" s="2"/>
      <c r="F70" s="6">
        <f t="shared" si="45"/>
        <v>0</v>
      </c>
      <c r="G70" s="2"/>
      <c r="H70" s="7">
        <v>250</v>
      </c>
      <c r="I70" s="2"/>
      <c r="J70" s="6">
        <f t="shared" si="46"/>
        <v>4.7169811320754715E-3</v>
      </c>
      <c r="K70" s="2"/>
      <c r="L70" s="7">
        <f t="shared" si="47"/>
        <v>-250</v>
      </c>
      <c r="M70" s="2"/>
      <c r="N70" s="6">
        <f t="shared" si="48"/>
        <v>-1</v>
      </c>
      <c r="O70" s="11"/>
      <c r="P70" s="7">
        <v>135.93</v>
      </c>
      <c r="Q70" s="2"/>
      <c r="R70" s="6">
        <f t="shared" si="49"/>
        <v>8.6419862187244562E-4</v>
      </c>
      <c r="S70" s="2"/>
      <c r="T70" s="7">
        <v>1000</v>
      </c>
      <c r="U70" s="2"/>
      <c r="V70" s="6">
        <f t="shared" si="50"/>
        <v>4.0000000000000001E-3</v>
      </c>
      <c r="W70" s="2"/>
      <c r="X70" s="7">
        <f t="shared" si="51"/>
        <v>-864.06999999999994</v>
      </c>
      <c r="Y70" s="2"/>
      <c r="Z70" s="6">
        <f t="shared" si="52"/>
        <v>-0.86406999999999989</v>
      </c>
    </row>
    <row r="71" spans="1:26" s="24" customFormat="1" hidden="1" outlineLevel="2" x14ac:dyDescent="0.25">
      <c r="A71" s="26"/>
      <c r="B71" s="11" t="str">
        <f>CONCATENATE("          ", "6243", " - ", "PAPER SUPPLIES")</f>
        <v xml:space="preserve">          6243 - PAPER SUPPLIES</v>
      </c>
      <c r="C71" s="11"/>
      <c r="D71" s="7"/>
      <c r="E71" s="2"/>
      <c r="F71" s="6">
        <f t="shared" si="45"/>
        <v>0</v>
      </c>
      <c r="G71" s="2"/>
      <c r="H71" s="7">
        <v>500</v>
      </c>
      <c r="I71" s="2"/>
      <c r="J71" s="6">
        <f t="shared" si="46"/>
        <v>9.433962264150943E-3</v>
      </c>
      <c r="K71" s="2"/>
      <c r="L71" s="7">
        <f t="shared" si="47"/>
        <v>-500</v>
      </c>
      <c r="M71" s="2"/>
      <c r="N71" s="6">
        <f t="shared" si="48"/>
        <v>-1</v>
      </c>
      <c r="O71" s="11"/>
      <c r="P71" s="7">
        <v>-642.03</v>
      </c>
      <c r="Q71" s="2"/>
      <c r="R71" s="6">
        <f t="shared" si="49"/>
        <v>-4.0818174148515131E-3</v>
      </c>
      <c r="S71" s="2"/>
      <c r="T71" s="7">
        <v>2500</v>
      </c>
      <c r="U71" s="2"/>
      <c r="V71" s="6">
        <f t="shared" si="50"/>
        <v>0.01</v>
      </c>
      <c r="W71" s="2"/>
      <c r="X71" s="7">
        <f t="shared" si="51"/>
        <v>-3142.0299999999997</v>
      </c>
      <c r="Y71" s="2"/>
      <c r="Z71" s="6">
        <f t="shared" si="52"/>
        <v>-1.2568119999999998</v>
      </c>
    </row>
    <row r="72" spans="1:26" s="24" customFormat="1" hidden="1" outlineLevel="2" x14ac:dyDescent="0.25">
      <c r="A72" s="26"/>
      <c r="B72" s="11" t="str">
        <f>CONCATENATE("          ", "6247", " - ", "STORE SUPPLIES")</f>
        <v xml:space="preserve">          6247 - STORE SUPPLIES</v>
      </c>
      <c r="C72" s="11"/>
      <c r="D72" s="7"/>
      <c r="E72" s="2"/>
      <c r="F72" s="6">
        <f t="shared" si="45"/>
        <v>0</v>
      </c>
      <c r="G72" s="2"/>
      <c r="H72" s="7"/>
      <c r="I72" s="2"/>
      <c r="J72" s="6">
        <f t="shared" si="46"/>
        <v>0</v>
      </c>
      <c r="K72" s="2"/>
      <c r="L72" s="7">
        <f t="shared" si="47"/>
        <v>0</v>
      </c>
      <c r="M72" s="2"/>
      <c r="N72" s="6">
        <f t="shared" si="48"/>
        <v>0</v>
      </c>
      <c r="O72" s="11"/>
      <c r="P72" s="7">
        <v>1695.58</v>
      </c>
      <c r="Q72" s="2"/>
      <c r="R72" s="6">
        <f t="shared" si="49"/>
        <v>1.07799448192046E-2</v>
      </c>
      <c r="S72" s="2"/>
      <c r="T72" s="7"/>
      <c r="U72" s="2"/>
      <c r="V72" s="6">
        <f t="shared" si="50"/>
        <v>0</v>
      </c>
      <c r="W72" s="2"/>
      <c r="X72" s="7">
        <f t="shared" si="51"/>
        <v>1695.58</v>
      </c>
      <c r="Y72" s="2"/>
      <c r="Z72" s="6">
        <f t="shared" si="52"/>
        <v>0</v>
      </c>
    </row>
    <row r="73" spans="1:26" s="27" customFormat="1" outlineLevel="1" collapsed="1" x14ac:dyDescent="0.25">
      <c r="A73" s="25"/>
      <c r="B73" s="12" t="str">
        <f>CONCATENATE("     ","Telephone/Data Lines                              ")</f>
        <v xml:space="preserve">     Telephone/Data Lines                              </v>
      </c>
      <c r="C73" s="12"/>
      <c r="D73" s="1">
        <f>SUM(OSRRefD22_12x_0)</f>
        <v>214.01</v>
      </c>
      <c r="E73" s="1"/>
      <c r="F73" s="5">
        <f t="shared" ref="F73:F75" si="53">IF(D$12=0,0,D73/D$12)</f>
        <v>0</v>
      </c>
      <c r="G73" s="1"/>
      <c r="H73" s="1">
        <f>SUM(OSRRefH22_12x_0)</f>
        <v>298</v>
      </c>
      <c r="I73" s="1"/>
      <c r="J73" s="5">
        <f t="shared" ref="J73:J75" si="54">IF(H$12=0,0,H73/H$12)</f>
        <v>5.6226415094339623E-3</v>
      </c>
      <c r="K73" s="1"/>
      <c r="L73" s="1">
        <f t="shared" ref="L73:L75" si="55">+D73-H73</f>
        <v>-83.990000000000009</v>
      </c>
      <c r="M73" s="1"/>
      <c r="N73" s="5">
        <f t="shared" ref="N73:N75" si="56">IF(H73=0,0,L73/H73)</f>
        <v>-0.28184563758389264</v>
      </c>
      <c r="O73" s="12"/>
      <c r="P73" s="1">
        <f>SUM(OSRRefP22_12x_0)</f>
        <v>2354.1</v>
      </c>
      <c r="Q73" s="1"/>
      <c r="R73" s="5">
        <f t="shared" ref="R73:R75" si="57">IF(P$12=0,0,P73/P$12)</f>
        <v>1.4966600277715913E-2</v>
      </c>
      <c r="S73" s="1"/>
      <c r="T73" s="1">
        <f>SUM(OSRRefT22_12x_0)</f>
        <v>3278</v>
      </c>
      <c r="U73" s="1"/>
      <c r="V73" s="5">
        <f t="shared" ref="V73:V75" si="58">IF(T$12=0,0,T73/T$12)</f>
        <v>1.3112E-2</v>
      </c>
      <c r="W73" s="1"/>
      <c r="X73" s="1">
        <f t="shared" ref="X73:X75" si="59">+P73-T73</f>
        <v>-923.90000000000009</v>
      </c>
      <c r="Y73" s="1"/>
      <c r="Z73" s="5">
        <f t="shared" ref="Z73:Z75" si="60">IF(T73=0,0,X73/T73)</f>
        <v>-0.28184868822452719</v>
      </c>
    </row>
    <row r="74" spans="1:26" s="24" customFormat="1" hidden="1" outlineLevel="2" x14ac:dyDescent="0.25">
      <c r="A74" s="26"/>
      <c r="B74" s="11" t="str">
        <f>CONCATENATE("          ", "6303", " - ", "DATA PHONE LINES")</f>
        <v xml:space="preserve">          6303 - DATA PHONE LINES</v>
      </c>
      <c r="C74" s="11"/>
      <c r="D74" s="7"/>
      <c r="E74" s="2"/>
      <c r="F74" s="6">
        <f t="shared" si="53"/>
        <v>0</v>
      </c>
      <c r="G74" s="2"/>
      <c r="H74" s="7">
        <v>298</v>
      </c>
      <c r="I74" s="2"/>
      <c r="J74" s="6">
        <f t="shared" si="54"/>
        <v>5.6226415094339623E-3</v>
      </c>
      <c r="K74" s="2"/>
      <c r="L74" s="7">
        <f t="shared" si="55"/>
        <v>-298</v>
      </c>
      <c r="M74" s="2"/>
      <c r="N74" s="6">
        <f t="shared" si="56"/>
        <v>-1</v>
      </c>
      <c r="O74" s="11"/>
      <c r="P74" s="7"/>
      <c r="Q74" s="2"/>
      <c r="R74" s="6">
        <f t="shared" si="57"/>
        <v>0</v>
      </c>
      <c r="S74" s="2"/>
      <c r="T74" s="7">
        <v>3278</v>
      </c>
      <c r="U74" s="2"/>
      <c r="V74" s="6">
        <f t="shared" si="58"/>
        <v>1.3112E-2</v>
      </c>
      <c r="W74" s="2"/>
      <c r="X74" s="7">
        <f t="shared" si="59"/>
        <v>-3278</v>
      </c>
      <c r="Y74" s="2"/>
      <c r="Z74" s="6">
        <f t="shared" si="60"/>
        <v>-1</v>
      </c>
    </row>
    <row r="75" spans="1:26" s="24" customFormat="1" hidden="1" outlineLevel="2" x14ac:dyDescent="0.25">
      <c r="A75" s="26"/>
      <c r="B75" s="11" t="str">
        <f>CONCATENATE("          ", "6309", " - ", "TELEPHONE")</f>
        <v xml:space="preserve">          6309 - TELEPHONE</v>
      </c>
      <c r="C75" s="11"/>
      <c r="D75" s="7">
        <v>214.01</v>
      </c>
      <c r="E75" s="2"/>
      <c r="F75" s="6">
        <f t="shared" si="53"/>
        <v>0</v>
      </c>
      <c r="G75" s="2"/>
      <c r="H75" s="7"/>
      <c r="I75" s="2"/>
      <c r="J75" s="6">
        <f t="shared" si="54"/>
        <v>0</v>
      </c>
      <c r="K75" s="2"/>
      <c r="L75" s="7">
        <f t="shared" si="55"/>
        <v>214.01</v>
      </c>
      <c r="M75" s="2"/>
      <c r="N75" s="6">
        <f t="shared" si="56"/>
        <v>0</v>
      </c>
      <c r="O75" s="11"/>
      <c r="P75" s="7">
        <v>2354.1</v>
      </c>
      <c r="Q75" s="2"/>
      <c r="R75" s="6">
        <f t="shared" si="57"/>
        <v>1.4966600277715913E-2</v>
      </c>
      <c r="S75" s="2"/>
      <c r="T75" s="7"/>
      <c r="U75" s="2"/>
      <c r="V75" s="6">
        <f t="shared" si="58"/>
        <v>0</v>
      </c>
      <c r="W75" s="2"/>
      <c r="X75" s="7">
        <f t="shared" si="59"/>
        <v>2354.1</v>
      </c>
      <c r="Y75" s="2"/>
      <c r="Z75" s="6">
        <f t="shared" si="60"/>
        <v>0</v>
      </c>
    </row>
    <row r="76" spans="1:26" s="62" customFormat="1" x14ac:dyDescent="0.25">
      <c r="A76" s="36"/>
      <c r="B76" s="36"/>
      <c r="C76" s="36"/>
      <c r="D76" s="1"/>
      <c r="E76" s="1"/>
      <c r="F76" s="5"/>
      <c r="G76" s="1"/>
      <c r="H76" s="1"/>
      <c r="I76" s="1"/>
      <c r="J76" s="5"/>
      <c r="K76" s="1"/>
      <c r="L76" s="1"/>
      <c r="M76" s="1"/>
      <c r="N76" s="5"/>
      <c r="O76" s="36"/>
      <c r="P76" s="1"/>
      <c r="Q76" s="1"/>
      <c r="R76" s="5"/>
      <c r="S76" s="1"/>
      <c r="T76" s="1"/>
      <c r="U76" s="1"/>
      <c r="V76" s="5"/>
      <c r="W76" s="1"/>
      <c r="X76" s="1"/>
      <c r="Y76" s="1"/>
      <c r="Z76" s="5"/>
    </row>
    <row r="77" spans="1:26" s="23" customFormat="1" collapsed="1" x14ac:dyDescent="0.25">
      <c r="A77" s="10"/>
      <c r="B77" s="28" t="s">
        <v>0</v>
      </c>
      <c r="C77" s="10"/>
      <c r="D77" s="4">
        <f>SUM(OSRRefD25x_0)</f>
        <v>0</v>
      </c>
      <c r="E77" s="4"/>
      <c r="F77" s="13">
        <f t="shared" ref="F77:F78" si="61">IF(D$12=0,0,D77/D$12)</f>
        <v>0</v>
      </c>
      <c r="G77" s="4"/>
      <c r="H77" s="4">
        <f>SUM(OSRRefH25x_0)</f>
        <v>4500</v>
      </c>
      <c r="I77" s="4"/>
      <c r="J77" s="13">
        <f t="shared" ref="J77:J78" si="62">IF(H$12=0,0,H77/H$12)</f>
        <v>8.4905660377358486E-2</v>
      </c>
      <c r="K77" s="4"/>
      <c r="L77" s="4">
        <f t="shared" ref="L77:L78" si="63">+D77-H77</f>
        <v>-4500</v>
      </c>
      <c r="M77" s="4"/>
      <c r="N77" s="13">
        <f t="shared" ref="N77:N78" si="64">IF(H77=0,0,L77/H77)</f>
        <v>-1</v>
      </c>
      <c r="O77" s="10"/>
      <c r="P77" s="4">
        <f>SUM(OSRRefP25x_0)</f>
        <v>8452.17</v>
      </c>
      <c r="Q77" s="4"/>
      <c r="R77" s="13">
        <f t="shared" ref="R77:R78" si="65">IF(P$12=0,0,P77/P$12)</f>
        <v>5.3736141144939513E-2</v>
      </c>
      <c r="S77" s="4"/>
      <c r="T77" s="4">
        <f>SUM(OSRRefT25x_0)</f>
        <v>18000</v>
      </c>
      <c r="U77" s="4"/>
      <c r="V77" s="13">
        <f t="shared" ref="V77:V78" si="66">IF(T$12=0,0,T77/T$12)</f>
        <v>7.1999999999999995E-2</v>
      </c>
      <c r="W77" s="4"/>
      <c r="X77" s="4">
        <f t="shared" ref="X77:X78" si="67">+P77-T77</f>
        <v>-9547.83</v>
      </c>
      <c r="Y77" s="4"/>
      <c r="Z77" s="13">
        <f t="shared" ref="Z77:Z78" si="68">IF(T77=0,0,X77/T77)</f>
        <v>-0.53043499999999999</v>
      </c>
    </row>
    <row r="78" spans="1:26" s="24" customFormat="1" hidden="1" outlineLevel="1" x14ac:dyDescent="0.25">
      <c r="A78" s="44"/>
      <c r="B78" s="11" t="str">
        <f>CONCATENATE("          ", "9150", " - ", "MISC. INCOME")</f>
        <v xml:space="preserve">          9150 - MISC. INCOME</v>
      </c>
      <c r="C78" s="11"/>
      <c r="D78" s="2">
        <f>0</f>
        <v>0</v>
      </c>
      <c r="E78" s="2"/>
      <c r="F78" s="19">
        <f t="shared" si="61"/>
        <v>0</v>
      </c>
      <c r="G78" s="2"/>
      <c r="H78" s="2">
        <v>4500</v>
      </c>
      <c r="I78" s="2"/>
      <c r="J78" s="19">
        <f t="shared" si="62"/>
        <v>8.4905660377358486E-2</v>
      </c>
      <c r="K78" s="2"/>
      <c r="L78" s="2">
        <f t="shared" si="63"/>
        <v>-4500</v>
      </c>
      <c r="M78" s="2"/>
      <c r="N78" s="19">
        <f t="shared" si="64"/>
        <v>-1</v>
      </c>
      <c r="O78" s="11"/>
      <c r="P78" s="2">
        <f>--8452.17</f>
        <v>8452.17</v>
      </c>
      <c r="Q78" s="2"/>
      <c r="R78" s="19">
        <f t="shared" si="65"/>
        <v>5.3736141144939513E-2</v>
      </c>
      <c r="S78" s="2"/>
      <c r="T78" s="2">
        <v>18000</v>
      </c>
      <c r="U78" s="2"/>
      <c r="V78" s="19">
        <f t="shared" si="66"/>
        <v>7.1999999999999995E-2</v>
      </c>
      <c r="W78" s="2"/>
      <c r="X78" s="2">
        <f t="shared" si="67"/>
        <v>-9547.83</v>
      </c>
      <c r="Y78" s="2"/>
      <c r="Z78" s="19">
        <f t="shared" si="68"/>
        <v>-0.53043499999999999</v>
      </c>
    </row>
    <row r="79" spans="1:26" x14ac:dyDescent="0.25">
      <c r="A79" s="9"/>
      <c r="B79" s="10"/>
      <c r="C79" s="10"/>
      <c r="D79" s="3"/>
      <c r="E79" s="3"/>
      <c r="F79" s="8"/>
      <c r="G79" s="3"/>
      <c r="H79" s="3"/>
      <c r="I79" s="3"/>
      <c r="J79" s="8"/>
      <c r="K79" s="3"/>
      <c r="L79" s="3"/>
      <c r="M79" s="3"/>
      <c r="N79" s="8"/>
      <c r="O79" s="10"/>
      <c r="P79" s="3"/>
      <c r="Q79" s="3"/>
      <c r="R79" s="8"/>
      <c r="S79" s="3"/>
      <c r="T79" s="3"/>
      <c r="U79" s="3"/>
      <c r="V79" s="8"/>
      <c r="W79" s="3"/>
      <c r="X79" s="3"/>
      <c r="Y79" s="3"/>
      <c r="Z79" s="8"/>
    </row>
    <row r="80" spans="1:26" s="23" customFormat="1" x14ac:dyDescent="0.25">
      <c r="A80" s="10"/>
      <c r="B80" s="29" t="s">
        <v>3</v>
      </c>
      <c r="C80" s="29"/>
      <c r="D80" s="20">
        <f>+D23-D25+D77</f>
        <v>-693.3</v>
      </c>
      <c r="E80" s="14"/>
      <c r="F80" s="22">
        <f>IF(D$12=0,0,D80/D$12)</f>
        <v>0</v>
      </c>
      <c r="G80" s="14"/>
      <c r="H80" s="20">
        <f>+H23-H25+H77</f>
        <v>24358.178500000002</v>
      </c>
      <c r="I80" s="14"/>
      <c r="J80" s="22">
        <f>IF(H$12=0,0,H80/H$12)</f>
        <v>0.45958827358490567</v>
      </c>
      <c r="K80" s="16"/>
      <c r="L80" s="20">
        <f>+D80-H80</f>
        <v>-25051.478500000001</v>
      </c>
      <c r="M80" s="16"/>
      <c r="N80" s="22">
        <f>IF(H80=0,0,L80/H80)</f>
        <v>-1.0284627194106488</v>
      </c>
      <c r="O80" s="28"/>
      <c r="P80" s="20">
        <f>+P23-P25+P77</f>
        <v>32188.910000000018</v>
      </c>
      <c r="Q80" s="14"/>
      <c r="R80" s="22">
        <f>IF(P$12=0,0,P80/P$12)</f>
        <v>0.20464659502373425</v>
      </c>
      <c r="S80" s="14"/>
      <c r="T80" s="20">
        <f>+T23-T25+T77</f>
        <v>89144.832800000004</v>
      </c>
      <c r="U80" s="14"/>
      <c r="V80" s="22">
        <f>IF(T$12=0,0,T80/T$12)</f>
        <v>0.35657933120000002</v>
      </c>
      <c r="W80" s="16"/>
      <c r="X80" s="20">
        <f>+P80-T80</f>
        <v>-56955.922799999986</v>
      </c>
      <c r="Y80" s="16"/>
      <c r="Z80" s="22">
        <f>IF(T80=0,0,X80/T80)</f>
        <v>-0.63891446100732363</v>
      </c>
    </row>
    <row r="81" spans="1:26" x14ac:dyDescent="0.25">
      <c r="A81" s="9"/>
      <c r="B81" s="10"/>
      <c r="C81" s="9"/>
      <c r="D81" s="3"/>
      <c r="E81" s="3"/>
      <c r="F81" s="8"/>
      <c r="G81" s="3"/>
      <c r="H81" s="3"/>
      <c r="I81" s="3"/>
      <c r="J81" s="8"/>
      <c r="K81" s="3"/>
      <c r="L81" s="3"/>
      <c r="M81" s="3"/>
      <c r="N81" s="8"/>
      <c r="P81" s="3"/>
      <c r="Q81" s="3"/>
      <c r="R81" s="8"/>
      <c r="S81" s="3"/>
      <c r="T81" s="3"/>
      <c r="U81" s="3"/>
      <c r="V81" s="8"/>
      <c r="W81" s="3"/>
      <c r="X81" s="3"/>
      <c r="Y81" s="3"/>
      <c r="Z81" s="8"/>
    </row>
    <row r="82" spans="1:26" s="23" customFormat="1" x14ac:dyDescent="0.25">
      <c r="A82" s="52"/>
      <c r="B82" s="10" t="s">
        <v>14</v>
      </c>
      <c r="C82" s="10"/>
      <c r="D82" s="4">
        <v>766.44</v>
      </c>
      <c r="E82" s="4"/>
      <c r="F82" s="13">
        <f>IF(D$12=0,0,D82/D$12)</f>
        <v>0</v>
      </c>
      <c r="G82" s="4"/>
      <c r="H82" s="4">
        <v>5939</v>
      </c>
      <c r="I82" s="4"/>
      <c r="J82" s="13">
        <f>IF(H$12=0,0,H82/H$12)</f>
        <v>0.11205660377358491</v>
      </c>
      <c r="K82" s="4"/>
      <c r="L82" s="4">
        <f>+D82-H82</f>
        <v>-5172.5599999999995</v>
      </c>
      <c r="M82" s="4"/>
      <c r="N82" s="13">
        <f>IF(H82=0,0,L82/H82)</f>
        <v>-0.87094797103889532</v>
      </c>
      <c r="O82" s="10"/>
      <c r="P82" s="4">
        <v>18625.62</v>
      </c>
      <c r="Q82" s="4"/>
      <c r="R82" s="13">
        <f>IF(P$12=0,0,P82/P$12)</f>
        <v>0.11841561932994819</v>
      </c>
      <c r="S82" s="4"/>
      <c r="T82" s="4">
        <v>28957</v>
      </c>
      <c r="U82" s="4"/>
      <c r="V82" s="13">
        <f>IF(T$12=0,0,T82/T$12)</f>
        <v>0.115828</v>
      </c>
      <c r="W82" s="4"/>
      <c r="X82" s="4">
        <f>+P82-T82</f>
        <v>-10331.380000000001</v>
      </c>
      <c r="Y82" s="4"/>
      <c r="Z82" s="13">
        <f>IF(T82=0,0,X82/T82)</f>
        <v>-0.35678350657872021</v>
      </c>
    </row>
    <row r="83" spans="1:26" x14ac:dyDescent="0.25">
      <c r="A83" s="9"/>
      <c r="B83" s="10"/>
      <c r="C83" s="10"/>
      <c r="D83" s="3"/>
      <c r="E83" s="3"/>
      <c r="F83" s="8"/>
      <c r="G83" s="3"/>
      <c r="H83" s="3"/>
      <c r="I83" s="3"/>
      <c r="J83" s="8"/>
      <c r="K83" s="3"/>
      <c r="L83" s="3"/>
      <c r="M83" s="3"/>
      <c r="N83" s="8"/>
      <c r="O83" s="10"/>
      <c r="P83" s="3"/>
      <c r="Q83" s="3"/>
      <c r="R83" s="8"/>
      <c r="S83" s="3"/>
      <c r="T83" s="3"/>
      <c r="U83" s="3"/>
      <c r="V83" s="8"/>
      <c r="W83" s="3"/>
      <c r="X83" s="3"/>
      <c r="Y83" s="3"/>
      <c r="Z83" s="8"/>
    </row>
    <row r="84" spans="1:26" s="23" customFormat="1" ht="15.75" thickBot="1" x14ac:dyDescent="0.3">
      <c r="A84" s="10"/>
      <c r="B84" s="29" t="s">
        <v>4</v>
      </c>
      <c r="C84" s="29"/>
      <c r="D84" s="35">
        <f>+D80-D82</f>
        <v>-1459.74</v>
      </c>
      <c r="E84" s="14"/>
      <c r="F84" s="32">
        <f>IF(D$12=0,0,D84/D$12)</f>
        <v>0</v>
      </c>
      <c r="G84" s="14"/>
      <c r="H84" s="35">
        <f>+H80-H82</f>
        <v>18419.178500000002</v>
      </c>
      <c r="I84" s="14"/>
      <c r="J84" s="32">
        <f>IF(H$12=0,0,H84/H$12)</f>
        <v>0.34753166981132078</v>
      </c>
      <c r="K84" s="16"/>
      <c r="L84" s="35">
        <f>D84-H84</f>
        <v>-19878.918500000003</v>
      </c>
      <c r="M84" s="16"/>
      <c r="N84" s="32">
        <f>IF(H84=0,0,L84/H84)</f>
        <v>-1.0792510914642583</v>
      </c>
      <c r="O84" s="28"/>
      <c r="P84" s="35">
        <f>+P80-P82</f>
        <v>13563.290000000019</v>
      </c>
      <c r="Q84" s="14"/>
      <c r="R84" s="32">
        <f>IF(P$12=0,0,P84/P$12)</f>
        <v>8.6230975693786058E-2</v>
      </c>
      <c r="S84" s="14"/>
      <c r="T84" s="35">
        <f>+T80-T82</f>
        <v>60187.832800000004</v>
      </c>
      <c r="U84" s="14"/>
      <c r="V84" s="32">
        <f>IF(T$12=0,0,T84/T$12)</f>
        <v>0.2407513312</v>
      </c>
      <c r="W84" s="16"/>
      <c r="X84" s="35">
        <f>P84-T84</f>
        <v>-46624.542799999981</v>
      </c>
      <c r="Y84" s="16"/>
      <c r="Z84" s="32">
        <f>IF(T84=0,0,X84/T84)</f>
        <v>-0.77465063337518902</v>
      </c>
    </row>
    <row r="85" spans="1:26" ht="15.75" thickTop="1" x14ac:dyDescent="0.25">
      <c r="A85" s="9"/>
      <c r="B85" s="9"/>
      <c r="C85" s="9"/>
      <c r="D85" s="3"/>
      <c r="E85" s="3"/>
      <c r="F85" s="8"/>
      <c r="G85" s="3"/>
      <c r="H85" s="3"/>
      <c r="I85" s="3"/>
      <c r="J85" s="8"/>
      <c r="K85" s="3"/>
      <c r="L85" s="3"/>
      <c r="M85" s="3"/>
      <c r="N85" s="8"/>
      <c r="P85" s="3"/>
      <c r="Q85" s="3"/>
      <c r="R85" s="8"/>
      <c r="S85" s="3"/>
      <c r="T85" s="3"/>
      <c r="U85" s="3"/>
      <c r="V85" s="8"/>
      <c r="W85" s="3"/>
      <c r="X85" s="3"/>
      <c r="Y85" s="3"/>
      <c r="Z85" s="8"/>
    </row>
    <row r="86" spans="1:26" x14ac:dyDescent="0.25">
      <c r="A86" s="9"/>
      <c r="B86" s="9"/>
      <c r="C86" s="9"/>
      <c r="D86" s="3"/>
      <c r="E86" s="3"/>
      <c r="F86" s="8"/>
      <c r="G86" s="3"/>
      <c r="H86" s="3"/>
      <c r="I86" s="3"/>
      <c r="J86" s="8"/>
      <c r="K86" s="3"/>
      <c r="L86" s="3"/>
      <c r="M86" s="3"/>
      <c r="N86" s="8"/>
      <c r="P86" s="3"/>
      <c r="Q86" s="3"/>
      <c r="R86" s="8"/>
      <c r="S86" s="3"/>
      <c r="T86" s="3"/>
      <c r="U86" s="3"/>
      <c r="V86" s="8"/>
      <c r="W86" s="3"/>
      <c r="X86" s="3"/>
      <c r="Y86" s="3"/>
      <c r="Z86" s="8"/>
    </row>
    <row r="87" spans="1:26" s="23" customFormat="1" ht="15.75" thickBot="1" x14ac:dyDescent="0.3">
      <c r="A87" s="10"/>
      <c r="B87" s="29" t="s">
        <v>5</v>
      </c>
      <c r="C87" s="29"/>
      <c r="D87" s="34">
        <f>SUM(D84:D86)</f>
        <v>-1459.74</v>
      </c>
      <c r="E87" s="14"/>
      <c r="F87" s="31">
        <f>IF(D$12=0,0,D87/D$12)</f>
        <v>0</v>
      </c>
      <c r="G87" s="14"/>
      <c r="H87" s="34">
        <f>SUM(H84:H86)</f>
        <v>18419.178500000002</v>
      </c>
      <c r="I87" s="14"/>
      <c r="J87" s="31">
        <f>IF(H$12=0,0,H87/H$12)</f>
        <v>0.34753166981132078</v>
      </c>
      <c r="K87" s="16"/>
      <c r="L87" s="34">
        <f>+D87-H87</f>
        <v>-19878.918500000003</v>
      </c>
      <c r="M87" s="16"/>
      <c r="N87" s="31">
        <f>IF(H87=0,0,L87/H87)</f>
        <v>-1.0792510914642583</v>
      </c>
      <c r="O87" s="28"/>
      <c r="P87" s="34">
        <f>SUM(P84:P86)</f>
        <v>13563.290000000019</v>
      </c>
      <c r="Q87" s="14"/>
      <c r="R87" s="31">
        <f>IF(P$12=0,0,P87/P$12)</f>
        <v>8.6230975693786058E-2</v>
      </c>
      <c r="S87" s="14"/>
      <c r="T87" s="34">
        <f>SUM(T84:T86)</f>
        <v>60187.832800000004</v>
      </c>
      <c r="U87" s="14"/>
      <c r="V87" s="31">
        <f>IF(T$12=0,0,T87/T$12)</f>
        <v>0.2407513312</v>
      </c>
      <c r="W87" s="16"/>
      <c r="X87" s="34">
        <f>+P87-T87</f>
        <v>-46624.542799999981</v>
      </c>
      <c r="Y87" s="16"/>
      <c r="Z87" s="31">
        <f>IF(T87=0,0,X87/T87)</f>
        <v>-0.77465063337518902</v>
      </c>
    </row>
    <row r="88" spans="1:26" ht="15.75" thickTop="1" x14ac:dyDescent="0.25">
      <c r="A88" s="9"/>
      <c r="C88" s="9"/>
      <c r="D88" s="18"/>
      <c r="E88" s="18"/>
      <c r="G88" s="18"/>
      <c r="H88" s="18"/>
      <c r="I88" s="18"/>
      <c r="J88" s="42"/>
      <c r="K88" s="18"/>
      <c r="L88" s="18"/>
      <c r="M88" s="18"/>
      <c r="P88" s="18"/>
      <c r="Q88" s="18"/>
      <c r="R88" s="42"/>
      <c r="S88" s="18"/>
      <c r="T88" s="18"/>
      <c r="U88" s="18"/>
      <c r="V88" s="42"/>
      <c r="W88" s="18"/>
      <c r="X88" s="18"/>
    </row>
    <row r="89" spans="1:26" x14ac:dyDescent="0.25">
      <c r="A89" s="9"/>
      <c r="B89" s="59">
        <v>43992.372201388891</v>
      </c>
      <c r="D89" s="18"/>
      <c r="E89" s="18"/>
      <c r="G89" s="18"/>
      <c r="H89" s="18"/>
      <c r="I89" s="18"/>
      <c r="J89" s="42"/>
      <c r="K89" s="18"/>
      <c r="L89" s="18"/>
      <c r="M89" s="18"/>
      <c r="P89" s="18"/>
      <c r="Q89" s="18"/>
      <c r="R89" s="42"/>
      <c r="S89" s="18"/>
      <c r="T89" s="18"/>
      <c r="U89" s="18"/>
      <c r="V89" s="42"/>
      <c r="W89" s="18"/>
      <c r="X89" s="18"/>
    </row>
    <row r="90" spans="1:26" x14ac:dyDescent="0.25">
      <c r="A90" s="9"/>
      <c r="B90" s="56" t="s">
        <v>314</v>
      </c>
      <c r="D90" s="18"/>
      <c r="E90" s="18"/>
      <c r="G90" s="18"/>
      <c r="H90" s="18"/>
      <c r="I90" s="18"/>
      <c r="J90" s="42"/>
      <c r="K90" s="18"/>
      <c r="L90" s="18"/>
      <c r="M90" s="18"/>
      <c r="P90" s="18"/>
      <c r="Q90" s="18"/>
      <c r="R90" s="42"/>
      <c r="S90" s="18"/>
      <c r="T90" s="18"/>
      <c r="U90" s="18"/>
      <c r="V90" s="42"/>
      <c r="W90" s="18"/>
      <c r="X90" s="18"/>
    </row>
    <row r="91" spans="1:26" x14ac:dyDescent="0.25">
      <c r="A91" s="9"/>
      <c r="B91" s="54"/>
      <c r="D91" s="18"/>
      <c r="E91" s="18"/>
      <c r="G91" s="18"/>
      <c r="H91" s="18"/>
      <c r="I91" s="18"/>
      <c r="J91" s="42"/>
      <c r="K91" s="18"/>
      <c r="L91" s="18"/>
      <c r="M91" s="18"/>
      <c r="P91" s="18"/>
      <c r="Q91" s="18"/>
      <c r="R91" s="42"/>
      <c r="S91" s="18"/>
      <c r="T91" s="18"/>
      <c r="U91" s="18"/>
      <c r="V91" s="42"/>
      <c r="W91" s="18"/>
      <c r="X91" s="18"/>
    </row>
    <row r="92" spans="1:26" x14ac:dyDescent="0.25">
      <c r="D92" s="18"/>
      <c r="E92" s="18"/>
      <c r="G92" s="18"/>
      <c r="H92" s="18"/>
      <c r="I92" s="18"/>
      <c r="J92" s="42"/>
      <c r="K92" s="18"/>
      <c r="L92" s="18"/>
      <c r="M92" s="18"/>
      <c r="P92" s="18"/>
      <c r="Q92" s="18"/>
      <c r="R92" s="42"/>
      <c r="S92" s="18"/>
      <c r="T92" s="18"/>
      <c r="U92" s="18"/>
      <c r="V92" s="42"/>
      <c r="W92" s="18"/>
      <c r="X92" s="18"/>
    </row>
  </sheetData>
  <pageMargins left="0.25" right="0.25" top="0.75" bottom="0.75" header="0.3" footer="0.3"/>
  <pageSetup scale="55" fitToWidth="2" orientation="landscape"/>
  <drawing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109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63" t="s">
        <v>13</v>
      </c>
    </row>
    <row r="3" spans="1:26" x14ac:dyDescent="0.25">
      <c r="D3" s="63" t="s">
        <v>296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61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63" t="str">
        <f>CONCATENATE("Period ",RIGHT(202011,2),", ",2020)</f>
        <v>Period 11, 2020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61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4">
        <v>43981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61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51"/>
      <c r="C6" s="51"/>
      <c r="D6" s="23" t="str">
        <f>CONCATENATE("Department ","425", " - ", "Events Center")</f>
        <v>Department 425 - Events Center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57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5" t="s">
        <v>294</v>
      </c>
      <c r="E9" s="15"/>
      <c r="F9" s="38"/>
      <c r="G9" s="15"/>
      <c r="H9" s="15"/>
      <c r="I9" s="15"/>
      <c r="J9" s="46"/>
      <c r="K9" s="15"/>
      <c r="L9" s="15"/>
      <c r="M9" s="15"/>
      <c r="N9" s="38"/>
      <c r="P9" s="15" t="s">
        <v>295</v>
      </c>
      <c r="Q9" s="15"/>
      <c r="R9" s="38"/>
      <c r="S9" s="15"/>
      <c r="T9" s="15"/>
      <c r="U9" s="15"/>
      <c r="V9" s="46"/>
      <c r="W9" s="15"/>
      <c r="X9" s="15"/>
      <c r="Y9" s="15"/>
      <c r="Z9" s="38"/>
    </row>
    <row r="10" spans="1:26" x14ac:dyDescent="0.25">
      <c r="A10" s="10"/>
      <c r="B10" s="55"/>
      <c r="C10" s="10"/>
      <c r="D10" s="43" t="s">
        <v>10</v>
      </c>
      <c r="E10" s="33"/>
      <c r="F10" s="40" t="s">
        <v>15</v>
      </c>
      <c r="G10" s="33"/>
      <c r="H10" s="47" t="s">
        <v>11</v>
      </c>
      <c r="I10" s="33"/>
      <c r="J10" s="45" t="s">
        <v>16</v>
      </c>
      <c r="K10" s="10"/>
      <c r="L10" s="43" t="s">
        <v>12</v>
      </c>
      <c r="M10" s="10"/>
      <c r="N10" s="40" t="s">
        <v>17</v>
      </c>
      <c r="O10" s="10"/>
      <c r="P10" s="53" t="s">
        <v>10</v>
      </c>
      <c r="Q10" s="33"/>
      <c r="R10" s="40" t="s">
        <v>15</v>
      </c>
      <c r="S10" s="33"/>
      <c r="T10" s="47" t="s">
        <v>11</v>
      </c>
      <c r="U10" s="33"/>
      <c r="V10" s="45" t="s">
        <v>16</v>
      </c>
      <c r="W10" s="10"/>
      <c r="X10" s="43" t="s">
        <v>12</v>
      </c>
      <c r="Y10" s="10"/>
      <c r="Z10" s="40" t="s">
        <v>17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0</v>
      </c>
      <c r="E12" s="4"/>
      <c r="F12" s="13"/>
      <c r="G12" s="4"/>
      <c r="H12" s="4">
        <f>SUM(OSRRefH13x_0)</f>
        <v>50000</v>
      </c>
      <c r="I12" s="4"/>
      <c r="J12" s="13"/>
      <c r="K12" s="4"/>
      <c r="L12" s="4">
        <f t="shared" ref="L12:L18" si="0">+D12-H12</f>
        <v>-50000</v>
      </c>
      <c r="M12" s="4"/>
      <c r="N12" s="13">
        <f t="shared" ref="N12:N18" si="1">IF(H12=0,0,L12/H12)</f>
        <v>-1</v>
      </c>
      <c r="O12" s="10"/>
      <c r="P12" s="4">
        <f>SUM(OSRRefP13x_0)</f>
        <v>392328.46</v>
      </c>
      <c r="Q12" s="4"/>
      <c r="R12" s="13"/>
      <c r="S12" s="4"/>
      <c r="T12" s="4">
        <f>SUM(OSRRefT13x_0)</f>
        <v>600000</v>
      </c>
      <c r="U12" s="4"/>
      <c r="V12" s="13"/>
      <c r="W12" s="4"/>
      <c r="X12" s="4">
        <f t="shared" ref="X12:X18" si="2">+P12-T12</f>
        <v>-207671.53999999998</v>
      </c>
      <c r="Y12" s="4"/>
      <c r="Z12" s="13">
        <f t="shared" ref="Z12:Z18" si="3">IF(T12=0,0,X12/T12)</f>
        <v>-0.34611923333333328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 t="shared" ref="D13:D18" si="4">0</f>
        <v>0</v>
      </c>
      <c r="E13" s="2"/>
      <c r="F13" s="19"/>
      <c r="G13" s="2"/>
      <c r="H13" s="2">
        <v>12500</v>
      </c>
      <c r="I13" s="2"/>
      <c r="J13" s="19"/>
      <c r="K13" s="2"/>
      <c r="L13" s="2">
        <f t="shared" si="0"/>
        <v>-12500</v>
      </c>
      <c r="M13" s="2"/>
      <c r="N13" s="19">
        <f t="shared" si="1"/>
        <v>-1</v>
      </c>
      <c r="O13" s="11"/>
      <c r="P13" s="2">
        <f>0</f>
        <v>0</v>
      </c>
      <c r="Q13" s="2"/>
      <c r="R13" s="19"/>
      <c r="S13" s="2"/>
      <c r="T13" s="2">
        <v>150000</v>
      </c>
      <c r="U13" s="2"/>
      <c r="V13" s="19"/>
      <c r="W13" s="2"/>
      <c r="X13" s="2">
        <f t="shared" si="2"/>
        <v>-150000</v>
      </c>
      <c r="Y13" s="2"/>
      <c r="Z13" s="19">
        <f t="shared" si="3"/>
        <v>-1</v>
      </c>
    </row>
    <row r="14" spans="1:26" s="24" customFormat="1" hidden="1" outlineLevel="1" x14ac:dyDescent="0.25">
      <c r="A14" s="44"/>
      <c r="B14" s="11" t="str">
        <f>CONCATENATE("          ", "4052", " - ", "TAXABLE SALES-FOOD")</f>
        <v xml:space="preserve">          4052 - TAXABLE SALES-FOOD</v>
      </c>
      <c r="C14" s="11"/>
      <c r="D14" s="2">
        <f t="shared" si="4"/>
        <v>0</v>
      </c>
      <c r="E14" s="2"/>
      <c r="F14" s="19"/>
      <c r="G14" s="2"/>
      <c r="H14" s="2"/>
      <c r="I14" s="2"/>
      <c r="J14" s="19"/>
      <c r="K14" s="2"/>
      <c r="L14" s="2">
        <f t="shared" si="0"/>
        <v>0</v>
      </c>
      <c r="M14" s="2"/>
      <c r="N14" s="19">
        <f t="shared" si="1"/>
        <v>0</v>
      </c>
      <c r="O14" s="11"/>
      <c r="P14" s="2">
        <f>--296449.41</f>
        <v>296449.40999999997</v>
      </c>
      <c r="Q14" s="2"/>
      <c r="R14" s="19"/>
      <c r="S14" s="2"/>
      <c r="T14" s="2"/>
      <c r="U14" s="2"/>
      <c r="V14" s="19"/>
      <c r="W14" s="2"/>
      <c r="X14" s="2">
        <f t="shared" si="2"/>
        <v>296449.40999999997</v>
      </c>
      <c r="Y14" s="2"/>
      <c r="Z14" s="19">
        <f t="shared" si="3"/>
        <v>0</v>
      </c>
    </row>
    <row r="15" spans="1:26" s="24" customFormat="1" hidden="1" outlineLevel="1" x14ac:dyDescent="0.25">
      <c r="A15" s="44"/>
      <c r="B15" s="11" t="str">
        <f>CONCATENATE("          ", "4053", " - ", "TAXABLE SALES-FOOD")</f>
        <v xml:space="preserve">          4053 - TAXABLE SALES-FOOD</v>
      </c>
      <c r="C15" s="11"/>
      <c r="D15" s="2">
        <f t="shared" si="4"/>
        <v>0</v>
      </c>
      <c r="E15" s="2"/>
      <c r="F15" s="19"/>
      <c r="G15" s="2"/>
      <c r="H15" s="2"/>
      <c r="I15" s="2"/>
      <c r="J15" s="19"/>
      <c r="K15" s="2"/>
      <c r="L15" s="2">
        <f t="shared" si="0"/>
        <v>0</v>
      </c>
      <c r="M15" s="2"/>
      <c r="N15" s="19">
        <f t="shared" si="1"/>
        <v>0</v>
      </c>
      <c r="O15" s="11"/>
      <c r="P15" s="2">
        <f>--95481.76</f>
        <v>95481.76</v>
      </c>
      <c r="Q15" s="2"/>
      <c r="R15" s="19"/>
      <c r="S15" s="2"/>
      <c r="T15" s="2"/>
      <c r="U15" s="2"/>
      <c r="V15" s="19"/>
      <c r="W15" s="2"/>
      <c r="X15" s="2">
        <f t="shared" si="2"/>
        <v>95481.76</v>
      </c>
      <c r="Y15" s="2"/>
      <c r="Z15" s="19">
        <f t="shared" si="3"/>
        <v>0</v>
      </c>
    </row>
    <row r="16" spans="1:26" s="24" customFormat="1" hidden="1" outlineLevel="1" x14ac:dyDescent="0.25">
      <c r="A16" s="44"/>
      <c r="B16" s="11" t="str">
        <f>CONCATENATE("          ", "4100", " - ", "NON-TAXABLE SALES")</f>
        <v xml:space="preserve">          4100 - NON-TAXABLE SALES</v>
      </c>
      <c r="C16" s="11"/>
      <c r="D16" s="2">
        <f t="shared" si="4"/>
        <v>0</v>
      </c>
      <c r="E16" s="2"/>
      <c r="F16" s="19"/>
      <c r="G16" s="2"/>
      <c r="H16" s="2">
        <v>37500</v>
      </c>
      <c r="I16" s="2"/>
      <c r="J16" s="19"/>
      <c r="K16" s="2"/>
      <c r="L16" s="2">
        <f t="shared" si="0"/>
        <v>-37500</v>
      </c>
      <c r="M16" s="2"/>
      <c r="N16" s="19">
        <f t="shared" si="1"/>
        <v>-1</v>
      </c>
      <c r="O16" s="11"/>
      <c r="P16" s="2">
        <f>0</f>
        <v>0</v>
      </c>
      <c r="Q16" s="2"/>
      <c r="R16" s="19"/>
      <c r="S16" s="2"/>
      <c r="T16" s="2">
        <v>450000</v>
      </c>
      <c r="U16" s="2"/>
      <c r="V16" s="19"/>
      <c r="W16" s="2"/>
      <c r="X16" s="2">
        <f t="shared" si="2"/>
        <v>-450000</v>
      </c>
      <c r="Y16" s="2"/>
      <c r="Z16" s="19">
        <f t="shared" si="3"/>
        <v>-1</v>
      </c>
    </row>
    <row r="17" spans="1:26" s="24" customFormat="1" hidden="1" outlineLevel="1" x14ac:dyDescent="0.25">
      <c r="A17" s="44"/>
      <c r="B17" s="11" t="str">
        <f>CONCATENATE("          ", "4151", " - ", "NON-TAXABLE SALES-FOOD")</f>
        <v xml:space="preserve">          4151 - NON-TAXABLE SALES-FOOD</v>
      </c>
      <c r="C17" s="11"/>
      <c r="D17" s="2">
        <f t="shared" si="4"/>
        <v>0</v>
      </c>
      <c r="E17" s="2"/>
      <c r="F17" s="19"/>
      <c r="G17" s="2"/>
      <c r="H17" s="2"/>
      <c r="I17" s="2"/>
      <c r="J17" s="19"/>
      <c r="K17" s="2"/>
      <c r="L17" s="2">
        <f t="shared" si="0"/>
        <v>0</v>
      </c>
      <c r="M17" s="2"/>
      <c r="N17" s="19">
        <f t="shared" si="1"/>
        <v>0</v>
      </c>
      <c r="O17" s="11"/>
      <c r="P17" s="2">
        <f>--0.08</f>
        <v>0.08</v>
      </c>
      <c r="Q17" s="2"/>
      <c r="R17" s="19"/>
      <c r="S17" s="2"/>
      <c r="T17" s="2"/>
      <c r="U17" s="2"/>
      <c r="V17" s="19"/>
      <c r="W17" s="2"/>
      <c r="X17" s="2">
        <f t="shared" si="2"/>
        <v>0.08</v>
      </c>
      <c r="Y17" s="2"/>
      <c r="Z17" s="19">
        <f t="shared" si="3"/>
        <v>0</v>
      </c>
    </row>
    <row r="18" spans="1:26" s="24" customFormat="1" hidden="1" outlineLevel="1" x14ac:dyDescent="0.25">
      <c r="A18" s="44"/>
      <c r="B18" s="11" t="str">
        <f>CONCATENATE("          ", "4152", " - ", "NON-TAXABLE SALES-FOOD")</f>
        <v xml:space="preserve">          4152 - NON-TAXABLE SALES-FOOD</v>
      </c>
      <c r="C18" s="11"/>
      <c r="D18" s="2">
        <f t="shared" si="4"/>
        <v>0</v>
      </c>
      <c r="E18" s="2"/>
      <c r="F18" s="19"/>
      <c r="G18" s="2"/>
      <c r="H18" s="2"/>
      <c r="I18" s="2"/>
      <c r="J18" s="19"/>
      <c r="K18" s="2"/>
      <c r="L18" s="2">
        <f t="shared" si="0"/>
        <v>0</v>
      </c>
      <c r="M18" s="2"/>
      <c r="N18" s="19">
        <f t="shared" si="1"/>
        <v>0</v>
      </c>
      <c r="O18" s="11"/>
      <c r="P18" s="2">
        <f>--397.21</f>
        <v>397.21</v>
      </c>
      <c r="Q18" s="2"/>
      <c r="R18" s="19"/>
      <c r="S18" s="2"/>
      <c r="T18" s="2"/>
      <c r="U18" s="2"/>
      <c r="V18" s="19"/>
      <c r="W18" s="2"/>
      <c r="X18" s="2">
        <f t="shared" si="2"/>
        <v>397.21</v>
      </c>
      <c r="Y18" s="2"/>
      <c r="Z18" s="19">
        <f t="shared" si="3"/>
        <v>0</v>
      </c>
    </row>
    <row r="19" spans="1:26" x14ac:dyDescent="0.25">
      <c r="A19" s="9"/>
      <c r="B19" s="10"/>
      <c r="C19" s="9"/>
      <c r="D19" s="3"/>
      <c r="E19" s="3"/>
      <c r="F19" s="8"/>
      <c r="G19" s="3"/>
      <c r="H19" s="3"/>
      <c r="I19" s="3"/>
      <c r="J19" s="8"/>
      <c r="K19" s="3"/>
      <c r="L19" s="3"/>
      <c r="M19" s="3"/>
      <c r="N19" s="8"/>
      <c r="P19" s="3"/>
      <c r="Q19" s="3"/>
      <c r="R19" s="8"/>
      <c r="S19" s="3"/>
      <c r="T19" s="3"/>
      <c r="U19" s="3"/>
      <c r="V19" s="8"/>
      <c r="W19" s="3"/>
      <c r="X19" s="3"/>
      <c r="Y19" s="3"/>
      <c r="Z19" s="8"/>
    </row>
    <row r="20" spans="1:26" s="23" customFormat="1" collapsed="1" x14ac:dyDescent="0.25">
      <c r="A20" s="10"/>
      <c r="B20" s="28" t="s">
        <v>8</v>
      </c>
      <c r="C20" s="10"/>
      <c r="D20" s="4">
        <f>SUM(OSRRefD16x_0)</f>
        <v>0</v>
      </c>
      <c r="E20" s="4"/>
      <c r="F20" s="13">
        <f t="shared" ref="F20:F23" si="5">IF(D$12=0,0,D20/D$12)</f>
        <v>0</v>
      </c>
      <c r="G20" s="4"/>
      <c r="H20" s="4">
        <f>SUM(OSRRefH16x_0)</f>
        <v>11500</v>
      </c>
      <c r="I20" s="4"/>
      <c r="J20" s="13">
        <f t="shared" ref="J20:J23" si="6">IF(H$12=0,0,H20/H$12)</f>
        <v>0.23</v>
      </c>
      <c r="K20" s="4"/>
      <c r="L20" s="4">
        <f t="shared" ref="L20:L23" si="7">+D20-H20</f>
        <v>-11500</v>
      </c>
      <c r="M20" s="4"/>
      <c r="N20" s="13">
        <f t="shared" ref="N20:N23" si="8">IF(H20=0,0,L20/H20)</f>
        <v>-1</v>
      </c>
      <c r="O20" s="10"/>
      <c r="P20" s="4">
        <f>SUM(OSRRefP16x_0)</f>
        <v>141393.09</v>
      </c>
      <c r="Q20" s="4"/>
      <c r="R20" s="13">
        <f t="shared" ref="R20:R23" si="9">IF(P$12=0,0,P20/P$12)</f>
        <v>0.36039468051846146</v>
      </c>
      <c r="S20" s="4"/>
      <c r="T20" s="4">
        <f>SUM(OSRRefT16x_0)</f>
        <v>138000</v>
      </c>
      <c r="U20" s="4"/>
      <c r="V20" s="13">
        <f t="shared" ref="V20:V23" si="10">IF(T$12=0,0,T20/T$12)</f>
        <v>0.23</v>
      </c>
      <c r="W20" s="4"/>
      <c r="X20" s="4">
        <f t="shared" ref="X20:X23" si="11">+P20-T20</f>
        <v>3393.0899999999965</v>
      </c>
      <c r="Y20" s="4"/>
      <c r="Z20" s="13">
        <f t="shared" ref="Z20:Z23" si="12">IF(T20=0,0,X20/T20)</f>
        <v>2.4587608695652147E-2</v>
      </c>
    </row>
    <row r="21" spans="1:26" s="24" customFormat="1" hidden="1" outlineLevel="1" x14ac:dyDescent="0.25">
      <c r="A21" s="44"/>
      <c r="B21" s="11" t="str">
        <f>CONCATENATE("          ", "5000", " - ", "PURCHASES @ COST")</f>
        <v xml:space="preserve">          5000 - PURCHASES @ COST</v>
      </c>
      <c r="C21" s="11"/>
      <c r="D21" s="2"/>
      <c r="E21" s="2"/>
      <c r="F21" s="19">
        <f t="shared" si="5"/>
        <v>0</v>
      </c>
      <c r="G21" s="2"/>
      <c r="H21" s="2">
        <v>11500</v>
      </c>
      <c r="I21" s="2"/>
      <c r="J21" s="19">
        <f t="shared" si="6"/>
        <v>0.23</v>
      </c>
      <c r="K21" s="2"/>
      <c r="L21" s="2">
        <f t="shared" si="7"/>
        <v>-11500</v>
      </c>
      <c r="M21" s="2"/>
      <c r="N21" s="19">
        <f t="shared" si="8"/>
        <v>-1</v>
      </c>
      <c r="O21" s="11"/>
      <c r="P21" s="2"/>
      <c r="Q21" s="2"/>
      <c r="R21" s="19">
        <f t="shared" si="9"/>
        <v>0</v>
      </c>
      <c r="S21" s="2"/>
      <c r="T21" s="2">
        <v>138000</v>
      </c>
      <c r="U21" s="2"/>
      <c r="V21" s="19">
        <f t="shared" si="10"/>
        <v>0.23</v>
      </c>
      <c r="W21" s="2"/>
      <c r="X21" s="2">
        <f t="shared" si="11"/>
        <v>-138000</v>
      </c>
      <c r="Y21" s="2"/>
      <c r="Z21" s="19">
        <f t="shared" si="12"/>
        <v>-1</v>
      </c>
    </row>
    <row r="22" spans="1:26" s="24" customFormat="1" hidden="1" outlineLevel="1" x14ac:dyDescent="0.25">
      <c r="A22" s="44"/>
      <c r="B22" s="11" t="str">
        <f>CONCATENATE("          ", "5053", " - ", "PURCHASES @ COST-FOOD")</f>
        <v xml:space="preserve">          5053 - PURCHASES @ COST-FOOD</v>
      </c>
      <c r="C22" s="11"/>
      <c r="D22" s="2"/>
      <c r="E22" s="2"/>
      <c r="F22" s="19">
        <f t="shared" si="5"/>
        <v>0</v>
      </c>
      <c r="G22" s="2"/>
      <c r="H22" s="2"/>
      <c r="I22" s="2"/>
      <c r="J22" s="19">
        <f t="shared" si="6"/>
        <v>0</v>
      </c>
      <c r="K22" s="2"/>
      <c r="L22" s="2">
        <f t="shared" si="7"/>
        <v>0</v>
      </c>
      <c r="M22" s="2"/>
      <c r="N22" s="19">
        <f t="shared" si="8"/>
        <v>0</v>
      </c>
      <c r="O22" s="11"/>
      <c r="P22" s="2">
        <v>115476.09</v>
      </c>
      <c r="Q22" s="2"/>
      <c r="R22" s="19">
        <f t="shared" si="9"/>
        <v>0.29433523634762565</v>
      </c>
      <c r="S22" s="2"/>
      <c r="T22" s="2"/>
      <c r="U22" s="2"/>
      <c r="V22" s="19">
        <f t="shared" si="10"/>
        <v>0</v>
      </c>
      <c r="W22" s="2"/>
      <c r="X22" s="2">
        <f t="shared" si="11"/>
        <v>115476.09</v>
      </c>
      <c r="Y22" s="2"/>
      <c r="Z22" s="19">
        <f t="shared" si="12"/>
        <v>0</v>
      </c>
    </row>
    <row r="23" spans="1:26" s="24" customFormat="1" hidden="1" outlineLevel="1" x14ac:dyDescent="0.25">
      <c r="A23" s="44"/>
      <c r="B23" s="11" t="str">
        <f>CONCATENATE("          ", "5059", " - ", "PURCHASES @ COST-FOOD")</f>
        <v xml:space="preserve">          5059 - PURCHASES @ COST-FOOD</v>
      </c>
      <c r="C23" s="11"/>
      <c r="D23" s="2"/>
      <c r="E23" s="2"/>
      <c r="F23" s="19">
        <f t="shared" si="5"/>
        <v>0</v>
      </c>
      <c r="G23" s="2"/>
      <c r="H23" s="2"/>
      <c r="I23" s="2"/>
      <c r="J23" s="19">
        <f t="shared" si="6"/>
        <v>0</v>
      </c>
      <c r="K23" s="2"/>
      <c r="L23" s="2">
        <f t="shared" si="7"/>
        <v>0</v>
      </c>
      <c r="M23" s="2"/>
      <c r="N23" s="19">
        <f t="shared" si="8"/>
        <v>0</v>
      </c>
      <c r="O23" s="11"/>
      <c r="P23" s="2">
        <v>25917</v>
      </c>
      <c r="Q23" s="2"/>
      <c r="R23" s="19">
        <f t="shared" si="9"/>
        <v>6.6059444170835827E-2</v>
      </c>
      <c r="S23" s="2"/>
      <c r="T23" s="2"/>
      <c r="U23" s="2"/>
      <c r="V23" s="19">
        <f t="shared" si="10"/>
        <v>0</v>
      </c>
      <c r="W23" s="2"/>
      <c r="X23" s="2">
        <f t="shared" si="11"/>
        <v>25917</v>
      </c>
      <c r="Y23" s="2"/>
      <c r="Z23" s="19">
        <f t="shared" si="12"/>
        <v>0</v>
      </c>
    </row>
    <row r="24" spans="1:26" x14ac:dyDescent="0.25">
      <c r="A24" s="9"/>
      <c r="B24" s="10"/>
      <c r="C24" s="10"/>
      <c r="D24" s="3"/>
      <c r="E24" s="3"/>
      <c r="F24" s="8"/>
      <c r="G24" s="3"/>
      <c r="H24" s="3"/>
      <c r="I24" s="3"/>
      <c r="J24" s="8"/>
      <c r="K24" s="3"/>
      <c r="L24" s="3"/>
      <c r="M24" s="3"/>
      <c r="N24" s="8"/>
      <c r="O24" s="10"/>
      <c r="P24" s="3"/>
      <c r="Q24" s="3"/>
      <c r="R24" s="8"/>
      <c r="S24" s="3"/>
      <c r="T24" s="3"/>
      <c r="U24" s="3"/>
      <c r="V24" s="8"/>
      <c r="W24" s="3"/>
      <c r="X24" s="3"/>
      <c r="Y24" s="3"/>
      <c r="Z24" s="8"/>
    </row>
    <row r="25" spans="1:26" s="23" customFormat="1" x14ac:dyDescent="0.25">
      <c r="A25" s="10"/>
      <c r="B25" s="29" t="s">
        <v>6</v>
      </c>
      <c r="C25" s="29"/>
      <c r="D25" s="20">
        <f>D12-D20</f>
        <v>0</v>
      </c>
      <c r="E25" s="14"/>
      <c r="F25" s="22">
        <f>IF(D$12=0,0,D25/D$12)</f>
        <v>0</v>
      </c>
      <c r="G25" s="14"/>
      <c r="H25" s="20">
        <f>H12-H20</f>
        <v>38500</v>
      </c>
      <c r="I25" s="14"/>
      <c r="J25" s="22">
        <f>IF(H$12=0,0,H25/H$12)</f>
        <v>0.77</v>
      </c>
      <c r="K25" s="16"/>
      <c r="L25" s="20">
        <f>+D25-H25</f>
        <v>-38500</v>
      </c>
      <c r="M25" s="16"/>
      <c r="N25" s="22">
        <f>IF(H25=0,0,L25/H25)</f>
        <v>-1</v>
      </c>
      <c r="O25" s="28"/>
      <c r="P25" s="20">
        <f>P12-P20</f>
        <v>250935.37000000002</v>
      </c>
      <c r="Q25" s="14"/>
      <c r="R25" s="22">
        <f>IF(P$12=0,0,P25/P$12)</f>
        <v>0.63960531948153854</v>
      </c>
      <c r="S25" s="14"/>
      <c r="T25" s="20">
        <f>T12-T20</f>
        <v>462000</v>
      </c>
      <c r="U25" s="14"/>
      <c r="V25" s="22">
        <f>IF(T$12=0,0,T25/T$12)</f>
        <v>0.77</v>
      </c>
      <c r="W25" s="16"/>
      <c r="X25" s="20">
        <f>+P25-T25</f>
        <v>-211064.62999999998</v>
      </c>
      <c r="Y25" s="16"/>
      <c r="Z25" s="22">
        <f>IF(T25=0,0,X25/T25)</f>
        <v>-0.45684984848484844</v>
      </c>
    </row>
    <row r="26" spans="1:26" x14ac:dyDescent="0.25">
      <c r="A26" s="9"/>
      <c r="B26" s="10"/>
      <c r="C26" s="9"/>
      <c r="D26" s="1"/>
      <c r="E26" s="1"/>
      <c r="F26" s="5"/>
      <c r="G26" s="1"/>
      <c r="H26" s="1"/>
      <c r="I26" s="1"/>
      <c r="J26" s="5"/>
      <c r="K26" s="1"/>
      <c r="L26" s="1"/>
      <c r="M26" s="1"/>
      <c r="N26" s="5"/>
      <c r="O26" s="36"/>
      <c r="P26" s="1"/>
      <c r="Q26" s="1"/>
      <c r="R26" s="5"/>
      <c r="S26" s="1"/>
      <c r="T26" s="1"/>
      <c r="U26" s="1"/>
      <c r="V26" s="5"/>
      <c r="W26" s="1"/>
      <c r="X26" s="1"/>
      <c r="Y26" s="1"/>
      <c r="Z26" s="5"/>
    </row>
    <row r="27" spans="1:26" s="23" customFormat="1" x14ac:dyDescent="0.25">
      <c r="A27" s="10"/>
      <c r="B27" s="28" t="s">
        <v>9</v>
      </c>
      <c r="C27" s="10"/>
      <c r="D27" s="21">
        <f>SUM(OSRRefD22x_0)</f>
        <v>6716.6200000000008</v>
      </c>
      <c r="E27" s="21"/>
      <c r="F27" s="30">
        <f t="shared" ref="F27:F38" si="13">IF(D$12=0,0,D27/D$12)</f>
        <v>0</v>
      </c>
      <c r="G27" s="21"/>
      <c r="H27" s="21">
        <f>SUM(OSRRefH22x_0)</f>
        <v>35440.376374999993</v>
      </c>
      <c r="I27" s="21"/>
      <c r="J27" s="30">
        <f t="shared" ref="J27:J38" si="14">IF(H$12=0,0,H27/H$12)</f>
        <v>0.70880752749999987</v>
      </c>
      <c r="K27" s="4"/>
      <c r="L27" s="21">
        <f t="shared" ref="L27:L38" si="15">+D27-H27</f>
        <v>-28723.75637499999</v>
      </c>
      <c r="M27" s="4"/>
      <c r="N27" s="30">
        <f t="shared" ref="N27:N38" si="16">IF(H27=0,0,L27/H27)</f>
        <v>-0.8104811323409653</v>
      </c>
      <c r="O27" s="10"/>
      <c r="P27" s="21">
        <f>SUM(OSRRefP22x_0)</f>
        <v>331022.89999999997</v>
      </c>
      <c r="Q27" s="21"/>
      <c r="R27" s="30">
        <f t="shared" ref="R27:R38" si="17">IF(P$12=0,0,P27/P$12)</f>
        <v>0.84373919750812865</v>
      </c>
      <c r="S27" s="21"/>
      <c r="T27" s="21">
        <f>SUM(OSRRefT22x_0)</f>
        <v>346580.95687499997</v>
      </c>
      <c r="U27" s="21"/>
      <c r="V27" s="30">
        <f t="shared" ref="V27:V38" si="18">IF(T$12=0,0,T27/T$12)</f>
        <v>0.57763492812499995</v>
      </c>
      <c r="W27" s="4"/>
      <c r="X27" s="21">
        <f t="shared" ref="X27:X38" si="19">+P27-T27</f>
        <v>-15558.056875000009</v>
      </c>
      <c r="Y27" s="4"/>
      <c r="Z27" s="30">
        <f t="shared" ref="Z27:Z38" si="20">IF(T27=0,0,X27/T27)</f>
        <v>-4.4890108837143276E-2</v>
      </c>
    </row>
    <row r="28" spans="1:26" s="27" customFormat="1" outlineLevel="1" collapsed="1" x14ac:dyDescent="0.25">
      <c r="A28" s="25"/>
      <c r="B28" s="12" t="str">
        <f>CONCATENATE("     ","*Benefits                                         ")</f>
        <v xml:space="preserve">     *Benefits                                         </v>
      </c>
      <c r="C28" s="12"/>
      <c r="D28" s="1">
        <f>SUM(OSRRefD22_0x_0)</f>
        <v>2070.2800000000002</v>
      </c>
      <c r="E28" s="1"/>
      <c r="F28" s="5">
        <f t="shared" si="13"/>
        <v>0</v>
      </c>
      <c r="G28" s="1"/>
      <c r="H28" s="1">
        <f>SUM(OSRRefH22_0x_0)</f>
        <v>2858.0302211538469</v>
      </c>
      <c r="I28" s="1"/>
      <c r="J28" s="5">
        <f t="shared" si="14"/>
        <v>5.7160604423076938E-2</v>
      </c>
      <c r="K28" s="1"/>
      <c r="L28" s="1">
        <f t="shared" si="15"/>
        <v>-787.75022115384672</v>
      </c>
      <c r="M28" s="1"/>
      <c r="N28" s="5">
        <f t="shared" si="16"/>
        <v>-0.27562697389386437</v>
      </c>
      <c r="O28" s="12"/>
      <c r="P28" s="1">
        <f>SUM(OSRRefP22_0x_0)</f>
        <v>36436.340000000004</v>
      </c>
      <c r="Q28" s="1"/>
      <c r="R28" s="5">
        <f t="shared" si="17"/>
        <v>9.2872028707782259E-2</v>
      </c>
      <c r="S28" s="1"/>
      <c r="T28" s="1">
        <f>SUM(OSRRefT22_0x_0)</f>
        <v>33571.803028846167</v>
      </c>
      <c r="U28" s="1"/>
      <c r="V28" s="5">
        <f t="shared" si="18"/>
        <v>5.5953005048076945E-2</v>
      </c>
      <c r="W28" s="1"/>
      <c r="X28" s="1">
        <f t="shared" si="19"/>
        <v>2864.5369711538369</v>
      </c>
      <c r="Y28" s="1"/>
      <c r="Z28" s="5">
        <f t="shared" si="20"/>
        <v>8.5325681456325658E-2</v>
      </c>
    </row>
    <row r="29" spans="1:26" s="24" customFormat="1" hidden="1" outlineLevel="2" x14ac:dyDescent="0.25">
      <c r="A29" s="26"/>
      <c r="B29" s="11" t="str">
        <f>CONCATENATE("          ", "6111", " - ", "F.I.C.A.")</f>
        <v xml:space="preserve">          6111 - F.I.C.A.</v>
      </c>
      <c r="C29" s="11"/>
      <c r="D29" s="7">
        <v>341.58</v>
      </c>
      <c r="E29" s="2"/>
      <c r="F29" s="6">
        <f t="shared" si="13"/>
        <v>0</v>
      </c>
      <c r="G29" s="2"/>
      <c r="H29" s="7">
        <v>501.49225961538497</v>
      </c>
      <c r="I29" s="2"/>
      <c r="J29" s="6">
        <f t="shared" si="14"/>
        <v>1.00298451923077E-2</v>
      </c>
      <c r="K29" s="2"/>
      <c r="L29" s="7">
        <f t="shared" si="15"/>
        <v>-159.91225961538498</v>
      </c>
      <c r="M29" s="2"/>
      <c r="N29" s="6">
        <f t="shared" si="16"/>
        <v>-0.31887283711622644</v>
      </c>
      <c r="O29" s="11"/>
      <c r="P29" s="7">
        <v>8322.7900000000009</v>
      </c>
      <c r="Q29" s="2"/>
      <c r="R29" s="6">
        <f t="shared" si="17"/>
        <v>2.121383189993405E-2</v>
      </c>
      <c r="S29" s="2"/>
      <c r="T29" s="7">
        <v>6445.5184903846193</v>
      </c>
      <c r="U29" s="2"/>
      <c r="V29" s="6">
        <f t="shared" si="18"/>
        <v>1.0742530817307699E-2</v>
      </c>
      <c r="W29" s="2"/>
      <c r="X29" s="7">
        <f t="shared" si="19"/>
        <v>1877.2715096153815</v>
      </c>
      <c r="Y29" s="2"/>
      <c r="Z29" s="6">
        <f t="shared" si="20"/>
        <v>0.29125221072841267</v>
      </c>
    </row>
    <row r="30" spans="1:26" s="24" customFormat="1" hidden="1" outlineLevel="2" x14ac:dyDescent="0.25">
      <c r="A30" s="26"/>
      <c r="B30" s="11" t="str">
        <f>CONCATENATE("          ", "6112", " - ", "COMPENSATION INSURANCE")</f>
        <v xml:space="preserve">          6112 - COMPENSATION INSURANCE</v>
      </c>
      <c r="C30" s="11"/>
      <c r="D30" s="7">
        <v>259.88</v>
      </c>
      <c r="E30" s="2"/>
      <c r="F30" s="6">
        <f t="shared" si="13"/>
        <v>0</v>
      </c>
      <c r="G30" s="2"/>
      <c r="H30" s="7">
        <v>339.80592307692297</v>
      </c>
      <c r="I30" s="2"/>
      <c r="J30" s="6">
        <f t="shared" si="14"/>
        <v>6.7961184615384597E-3</v>
      </c>
      <c r="K30" s="2"/>
      <c r="L30" s="7">
        <f t="shared" si="15"/>
        <v>-79.92592307692297</v>
      </c>
      <c r="M30" s="2"/>
      <c r="N30" s="6">
        <f t="shared" si="16"/>
        <v>-0.23521050590642553</v>
      </c>
      <c r="O30" s="11"/>
      <c r="P30" s="7">
        <v>6577.47</v>
      </c>
      <c r="Q30" s="2"/>
      <c r="R30" s="6">
        <f t="shared" si="17"/>
        <v>1.676521249567263E-2</v>
      </c>
      <c r="S30" s="2"/>
      <c r="T30" s="7">
        <v>3974.0750769230776</v>
      </c>
      <c r="U30" s="2"/>
      <c r="V30" s="6">
        <f t="shared" si="18"/>
        <v>6.6234584615384624E-3</v>
      </c>
      <c r="W30" s="2"/>
      <c r="X30" s="7">
        <f t="shared" si="19"/>
        <v>2603.3949230769226</v>
      </c>
      <c r="Y30" s="2"/>
      <c r="Z30" s="6">
        <f t="shared" si="20"/>
        <v>0.65509454972164183</v>
      </c>
    </row>
    <row r="31" spans="1:26" s="24" customFormat="1" hidden="1" outlineLevel="2" x14ac:dyDescent="0.25">
      <c r="A31" s="26"/>
      <c r="B31" s="11" t="str">
        <f>CONCATENATE("          ", "6113", " - ", "GROUP INSURANCE")</f>
        <v xml:space="preserve">          6113 - GROUP INSURANCE</v>
      </c>
      <c r="C31" s="11"/>
      <c r="D31" s="7">
        <v>699.3</v>
      </c>
      <c r="E31" s="2"/>
      <c r="F31" s="6">
        <f t="shared" si="13"/>
        <v>0</v>
      </c>
      <c r="G31" s="2"/>
      <c r="H31" s="7">
        <v>663</v>
      </c>
      <c r="I31" s="2"/>
      <c r="J31" s="6">
        <f t="shared" si="14"/>
        <v>1.3259999999999999E-2</v>
      </c>
      <c r="K31" s="2"/>
      <c r="L31" s="7">
        <f t="shared" si="15"/>
        <v>36.299999999999955</v>
      </c>
      <c r="M31" s="2"/>
      <c r="N31" s="6">
        <f t="shared" si="16"/>
        <v>5.4751131221719387E-2</v>
      </c>
      <c r="O31" s="11"/>
      <c r="P31" s="7">
        <v>9074.1299999999992</v>
      </c>
      <c r="Q31" s="2"/>
      <c r="R31" s="6">
        <f t="shared" si="17"/>
        <v>2.3128910913065036E-2</v>
      </c>
      <c r="S31" s="2"/>
      <c r="T31" s="7">
        <v>7293</v>
      </c>
      <c r="U31" s="2"/>
      <c r="V31" s="6">
        <f t="shared" si="18"/>
        <v>1.2154999999999999E-2</v>
      </c>
      <c r="W31" s="2"/>
      <c r="X31" s="7">
        <f t="shared" si="19"/>
        <v>1781.1299999999992</v>
      </c>
      <c r="Y31" s="2"/>
      <c r="Z31" s="6">
        <f t="shared" si="20"/>
        <v>0.24422459893048118</v>
      </c>
    </row>
    <row r="32" spans="1:26" s="24" customFormat="1" hidden="1" outlineLevel="2" x14ac:dyDescent="0.25">
      <c r="A32" s="26"/>
      <c r="B32" s="11" t="str">
        <f>CONCATENATE("          ", "6114", " - ", "STATE UNEMPLOYMENT INSURANCE")</f>
        <v xml:space="preserve">          6114 - STATE UNEMPLOYMENT INSURANCE</v>
      </c>
      <c r="C32" s="11"/>
      <c r="D32" s="7">
        <v>17.41</v>
      </c>
      <c r="E32" s="2"/>
      <c r="F32" s="6">
        <f t="shared" si="13"/>
        <v>0</v>
      </c>
      <c r="G32" s="2"/>
      <c r="H32" s="7">
        <v>26.865500000000001</v>
      </c>
      <c r="I32" s="2"/>
      <c r="J32" s="6">
        <f t="shared" si="14"/>
        <v>5.3731000000000004E-4</v>
      </c>
      <c r="K32" s="2"/>
      <c r="L32" s="7">
        <f t="shared" si="15"/>
        <v>-9.4555000000000007</v>
      </c>
      <c r="M32" s="2"/>
      <c r="N32" s="6">
        <f t="shared" si="16"/>
        <v>-0.35195697083620259</v>
      </c>
      <c r="O32" s="11"/>
      <c r="P32" s="7">
        <v>514.21</v>
      </c>
      <c r="Q32" s="2"/>
      <c r="R32" s="6">
        <f t="shared" si="17"/>
        <v>1.3106619897011805E-3</v>
      </c>
      <c r="S32" s="2"/>
      <c r="T32" s="7">
        <v>315.56099999999998</v>
      </c>
      <c r="U32" s="2"/>
      <c r="V32" s="6">
        <f t="shared" si="18"/>
        <v>5.2593499999999994E-4</v>
      </c>
      <c r="W32" s="2"/>
      <c r="X32" s="7">
        <f t="shared" si="19"/>
        <v>198.64900000000006</v>
      </c>
      <c r="Y32" s="2"/>
      <c r="Z32" s="6">
        <f t="shared" si="20"/>
        <v>0.62951061759849936</v>
      </c>
    </row>
    <row r="33" spans="1:26" s="24" customFormat="1" hidden="1" outlineLevel="2" x14ac:dyDescent="0.25">
      <c r="A33" s="26"/>
      <c r="B33" s="11" t="str">
        <f>CONCATENATE("          ", "6115", " - ", "P.E.R.S.")</f>
        <v xml:space="preserve">          6115 - P.E.R.S.</v>
      </c>
      <c r="C33" s="11"/>
      <c r="D33" s="7">
        <v>320.99</v>
      </c>
      <c r="E33" s="2"/>
      <c r="F33" s="6">
        <f t="shared" si="13"/>
        <v>0</v>
      </c>
      <c r="G33" s="2"/>
      <c r="H33" s="7">
        <v>395.20307692307699</v>
      </c>
      <c r="I33" s="2"/>
      <c r="J33" s="6">
        <f t="shared" si="14"/>
        <v>7.9040615384615397E-3</v>
      </c>
      <c r="K33" s="2"/>
      <c r="L33" s="7">
        <f t="shared" si="15"/>
        <v>-74.213076923076983</v>
      </c>
      <c r="M33" s="2"/>
      <c r="N33" s="6">
        <f t="shared" si="16"/>
        <v>-0.18778466377558581</v>
      </c>
      <c r="O33" s="11"/>
      <c r="P33" s="7">
        <v>3691.38</v>
      </c>
      <c r="Q33" s="2"/>
      <c r="R33" s="6">
        <f t="shared" si="17"/>
        <v>9.408901918560789E-3</v>
      </c>
      <c r="S33" s="2"/>
      <c r="T33" s="7">
        <v>4742.4369230769225</v>
      </c>
      <c r="U33" s="2"/>
      <c r="V33" s="6">
        <f t="shared" si="18"/>
        <v>7.9040615384615379E-3</v>
      </c>
      <c r="W33" s="2"/>
      <c r="X33" s="7">
        <f t="shared" si="19"/>
        <v>-1051.0569230769224</v>
      </c>
      <c r="Y33" s="2"/>
      <c r="Z33" s="6">
        <f t="shared" si="20"/>
        <v>-0.22162802376188279</v>
      </c>
    </row>
    <row r="34" spans="1:26" s="24" customFormat="1" hidden="1" outlineLevel="2" x14ac:dyDescent="0.25">
      <c r="A34" s="26"/>
      <c r="B34" s="11" t="str">
        <f>CONCATENATE("          ", "6116", " - ", "EDUCATIONAL BENEFITS")</f>
        <v xml:space="preserve">          6116 - EDUCATIONAL BENEFITS</v>
      </c>
      <c r="C34" s="11"/>
      <c r="D34" s="7"/>
      <c r="E34" s="2"/>
      <c r="F34" s="6">
        <f t="shared" si="13"/>
        <v>0</v>
      </c>
      <c r="G34" s="2"/>
      <c r="H34" s="7">
        <v>0</v>
      </c>
      <c r="I34" s="2"/>
      <c r="J34" s="6">
        <f t="shared" si="14"/>
        <v>0</v>
      </c>
      <c r="K34" s="2"/>
      <c r="L34" s="7">
        <f t="shared" si="15"/>
        <v>0</v>
      </c>
      <c r="M34" s="2"/>
      <c r="N34" s="6">
        <f t="shared" si="16"/>
        <v>0</v>
      </c>
      <c r="O34" s="11"/>
      <c r="P34" s="7"/>
      <c r="Q34" s="2"/>
      <c r="R34" s="6">
        <f t="shared" si="17"/>
        <v>0</v>
      </c>
      <c r="S34" s="2"/>
      <c r="T34" s="7">
        <v>0</v>
      </c>
      <c r="U34" s="2"/>
      <c r="V34" s="6">
        <f t="shared" si="18"/>
        <v>0</v>
      </c>
      <c r="W34" s="2"/>
      <c r="X34" s="7">
        <f t="shared" si="19"/>
        <v>0</v>
      </c>
      <c r="Y34" s="2"/>
      <c r="Z34" s="6">
        <f t="shared" si="20"/>
        <v>0</v>
      </c>
    </row>
    <row r="35" spans="1:26" s="24" customFormat="1" hidden="1" outlineLevel="2" x14ac:dyDescent="0.25">
      <c r="A35" s="26"/>
      <c r="B35" s="11" t="str">
        <f>CONCATENATE("          ", "6117", " - ", "RETIREMENT STAFF HOURLY")</f>
        <v xml:space="preserve">          6117 - RETIREMENT STAFF HOURLY</v>
      </c>
      <c r="C35" s="11"/>
      <c r="D35" s="7"/>
      <c r="E35" s="2"/>
      <c r="F35" s="6">
        <f t="shared" si="13"/>
        <v>0</v>
      </c>
      <c r="G35" s="2"/>
      <c r="H35" s="7"/>
      <c r="I35" s="2"/>
      <c r="J35" s="6">
        <f t="shared" si="14"/>
        <v>0</v>
      </c>
      <c r="K35" s="2"/>
      <c r="L35" s="7">
        <f t="shared" si="15"/>
        <v>0</v>
      </c>
      <c r="M35" s="2"/>
      <c r="N35" s="6">
        <f t="shared" si="16"/>
        <v>0</v>
      </c>
      <c r="O35" s="11"/>
      <c r="P35" s="7">
        <v>764.45</v>
      </c>
      <c r="Q35" s="2"/>
      <c r="R35" s="6">
        <f t="shared" si="17"/>
        <v>1.9484948912449533E-3</v>
      </c>
      <c r="S35" s="2"/>
      <c r="T35" s="7"/>
      <c r="U35" s="2"/>
      <c r="V35" s="6">
        <f t="shared" si="18"/>
        <v>0</v>
      </c>
      <c r="W35" s="2"/>
      <c r="X35" s="7">
        <f t="shared" si="19"/>
        <v>764.45</v>
      </c>
      <c r="Y35" s="2"/>
      <c r="Z35" s="6">
        <f t="shared" si="20"/>
        <v>0</v>
      </c>
    </row>
    <row r="36" spans="1:26" s="24" customFormat="1" hidden="1" outlineLevel="2" x14ac:dyDescent="0.25">
      <c r="A36" s="26"/>
      <c r="B36" s="11" t="str">
        <f>CONCATENATE("          ", "6118", " - ", "VACATION")</f>
        <v xml:space="preserve">          6118 - VACATION</v>
      </c>
      <c r="C36" s="11"/>
      <c r="D36" s="7">
        <v>176.92</v>
      </c>
      <c r="E36" s="2"/>
      <c r="F36" s="6">
        <f t="shared" si="13"/>
        <v>0</v>
      </c>
      <c r="G36" s="2"/>
      <c r="H36" s="7">
        <v>229.769230769231</v>
      </c>
      <c r="I36" s="2"/>
      <c r="J36" s="6">
        <f t="shared" si="14"/>
        <v>4.5953846153846201E-3</v>
      </c>
      <c r="K36" s="2"/>
      <c r="L36" s="7">
        <f t="shared" si="15"/>
        <v>-52.849230769231013</v>
      </c>
      <c r="M36" s="2"/>
      <c r="N36" s="6">
        <f t="shared" si="16"/>
        <v>-0.23001004352192919</v>
      </c>
      <c r="O36" s="11"/>
      <c r="P36" s="7">
        <v>2639.06</v>
      </c>
      <c r="Q36" s="2"/>
      <c r="R36" s="6">
        <f t="shared" si="17"/>
        <v>6.7266595953808699E-3</v>
      </c>
      <c r="S36" s="2"/>
      <c r="T36" s="7">
        <v>2757.2307692307731</v>
      </c>
      <c r="U36" s="2"/>
      <c r="V36" s="6">
        <f t="shared" si="18"/>
        <v>4.5953846153846218E-3</v>
      </c>
      <c r="W36" s="2"/>
      <c r="X36" s="7">
        <f t="shared" si="19"/>
        <v>-118.1707692307732</v>
      </c>
      <c r="Y36" s="2"/>
      <c r="Z36" s="6">
        <f t="shared" si="20"/>
        <v>-4.2858497935499652E-2</v>
      </c>
    </row>
    <row r="37" spans="1:26" s="24" customFormat="1" hidden="1" outlineLevel="2" x14ac:dyDescent="0.25">
      <c r="A37" s="26"/>
      <c r="B37" s="11" t="str">
        <f>CONCATENATE("          ", "6119", " - ", "SICK LEAVE")</f>
        <v xml:space="preserve">          6119 - SICK LEAVE</v>
      </c>
      <c r="C37" s="11"/>
      <c r="D37" s="7">
        <v>211.96</v>
      </c>
      <c r="E37" s="2"/>
      <c r="F37" s="6">
        <f t="shared" si="13"/>
        <v>0</v>
      </c>
      <c r="G37" s="2"/>
      <c r="H37" s="7">
        <v>401.894230769231</v>
      </c>
      <c r="I37" s="2"/>
      <c r="J37" s="6">
        <f t="shared" si="14"/>
        <v>8.0378846153846203E-3</v>
      </c>
      <c r="K37" s="2"/>
      <c r="L37" s="7">
        <f t="shared" si="15"/>
        <v>-189.93423076923099</v>
      </c>
      <c r="M37" s="2"/>
      <c r="N37" s="6">
        <f t="shared" si="16"/>
        <v>-0.47259755484843441</v>
      </c>
      <c r="O37" s="11"/>
      <c r="P37" s="7">
        <v>2849.39</v>
      </c>
      <c r="Q37" s="2"/>
      <c r="R37" s="6">
        <f t="shared" si="17"/>
        <v>7.2627665094701513E-3</v>
      </c>
      <c r="S37" s="2"/>
      <c r="T37" s="7">
        <v>4743.9807692307713</v>
      </c>
      <c r="U37" s="2"/>
      <c r="V37" s="6">
        <f t="shared" si="18"/>
        <v>7.9066346153846192E-3</v>
      </c>
      <c r="W37" s="2"/>
      <c r="X37" s="7">
        <f t="shared" si="19"/>
        <v>-1894.5907692307715</v>
      </c>
      <c r="Y37" s="2"/>
      <c r="Z37" s="6">
        <f t="shared" si="20"/>
        <v>-0.39936729539862281</v>
      </c>
    </row>
    <row r="38" spans="1:26" s="24" customFormat="1" hidden="1" outlineLevel="2" x14ac:dyDescent="0.25">
      <c r="A38" s="26"/>
      <c r="B38" s="11" t="str">
        <f>CONCATENATE("          ", "6156", " - ", "EMPLOYEE MEALS")</f>
        <v xml:space="preserve">          6156 - EMPLOYEE MEALS</v>
      </c>
      <c r="C38" s="11"/>
      <c r="D38" s="7">
        <v>42.24</v>
      </c>
      <c r="E38" s="2"/>
      <c r="F38" s="6">
        <f t="shared" si="13"/>
        <v>0</v>
      </c>
      <c r="G38" s="2"/>
      <c r="H38" s="7">
        <v>300</v>
      </c>
      <c r="I38" s="2"/>
      <c r="J38" s="6">
        <f t="shared" si="14"/>
        <v>6.0000000000000001E-3</v>
      </c>
      <c r="K38" s="2"/>
      <c r="L38" s="7">
        <f t="shared" si="15"/>
        <v>-257.76</v>
      </c>
      <c r="M38" s="2"/>
      <c r="N38" s="6">
        <f t="shared" si="16"/>
        <v>-0.85919999999999996</v>
      </c>
      <c r="O38" s="11"/>
      <c r="P38" s="7">
        <v>2003.46</v>
      </c>
      <c r="Q38" s="2"/>
      <c r="R38" s="6">
        <f t="shared" si="17"/>
        <v>5.1065884947525857E-3</v>
      </c>
      <c r="S38" s="2"/>
      <c r="T38" s="7">
        <v>3300</v>
      </c>
      <c r="U38" s="2"/>
      <c r="V38" s="6">
        <f t="shared" si="18"/>
        <v>5.4999999999999997E-3</v>
      </c>
      <c r="W38" s="2"/>
      <c r="X38" s="7">
        <f t="shared" si="19"/>
        <v>-1296.54</v>
      </c>
      <c r="Y38" s="2"/>
      <c r="Z38" s="6">
        <f t="shared" si="20"/>
        <v>-0.39289090909090907</v>
      </c>
    </row>
    <row r="39" spans="1:26" s="27" customFormat="1" outlineLevel="1" collapsed="1" x14ac:dyDescent="0.25">
      <c r="A39" s="25"/>
      <c r="B39" s="12" t="str">
        <f>CONCATENATE("     ","*Payroll                                          ")</f>
        <v xml:space="preserve">     *Payroll                                          </v>
      </c>
      <c r="C39" s="12"/>
      <c r="D39" s="1">
        <f>SUM(OSRRefD22_1x_0)</f>
        <v>4135.84</v>
      </c>
      <c r="E39" s="1"/>
      <c r="F39" s="5">
        <f t="shared" ref="F39:F49" si="21">IF(D$12=0,0,D39/D$12)</f>
        <v>0</v>
      </c>
      <c r="G39" s="1"/>
      <c r="H39" s="1">
        <f>SUM(OSRRefH22_1x_0)</f>
        <v>9873.3461538461488</v>
      </c>
      <c r="I39" s="1"/>
      <c r="J39" s="5">
        <f t="shared" ref="J39:J49" si="22">IF(H$12=0,0,H39/H$12)</f>
        <v>0.19746692307692298</v>
      </c>
      <c r="K39" s="1"/>
      <c r="L39" s="1">
        <f t="shared" ref="L39:L49" si="23">+D39-H39</f>
        <v>-5737.5061538461487</v>
      </c>
      <c r="M39" s="1"/>
      <c r="N39" s="5">
        <f t="shared" ref="N39:N49" si="24">IF(H39=0,0,L39/H39)</f>
        <v>-0.58111060469718367</v>
      </c>
      <c r="O39" s="12"/>
      <c r="P39" s="1">
        <f>SUM(OSRRefP22_1x_0)</f>
        <v>152658.64000000001</v>
      </c>
      <c r="Q39" s="1"/>
      <c r="R39" s="5">
        <f t="shared" ref="R39:R49" si="25">IF(P$12=0,0,P39/P$12)</f>
        <v>0.38910926829014647</v>
      </c>
      <c r="S39" s="1"/>
      <c r="T39" s="1">
        <f>SUM(OSRRefT22_1x_0)</f>
        <v>115855.15384615381</v>
      </c>
      <c r="U39" s="1"/>
      <c r="V39" s="5">
        <f t="shared" ref="V39:V49" si="26">IF(T$12=0,0,T39/T$12)</f>
        <v>0.19309192307692302</v>
      </c>
      <c r="W39" s="1"/>
      <c r="X39" s="1">
        <f t="shared" ref="X39:X49" si="27">+P39-T39</f>
        <v>36803.486153846199</v>
      </c>
      <c r="Y39" s="1"/>
      <c r="Z39" s="5">
        <f t="shared" ref="Z39:Z49" si="28">IF(T39=0,0,X39/T39)</f>
        <v>0.31766809617048392</v>
      </c>
    </row>
    <row r="40" spans="1:26" s="24" customFormat="1" hidden="1" outlineLevel="2" x14ac:dyDescent="0.25">
      <c r="A40" s="26"/>
      <c r="B40" s="11" t="str">
        <f>CONCATENATE("          ", "6001", " - ", "ADMINISTRATIVE SALARIES")</f>
        <v xml:space="preserve">          6001 - ADMINISTRATIVE SALARIES</v>
      </c>
      <c r="C40" s="11"/>
      <c r="D40" s="7"/>
      <c r="E40" s="2"/>
      <c r="F40" s="6">
        <f t="shared" si="21"/>
        <v>0</v>
      </c>
      <c r="G40" s="2"/>
      <c r="H40" s="7">
        <v>0</v>
      </c>
      <c r="I40" s="2"/>
      <c r="J40" s="6">
        <f t="shared" si="22"/>
        <v>0</v>
      </c>
      <c r="K40" s="2"/>
      <c r="L40" s="7">
        <f t="shared" si="23"/>
        <v>0</v>
      </c>
      <c r="M40" s="2"/>
      <c r="N40" s="6">
        <f t="shared" si="24"/>
        <v>0</v>
      </c>
      <c r="O40" s="11"/>
      <c r="P40" s="7"/>
      <c r="Q40" s="2"/>
      <c r="R40" s="6">
        <f t="shared" si="25"/>
        <v>0</v>
      </c>
      <c r="S40" s="2"/>
      <c r="T40" s="7">
        <v>0</v>
      </c>
      <c r="U40" s="2"/>
      <c r="V40" s="6">
        <f t="shared" si="26"/>
        <v>0</v>
      </c>
      <c r="W40" s="2"/>
      <c r="X40" s="7">
        <f t="shared" si="27"/>
        <v>0</v>
      </c>
      <c r="Y40" s="2"/>
      <c r="Z40" s="6">
        <f t="shared" si="28"/>
        <v>0</v>
      </c>
    </row>
    <row r="41" spans="1:26" s="24" customFormat="1" hidden="1" outlineLevel="2" x14ac:dyDescent="0.25">
      <c r="A41" s="26"/>
      <c r="B41" s="11" t="str">
        <f>CONCATENATE("          ", "6002", " - ", "STAFF SALARIES")</f>
        <v xml:space="preserve">          6002 - STAFF SALARIES</v>
      </c>
      <c r="C41" s="11"/>
      <c r="D41" s="7">
        <v>4135.84</v>
      </c>
      <c r="E41" s="2"/>
      <c r="F41" s="6">
        <f t="shared" si="21"/>
        <v>0</v>
      </c>
      <c r="G41" s="2"/>
      <c r="H41" s="7">
        <v>4135.8461538461497</v>
      </c>
      <c r="I41" s="2"/>
      <c r="J41" s="6">
        <f t="shared" si="22"/>
        <v>8.2716923076922994E-2</v>
      </c>
      <c r="K41" s="2"/>
      <c r="L41" s="7">
        <f t="shared" si="23"/>
        <v>-6.153846149572928E-3</v>
      </c>
      <c r="M41" s="2"/>
      <c r="N41" s="6">
        <f t="shared" si="24"/>
        <v>-1.487929173538075E-6</v>
      </c>
      <c r="O41" s="11"/>
      <c r="P41" s="7">
        <v>50319.4</v>
      </c>
      <c r="Q41" s="2"/>
      <c r="R41" s="6">
        <f t="shared" si="25"/>
        <v>0.12825834761006122</v>
      </c>
      <c r="S41" s="2"/>
      <c r="T41" s="7">
        <v>49630.153846153815</v>
      </c>
      <c r="U41" s="2"/>
      <c r="V41" s="6">
        <f t="shared" si="26"/>
        <v>8.2716923076923021E-2</v>
      </c>
      <c r="W41" s="2"/>
      <c r="X41" s="7">
        <f t="shared" si="27"/>
        <v>689.24615384618664</v>
      </c>
      <c r="Y41" s="2"/>
      <c r="Z41" s="6">
        <f t="shared" si="28"/>
        <v>1.3887648947910749E-2</v>
      </c>
    </row>
    <row r="42" spans="1:26" s="24" customFormat="1" hidden="1" outlineLevel="2" x14ac:dyDescent="0.25">
      <c r="A42" s="26"/>
      <c r="B42" s="11" t="str">
        <f>CONCATENATE("          ", "6003", " - ", "STAFF HOURLY-9 MONTH")</f>
        <v xml:space="preserve">          6003 - STAFF HOURLY-9 MONTH</v>
      </c>
      <c r="C42" s="11"/>
      <c r="D42" s="7"/>
      <c r="E42" s="2"/>
      <c r="F42" s="6">
        <f t="shared" si="21"/>
        <v>0</v>
      </c>
      <c r="G42" s="2"/>
      <c r="H42" s="7">
        <v>0</v>
      </c>
      <c r="I42" s="2"/>
      <c r="J42" s="6">
        <f t="shared" si="22"/>
        <v>0</v>
      </c>
      <c r="K42" s="2"/>
      <c r="L42" s="7">
        <f t="shared" si="23"/>
        <v>0</v>
      </c>
      <c r="M42" s="2"/>
      <c r="N42" s="6">
        <f t="shared" si="24"/>
        <v>0</v>
      </c>
      <c r="O42" s="11"/>
      <c r="P42" s="7"/>
      <c r="Q42" s="2"/>
      <c r="R42" s="6">
        <f t="shared" si="25"/>
        <v>0</v>
      </c>
      <c r="S42" s="2"/>
      <c r="T42" s="7">
        <v>0</v>
      </c>
      <c r="U42" s="2"/>
      <c r="V42" s="6">
        <f t="shared" si="26"/>
        <v>0</v>
      </c>
      <c r="W42" s="2"/>
      <c r="X42" s="7">
        <f t="shared" si="27"/>
        <v>0</v>
      </c>
      <c r="Y42" s="2"/>
      <c r="Z42" s="6">
        <f t="shared" si="28"/>
        <v>0</v>
      </c>
    </row>
    <row r="43" spans="1:26" s="24" customFormat="1" hidden="1" outlineLevel="2" x14ac:dyDescent="0.25">
      <c r="A43" s="26"/>
      <c r="B43" s="11" t="str">
        <f>CONCATENATE("          ", "6004", " - ", "STAFF HOURLY")</f>
        <v xml:space="preserve">          6004 - STAFF HOURLY</v>
      </c>
      <c r="C43" s="11"/>
      <c r="D43" s="7"/>
      <c r="E43" s="2"/>
      <c r="F43" s="6">
        <f t="shared" si="21"/>
        <v>0</v>
      </c>
      <c r="G43" s="2"/>
      <c r="H43" s="7">
        <v>1575</v>
      </c>
      <c r="I43" s="2"/>
      <c r="J43" s="6">
        <f t="shared" si="22"/>
        <v>3.15E-2</v>
      </c>
      <c r="K43" s="2"/>
      <c r="L43" s="7">
        <f t="shared" si="23"/>
        <v>-1575</v>
      </c>
      <c r="M43" s="2"/>
      <c r="N43" s="6">
        <f t="shared" si="24"/>
        <v>-1</v>
      </c>
      <c r="O43" s="11"/>
      <c r="P43" s="7">
        <v>12512.45</v>
      </c>
      <c r="Q43" s="2"/>
      <c r="R43" s="6">
        <f t="shared" si="25"/>
        <v>3.189279207529324E-2</v>
      </c>
      <c r="S43" s="2"/>
      <c r="T43" s="7">
        <v>17287.5</v>
      </c>
      <c r="U43" s="2"/>
      <c r="V43" s="6">
        <f t="shared" si="26"/>
        <v>2.8812500000000001E-2</v>
      </c>
      <c r="W43" s="2"/>
      <c r="X43" s="7">
        <f t="shared" si="27"/>
        <v>-4775.0499999999993</v>
      </c>
      <c r="Y43" s="2"/>
      <c r="Z43" s="6">
        <f t="shared" si="28"/>
        <v>-0.27621402747650031</v>
      </c>
    </row>
    <row r="44" spans="1:26" s="24" customFormat="1" hidden="1" outlineLevel="2" x14ac:dyDescent="0.25">
      <c r="A44" s="26"/>
      <c r="B44" s="11" t="str">
        <f>CONCATENATE("          ", "6005", " - ", "TEMPORARY WAGES-HOURLY")</f>
        <v xml:space="preserve">          6005 - TEMPORARY WAGES-HOURLY</v>
      </c>
      <c r="C44" s="11"/>
      <c r="D44" s="7"/>
      <c r="E44" s="2"/>
      <c r="F44" s="6">
        <f t="shared" si="21"/>
        <v>0</v>
      </c>
      <c r="G44" s="2"/>
      <c r="H44" s="7">
        <v>0</v>
      </c>
      <c r="I44" s="2"/>
      <c r="J44" s="6">
        <f t="shared" si="22"/>
        <v>0</v>
      </c>
      <c r="K44" s="2"/>
      <c r="L44" s="7">
        <f t="shared" si="23"/>
        <v>0</v>
      </c>
      <c r="M44" s="2"/>
      <c r="N44" s="6">
        <f t="shared" si="24"/>
        <v>0</v>
      </c>
      <c r="O44" s="11"/>
      <c r="P44" s="7">
        <v>32469.929999999997</v>
      </c>
      <c r="Q44" s="2"/>
      <c r="R44" s="6">
        <f t="shared" si="25"/>
        <v>8.2762107036537691E-2</v>
      </c>
      <c r="S44" s="2"/>
      <c r="T44" s="7">
        <v>0</v>
      </c>
      <c r="U44" s="2"/>
      <c r="V44" s="6">
        <f t="shared" si="26"/>
        <v>0</v>
      </c>
      <c r="W44" s="2"/>
      <c r="X44" s="7">
        <f t="shared" si="27"/>
        <v>32469.929999999997</v>
      </c>
      <c r="Y44" s="2"/>
      <c r="Z44" s="6">
        <f t="shared" si="28"/>
        <v>0</v>
      </c>
    </row>
    <row r="45" spans="1:26" s="24" customFormat="1" hidden="1" outlineLevel="2" x14ac:dyDescent="0.25">
      <c r="A45" s="26"/>
      <c r="B45" s="11" t="str">
        <f>CONCATENATE("          ", "6006", " - ", "TEMPORARY PART TIME")</f>
        <v xml:space="preserve">          6006 - TEMPORARY PART TIME</v>
      </c>
      <c r="C45" s="11"/>
      <c r="D45" s="7"/>
      <c r="E45" s="2"/>
      <c r="F45" s="6">
        <f t="shared" si="21"/>
        <v>0</v>
      </c>
      <c r="G45" s="2"/>
      <c r="H45" s="7">
        <v>0</v>
      </c>
      <c r="I45" s="2"/>
      <c r="J45" s="6">
        <f t="shared" si="22"/>
        <v>0</v>
      </c>
      <c r="K45" s="2"/>
      <c r="L45" s="7">
        <f t="shared" si="23"/>
        <v>0</v>
      </c>
      <c r="M45" s="2"/>
      <c r="N45" s="6">
        <f t="shared" si="24"/>
        <v>0</v>
      </c>
      <c r="O45" s="11"/>
      <c r="P45" s="7">
        <v>303.38</v>
      </c>
      <c r="Q45" s="2"/>
      <c r="R45" s="6">
        <f t="shared" si="25"/>
        <v>7.7328063327345656E-4</v>
      </c>
      <c r="S45" s="2"/>
      <c r="T45" s="7">
        <v>0</v>
      </c>
      <c r="U45" s="2"/>
      <c r="V45" s="6">
        <f t="shared" si="26"/>
        <v>0</v>
      </c>
      <c r="W45" s="2"/>
      <c r="X45" s="7">
        <f t="shared" si="27"/>
        <v>303.38</v>
      </c>
      <c r="Y45" s="2"/>
      <c r="Z45" s="6">
        <f t="shared" si="28"/>
        <v>0</v>
      </c>
    </row>
    <row r="46" spans="1:26" s="24" customFormat="1" hidden="1" outlineLevel="2" x14ac:dyDescent="0.25">
      <c r="A46" s="26"/>
      <c r="B46" s="11" t="str">
        <f>CONCATENATE("          ", "6007", " - ", "STUDENT HOURLY")</f>
        <v xml:space="preserve">          6007 - STUDENT HOURLY</v>
      </c>
      <c r="C46" s="11"/>
      <c r="D46" s="7"/>
      <c r="E46" s="2"/>
      <c r="F46" s="6">
        <f t="shared" si="21"/>
        <v>0</v>
      </c>
      <c r="G46" s="2"/>
      <c r="H46" s="7">
        <v>382.5</v>
      </c>
      <c r="I46" s="2"/>
      <c r="J46" s="6">
        <f t="shared" si="22"/>
        <v>7.6499999999999997E-3</v>
      </c>
      <c r="K46" s="2"/>
      <c r="L46" s="7">
        <f t="shared" si="23"/>
        <v>-382.5</v>
      </c>
      <c r="M46" s="2"/>
      <c r="N46" s="6">
        <f t="shared" si="24"/>
        <v>-1</v>
      </c>
      <c r="O46" s="11"/>
      <c r="P46" s="7">
        <v>49893.740000000005</v>
      </c>
      <c r="Q46" s="2"/>
      <c r="R46" s="6">
        <f t="shared" si="25"/>
        <v>0.12717338935849823</v>
      </c>
      <c r="S46" s="2"/>
      <c r="T46" s="7">
        <v>11790</v>
      </c>
      <c r="U46" s="2"/>
      <c r="V46" s="6">
        <f t="shared" si="26"/>
        <v>1.9650000000000001E-2</v>
      </c>
      <c r="W46" s="2"/>
      <c r="X46" s="7">
        <f t="shared" si="27"/>
        <v>38103.740000000005</v>
      </c>
      <c r="Y46" s="2"/>
      <c r="Z46" s="6">
        <f t="shared" si="28"/>
        <v>3.2318693808312133</v>
      </c>
    </row>
    <row r="47" spans="1:26" s="24" customFormat="1" hidden="1" outlineLevel="2" x14ac:dyDescent="0.25">
      <c r="A47" s="26"/>
      <c r="B47" s="11" t="str">
        <f>CONCATENATE("          ", "6008", " - ", "STUDENT HOURLY-FICA EXEMPT")</f>
        <v xml:space="preserve">          6008 - STUDENT HOURLY-FICA EXEMPT</v>
      </c>
      <c r="C47" s="11"/>
      <c r="D47" s="7"/>
      <c r="E47" s="2"/>
      <c r="F47" s="6">
        <f t="shared" si="21"/>
        <v>0</v>
      </c>
      <c r="G47" s="2"/>
      <c r="H47" s="7">
        <v>3780</v>
      </c>
      <c r="I47" s="2"/>
      <c r="J47" s="6">
        <f t="shared" si="22"/>
        <v>7.5600000000000001E-2</v>
      </c>
      <c r="K47" s="2"/>
      <c r="L47" s="7">
        <f t="shared" si="23"/>
        <v>-3780</v>
      </c>
      <c r="M47" s="2"/>
      <c r="N47" s="6">
        <f t="shared" si="24"/>
        <v>-1</v>
      </c>
      <c r="O47" s="11"/>
      <c r="P47" s="7">
        <v>7159.74</v>
      </c>
      <c r="Q47" s="2"/>
      <c r="R47" s="6">
        <f t="shared" si="25"/>
        <v>1.8249351576482623E-2</v>
      </c>
      <c r="S47" s="2"/>
      <c r="T47" s="7">
        <v>37147.5</v>
      </c>
      <c r="U47" s="2"/>
      <c r="V47" s="6">
        <f t="shared" si="26"/>
        <v>6.1912500000000002E-2</v>
      </c>
      <c r="W47" s="2"/>
      <c r="X47" s="7">
        <f t="shared" si="27"/>
        <v>-29987.760000000002</v>
      </c>
      <c r="Y47" s="2"/>
      <c r="Z47" s="6">
        <f t="shared" si="28"/>
        <v>-0.80726186149808199</v>
      </c>
    </row>
    <row r="48" spans="1:26" s="24" customFormat="1" hidden="1" outlineLevel="2" x14ac:dyDescent="0.25">
      <c r="A48" s="26"/>
      <c r="B48" s="11" t="str">
        <f>CONCATENATE("          ", "6009", " - ", "TEMPORARY-SEASONAL")</f>
        <v xml:space="preserve">          6009 - TEMPORARY-SEASONAL</v>
      </c>
      <c r="C48" s="11"/>
      <c r="D48" s="7"/>
      <c r="E48" s="2"/>
      <c r="F48" s="6">
        <f t="shared" si="21"/>
        <v>0</v>
      </c>
      <c r="G48" s="2"/>
      <c r="H48" s="7">
        <v>0</v>
      </c>
      <c r="I48" s="2"/>
      <c r="J48" s="6">
        <f t="shared" si="22"/>
        <v>0</v>
      </c>
      <c r="K48" s="2"/>
      <c r="L48" s="7">
        <f t="shared" si="23"/>
        <v>0</v>
      </c>
      <c r="M48" s="2"/>
      <c r="N48" s="6">
        <f t="shared" si="24"/>
        <v>0</v>
      </c>
      <c r="O48" s="11"/>
      <c r="P48" s="7"/>
      <c r="Q48" s="2"/>
      <c r="R48" s="6">
        <f t="shared" si="25"/>
        <v>0</v>
      </c>
      <c r="S48" s="2"/>
      <c r="T48" s="7">
        <v>0</v>
      </c>
      <c r="U48" s="2"/>
      <c r="V48" s="6">
        <f t="shared" si="26"/>
        <v>0</v>
      </c>
      <c r="W48" s="2"/>
      <c r="X48" s="7">
        <f t="shared" si="27"/>
        <v>0</v>
      </c>
      <c r="Y48" s="2"/>
      <c r="Z48" s="6">
        <f t="shared" si="28"/>
        <v>0</v>
      </c>
    </row>
    <row r="49" spans="1:26" s="24" customFormat="1" hidden="1" outlineLevel="2" x14ac:dyDescent="0.25">
      <c r="A49" s="26"/>
      <c r="B49" s="11" t="str">
        <f>CONCATENATE("          ", "6010", " - ", "GRATUITY")</f>
        <v xml:space="preserve">          6010 - GRATUITY</v>
      </c>
      <c r="C49" s="11"/>
      <c r="D49" s="7"/>
      <c r="E49" s="2"/>
      <c r="F49" s="6">
        <f t="shared" si="21"/>
        <v>0</v>
      </c>
      <c r="G49" s="2"/>
      <c r="H49" s="7">
        <v>0</v>
      </c>
      <c r="I49" s="2"/>
      <c r="J49" s="6">
        <f t="shared" si="22"/>
        <v>0</v>
      </c>
      <c r="K49" s="2"/>
      <c r="L49" s="7">
        <f t="shared" si="23"/>
        <v>0</v>
      </c>
      <c r="M49" s="2"/>
      <c r="N49" s="6">
        <f t="shared" si="24"/>
        <v>0</v>
      </c>
      <c r="O49" s="11"/>
      <c r="P49" s="7"/>
      <c r="Q49" s="2"/>
      <c r="R49" s="6">
        <f t="shared" si="25"/>
        <v>0</v>
      </c>
      <c r="S49" s="2"/>
      <c r="T49" s="7">
        <v>0</v>
      </c>
      <c r="U49" s="2"/>
      <c r="V49" s="6">
        <f t="shared" si="26"/>
        <v>0</v>
      </c>
      <c r="W49" s="2"/>
      <c r="X49" s="7">
        <f t="shared" si="27"/>
        <v>0</v>
      </c>
      <c r="Y49" s="2"/>
      <c r="Z49" s="6">
        <f t="shared" si="28"/>
        <v>0</v>
      </c>
    </row>
    <row r="50" spans="1:26" s="27" customFormat="1" outlineLevel="1" collapsed="1" x14ac:dyDescent="0.25">
      <c r="A50" s="25"/>
      <c r="B50" s="12" t="str">
        <f>CONCATENATE("     ","Advertising/Promo                                 ")</f>
        <v xml:space="preserve">     Advertising/Promo                                 </v>
      </c>
      <c r="C50" s="12"/>
      <c r="D50" s="1">
        <f>SUM(OSRRefD22_2x_0)</f>
        <v>0</v>
      </c>
      <c r="E50" s="1"/>
      <c r="F50" s="5">
        <f t="shared" ref="F50:F58" si="29">IF(D$12=0,0,D50/D$12)</f>
        <v>0</v>
      </c>
      <c r="G50" s="1"/>
      <c r="H50" s="1">
        <f>SUM(OSRRefH22_2x_0)</f>
        <v>100</v>
      </c>
      <c r="I50" s="1"/>
      <c r="J50" s="5">
        <f t="shared" ref="J50:J58" si="30">IF(H$12=0,0,H50/H$12)</f>
        <v>2E-3</v>
      </c>
      <c r="K50" s="1"/>
      <c r="L50" s="1">
        <f t="shared" ref="L50:L58" si="31">+D50-H50</f>
        <v>-100</v>
      </c>
      <c r="M50" s="1"/>
      <c r="N50" s="5">
        <f t="shared" ref="N50:N58" si="32">IF(H50=0,0,L50/H50)</f>
        <v>-1</v>
      </c>
      <c r="O50" s="12"/>
      <c r="P50" s="1">
        <f>SUM(OSRRefP22_2x_0)</f>
        <v>1868.45</v>
      </c>
      <c r="Q50" s="1"/>
      <c r="R50" s="5">
        <f t="shared" ref="R50:R58" si="33">IF(P$12=0,0,P50/P$12)</f>
        <v>4.7624635745263039E-3</v>
      </c>
      <c r="S50" s="1"/>
      <c r="T50" s="1">
        <f>SUM(OSRRefT22_2x_0)</f>
        <v>1975</v>
      </c>
      <c r="U50" s="1"/>
      <c r="V50" s="5">
        <f t="shared" ref="V50:V58" si="34">IF(T$12=0,0,T50/T$12)</f>
        <v>3.2916666666666667E-3</v>
      </c>
      <c r="W50" s="1"/>
      <c r="X50" s="1">
        <f t="shared" ref="X50:X58" si="35">+P50-T50</f>
        <v>-106.54999999999995</v>
      </c>
      <c r="Y50" s="1"/>
      <c r="Z50" s="5">
        <f t="shared" ref="Z50:Z58" si="36">IF(T50=0,0,X50/T50)</f>
        <v>-5.3949367088607571E-2</v>
      </c>
    </row>
    <row r="51" spans="1:26" s="24" customFormat="1" hidden="1" outlineLevel="2" x14ac:dyDescent="0.25">
      <c r="A51" s="26"/>
      <c r="B51" s="11" t="str">
        <f>CONCATENATE("          ", "6362", " - ", "ADVERTISING EXPENSE")</f>
        <v xml:space="preserve">          6362 - ADVERTISING EXPENSE</v>
      </c>
      <c r="C51" s="11"/>
      <c r="D51" s="7"/>
      <c r="E51" s="2"/>
      <c r="F51" s="6">
        <f t="shared" si="29"/>
        <v>0</v>
      </c>
      <c r="G51" s="2"/>
      <c r="H51" s="7">
        <v>100</v>
      </c>
      <c r="I51" s="2"/>
      <c r="J51" s="6">
        <f t="shared" si="30"/>
        <v>2E-3</v>
      </c>
      <c r="K51" s="2"/>
      <c r="L51" s="7">
        <f t="shared" si="31"/>
        <v>-100</v>
      </c>
      <c r="M51" s="2"/>
      <c r="N51" s="6">
        <f t="shared" si="32"/>
        <v>-1</v>
      </c>
      <c r="O51" s="11"/>
      <c r="P51" s="7">
        <v>1868.45</v>
      </c>
      <c r="Q51" s="2"/>
      <c r="R51" s="6">
        <f t="shared" si="33"/>
        <v>4.7624635745263039E-3</v>
      </c>
      <c r="S51" s="2"/>
      <c r="T51" s="7">
        <v>1975</v>
      </c>
      <c r="U51" s="2"/>
      <c r="V51" s="6">
        <f t="shared" si="34"/>
        <v>3.2916666666666667E-3</v>
      </c>
      <c r="W51" s="2"/>
      <c r="X51" s="7">
        <f t="shared" si="35"/>
        <v>-106.54999999999995</v>
      </c>
      <c r="Y51" s="2"/>
      <c r="Z51" s="6">
        <f t="shared" si="36"/>
        <v>-5.3949367088607571E-2</v>
      </c>
    </row>
    <row r="52" spans="1:26" s="27" customFormat="1" outlineLevel="1" collapsed="1" x14ac:dyDescent="0.25">
      <c r="A52" s="25"/>
      <c r="B52" s="12" t="str">
        <f>CONCATENATE("     ","Bad Debts/Over/Short                              ")</f>
        <v xml:space="preserve">     Bad Debts/Over/Short                              </v>
      </c>
      <c r="C52" s="12"/>
      <c r="D52" s="1">
        <f>SUM(OSRRefD22_3x_0)</f>
        <v>0</v>
      </c>
      <c r="E52" s="1"/>
      <c r="F52" s="5">
        <f t="shared" si="29"/>
        <v>0</v>
      </c>
      <c r="G52" s="1"/>
      <c r="H52" s="1">
        <f>SUM(OSRRefH22_3x_0)</f>
        <v>50</v>
      </c>
      <c r="I52" s="1"/>
      <c r="J52" s="5">
        <f t="shared" si="30"/>
        <v>1E-3</v>
      </c>
      <c r="K52" s="1"/>
      <c r="L52" s="1">
        <f t="shared" si="31"/>
        <v>-50</v>
      </c>
      <c r="M52" s="1"/>
      <c r="N52" s="5">
        <f t="shared" si="32"/>
        <v>-1</v>
      </c>
      <c r="O52" s="12"/>
      <c r="P52" s="1">
        <f>SUM(OSRRefP22_3x_0)</f>
        <v>-144.01</v>
      </c>
      <c r="Q52" s="1"/>
      <c r="R52" s="5">
        <f t="shared" si="33"/>
        <v>-3.6706488231824934E-4</v>
      </c>
      <c r="S52" s="1"/>
      <c r="T52" s="1">
        <f>SUM(OSRRefT22_3x_0)</f>
        <v>550</v>
      </c>
      <c r="U52" s="1"/>
      <c r="V52" s="5">
        <f t="shared" si="34"/>
        <v>9.1666666666666665E-4</v>
      </c>
      <c r="W52" s="1"/>
      <c r="X52" s="1">
        <f t="shared" si="35"/>
        <v>-694.01</v>
      </c>
      <c r="Y52" s="1"/>
      <c r="Z52" s="5">
        <f t="shared" si="36"/>
        <v>-1.2618363636363636</v>
      </c>
    </row>
    <row r="53" spans="1:26" s="24" customFormat="1" hidden="1" outlineLevel="2" x14ac:dyDescent="0.25">
      <c r="A53" s="26"/>
      <c r="B53" s="11" t="str">
        <f>CONCATENATE("          ", "6272", " - ", "CASH (OVER/SHORT)")</f>
        <v xml:space="preserve">          6272 - CASH (OVER/SHORT)</v>
      </c>
      <c r="C53" s="11"/>
      <c r="D53" s="7"/>
      <c r="E53" s="2"/>
      <c r="F53" s="6">
        <f t="shared" si="29"/>
        <v>0</v>
      </c>
      <c r="G53" s="2"/>
      <c r="H53" s="7">
        <v>50</v>
      </c>
      <c r="I53" s="2"/>
      <c r="J53" s="6">
        <f t="shared" si="30"/>
        <v>1E-3</v>
      </c>
      <c r="K53" s="2"/>
      <c r="L53" s="7">
        <f t="shared" si="31"/>
        <v>-50</v>
      </c>
      <c r="M53" s="2"/>
      <c r="N53" s="6">
        <f t="shared" si="32"/>
        <v>-1</v>
      </c>
      <c r="O53" s="11"/>
      <c r="P53" s="7">
        <v>-144.01</v>
      </c>
      <c r="Q53" s="2"/>
      <c r="R53" s="6">
        <f t="shared" si="33"/>
        <v>-3.6706488231824934E-4</v>
      </c>
      <c r="S53" s="2"/>
      <c r="T53" s="7">
        <v>550</v>
      </c>
      <c r="U53" s="2"/>
      <c r="V53" s="6">
        <f t="shared" si="34"/>
        <v>9.1666666666666665E-4</v>
      </c>
      <c r="W53" s="2"/>
      <c r="X53" s="7">
        <f t="shared" si="35"/>
        <v>-694.01</v>
      </c>
      <c r="Y53" s="2"/>
      <c r="Z53" s="6">
        <f t="shared" si="36"/>
        <v>-1.2618363636363636</v>
      </c>
    </row>
    <row r="54" spans="1:26" s="27" customFormat="1" outlineLevel="1" collapsed="1" x14ac:dyDescent="0.25">
      <c r="A54" s="25"/>
      <c r="B54" s="12" t="str">
        <f>CONCATENATE("     ","Bank/card Fees                                    ")</f>
        <v xml:space="preserve">     Bank/card Fees                                    </v>
      </c>
      <c r="C54" s="12"/>
      <c r="D54" s="1">
        <f>SUM(OSRRefD22_4x_0)</f>
        <v>0</v>
      </c>
      <c r="E54" s="1"/>
      <c r="F54" s="5">
        <f t="shared" si="29"/>
        <v>0</v>
      </c>
      <c r="G54" s="1"/>
      <c r="H54" s="1">
        <f>SUM(OSRRefH22_4x_0)</f>
        <v>500</v>
      </c>
      <c r="I54" s="1"/>
      <c r="J54" s="5">
        <f t="shared" si="30"/>
        <v>0.01</v>
      </c>
      <c r="K54" s="1"/>
      <c r="L54" s="1">
        <f t="shared" si="31"/>
        <v>-500</v>
      </c>
      <c r="M54" s="1"/>
      <c r="N54" s="5">
        <f t="shared" si="32"/>
        <v>-1</v>
      </c>
      <c r="O54" s="12"/>
      <c r="P54" s="1">
        <f>SUM(OSRRefP22_4x_0)</f>
        <v>7654.91</v>
      </c>
      <c r="Q54" s="1"/>
      <c r="R54" s="5">
        <f t="shared" si="33"/>
        <v>1.9511482801935907E-2</v>
      </c>
      <c r="S54" s="1"/>
      <c r="T54" s="1">
        <f>SUM(OSRRefT22_4x_0)</f>
        <v>5400</v>
      </c>
      <c r="U54" s="1"/>
      <c r="V54" s="5">
        <f t="shared" si="34"/>
        <v>8.9999999999999993E-3</v>
      </c>
      <c r="W54" s="1"/>
      <c r="X54" s="1">
        <f t="shared" si="35"/>
        <v>2254.91</v>
      </c>
      <c r="Y54" s="1"/>
      <c r="Z54" s="5">
        <f t="shared" si="36"/>
        <v>0.41757592592592591</v>
      </c>
    </row>
    <row r="55" spans="1:26" s="24" customFormat="1" hidden="1" outlineLevel="2" x14ac:dyDescent="0.25">
      <c r="A55" s="26"/>
      <c r="B55" s="11" t="str">
        <f>CONCATENATE("          ", "6381", " - ", "BANK/CREDIT CARD FEES")</f>
        <v xml:space="preserve">          6381 - BANK/CREDIT CARD FEES</v>
      </c>
      <c r="C55" s="11"/>
      <c r="D55" s="7"/>
      <c r="E55" s="2"/>
      <c r="F55" s="6">
        <f t="shared" si="29"/>
        <v>0</v>
      </c>
      <c r="G55" s="2"/>
      <c r="H55" s="7">
        <v>500</v>
      </c>
      <c r="I55" s="2"/>
      <c r="J55" s="6">
        <f t="shared" si="30"/>
        <v>0.01</v>
      </c>
      <c r="K55" s="2"/>
      <c r="L55" s="7">
        <f t="shared" si="31"/>
        <v>-500</v>
      </c>
      <c r="M55" s="2"/>
      <c r="N55" s="6">
        <f t="shared" si="32"/>
        <v>-1</v>
      </c>
      <c r="O55" s="11"/>
      <c r="P55" s="7">
        <v>7654.91</v>
      </c>
      <c r="Q55" s="2"/>
      <c r="R55" s="6">
        <f t="shared" si="33"/>
        <v>1.9511482801935907E-2</v>
      </c>
      <c r="S55" s="2"/>
      <c r="T55" s="7">
        <v>5400</v>
      </c>
      <c r="U55" s="2"/>
      <c r="V55" s="6">
        <f t="shared" si="34"/>
        <v>8.9999999999999993E-3</v>
      </c>
      <c r="W55" s="2"/>
      <c r="X55" s="7">
        <f t="shared" si="35"/>
        <v>2254.91</v>
      </c>
      <c r="Y55" s="2"/>
      <c r="Z55" s="6">
        <f t="shared" si="36"/>
        <v>0.41757592592592591</v>
      </c>
    </row>
    <row r="56" spans="1:26" s="27" customFormat="1" outlineLevel="1" collapsed="1" x14ac:dyDescent="0.25">
      <c r="A56" s="25"/>
      <c r="B56" s="12" t="str">
        <f>CONCATENATE("     ","Depreciation                                      ")</f>
        <v xml:space="preserve">     Depreciation                                      </v>
      </c>
      <c r="C56" s="12"/>
      <c r="D56" s="1">
        <f>SUM(OSRRefD22_5x_0)</f>
        <v>1000.91</v>
      </c>
      <c r="E56" s="1"/>
      <c r="F56" s="5">
        <f t="shared" si="29"/>
        <v>0</v>
      </c>
      <c r="G56" s="1"/>
      <c r="H56" s="1">
        <f>SUM(OSRRefH22_5x_0)</f>
        <v>436</v>
      </c>
      <c r="I56" s="1"/>
      <c r="J56" s="5">
        <f t="shared" si="30"/>
        <v>8.7200000000000003E-3</v>
      </c>
      <c r="K56" s="1"/>
      <c r="L56" s="1">
        <f t="shared" si="31"/>
        <v>564.91</v>
      </c>
      <c r="M56" s="1"/>
      <c r="N56" s="5">
        <f t="shared" si="32"/>
        <v>1.2956651376146788</v>
      </c>
      <c r="O56" s="12"/>
      <c r="P56" s="1">
        <f>SUM(OSRRefP22_5x_0)</f>
        <v>5045.53</v>
      </c>
      <c r="Q56" s="1"/>
      <c r="R56" s="5">
        <f t="shared" si="33"/>
        <v>1.2860474103764992E-2</v>
      </c>
      <c r="S56" s="1"/>
      <c r="T56" s="1">
        <f>SUM(OSRRefT22_5x_0)</f>
        <v>4295</v>
      </c>
      <c r="U56" s="1"/>
      <c r="V56" s="5">
        <f t="shared" si="34"/>
        <v>7.1583333333333334E-3</v>
      </c>
      <c r="W56" s="1"/>
      <c r="X56" s="1">
        <f t="shared" si="35"/>
        <v>750.52999999999975</v>
      </c>
      <c r="Y56" s="1"/>
      <c r="Z56" s="5">
        <f t="shared" si="36"/>
        <v>0.17474505238649587</v>
      </c>
    </row>
    <row r="57" spans="1:26" s="24" customFormat="1" hidden="1" outlineLevel="2" x14ac:dyDescent="0.25">
      <c r="A57" s="26"/>
      <c r="B57" s="11" t="str">
        <f>CONCATENATE("          ", "6322", " - ", "EQUIPMENT DEPRECIATION EXPENSE")</f>
        <v xml:space="preserve">          6322 - EQUIPMENT DEPRECIATION EXPENSE</v>
      </c>
      <c r="C57" s="11"/>
      <c r="D57" s="7">
        <v>1000.91</v>
      </c>
      <c r="E57" s="2"/>
      <c r="F57" s="6">
        <f t="shared" si="29"/>
        <v>0</v>
      </c>
      <c r="G57" s="2"/>
      <c r="H57" s="7">
        <v>269</v>
      </c>
      <c r="I57" s="2"/>
      <c r="J57" s="6">
        <f t="shared" si="30"/>
        <v>5.3800000000000002E-3</v>
      </c>
      <c r="K57" s="2"/>
      <c r="L57" s="7">
        <f t="shared" si="31"/>
        <v>731.91</v>
      </c>
      <c r="M57" s="2"/>
      <c r="N57" s="6">
        <f t="shared" si="32"/>
        <v>2.7208550185873603</v>
      </c>
      <c r="O57" s="11"/>
      <c r="P57" s="7">
        <v>5045.53</v>
      </c>
      <c r="Q57" s="2"/>
      <c r="R57" s="6">
        <f t="shared" si="33"/>
        <v>1.2860474103764992E-2</v>
      </c>
      <c r="S57" s="2"/>
      <c r="T57" s="7">
        <v>2959</v>
      </c>
      <c r="U57" s="2"/>
      <c r="V57" s="6">
        <f t="shared" si="34"/>
        <v>4.9316666666666667E-3</v>
      </c>
      <c r="W57" s="2"/>
      <c r="X57" s="7">
        <f t="shared" si="35"/>
        <v>2086.5299999999997</v>
      </c>
      <c r="Y57" s="2"/>
      <c r="Z57" s="6">
        <f t="shared" si="36"/>
        <v>0.70514700912470418</v>
      </c>
    </row>
    <row r="58" spans="1:26" s="24" customFormat="1" hidden="1" outlineLevel="2" x14ac:dyDescent="0.25">
      <c r="A58" s="26"/>
      <c r="B58" s="11" t="str">
        <f>CONCATENATE("          ", "6324", " - ", "FURNITURE + FIXT DEPRECIATION")</f>
        <v xml:space="preserve">          6324 - FURNITURE + FIXT DEPRECIATION</v>
      </c>
      <c r="C58" s="11"/>
      <c r="D58" s="7"/>
      <c r="E58" s="2"/>
      <c r="F58" s="6">
        <f t="shared" si="29"/>
        <v>0</v>
      </c>
      <c r="G58" s="2"/>
      <c r="H58" s="7">
        <v>167</v>
      </c>
      <c r="I58" s="2"/>
      <c r="J58" s="6">
        <f t="shared" si="30"/>
        <v>3.3400000000000001E-3</v>
      </c>
      <c r="K58" s="2"/>
      <c r="L58" s="7">
        <f t="shared" si="31"/>
        <v>-167</v>
      </c>
      <c r="M58" s="2"/>
      <c r="N58" s="6">
        <f t="shared" si="32"/>
        <v>-1</v>
      </c>
      <c r="O58" s="11"/>
      <c r="P58" s="7"/>
      <c r="Q58" s="2"/>
      <c r="R58" s="6">
        <f t="shared" si="33"/>
        <v>0</v>
      </c>
      <c r="S58" s="2"/>
      <c r="T58" s="7">
        <v>1336</v>
      </c>
      <c r="U58" s="2"/>
      <c r="V58" s="6">
        <f t="shared" si="34"/>
        <v>2.2266666666666667E-3</v>
      </c>
      <c r="W58" s="2"/>
      <c r="X58" s="7">
        <f t="shared" si="35"/>
        <v>-1336</v>
      </c>
      <c r="Y58" s="2"/>
      <c r="Z58" s="6">
        <f t="shared" si="36"/>
        <v>-1</v>
      </c>
    </row>
    <row r="59" spans="1:26" s="27" customFormat="1" outlineLevel="1" collapsed="1" x14ac:dyDescent="0.25">
      <c r="A59" s="25"/>
      <c r="B59" s="12" t="str">
        <f>CONCATENATE("     ","Employees' Appreciation                           ")</f>
        <v xml:space="preserve">     Employees' Appreciation                           </v>
      </c>
      <c r="C59" s="12"/>
      <c r="D59" s="1">
        <f>SUM(OSRRefD22_6x_0)</f>
        <v>0</v>
      </c>
      <c r="E59" s="1"/>
      <c r="F59" s="5">
        <f t="shared" ref="F59:F68" si="37">IF(D$12=0,0,D59/D$12)</f>
        <v>0</v>
      </c>
      <c r="G59" s="1"/>
      <c r="H59" s="1">
        <f>SUM(OSRRefH22_6x_0)</f>
        <v>250</v>
      </c>
      <c r="I59" s="1"/>
      <c r="J59" s="5">
        <f t="shared" ref="J59:J68" si="38">IF(H$12=0,0,H59/H$12)</f>
        <v>5.0000000000000001E-3</v>
      </c>
      <c r="K59" s="1"/>
      <c r="L59" s="1">
        <f t="shared" ref="L59:L68" si="39">+D59-H59</f>
        <v>-250</v>
      </c>
      <c r="M59" s="1"/>
      <c r="N59" s="5">
        <f t="shared" ref="N59:N68" si="40">IF(H59=0,0,L59/H59)</f>
        <v>-1</v>
      </c>
      <c r="O59" s="12"/>
      <c r="P59" s="1">
        <f>SUM(OSRRefP22_6x_0)</f>
        <v>118.6</v>
      </c>
      <c r="Q59" s="1"/>
      <c r="R59" s="5">
        <f t="shared" ref="R59:R68" si="41">IF(P$12=0,0,P59/P$12)</f>
        <v>3.022977226785943E-4</v>
      </c>
      <c r="S59" s="1"/>
      <c r="T59" s="1">
        <f>SUM(OSRRefT22_6x_0)</f>
        <v>500</v>
      </c>
      <c r="U59" s="1"/>
      <c r="V59" s="5">
        <f t="shared" ref="V59:V68" si="42">IF(T$12=0,0,T59/T$12)</f>
        <v>8.3333333333333339E-4</v>
      </c>
      <c r="W59" s="1"/>
      <c r="X59" s="1">
        <f t="shared" ref="X59:X68" si="43">+P59-T59</f>
        <v>-381.4</v>
      </c>
      <c r="Y59" s="1"/>
      <c r="Z59" s="5">
        <f t="shared" ref="Z59:Z68" si="44">IF(T59=0,0,X59/T59)</f>
        <v>-0.76279999999999992</v>
      </c>
    </row>
    <row r="60" spans="1:26" s="24" customFormat="1" hidden="1" outlineLevel="2" x14ac:dyDescent="0.25">
      <c r="A60" s="26"/>
      <c r="B60" s="11" t="str">
        <f>CONCATENATE("          ", "6277", " - ", "EMPLOYEE APPRECIATION")</f>
        <v xml:space="preserve">          6277 - EMPLOYEE APPRECIATION</v>
      </c>
      <c r="C60" s="11"/>
      <c r="D60" s="7"/>
      <c r="E60" s="2"/>
      <c r="F60" s="6">
        <f t="shared" si="37"/>
        <v>0</v>
      </c>
      <c r="G60" s="2"/>
      <c r="H60" s="7">
        <v>250</v>
      </c>
      <c r="I60" s="2"/>
      <c r="J60" s="6">
        <f t="shared" si="38"/>
        <v>5.0000000000000001E-3</v>
      </c>
      <c r="K60" s="2"/>
      <c r="L60" s="7">
        <f t="shared" si="39"/>
        <v>-250</v>
      </c>
      <c r="M60" s="2"/>
      <c r="N60" s="6">
        <f t="shared" si="40"/>
        <v>-1</v>
      </c>
      <c r="O60" s="11"/>
      <c r="P60" s="7">
        <v>118.6</v>
      </c>
      <c r="Q60" s="2"/>
      <c r="R60" s="6">
        <f t="shared" si="41"/>
        <v>3.022977226785943E-4</v>
      </c>
      <c r="S60" s="2"/>
      <c r="T60" s="7">
        <v>500</v>
      </c>
      <c r="U60" s="2"/>
      <c r="V60" s="6">
        <f t="shared" si="42"/>
        <v>8.3333333333333339E-4</v>
      </c>
      <c r="W60" s="2"/>
      <c r="X60" s="7">
        <f t="shared" si="43"/>
        <v>-381.4</v>
      </c>
      <c r="Y60" s="2"/>
      <c r="Z60" s="6">
        <f t="shared" si="44"/>
        <v>-0.76279999999999992</v>
      </c>
    </row>
    <row r="61" spans="1:26" s="27" customFormat="1" outlineLevel="1" collapsed="1" x14ac:dyDescent="0.25">
      <c r="A61" s="25"/>
      <c r="B61" s="12" t="str">
        <f>CONCATENATE("     ","Equipment Rental                                  ")</f>
        <v xml:space="preserve">     Equipment Rental                                  </v>
      </c>
      <c r="C61" s="12"/>
      <c r="D61" s="1">
        <f>SUM(OSRRefD22_7x_0)</f>
        <v>0</v>
      </c>
      <c r="E61" s="1"/>
      <c r="F61" s="5">
        <f t="shared" si="37"/>
        <v>0</v>
      </c>
      <c r="G61" s="1"/>
      <c r="H61" s="1">
        <f>SUM(OSRRefH22_7x_0)</f>
        <v>100</v>
      </c>
      <c r="I61" s="1"/>
      <c r="J61" s="5">
        <f t="shared" si="38"/>
        <v>2E-3</v>
      </c>
      <c r="K61" s="1"/>
      <c r="L61" s="1">
        <f t="shared" si="39"/>
        <v>-100</v>
      </c>
      <c r="M61" s="1"/>
      <c r="N61" s="5">
        <f t="shared" si="40"/>
        <v>-1</v>
      </c>
      <c r="O61" s="12"/>
      <c r="P61" s="1">
        <f>SUM(OSRRefP22_7x_0)</f>
        <v>350</v>
      </c>
      <c r="Q61" s="1"/>
      <c r="R61" s="5">
        <f t="shared" si="41"/>
        <v>8.9210963690984841E-4</v>
      </c>
      <c r="S61" s="1"/>
      <c r="T61" s="1">
        <f>SUM(OSRRefT22_7x_0)</f>
        <v>400</v>
      </c>
      <c r="U61" s="1"/>
      <c r="V61" s="5">
        <f t="shared" si="42"/>
        <v>6.6666666666666664E-4</v>
      </c>
      <c r="W61" s="1"/>
      <c r="X61" s="1">
        <f t="shared" si="43"/>
        <v>-50</v>
      </c>
      <c r="Y61" s="1"/>
      <c r="Z61" s="5">
        <f t="shared" si="44"/>
        <v>-0.125</v>
      </c>
    </row>
    <row r="62" spans="1:26" s="24" customFormat="1" hidden="1" outlineLevel="2" x14ac:dyDescent="0.25">
      <c r="A62" s="26"/>
      <c r="B62" s="11" t="str">
        <f>CONCATENATE("          ", "6351", " - ", "EQUIPMENT RENTAL")</f>
        <v xml:space="preserve">          6351 - EQUIPMENT RENTAL</v>
      </c>
      <c r="C62" s="11"/>
      <c r="D62" s="7"/>
      <c r="E62" s="2"/>
      <c r="F62" s="6">
        <f t="shared" si="37"/>
        <v>0</v>
      </c>
      <c r="G62" s="2"/>
      <c r="H62" s="7">
        <v>100</v>
      </c>
      <c r="I62" s="2"/>
      <c r="J62" s="6">
        <f t="shared" si="38"/>
        <v>2E-3</v>
      </c>
      <c r="K62" s="2"/>
      <c r="L62" s="7">
        <f t="shared" si="39"/>
        <v>-100</v>
      </c>
      <c r="M62" s="2"/>
      <c r="N62" s="6">
        <f t="shared" si="40"/>
        <v>-1</v>
      </c>
      <c r="O62" s="11"/>
      <c r="P62" s="7">
        <v>350</v>
      </c>
      <c r="Q62" s="2"/>
      <c r="R62" s="6">
        <f t="shared" si="41"/>
        <v>8.9210963690984841E-4</v>
      </c>
      <c r="S62" s="2"/>
      <c r="T62" s="7">
        <v>400</v>
      </c>
      <c r="U62" s="2"/>
      <c r="V62" s="6">
        <f t="shared" si="42"/>
        <v>6.6666666666666664E-4</v>
      </c>
      <c r="W62" s="2"/>
      <c r="X62" s="7">
        <f t="shared" si="43"/>
        <v>-50</v>
      </c>
      <c r="Y62" s="2"/>
      <c r="Z62" s="6">
        <f t="shared" si="44"/>
        <v>-0.125</v>
      </c>
    </row>
    <row r="63" spans="1:26" s="27" customFormat="1" outlineLevel="1" collapsed="1" x14ac:dyDescent="0.25">
      <c r="A63" s="25"/>
      <c r="B63" s="12" t="str">
        <f>CONCATENATE("     ","General                                           ")</f>
        <v xml:space="preserve">     General                                           </v>
      </c>
      <c r="C63" s="12"/>
      <c r="D63" s="1">
        <f>SUM(OSRRefD22_8x_0)</f>
        <v>-800</v>
      </c>
      <c r="E63" s="1"/>
      <c r="F63" s="5">
        <f t="shared" si="37"/>
        <v>0</v>
      </c>
      <c r="G63" s="1"/>
      <c r="H63" s="1">
        <f>SUM(OSRRefH22_8x_0)</f>
        <v>0</v>
      </c>
      <c r="I63" s="1"/>
      <c r="J63" s="5">
        <f t="shared" si="38"/>
        <v>0</v>
      </c>
      <c r="K63" s="1"/>
      <c r="L63" s="1">
        <f t="shared" si="39"/>
        <v>-800</v>
      </c>
      <c r="M63" s="1"/>
      <c r="N63" s="5">
        <f t="shared" si="40"/>
        <v>0</v>
      </c>
      <c r="O63" s="12"/>
      <c r="P63" s="1">
        <f>SUM(OSRRefP22_8x_0)</f>
        <v>14829.04</v>
      </c>
      <c r="Q63" s="1"/>
      <c r="R63" s="5">
        <f t="shared" si="41"/>
        <v>3.7797512828918911E-2</v>
      </c>
      <c r="S63" s="1"/>
      <c r="T63" s="1">
        <f>SUM(OSRRefT22_8x_0)</f>
        <v>2050</v>
      </c>
      <c r="U63" s="1"/>
      <c r="V63" s="5">
        <f t="shared" si="42"/>
        <v>3.4166666666666668E-3</v>
      </c>
      <c r="W63" s="1"/>
      <c r="X63" s="1">
        <f t="shared" si="43"/>
        <v>12779.04</v>
      </c>
      <c r="Y63" s="1"/>
      <c r="Z63" s="5">
        <f t="shared" si="44"/>
        <v>6.2336780487804884</v>
      </c>
    </row>
    <row r="64" spans="1:26" s="24" customFormat="1" hidden="1" outlineLevel="2" x14ac:dyDescent="0.25">
      <c r="A64" s="26"/>
      <c r="B64" s="11" t="str">
        <f>CONCATENATE("          ", "6279", " - ", "GENERAL EXPENSE")</f>
        <v xml:space="preserve">          6279 - GENERAL EXPENSE</v>
      </c>
      <c r="C64" s="11"/>
      <c r="D64" s="7">
        <v>-800</v>
      </c>
      <c r="E64" s="2"/>
      <c r="F64" s="6">
        <f t="shared" si="37"/>
        <v>0</v>
      </c>
      <c r="G64" s="2"/>
      <c r="H64" s="7"/>
      <c r="I64" s="2"/>
      <c r="J64" s="6">
        <f t="shared" si="38"/>
        <v>0</v>
      </c>
      <c r="K64" s="2"/>
      <c r="L64" s="7">
        <f t="shared" si="39"/>
        <v>-800</v>
      </c>
      <c r="M64" s="2"/>
      <c r="N64" s="6">
        <f t="shared" si="40"/>
        <v>0</v>
      </c>
      <c r="O64" s="11"/>
      <c r="P64" s="7">
        <v>14829.04</v>
      </c>
      <c r="Q64" s="2"/>
      <c r="R64" s="6">
        <f t="shared" si="41"/>
        <v>3.7797512828918911E-2</v>
      </c>
      <c r="S64" s="2"/>
      <c r="T64" s="7">
        <v>2050</v>
      </c>
      <c r="U64" s="2"/>
      <c r="V64" s="6">
        <f t="shared" si="42"/>
        <v>3.4166666666666668E-3</v>
      </c>
      <c r="W64" s="2"/>
      <c r="X64" s="7">
        <f t="shared" si="43"/>
        <v>12779.04</v>
      </c>
      <c r="Y64" s="2"/>
      <c r="Z64" s="6">
        <f t="shared" si="44"/>
        <v>6.2336780487804884</v>
      </c>
    </row>
    <row r="65" spans="1:26" s="27" customFormat="1" outlineLevel="1" collapsed="1" x14ac:dyDescent="0.25">
      <c r="A65" s="25"/>
      <c r="B65" s="12" t="str">
        <f>CONCATENATE("     ","Repair and Maintenance                            ")</f>
        <v xml:space="preserve">     Repair and Maintenance                            </v>
      </c>
      <c r="C65" s="12"/>
      <c r="D65" s="1">
        <f>SUM(OSRRefD22_9x_0)</f>
        <v>0</v>
      </c>
      <c r="E65" s="1"/>
      <c r="F65" s="5">
        <f t="shared" si="37"/>
        <v>0</v>
      </c>
      <c r="G65" s="1"/>
      <c r="H65" s="1">
        <f>SUM(OSRRefH22_9x_0)</f>
        <v>425</v>
      </c>
      <c r="I65" s="1"/>
      <c r="J65" s="5">
        <f t="shared" si="38"/>
        <v>8.5000000000000006E-3</v>
      </c>
      <c r="K65" s="1"/>
      <c r="L65" s="1">
        <f t="shared" si="39"/>
        <v>-425</v>
      </c>
      <c r="M65" s="1"/>
      <c r="N65" s="5">
        <f t="shared" si="40"/>
        <v>-1</v>
      </c>
      <c r="O65" s="12"/>
      <c r="P65" s="1">
        <f>SUM(OSRRefP22_9x_0)</f>
        <v>5688.74</v>
      </c>
      <c r="Q65" s="1"/>
      <c r="R65" s="5">
        <f t="shared" si="41"/>
        <v>1.4499942216784373E-2</v>
      </c>
      <c r="S65" s="1"/>
      <c r="T65" s="1">
        <f>SUM(OSRRefT22_9x_0)</f>
        <v>6250</v>
      </c>
      <c r="U65" s="1"/>
      <c r="V65" s="5">
        <f t="shared" si="42"/>
        <v>1.0416666666666666E-2</v>
      </c>
      <c r="W65" s="1"/>
      <c r="X65" s="1">
        <f t="shared" si="43"/>
        <v>-561.26000000000022</v>
      </c>
      <c r="Y65" s="1"/>
      <c r="Z65" s="5">
        <f t="shared" si="44"/>
        <v>-8.9801600000000037E-2</v>
      </c>
    </row>
    <row r="66" spans="1:26" s="24" customFormat="1" hidden="1" outlineLevel="2" x14ac:dyDescent="0.25">
      <c r="A66" s="26"/>
      <c r="B66" s="11" t="str">
        <f>CONCATENATE("          ", "6371", " - ", "COMPUTER SOFTWARE MAINTENANCE")</f>
        <v xml:space="preserve">          6371 - COMPUTER SOFTWARE MAINTENANCE</v>
      </c>
      <c r="C66" s="11"/>
      <c r="D66" s="7"/>
      <c r="E66" s="2"/>
      <c r="F66" s="6">
        <f t="shared" si="37"/>
        <v>0</v>
      </c>
      <c r="G66" s="2"/>
      <c r="H66" s="7"/>
      <c r="I66" s="2"/>
      <c r="J66" s="6">
        <f t="shared" si="38"/>
        <v>0</v>
      </c>
      <c r="K66" s="2"/>
      <c r="L66" s="7">
        <f t="shared" si="39"/>
        <v>0</v>
      </c>
      <c r="M66" s="2"/>
      <c r="N66" s="6">
        <f t="shared" si="40"/>
        <v>0</v>
      </c>
      <c r="O66" s="11"/>
      <c r="P66" s="7">
        <v>2623.84</v>
      </c>
      <c r="Q66" s="2"/>
      <c r="R66" s="6">
        <f t="shared" si="41"/>
        <v>6.6878655705986763E-3</v>
      </c>
      <c r="S66" s="2"/>
      <c r="T66" s="7">
        <v>450</v>
      </c>
      <c r="U66" s="2"/>
      <c r="V66" s="6">
        <f t="shared" si="42"/>
        <v>7.5000000000000002E-4</v>
      </c>
      <c r="W66" s="2"/>
      <c r="X66" s="7">
        <f t="shared" si="43"/>
        <v>2173.84</v>
      </c>
      <c r="Y66" s="2"/>
      <c r="Z66" s="6">
        <f t="shared" si="44"/>
        <v>4.8307555555555561</v>
      </c>
    </row>
    <row r="67" spans="1:26" s="24" customFormat="1" hidden="1" outlineLevel="2" x14ac:dyDescent="0.25">
      <c r="A67" s="26"/>
      <c r="B67" s="11" t="str">
        <f>CONCATENATE("          ", "6373", " - ", "MAINTENANCE CONTRACTS")</f>
        <v xml:space="preserve">          6373 - MAINTENANCE CONTRACTS</v>
      </c>
      <c r="C67" s="11"/>
      <c r="D67" s="7"/>
      <c r="E67" s="2"/>
      <c r="F67" s="6">
        <f t="shared" si="37"/>
        <v>0</v>
      </c>
      <c r="G67" s="2"/>
      <c r="H67" s="7">
        <v>125</v>
      </c>
      <c r="I67" s="2"/>
      <c r="J67" s="6">
        <f t="shared" si="38"/>
        <v>2.5000000000000001E-3</v>
      </c>
      <c r="K67" s="2"/>
      <c r="L67" s="7">
        <f t="shared" si="39"/>
        <v>-125</v>
      </c>
      <c r="M67" s="2"/>
      <c r="N67" s="6">
        <f t="shared" si="40"/>
        <v>-1</v>
      </c>
      <c r="O67" s="11"/>
      <c r="P67" s="7">
        <v>573</v>
      </c>
      <c r="Q67" s="2"/>
      <c r="R67" s="6">
        <f t="shared" si="41"/>
        <v>1.4605109198552661E-3</v>
      </c>
      <c r="S67" s="2"/>
      <c r="T67" s="7">
        <v>500</v>
      </c>
      <c r="U67" s="2"/>
      <c r="V67" s="6">
        <f t="shared" si="42"/>
        <v>8.3333333333333339E-4</v>
      </c>
      <c r="W67" s="2"/>
      <c r="X67" s="7">
        <f t="shared" si="43"/>
        <v>73</v>
      </c>
      <c r="Y67" s="2"/>
      <c r="Z67" s="6">
        <f t="shared" si="44"/>
        <v>0.14599999999999999</v>
      </c>
    </row>
    <row r="68" spans="1:26" s="24" customFormat="1" hidden="1" outlineLevel="2" x14ac:dyDescent="0.25">
      <c r="A68" s="26"/>
      <c r="B68" s="11" t="str">
        <f>CONCATENATE("          ", "6375", " - ", "OUTSIDE REPAIRS &amp; MAINTENANCE")</f>
        <v xml:space="preserve">          6375 - OUTSIDE REPAIRS &amp; MAINTENANCE</v>
      </c>
      <c r="C68" s="11"/>
      <c r="D68" s="7"/>
      <c r="E68" s="2"/>
      <c r="F68" s="6">
        <f t="shared" si="37"/>
        <v>0</v>
      </c>
      <c r="G68" s="2"/>
      <c r="H68" s="7">
        <v>300</v>
      </c>
      <c r="I68" s="2"/>
      <c r="J68" s="6">
        <f t="shared" si="38"/>
        <v>6.0000000000000001E-3</v>
      </c>
      <c r="K68" s="2"/>
      <c r="L68" s="7">
        <f t="shared" si="39"/>
        <v>-300</v>
      </c>
      <c r="M68" s="2"/>
      <c r="N68" s="6">
        <f t="shared" si="40"/>
        <v>-1</v>
      </c>
      <c r="O68" s="11"/>
      <c r="P68" s="7">
        <v>2491.9</v>
      </c>
      <c r="Q68" s="2"/>
      <c r="R68" s="6">
        <f t="shared" si="41"/>
        <v>6.3515657263304324E-3</v>
      </c>
      <c r="S68" s="2"/>
      <c r="T68" s="7">
        <v>5300</v>
      </c>
      <c r="U68" s="2"/>
      <c r="V68" s="6">
        <f t="shared" si="42"/>
        <v>8.8333333333333337E-3</v>
      </c>
      <c r="W68" s="2"/>
      <c r="X68" s="7">
        <f t="shared" si="43"/>
        <v>-2808.1</v>
      </c>
      <c r="Y68" s="2"/>
      <c r="Z68" s="6">
        <f t="shared" si="44"/>
        <v>-0.52983018867924525</v>
      </c>
    </row>
    <row r="69" spans="1:26" s="27" customFormat="1" outlineLevel="1" collapsed="1" x14ac:dyDescent="0.25">
      <c r="A69" s="25"/>
      <c r="B69" s="12" t="str">
        <f>CONCATENATE("     ","Royalty &amp; Commissions                             ")</f>
        <v xml:space="preserve">     Royalty &amp; Commissions                             </v>
      </c>
      <c r="C69" s="12"/>
      <c r="D69" s="1">
        <f>SUM(OSRRefD22_10x_0)</f>
        <v>0</v>
      </c>
      <c r="E69" s="1"/>
      <c r="F69" s="5">
        <f t="shared" ref="F69:F71" si="45">IF(D$12=0,0,D69/D$12)</f>
        <v>0</v>
      </c>
      <c r="G69" s="1"/>
      <c r="H69" s="1">
        <f>SUM(OSRRefH22_10x_0)</f>
        <v>20000</v>
      </c>
      <c r="I69" s="1"/>
      <c r="J69" s="5">
        <f t="shared" ref="J69:J71" si="46">IF(H$12=0,0,H69/H$12)</f>
        <v>0.4</v>
      </c>
      <c r="K69" s="1"/>
      <c r="L69" s="1">
        <f t="shared" ref="L69:L71" si="47">+D69-H69</f>
        <v>-20000</v>
      </c>
      <c r="M69" s="1"/>
      <c r="N69" s="5">
        <f t="shared" ref="N69:N71" si="48">IF(H69=0,0,L69/H69)</f>
        <v>-1</v>
      </c>
      <c r="O69" s="12"/>
      <c r="P69" s="1">
        <f>SUM(OSRRefP22_10x_0)</f>
        <v>83387.12</v>
      </c>
      <c r="Q69" s="1"/>
      <c r="R69" s="5">
        <f t="shared" ref="R69:R71" si="49">IF(P$12=0,0,P69/P$12)</f>
        <v>0.21254415241759414</v>
      </c>
      <c r="S69" s="1"/>
      <c r="T69" s="1">
        <f>SUM(OSRRefT22_10x_0)</f>
        <v>163000</v>
      </c>
      <c r="U69" s="1"/>
      <c r="V69" s="5">
        <f t="shared" ref="V69:V71" si="50">IF(T$12=0,0,T69/T$12)</f>
        <v>0.27166666666666667</v>
      </c>
      <c r="W69" s="1"/>
      <c r="X69" s="1">
        <f t="shared" ref="X69:X71" si="51">+P69-T69</f>
        <v>-79612.88</v>
      </c>
      <c r="Y69" s="1"/>
      <c r="Z69" s="5">
        <f t="shared" ref="Z69:Z71" si="52">IF(T69=0,0,X69/T69)</f>
        <v>-0.48842257668711658</v>
      </c>
    </row>
    <row r="70" spans="1:26" s="24" customFormat="1" hidden="1" outlineLevel="2" x14ac:dyDescent="0.25">
      <c r="A70" s="26"/>
      <c r="B70" s="11" t="str">
        <f>CONCATENATE("          ", "6253", " - ", "ROYALTY DUE ATHLETICS-LRG")</f>
        <v xml:space="preserve">          6253 - ROYALTY DUE ATHLETICS-LRG</v>
      </c>
      <c r="C70" s="11"/>
      <c r="D70" s="7"/>
      <c r="E70" s="2"/>
      <c r="F70" s="6">
        <f t="shared" si="45"/>
        <v>0</v>
      </c>
      <c r="G70" s="2"/>
      <c r="H70" s="7">
        <v>20000</v>
      </c>
      <c r="I70" s="2"/>
      <c r="J70" s="6">
        <f t="shared" si="46"/>
        <v>0.4</v>
      </c>
      <c r="K70" s="2"/>
      <c r="L70" s="7">
        <f t="shared" si="47"/>
        <v>-20000</v>
      </c>
      <c r="M70" s="2"/>
      <c r="N70" s="6">
        <f t="shared" si="48"/>
        <v>-1</v>
      </c>
      <c r="O70" s="11"/>
      <c r="P70" s="7"/>
      <c r="Q70" s="2"/>
      <c r="R70" s="6">
        <f t="shared" si="49"/>
        <v>0</v>
      </c>
      <c r="S70" s="2"/>
      <c r="T70" s="7">
        <v>163000</v>
      </c>
      <c r="U70" s="2"/>
      <c r="V70" s="6">
        <f t="shared" si="50"/>
        <v>0.27166666666666667</v>
      </c>
      <c r="W70" s="2"/>
      <c r="X70" s="7">
        <f t="shared" si="51"/>
        <v>-163000</v>
      </c>
      <c r="Y70" s="2"/>
      <c r="Z70" s="6">
        <f t="shared" si="52"/>
        <v>-1</v>
      </c>
    </row>
    <row r="71" spans="1:26" s="24" customFormat="1" hidden="1" outlineLevel="2" x14ac:dyDescent="0.25">
      <c r="A71" s="26"/>
      <c r="B71" s="11" t="str">
        <f>CONCATENATE("          ", "6254", " - ", "ROYALTY &amp; COMMISSIONS")</f>
        <v xml:space="preserve">          6254 - ROYALTY &amp; COMMISSIONS</v>
      </c>
      <c r="C71" s="11"/>
      <c r="D71" s="7"/>
      <c r="E71" s="2"/>
      <c r="F71" s="6">
        <f t="shared" si="45"/>
        <v>0</v>
      </c>
      <c r="G71" s="2"/>
      <c r="H71" s="7"/>
      <c r="I71" s="2"/>
      <c r="J71" s="6">
        <f t="shared" si="46"/>
        <v>0</v>
      </c>
      <c r="K71" s="2"/>
      <c r="L71" s="7">
        <f t="shared" si="47"/>
        <v>0</v>
      </c>
      <c r="M71" s="2"/>
      <c r="N71" s="6">
        <f t="shared" si="48"/>
        <v>0</v>
      </c>
      <c r="O71" s="11"/>
      <c r="P71" s="7">
        <v>83387.12</v>
      </c>
      <c r="Q71" s="2"/>
      <c r="R71" s="6">
        <f t="shared" si="49"/>
        <v>0.21254415241759414</v>
      </c>
      <c r="S71" s="2"/>
      <c r="T71" s="7"/>
      <c r="U71" s="2"/>
      <c r="V71" s="6">
        <f t="shared" si="50"/>
        <v>0</v>
      </c>
      <c r="W71" s="2"/>
      <c r="X71" s="7">
        <f t="shared" si="51"/>
        <v>83387.12</v>
      </c>
      <c r="Y71" s="2"/>
      <c r="Z71" s="6">
        <f t="shared" si="52"/>
        <v>0</v>
      </c>
    </row>
    <row r="72" spans="1:26" s="27" customFormat="1" outlineLevel="1" collapsed="1" x14ac:dyDescent="0.25">
      <c r="A72" s="25"/>
      <c r="B72" s="12" t="str">
        <f>CONCATENATE("     ","Services                                          ")</f>
        <v xml:space="preserve">     Services                                          </v>
      </c>
      <c r="C72" s="12"/>
      <c r="D72" s="1">
        <f>SUM(OSRRefD22_11x_0)</f>
        <v>0</v>
      </c>
      <c r="E72" s="1"/>
      <c r="F72" s="5">
        <f t="shared" ref="F72:F75" si="53">IF(D$12=0,0,D72/D$12)</f>
        <v>0</v>
      </c>
      <c r="G72" s="1"/>
      <c r="H72" s="1">
        <f>SUM(OSRRefH22_11x_0)</f>
        <v>255</v>
      </c>
      <c r="I72" s="1"/>
      <c r="J72" s="5">
        <f t="shared" ref="J72:J75" si="54">IF(H$12=0,0,H72/H$12)</f>
        <v>5.1000000000000004E-3</v>
      </c>
      <c r="K72" s="1"/>
      <c r="L72" s="1">
        <f t="shared" ref="L72:L75" si="55">+D72-H72</f>
        <v>-255</v>
      </c>
      <c r="M72" s="1"/>
      <c r="N72" s="5">
        <f t="shared" ref="N72:N75" si="56">IF(H72=0,0,L72/H72)</f>
        <v>-1</v>
      </c>
      <c r="O72" s="12"/>
      <c r="P72" s="1">
        <f>SUM(OSRRefP22_11x_0)</f>
        <v>3287.06</v>
      </c>
      <c r="Q72" s="1"/>
      <c r="R72" s="5">
        <f t="shared" ref="R72:R75" si="57">IF(P$12=0,0,P72/P$12)</f>
        <v>8.378336866002532E-3</v>
      </c>
      <c r="S72" s="1"/>
      <c r="T72" s="1">
        <f>SUM(OSRRefT22_11x_0)</f>
        <v>2540</v>
      </c>
      <c r="U72" s="1"/>
      <c r="V72" s="5">
        <f t="shared" ref="V72:V75" si="58">IF(T$12=0,0,T72/T$12)</f>
        <v>4.2333333333333337E-3</v>
      </c>
      <c r="W72" s="1"/>
      <c r="X72" s="1">
        <f t="shared" ref="X72:X75" si="59">+P72-T72</f>
        <v>747.06</v>
      </c>
      <c r="Y72" s="1"/>
      <c r="Z72" s="5">
        <f t="shared" ref="Z72:Z75" si="60">IF(T72=0,0,X72/T72)</f>
        <v>0.29411811023622048</v>
      </c>
    </row>
    <row r="73" spans="1:26" s="24" customFormat="1" hidden="1" outlineLevel="2" x14ac:dyDescent="0.25">
      <c r="A73" s="26"/>
      <c r="B73" s="11" t="str">
        <f>CONCATENATE("          ", "6282", " - ", "JANITORIAL/EXTERMINATOR EXPENS")</f>
        <v xml:space="preserve">          6282 - JANITORIAL/EXTERMINATOR EXPENS</v>
      </c>
      <c r="C73" s="11"/>
      <c r="D73" s="7"/>
      <c r="E73" s="2"/>
      <c r="F73" s="6">
        <f t="shared" si="53"/>
        <v>0</v>
      </c>
      <c r="G73" s="2"/>
      <c r="H73" s="7">
        <v>205</v>
      </c>
      <c r="I73" s="2"/>
      <c r="J73" s="6">
        <f t="shared" si="54"/>
        <v>4.1000000000000003E-3</v>
      </c>
      <c r="K73" s="2"/>
      <c r="L73" s="7">
        <f t="shared" si="55"/>
        <v>-205</v>
      </c>
      <c r="M73" s="2"/>
      <c r="N73" s="6">
        <f t="shared" si="56"/>
        <v>-1</v>
      </c>
      <c r="O73" s="11"/>
      <c r="P73" s="7">
        <v>2258.1</v>
      </c>
      <c r="Q73" s="2"/>
      <c r="R73" s="6">
        <f t="shared" si="57"/>
        <v>5.7556364888746532E-3</v>
      </c>
      <c r="S73" s="2"/>
      <c r="T73" s="7">
        <v>2040</v>
      </c>
      <c r="U73" s="2"/>
      <c r="V73" s="6">
        <f t="shared" si="58"/>
        <v>3.3999999999999998E-3</v>
      </c>
      <c r="W73" s="2"/>
      <c r="X73" s="7">
        <f t="shared" si="59"/>
        <v>218.09999999999991</v>
      </c>
      <c r="Y73" s="2"/>
      <c r="Z73" s="6">
        <f t="shared" si="60"/>
        <v>0.1069117647058823</v>
      </c>
    </row>
    <row r="74" spans="1:26" s="24" customFormat="1" hidden="1" outlineLevel="2" x14ac:dyDescent="0.25">
      <c r="A74" s="26"/>
      <c r="B74" s="11" t="str">
        <f>CONCATENATE("          ", "6285", " - ", "JANITORIAL SERVICES")</f>
        <v xml:space="preserve">          6285 - JANITORIAL SERVICES</v>
      </c>
      <c r="C74" s="11"/>
      <c r="D74" s="7"/>
      <c r="E74" s="2"/>
      <c r="F74" s="6">
        <f t="shared" si="53"/>
        <v>0</v>
      </c>
      <c r="G74" s="2"/>
      <c r="H74" s="7"/>
      <c r="I74" s="2"/>
      <c r="J74" s="6">
        <f t="shared" si="54"/>
        <v>0</v>
      </c>
      <c r="K74" s="2"/>
      <c r="L74" s="7">
        <f t="shared" si="55"/>
        <v>0</v>
      </c>
      <c r="M74" s="2"/>
      <c r="N74" s="6">
        <f t="shared" si="56"/>
        <v>0</v>
      </c>
      <c r="O74" s="11"/>
      <c r="P74" s="7">
        <v>549.6</v>
      </c>
      <c r="Q74" s="2"/>
      <c r="R74" s="6">
        <f t="shared" si="57"/>
        <v>1.4008670184161506E-3</v>
      </c>
      <c r="S74" s="2"/>
      <c r="T74" s="7"/>
      <c r="U74" s="2"/>
      <c r="V74" s="6">
        <f t="shared" si="58"/>
        <v>0</v>
      </c>
      <c r="W74" s="2"/>
      <c r="X74" s="7">
        <f t="shared" si="59"/>
        <v>549.6</v>
      </c>
      <c r="Y74" s="2"/>
      <c r="Z74" s="6">
        <f t="shared" si="60"/>
        <v>0</v>
      </c>
    </row>
    <row r="75" spans="1:26" s="24" customFormat="1" hidden="1" outlineLevel="2" x14ac:dyDescent="0.25">
      <c r="A75" s="26"/>
      <c r="B75" s="11" t="str">
        <f>CONCATENATE("          ", "6286", " - ", "LAUNDRY EXPENSE")</f>
        <v xml:space="preserve">          6286 - LAUNDRY EXPENSE</v>
      </c>
      <c r="C75" s="11"/>
      <c r="D75" s="7"/>
      <c r="E75" s="2"/>
      <c r="F75" s="6">
        <f t="shared" si="53"/>
        <v>0</v>
      </c>
      <c r="G75" s="2"/>
      <c r="H75" s="7">
        <v>50</v>
      </c>
      <c r="I75" s="2"/>
      <c r="J75" s="6">
        <f t="shared" si="54"/>
        <v>1E-3</v>
      </c>
      <c r="K75" s="2"/>
      <c r="L75" s="7">
        <f t="shared" si="55"/>
        <v>-50</v>
      </c>
      <c r="M75" s="2"/>
      <c r="N75" s="6">
        <f t="shared" si="56"/>
        <v>-1</v>
      </c>
      <c r="O75" s="11"/>
      <c r="P75" s="7">
        <v>479.36</v>
      </c>
      <c r="Q75" s="2"/>
      <c r="R75" s="6">
        <f t="shared" si="57"/>
        <v>1.2218333587117284E-3</v>
      </c>
      <c r="S75" s="2"/>
      <c r="T75" s="7">
        <v>500</v>
      </c>
      <c r="U75" s="2"/>
      <c r="V75" s="6">
        <f t="shared" si="58"/>
        <v>8.3333333333333339E-4</v>
      </c>
      <c r="W75" s="2"/>
      <c r="X75" s="7">
        <f t="shared" si="59"/>
        <v>-20.639999999999986</v>
      </c>
      <c r="Y75" s="2"/>
      <c r="Z75" s="6">
        <f t="shared" si="60"/>
        <v>-4.1279999999999969E-2</v>
      </c>
    </row>
    <row r="76" spans="1:26" s="27" customFormat="1" outlineLevel="1" collapsed="1" x14ac:dyDescent="0.25">
      <c r="A76" s="25"/>
      <c r="B76" s="12" t="str">
        <f>CONCATENATE("     ","Subscriptions &amp; Dues                              ")</f>
        <v xml:space="preserve">     Subscriptions &amp; Dues                              </v>
      </c>
      <c r="C76" s="12"/>
      <c r="D76" s="1">
        <f>SUM(OSRRefD22_12x_0)</f>
        <v>0</v>
      </c>
      <c r="E76" s="1"/>
      <c r="F76" s="5">
        <f t="shared" ref="F76:F85" si="61">IF(D$12=0,0,D76/D$12)</f>
        <v>0</v>
      </c>
      <c r="G76" s="1"/>
      <c r="H76" s="1">
        <f>SUM(OSRRefH22_12x_0)</f>
        <v>0</v>
      </c>
      <c r="I76" s="1"/>
      <c r="J76" s="5">
        <f t="shared" ref="J76:J85" si="62">IF(H$12=0,0,H76/H$12)</f>
        <v>0</v>
      </c>
      <c r="K76" s="1"/>
      <c r="L76" s="1">
        <f t="shared" ref="L76:L85" si="63">+D76-H76</f>
        <v>0</v>
      </c>
      <c r="M76" s="1"/>
      <c r="N76" s="5">
        <f t="shared" ref="N76:N85" si="64">IF(H76=0,0,L76/H76)</f>
        <v>0</v>
      </c>
      <c r="O76" s="12"/>
      <c r="P76" s="1">
        <f>SUM(OSRRefP22_12x_0)</f>
        <v>0</v>
      </c>
      <c r="Q76" s="1"/>
      <c r="R76" s="5">
        <f t="shared" ref="R76:R85" si="65">IF(P$12=0,0,P76/P$12)</f>
        <v>0</v>
      </c>
      <c r="S76" s="1"/>
      <c r="T76" s="1">
        <f>SUM(OSRRefT22_12x_0)</f>
        <v>300</v>
      </c>
      <c r="U76" s="1"/>
      <c r="V76" s="5">
        <f t="shared" ref="V76:V85" si="66">IF(T$12=0,0,T76/T$12)</f>
        <v>5.0000000000000001E-4</v>
      </c>
      <c r="W76" s="1"/>
      <c r="X76" s="1">
        <f t="shared" ref="X76:X85" si="67">+P76-T76</f>
        <v>-300</v>
      </c>
      <c r="Y76" s="1"/>
      <c r="Z76" s="5">
        <f t="shared" ref="Z76:Z85" si="68">IF(T76=0,0,X76/T76)</f>
        <v>-1</v>
      </c>
    </row>
    <row r="77" spans="1:26" s="24" customFormat="1" hidden="1" outlineLevel="2" x14ac:dyDescent="0.25">
      <c r="A77" s="26"/>
      <c r="B77" s="11" t="str">
        <f>CONCATENATE("          ", "6258", " - ", "MEMBERSHIP DUES")</f>
        <v xml:space="preserve">          6258 - MEMBERSHIP DUES</v>
      </c>
      <c r="C77" s="11"/>
      <c r="D77" s="7"/>
      <c r="E77" s="2"/>
      <c r="F77" s="6">
        <f t="shared" si="61"/>
        <v>0</v>
      </c>
      <c r="G77" s="2"/>
      <c r="H77" s="7"/>
      <c r="I77" s="2"/>
      <c r="J77" s="6">
        <f t="shared" si="62"/>
        <v>0</v>
      </c>
      <c r="K77" s="2"/>
      <c r="L77" s="7">
        <f t="shared" si="63"/>
        <v>0</v>
      </c>
      <c r="M77" s="2"/>
      <c r="N77" s="6">
        <f t="shared" si="64"/>
        <v>0</v>
      </c>
      <c r="O77" s="11"/>
      <c r="P77" s="7"/>
      <c r="Q77" s="2"/>
      <c r="R77" s="6">
        <f t="shared" si="65"/>
        <v>0</v>
      </c>
      <c r="S77" s="2"/>
      <c r="T77" s="7">
        <v>300</v>
      </c>
      <c r="U77" s="2"/>
      <c r="V77" s="6">
        <f t="shared" si="66"/>
        <v>5.0000000000000001E-4</v>
      </c>
      <c r="W77" s="2"/>
      <c r="X77" s="7">
        <f t="shared" si="67"/>
        <v>-300</v>
      </c>
      <c r="Y77" s="2"/>
      <c r="Z77" s="6">
        <f t="shared" si="68"/>
        <v>-1</v>
      </c>
    </row>
    <row r="78" spans="1:26" s="27" customFormat="1" outlineLevel="1" collapsed="1" x14ac:dyDescent="0.25">
      <c r="A78" s="25"/>
      <c r="B78" s="12" t="str">
        <f>CONCATENATE("     ","Supplies                                          ")</f>
        <v xml:space="preserve">     Supplies                                          </v>
      </c>
      <c r="C78" s="12"/>
      <c r="D78" s="1">
        <f>SUM(OSRRefD22_13x_0)</f>
        <v>0</v>
      </c>
      <c r="E78" s="1"/>
      <c r="F78" s="5">
        <f t="shared" si="61"/>
        <v>0</v>
      </c>
      <c r="G78" s="1"/>
      <c r="H78" s="1">
        <f>SUM(OSRRefH22_13x_0)</f>
        <v>250</v>
      </c>
      <c r="I78" s="1"/>
      <c r="J78" s="5">
        <f t="shared" si="62"/>
        <v>5.0000000000000001E-3</v>
      </c>
      <c r="K78" s="1"/>
      <c r="L78" s="1">
        <f t="shared" si="63"/>
        <v>-250</v>
      </c>
      <c r="M78" s="1"/>
      <c r="N78" s="5">
        <f t="shared" si="64"/>
        <v>-1</v>
      </c>
      <c r="O78" s="12"/>
      <c r="P78" s="1">
        <f>SUM(OSRRefP22_13x_0)</f>
        <v>15992.96</v>
      </c>
      <c r="Q78" s="1"/>
      <c r="R78" s="5">
        <f t="shared" si="65"/>
        <v>4.0764210682039226E-2</v>
      </c>
      <c r="S78" s="1"/>
      <c r="T78" s="1">
        <f>SUM(OSRRefT22_13x_0)</f>
        <v>6050</v>
      </c>
      <c r="U78" s="1"/>
      <c r="V78" s="5">
        <f t="shared" si="66"/>
        <v>1.0083333333333333E-2</v>
      </c>
      <c r="W78" s="1"/>
      <c r="X78" s="1">
        <f t="shared" si="67"/>
        <v>9942.9599999999991</v>
      </c>
      <c r="Y78" s="1"/>
      <c r="Z78" s="5">
        <f t="shared" si="68"/>
        <v>1.6434644628099173</v>
      </c>
    </row>
    <row r="79" spans="1:26" s="24" customFormat="1" hidden="1" outlineLevel="2" x14ac:dyDescent="0.25">
      <c r="A79" s="26"/>
      <c r="B79" s="11" t="str">
        <f>CONCATENATE("          ", "6234", " - ", "EXPENDABLE SUPPLIES &amp; EQUIPMEN")</f>
        <v xml:space="preserve">          6234 - EXPENDABLE SUPPLIES &amp; EQUIPMEN</v>
      </c>
      <c r="C79" s="11"/>
      <c r="D79" s="7"/>
      <c r="E79" s="2"/>
      <c r="F79" s="6">
        <f t="shared" si="61"/>
        <v>0</v>
      </c>
      <c r="G79" s="2"/>
      <c r="H79" s="7"/>
      <c r="I79" s="2"/>
      <c r="J79" s="6">
        <f t="shared" si="62"/>
        <v>0</v>
      </c>
      <c r="K79" s="2"/>
      <c r="L79" s="7">
        <f t="shared" si="63"/>
        <v>0</v>
      </c>
      <c r="M79" s="2"/>
      <c r="N79" s="6">
        <f t="shared" si="64"/>
        <v>0</v>
      </c>
      <c r="O79" s="11"/>
      <c r="P79" s="7">
        <v>3756.46</v>
      </c>
      <c r="Q79" s="2"/>
      <c r="R79" s="6">
        <f t="shared" si="65"/>
        <v>9.574783333332483E-3</v>
      </c>
      <c r="S79" s="2"/>
      <c r="T79" s="7"/>
      <c r="U79" s="2"/>
      <c r="V79" s="6">
        <f t="shared" si="66"/>
        <v>0</v>
      </c>
      <c r="W79" s="2"/>
      <c r="X79" s="7">
        <f t="shared" si="67"/>
        <v>3756.46</v>
      </c>
      <c r="Y79" s="2"/>
      <c r="Z79" s="6">
        <f t="shared" si="68"/>
        <v>0</v>
      </c>
    </row>
    <row r="80" spans="1:26" s="24" customFormat="1" hidden="1" outlineLevel="2" x14ac:dyDescent="0.25">
      <c r="A80" s="26"/>
      <c r="B80" s="11" t="str">
        <f>CONCATENATE("          ", "6237", " - ", "JANITORIAL SUPPLIES")</f>
        <v xml:space="preserve">          6237 - JANITORIAL SUPPLIES</v>
      </c>
      <c r="C80" s="11"/>
      <c r="D80" s="7"/>
      <c r="E80" s="2"/>
      <c r="F80" s="6">
        <f t="shared" si="61"/>
        <v>0</v>
      </c>
      <c r="G80" s="2"/>
      <c r="H80" s="7"/>
      <c r="I80" s="2"/>
      <c r="J80" s="6">
        <f t="shared" si="62"/>
        <v>0</v>
      </c>
      <c r="K80" s="2"/>
      <c r="L80" s="7">
        <f t="shared" si="63"/>
        <v>0</v>
      </c>
      <c r="M80" s="2"/>
      <c r="N80" s="6">
        <f t="shared" si="64"/>
        <v>0</v>
      </c>
      <c r="O80" s="11"/>
      <c r="P80" s="7">
        <v>1507.19</v>
      </c>
      <c r="Q80" s="2"/>
      <c r="R80" s="6">
        <f t="shared" si="65"/>
        <v>3.8416534961547271E-3</v>
      </c>
      <c r="S80" s="2"/>
      <c r="T80" s="7">
        <v>900</v>
      </c>
      <c r="U80" s="2"/>
      <c r="V80" s="6">
        <f t="shared" si="66"/>
        <v>1.5E-3</v>
      </c>
      <c r="W80" s="2"/>
      <c r="X80" s="7">
        <f t="shared" si="67"/>
        <v>607.19000000000005</v>
      </c>
      <c r="Y80" s="2"/>
      <c r="Z80" s="6">
        <f t="shared" si="68"/>
        <v>0.67465555555555556</v>
      </c>
    </row>
    <row r="81" spans="1:26" s="24" customFormat="1" hidden="1" outlineLevel="2" x14ac:dyDescent="0.25">
      <c r="A81" s="26"/>
      <c r="B81" s="11" t="str">
        <f>CONCATENATE("          ", "6239", " - ", "KITCHEN SUPPLIES")</f>
        <v xml:space="preserve">          6239 - KITCHEN SUPPLIES</v>
      </c>
      <c r="C81" s="11"/>
      <c r="D81" s="7"/>
      <c r="E81" s="2"/>
      <c r="F81" s="6">
        <f t="shared" si="61"/>
        <v>0</v>
      </c>
      <c r="G81" s="2"/>
      <c r="H81" s="7"/>
      <c r="I81" s="2"/>
      <c r="J81" s="6">
        <f t="shared" si="62"/>
        <v>0</v>
      </c>
      <c r="K81" s="2"/>
      <c r="L81" s="7">
        <f t="shared" si="63"/>
        <v>0</v>
      </c>
      <c r="M81" s="2"/>
      <c r="N81" s="6">
        <f t="shared" si="64"/>
        <v>0</v>
      </c>
      <c r="O81" s="11"/>
      <c r="P81" s="7">
        <v>7140.25</v>
      </c>
      <c r="Q81" s="2"/>
      <c r="R81" s="6">
        <f t="shared" si="65"/>
        <v>1.8199673814130127E-2</v>
      </c>
      <c r="S81" s="2"/>
      <c r="T81" s="7">
        <v>600</v>
      </c>
      <c r="U81" s="2"/>
      <c r="V81" s="6">
        <f t="shared" si="66"/>
        <v>1E-3</v>
      </c>
      <c r="W81" s="2"/>
      <c r="X81" s="7">
        <f t="shared" si="67"/>
        <v>6540.25</v>
      </c>
      <c r="Y81" s="2"/>
      <c r="Z81" s="6">
        <f t="shared" si="68"/>
        <v>10.900416666666667</v>
      </c>
    </row>
    <row r="82" spans="1:26" s="24" customFormat="1" hidden="1" outlineLevel="2" x14ac:dyDescent="0.25">
      <c r="A82" s="26"/>
      <c r="B82" s="11" t="str">
        <f>CONCATENATE("          ", "6241", " - ", "OFFICE EXPENSE")</f>
        <v xml:space="preserve">          6241 - OFFICE EXPENSE</v>
      </c>
      <c r="C82" s="11"/>
      <c r="D82" s="7"/>
      <c r="E82" s="2"/>
      <c r="F82" s="6">
        <f t="shared" si="61"/>
        <v>0</v>
      </c>
      <c r="G82" s="2"/>
      <c r="H82" s="7"/>
      <c r="I82" s="2"/>
      <c r="J82" s="6">
        <f t="shared" si="62"/>
        <v>0</v>
      </c>
      <c r="K82" s="2"/>
      <c r="L82" s="7">
        <f t="shared" si="63"/>
        <v>0</v>
      </c>
      <c r="M82" s="2"/>
      <c r="N82" s="6">
        <f t="shared" si="64"/>
        <v>0</v>
      </c>
      <c r="O82" s="11"/>
      <c r="P82" s="7">
        <v>599.88</v>
      </c>
      <c r="Q82" s="2"/>
      <c r="R82" s="6">
        <f t="shared" si="65"/>
        <v>1.5290249399699425E-3</v>
      </c>
      <c r="S82" s="2"/>
      <c r="T82" s="7">
        <v>600</v>
      </c>
      <c r="U82" s="2"/>
      <c r="V82" s="6">
        <f t="shared" si="66"/>
        <v>1E-3</v>
      </c>
      <c r="W82" s="2"/>
      <c r="X82" s="7">
        <f t="shared" si="67"/>
        <v>-0.12000000000000455</v>
      </c>
      <c r="Y82" s="2"/>
      <c r="Z82" s="6">
        <f t="shared" si="68"/>
        <v>-2.0000000000000757E-4</v>
      </c>
    </row>
    <row r="83" spans="1:26" s="24" customFormat="1" hidden="1" outlineLevel="2" x14ac:dyDescent="0.25">
      <c r="A83" s="26"/>
      <c r="B83" s="11" t="str">
        <f>CONCATENATE("          ", "6243", " - ", "PAPER SUPPLIES")</f>
        <v xml:space="preserve">          6243 - PAPER SUPPLIES</v>
      </c>
      <c r="C83" s="11"/>
      <c r="D83" s="7"/>
      <c r="E83" s="2"/>
      <c r="F83" s="6">
        <f t="shared" si="61"/>
        <v>0</v>
      </c>
      <c r="G83" s="2"/>
      <c r="H83" s="7">
        <v>250</v>
      </c>
      <c r="I83" s="2"/>
      <c r="J83" s="6">
        <f t="shared" si="62"/>
        <v>5.0000000000000001E-3</v>
      </c>
      <c r="K83" s="2"/>
      <c r="L83" s="7">
        <f t="shared" si="63"/>
        <v>-250</v>
      </c>
      <c r="M83" s="2"/>
      <c r="N83" s="6">
        <f t="shared" si="64"/>
        <v>-1</v>
      </c>
      <c r="O83" s="11"/>
      <c r="P83" s="7">
        <v>2632.41</v>
      </c>
      <c r="Q83" s="2"/>
      <c r="R83" s="6">
        <f t="shared" si="65"/>
        <v>6.7097095122795828E-3</v>
      </c>
      <c r="S83" s="2"/>
      <c r="T83" s="7">
        <v>2750</v>
      </c>
      <c r="U83" s="2"/>
      <c r="V83" s="6">
        <f t="shared" si="66"/>
        <v>4.5833333333333334E-3</v>
      </c>
      <c r="W83" s="2"/>
      <c r="X83" s="7">
        <f t="shared" si="67"/>
        <v>-117.59000000000015</v>
      </c>
      <c r="Y83" s="2"/>
      <c r="Z83" s="6">
        <f t="shared" si="68"/>
        <v>-4.2760000000000055E-2</v>
      </c>
    </row>
    <row r="84" spans="1:26" s="24" customFormat="1" hidden="1" outlineLevel="2" x14ac:dyDescent="0.25">
      <c r="A84" s="26"/>
      <c r="B84" s="11" t="str">
        <f>CONCATENATE("          ", "6247", " - ", "STORE SUPPLIES")</f>
        <v xml:space="preserve">          6247 - STORE SUPPLIES</v>
      </c>
      <c r="C84" s="11"/>
      <c r="D84" s="7"/>
      <c r="E84" s="2"/>
      <c r="F84" s="6">
        <f t="shared" si="61"/>
        <v>0</v>
      </c>
      <c r="G84" s="2"/>
      <c r="H84" s="7"/>
      <c r="I84" s="2"/>
      <c r="J84" s="6">
        <f t="shared" si="62"/>
        <v>0</v>
      </c>
      <c r="K84" s="2"/>
      <c r="L84" s="7">
        <f t="shared" si="63"/>
        <v>0</v>
      </c>
      <c r="M84" s="2"/>
      <c r="N84" s="6">
        <f t="shared" si="64"/>
        <v>0</v>
      </c>
      <c r="O84" s="11"/>
      <c r="P84" s="7">
        <v>-97.67</v>
      </c>
      <c r="Q84" s="2"/>
      <c r="R84" s="6">
        <f t="shared" si="65"/>
        <v>-2.4894956639138539E-4</v>
      </c>
      <c r="S84" s="2"/>
      <c r="T84" s="7"/>
      <c r="U84" s="2"/>
      <c r="V84" s="6">
        <f t="shared" si="66"/>
        <v>0</v>
      </c>
      <c r="W84" s="2"/>
      <c r="X84" s="7">
        <f t="shared" si="67"/>
        <v>-97.67</v>
      </c>
      <c r="Y84" s="2"/>
      <c r="Z84" s="6">
        <f t="shared" si="68"/>
        <v>0</v>
      </c>
    </row>
    <row r="85" spans="1:26" s="24" customFormat="1" hidden="1" outlineLevel="2" x14ac:dyDescent="0.25">
      <c r="A85" s="26"/>
      <c r="B85" s="11" t="str">
        <f>CONCATENATE("          ", "6248", " - ", "UNIFORMS")</f>
        <v xml:space="preserve">          6248 - UNIFORMS</v>
      </c>
      <c r="C85" s="11"/>
      <c r="D85" s="7"/>
      <c r="E85" s="2"/>
      <c r="F85" s="6">
        <f t="shared" si="61"/>
        <v>0</v>
      </c>
      <c r="G85" s="2"/>
      <c r="H85" s="7"/>
      <c r="I85" s="2"/>
      <c r="J85" s="6">
        <f t="shared" si="62"/>
        <v>0</v>
      </c>
      <c r="K85" s="2"/>
      <c r="L85" s="7">
        <f t="shared" si="63"/>
        <v>0</v>
      </c>
      <c r="M85" s="2"/>
      <c r="N85" s="6">
        <f t="shared" si="64"/>
        <v>0</v>
      </c>
      <c r="O85" s="11"/>
      <c r="P85" s="7">
        <v>454.44</v>
      </c>
      <c r="Q85" s="2"/>
      <c r="R85" s="6">
        <f t="shared" si="65"/>
        <v>1.158315152563747E-3</v>
      </c>
      <c r="S85" s="2"/>
      <c r="T85" s="7">
        <v>1200</v>
      </c>
      <c r="U85" s="2"/>
      <c r="V85" s="6">
        <f t="shared" si="66"/>
        <v>2E-3</v>
      </c>
      <c r="W85" s="2"/>
      <c r="X85" s="7">
        <f t="shared" si="67"/>
        <v>-745.56</v>
      </c>
      <c r="Y85" s="2"/>
      <c r="Z85" s="6">
        <f t="shared" si="68"/>
        <v>-0.62129999999999996</v>
      </c>
    </row>
    <row r="86" spans="1:26" s="27" customFormat="1" outlineLevel="1" collapsed="1" x14ac:dyDescent="0.25">
      <c r="A86" s="25"/>
      <c r="B86" s="12" t="str">
        <f>CONCATENATE("     ","Telephone/Data Lines                              ")</f>
        <v xml:space="preserve">     Telephone/Data Lines                              </v>
      </c>
      <c r="C86" s="12"/>
      <c r="D86" s="1">
        <f>SUM(OSRRefD22_14x_0)</f>
        <v>309.58999999999997</v>
      </c>
      <c r="E86" s="1"/>
      <c r="F86" s="5">
        <f t="shared" ref="F86:F88" si="69">IF(D$12=0,0,D86/D$12)</f>
        <v>0</v>
      </c>
      <c r="G86" s="1"/>
      <c r="H86" s="1">
        <f>SUM(OSRRefH22_14x_0)</f>
        <v>343</v>
      </c>
      <c r="I86" s="1"/>
      <c r="J86" s="5">
        <f t="shared" ref="J86:J88" si="70">IF(H$12=0,0,H86/H$12)</f>
        <v>6.8599999999999998E-3</v>
      </c>
      <c r="K86" s="1"/>
      <c r="L86" s="1">
        <f t="shared" ref="L86:L88" si="71">+D86-H86</f>
        <v>-33.410000000000025</v>
      </c>
      <c r="M86" s="1"/>
      <c r="N86" s="5">
        <f t="shared" ref="N86:N88" si="72">IF(H86=0,0,L86/H86)</f>
        <v>-9.7405247813411158E-2</v>
      </c>
      <c r="O86" s="12"/>
      <c r="P86" s="1">
        <f>SUM(OSRRefP22_14x_0)</f>
        <v>3511.56</v>
      </c>
      <c r="Q86" s="1"/>
      <c r="R86" s="5">
        <f t="shared" ref="R86:R88" si="73">IF(P$12=0,0,P86/P$12)</f>
        <v>8.9505614759632784E-3</v>
      </c>
      <c r="S86" s="1"/>
      <c r="T86" s="1">
        <f>SUM(OSRRefT22_14x_0)</f>
        <v>2844</v>
      </c>
      <c r="U86" s="1"/>
      <c r="V86" s="5">
        <f t="shared" ref="V86:V88" si="74">IF(T$12=0,0,T86/T$12)</f>
        <v>4.7400000000000003E-3</v>
      </c>
      <c r="W86" s="1"/>
      <c r="X86" s="1">
        <f t="shared" ref="X86:X88" si="75">+P86-T86</f>
        <v>667.56</v>
      </c>
      <c r="Y86" s="1"/>
      <c r="Z86" s="5">
        <f t="shared" ref="Z86:Z88" si="76">IF(T86=0,0,X86/T86)</f>
        <v>0.23472573839662444</v>
      </c>
    </row>
    <row r="87" spans="1:26" s="24" customFormat="1" hidden="1" outlineLevel="2" x14ac:dyDescent="0.25">
      <c r="A87" s="26"/>
      <c r="B87" s="11" t="str">
        <f>CONCATENATE("          ", "6303", " - ", "DATA PHONE LINES")</f>
        <v xml:space="preserve">          6303 - DATA PHONE LINES</v>
      </c>
      <c r="C87" s="11"/>
      <c r="D87" s="7"/>
      <c r="E87" s="2"/>
      <c r="F87" s="6">
        <f t="shared" si="69"/>
        <v>0</v>
      </c>
      <c r="G87" s="2"/>
      <c r="H87" s="7">
        <v>298</v>
      </c>
      <c r="I87" s="2"/>
      <c r="J87" s="6">
        <f t="shared" si="70"/>
        <v>5.96E-3</v>
      </c>
      <c r="K87" s="2"/>
      <c r="L87" s="7">
        <f t="shared" si="71"/>
        <v>-298</v>
      </c>
      <c r="M87" s="2"/>
      <c r="N87" s="6">
        <f t="shared" si="72"/>
        <v>-1</v>
      </c>
      <c r="O87" s="11"/>
      <c r="P87" s="7"/>
      <c r="Q87" s="2"/>
      <c r="R87" s="6">
        <f t="shared" si="73"/>
        <v>0</v>
      </c>
      <c r="S87" s="2"/>
      <c r="T87" s="7">
        <v>2484</v>
      </c>
      <c r="U87" s="2"/>
      <c r="V87" s="6">
        <f t="shared" si="74"/>
        <v>4.1399999999999996E-3</v>
      </c>
      <c r="W87" s="2"/>
      <c r="X87" s="7">
        <f t="shared" si="75"/>
        <v>-2484</v>
      </c>
      <c r="Y87" s="2"/>
      <c r="Z87" s="6">
        <f t="shared" si="76"/>
        <v>-1</v>
      </c>
    </row>
    <row r="88" spans="1:26" s="24" customFormat="1" hidden="1" outlineLevel="2" x14ac:dyDescent="0.25">
      <c r="A88" s="26"/>
      <c r="B88" s="11" t="str">
        <f>CONCATENATE("          ", "6309", " - ", "TELEPHONE")</f>
        <v xml:space="preserve">          6309 - TELEPHONE</v>
      </c>
      <c r="C88" s="11"/>
      <c r="D88" s="7">
        <v>309.58999999999997</v>
      </c>
      <c r="E88" s="2"/>
      <c r="F88" s="6">
        <f t="shared" si="69"/>
        <v>0</v>
      </c>
      <c r="G88" s="2"/>
      <c r="H88" s="7">
        <v>45</v>
      </c>
      <c r="I88" s="2"/>
      <c r="J88" s="6">
        <f t="shared" si="70"/>
        <v>8.9999999999999998E-4</v>
      </c>
      <c r="K88" s="2"/>
      <c r="L88" s="7">
        <f t="shared" si="71"/>
        <v>264.58999999999997</v>
      </c>
      <c r="M88" s="2"/>
      <c r="N88" s="6">
        <f t="shared" si="72"/>
        <v>5.8797777777777771</v>
      </c>
      <c r="O88" s="11"/>
      <c r="P88" s="7">
        <v>3511.56</v>
      </c>
      <c r="Q88" s="2"/>
      <c r="R88" s="6">
        <f t="shared" si="73"/>
        <v>8.9505614759632784E-3</v>
      </c>
      <c r="S88" s="2"/>
      <c r="T88" s="7">
        <v>360</v>
      </c>
      <c r="U88" s="2"/>
      <c r="V88" s="6">
        <f t="shared" si="74"/>
        <v>5.9999999999999995E-4</v>
      </c>
      <c r="W88" s="2"/>
      <c r="X88" s="7">
        <f t="shared" si="75"/>
        <v>3151.56</v>
      </c>
      <c r="Y88" s="2"/>
      <c r="Z88" s="6">
        <f t="shared" si="76"/>
        <v>8.7543333333333333</v>
      </c>
    </row>
    <row r="89" spans="1:26" s="27" customFormat="1" outlineLevel="1" collapsed="1" x14ac:dyDescent="0.25">
      <c r="A89" s="25"/>
      <c r="B89" s="12" t="str">
        <f>CONCATENATE("     ","Training                                          ")</f>
        <v xml:space="preserve">     Training                                          </v>
      </c>
      <c r="C89" s="12"/>
      <c r="D89" s="1">
        <f>SUM(OSRRefD22_15x_0)</f>
        <v>0</v>
      </c>
      <c r="E89" s="1"/>
      <c r="F89" s="5">
        <f t="shared" ref="F89:F92" si="77">IF(D$12=0,0,D89/D$12)</f>
        <v>0</v>
      </c>
      <c r="G89" s="1"/>
      <c r="H89" s="1">
        <f>SUM(OSRRefH22_15x_0)</f>
        <v>0</v>
      </c>
      <c r="I89" s="1"/>
      <c r="J89" s="5">
        <f t="shared" ref="J89:J92" si="78">IF(H$12=0,0,H89/H$12)</f>
        <v>0</v>
      </c>
      <c r="K89" s="1"/>
      <c r="L89" s="1">
        <f t="shared" ref="L89:L92" si="79">+D89-H89</f>
        <v>0</v>
      </c>
      <c r="M89" s="1"/>
      <c r="N89" s="5">
        <f t="shared" ref="N89:N92" si="80">IF(H89=0,0,L89/H89)</f>
        <v>0</v>
      </c>
      <c r="O89" s="12"/>
      <c r="P89" s="1">
        <f>SUM(OSRRefP22_15x_0)</f>
        <v>337.96</v>
      </c>
      <c r="Q89" s="1"/>
      <c r="R89" s="5">
        <f t="shared" ref="R89:R92" si="81">IF(P$12=0,0,P89/P$12)</f>
        <v>8.6142106540014962E-4</v>
      </c>
      <c r="S89" s="1"/>
      <c r="T89" s="1">
        <f>SUM(OSRRefT22_15x_0)</f>
        <v>500</v>
      </c>
      <c r="U89" s="1"/>
      <c r="V89" s="5">
        <f t="shared" ref="V89:V92" si="82">IF(T$12=0,0,T89/T$12)</f>
        <v>8.3333333333333339E-4</v>
      </c>
      <c r="W89" s="1"/>
      <c r="X89" s="1">
        <f t="shared" ref="X89:X92" si="83">+P89-T89</f>
        <v>-162.04000000000002</v>
      </c>
      <c r="Y89" s="1"/>
      <c r="Z89" s="5">
        <f t="shared" ref="Z89:Z92" si="84">IF(T89=0,0,X89/T89)</f>
        <v>-0.32408000000000003</v>
      </c>
    </row>
    <row r="90" spans="1:26" s="24" customFormat="1" hidden="1" outlineLevel="2" x14ac:dyDescent="0.25">
      <c r="A90" s="26"/>
      <c r="B90" s="11" t="str">
        <f>CONCATENATE("          ", "6376", " - ", "TRAINING")</f>
        <v xml:space="preserve">          6376 - TRAINING</v>
      </c>
      <c r="C90" s="11"/>
      <c r="D90" s="7"/>
      <c r="E90" s="2"/>
      <c r="F90" s="6">
        <f t="shared" si="77"/>
        <v>0</v>
      </c>
      <c r="G90" s="2"/>
      <c r="H90" s="7"/>
      <c r="I90" s="2"/>
      <c r="J90" s="6">
        <f t="shared" si="78"/>
        <v>0</v>
      </c>
      <c r="K90" s="2"/>
      <c r="L90" s="7">
        <f t="shared" si="79"/>
        <v>0</v>
      </c>
      <c r="M90" s="2"/>
      <c r="N90" s="6">
        <f t="shared" si="80"/>
        <v>0</v>
      </c>
      <c r="O90" s="11"/>
      <c r="P90" s="7">
        <v>337.96</v>
      </c>
      <c r="Q90" s="2"/>
      <c r="R90" s="6">
        <f t="shared" si="81"/>
        <v>8.6142106540014962E-4</v>
      </c>
      <c r="S90" s="2"/>
      <c r="T90" s="7">
        <v>500</v>
      </c>
      <c r="U90" s="2"/>
      <c r="V90" s="6">
        <f t="shared" si="82"/>
        <v>8.3333333333333339E-4</v>
      </c>
      <c r="W90" s="2"/>
      <c r="X90" s="7">
        <f t="shared" si="83"/>
        <v>-162.04000000000002</v>
      </c>
      <c r="Y90" s="2"/>
      <c r="Z90" s="6">
        <f t="shared" si="84"/>
        <v>-0.32408000000000003</v>
      </c>
    </row>
    <row r="91" spans="1:26" s="27" customFormat="1" outlineLevel="1" collapsed="1" x14ac:dyDescent="0.25">
      <c r="A91" s="25"/>
      <c r="B91" s="12" t="str">
        <f>CONCATENATE("     ","Travel                                            ")</f>
        <v xml:space="preserve">     Travel                                            </v>
      </c>
      <c r="C91" s="12"/>
      <c r="D91" s="1">
        <f>SUM(OSRRefD22_16x_0)</f>
        <v>0</v>
      </c>
      <c r="E91" s="1"/>
      <c r="F91" s="5">
        <f t="shared" si="77"/>
        <v>0</v>
      </c>
      <c r="G91" s="1"/>
      <c r="H91" s="1">
        <f>SUM(OSRRefH22_16x_0)</f>
        <v>0</v>
      </c>
      <c r="I91" s="1"/>
      <c r="J91" s="5">
        <f t="shared" si="78"/>
        <v>0</v>
      </c>
      <c r="K91" s="1"/>
      <c r="L91" s="1">
        <f t="shared" si="79"/>
        <v>0</v>
      </c>
      <c r="M91" s="1"/>
      <c r="N91" s="5">
        <f t="shared" si="80"/>
        <v>0</v>
      </c>
      <c r="O91" s="12"/>
      <c r="P91" s="1">
        <f>SUM(OSRRefP22_16x_0)</f>
        <v>0</v>
      </c>
      <c r="Q91" s="1"/>
      <c r="R91" s="5">
        <f t="shared" si="81"/>
        <v>0</v>
      </c>
      <c r="S91" s="1"/>
      <c r="T91" s="1">
        <f>SUM(OSRRefT22_16x_0)</f>
        <v>500</v>
      </c>
      <c r="U91" s="1"/>
      <c r="V91" s="5">
        <f t="shared" si="82"/>
        <v>8.3333333333333339E-4</v>
      </c>
      <c r="W91" s="1"/>
      <c r="X91" s="1">
        <f t="shared" si="83"/>
        <v>-500</v>
      </c>
      <c r="Y91" s="1"/>
      <c r="Z91" s="5">
        <f t="shared" si="84"/>
        <v>-1</v>
      </c>
    </row>
    <row r="92" spans="1:26" s="24" customFormat="1" hidden="1" outlineLevel="2" x14ac:dyDescent="0.25">
      <c r="A92" s="26"/>
      <c r="B92" s="11" t="str">
        <f>CONCATENATE("          ", "6292", " - ", "TRAVEL/CONFERENCE")</f>
        <v xml:space="preserve">          6292 - TRAVEL/CONFERENCE</v>
      </c>
      <c r="C92" s="11"/>
      <c r="D92" s="7"/>
      <c r="E92" s="2"/>
      <c r="F92" s="6">
        <f t="shared" si="77"/>
        <v>0</v>
      </c>
      <c r="G92" s="2"/>
      <c r="H92" s="7"/>
      <c r="I92" s="2"/>
      <c r="J92" s="6">
        <f t="shared" si="78"/>
        <v>0</v>
      </c>
      <c r="K92" s="2"/>
      <c r="L92" s="7">
        <f t="shared" si="79"/>
        <v>0</v>
      </c>
      <c r="M92" s="2"/>
      <c r="N92" s="6">
        <f t="shared" si="80"/>
        <v>0</v>
      </c>
      <c r="O92" s="11"/>
      <c r="P92" s="7"/>
      <c r="Q92" s="2"/>
      <c r="R92" s="6">
        <f t="shared" si="81"/>
        <v>0</v>
      </c>
      <c r="S92" s="2"/>
      <c r="T92" s="7">
        <v>500</v>
      </c>
      <c r="U92" s="2"/>
      <c r="V92" s="6">
        <f t="shared" si="82"/>
        <v>8.3333333333333339E-4</v>
      </c>
      <c r="W92" s="2"/>
      <c r="X92" s="7">
        <f t="shared" si="83"/>
        <v>-500</v>
      </c>
      <c r="Y92" s="2"/>
      <c r="Z92" s="6">
        <f t="shared" si="84"/>
        <v>-1</v>
      </c>
    </row>
    <row r="93" spans="1:26" s="62" customFormat="1" x14ac:dyDescent="0.25">
      <c r="A93" s="36"/>
      <c r="B93" s="36"/>
      <c r="C93" s="36"/>
      <c r="D93" s="1"/>
      <c r="E93" s="1"/>
      <c r="F93" s="5"/>
      <c r="G93" s="1"/>
      <c r="H93" s="1"/>
      <c r="I93" s="1"/>
      <c r="J93" s="5"/>
      <c r="K93" s="1"/>
      <c r="L93" s="1"/>
      <c r="M93" s="1"/>
      <c r="N93" s="5"/>
      <c r="O93" s="36"/>
      <c r="P93" s="1"/>
      <c r="Q93" s="1"/>
      <c r="R93" s="5"/>
      <c r="S93" s="1"/>
      <c r="T93" s="1"/>
      <c r="U93" s="1"/>
      <c r="V93" s="5"/>
      <c r="W93" s="1"/>
      <c r="X93" s="1"/>
      <c r="Y93" s="1"/>
      <c r="Z93" s="5"/>
    </row>
    <row r="94" spans="1:26" s="23" customFormat="1" collapsed="1" x14ac:dyDescent="0.25">
      <c r="A94" s="10"/>
      <c r="B94" s="28" t="s">
        <v>0</v>
      </c>
      <c r="C94" s="10"/>
      <c r="D94" s="4">
        <f>SUM(OSRRefD25x_0)</f>
        <v>0</v>
      </c>
      <c r="E94" s="4"/>
      <c r="F94" s="13">
        <f t="shared" ref="F94:F95" si="85">IF(D$12=0,0,D94/D$12)</f>
        <v>0</v>
      </c>
      <c r="G94" s="4"/>
      <c r="H94" s="4">
        <f>SUM(OSRRefH25x_0)</f>
        <v>2050</v>
      </c>
      <c r="I94" s="4"/>
      <c r="J94" s="13">
        <f t="shared" ref="J94:J95" si="86">IF(H$12=0,0,H94/H$12)</f>
        <v>4.1000000000000002E-2</v>
      </c>
      <c r="K94" s="4"/>
      <c r="L94" s="4">
        <f t="shared" ref="L94:L95" si="87">+D94-H94</f>
        <v>-2050</v>
      </c>
      <c r="M94" s="4"/>
      <c r="N94" s="13">
        <f t="shared" ref="N94:N95" si="88">IF(H94=0,0,L94/H94)</f>
        <v>-1</v>
      </c>
      <c r="O94" s="10"/>
      <c r="P94" s="4">
        <f>SUM(OSRRefP25x_0)</f>
        <v>39607.82</v>
      </c>
      <c r="Q94" s="4"/>
      <c r="R94" s="13">
        <f t="shared" ref="R94:R95" si="89">IF(P$12=0,0,P94/P$12)</f>
        <v>0.10095576548283038</v>
      </c>
      <c r="S94" s="4"/>
      <c r="T94" s="4">
        <f>SUM(OSRRefT25x_0)</f>
        <v>10250</v>
      </c>
      <c r="U94" s="4"/>
      <c r="V94" s="13">
        <f t="shared" ref="V94:V95" si="90">IF(T$12=0,0,T94/T$12)</f>
        <v>1.7083333333333332E-2</v>
      </c>
      <c r="W94" s="4"/>
      <c r="X94" s="4">
        <f t="shared" ref="X94:X95" si="91">+P94-T94</f>
        <v>29357.82</v>
      </c>
      <c r="Y94" s="4"/>
      <c r="Z94" s="13">
        <f t="shared" ref="Z94:Z95" si="92">IF(T94=0,0,X94/T94)</f>
        <v>2.8641775609756097</v>
      </c>
    </row>
    <row r="95" spans="1:26" s="24" customFormat="1" hidden="1" outlineLevel="1" x14ac:dyDescent="0.25">
      <c r="A95" s="44"/>
      <c r="B95" s="11" t="str">
        <f>CONCATENATE("          ", "9150", " - ", "MISC. INCOME")</f>
        <v xml:space="preserve">          9150 - MISC. INCOME</v>
      </c>
      <c r="C95" s="11"/>
      <c r="D95" s="2">
        <f>0</f>
        <v>0</v>
      </c>
      <c r="E95" s="2"/>
      <c r="F95" s="19">
        <f t="shared" si="85"/>
        <v>0</v>
      </c>
      <c r="G95" s="2"/>
      <c r="H95" s="2">
        <v>2050</v>
      </c>
      <c r="I95" s="2"/>
      <c r="J95" s="19">
        <f t="shared" si="86"/>
        <v>4.1000000000000002E-2</v>
      </c>
      <c r="K95" s="2"/>
      <c r="L95" s="2">
        <f t="shared" si="87"/>
        <v>-2050</v>
      </c>
      <c r="M95" s="2"/>
      <c r="N95" s="19">
        <f t="shared" si="88"/>
        <v>-1</v>
      </c>
      <c r="O95" s="11"/>
      <c r="P95" s="2">
        <f>--39607.82</f>
        <v>39607.82</v>
      </c>
      <c r="Q95" s="2"/>
      <c r="R95" s="19">
        <f t="shared" si="89"/>
        <v>0.10095576548283038</v>
      </c>
      <c r="S95" s="2"/>
      <c r="T95" s="2">
        <v>10250</v>
      </c>
      <c r="U95" s="2"/>
      <c r="V95" s="19">
        <f t="shared" si="90"/>
        <v>1.7083333333333332E-2</v>
      </c>
      <c r="W95" s="2"/>
      <c r="X95" s="2">
        <f t="shared" si="91"/>
        <v>29357.82</v>
      </c>
      <c r="Y95" s="2"/>
      <c r="Z95" s="19">
        <f t="shared" si="92"/>
        <v>2.8641775609756097</v>
      </c>
    </row>
    <row r="96" spans="1:26" x14ac:dyDescent="0.25">
      <c r="A96" s="9"/>
      <c r="B96" s="10"/>
      <c r="C96" s="10"/>
      <c r="D96" s="3"/>
      <c r="E96" s="3"/>
      <c r="F96" s="8"/>
      <c r="G96" s="3"/>
      <c r="H96" s="3"/>
      <c r="I96" s="3"/>
      <c r="J96" s="8"/>
      <c r="K96" s="3"/>
      <c r="L96" s="3"/>
      <c r="M96" s="3"/>
      <c r="N96" s="8"/>
      <c r="O96" s="10"/>
      <c r="P96" s="3"/>
      <c r="Q96" s="3"/>
      <c r="R96" s="8"/>
      <c r="S96" s="3"/>
      <c r="T96" s="3"/>
      <c r="U96" s="3"/>
      <c r="V96" s="8"/>
      <c r="W96" s="3"/>
      <c r="X96" s="3"/>
      <c r="Y96" s="3"/>
      <c r="Z96" s="8"/>
    </row>
    <row r="97" spans="1:26" s="23" customFormat="1" x14ac:dyDescent="0.25">
      <c r="A97" s="10"/>
      <c r="B97" s="29" t="s">
        <v>3</v>
      </c>
      <c r="C97" s="29"/>
      <c r="D97" s="20">
        <f>+D25-D27+D94</f>
        <v>-6716.6200000000008</v>
      </c>
      <c r="E97" s="14"/>
      <c r="F97" s="22">
        <f>IF(D$12=0,0,D97/D$12)</f>
        <v>0</v>
      </c>
      <c r="G97" s="14"/>
      <c r="H97" s="20">
        <f>+H25-H27+H94</f>
        <v>5109.6236250000075</v>
      </c>
      <c r="I97" s="14"/>
      <c r="J97" s="22">
        <f>IF(H$12=0,0,H97/H$12)</f>
        <v>0.10219247250000014</v>
      </c>
      <c r="K97" s="16"/>
      <c r="L97" s="20">
        <f>+D97-H97</f>
        <v>-11826.243625000008</v>
      </c>
      <c r="M97" s="16"/>
      <c r="N97" s="22">
        <f>IF(H97=0,0,L97/H97)</f>
        <v>-2.3145038642645606</v>
      </c>
      <c r="O97" s="28"/>
      <c r="P97" s="20">
        <f>+P25-P27+P94</f>
        <v>-40479.709999999941</v>
      </c>
      <c r="Q97" s="14"/>
      <c r="R97" s="22">
        <f>IF(P$12=0,0,P97/P$12)</f>
        <v>-0.10317811254375973</v>
      </c>
      <c r="S97" s="14"/>
      <c r="T97" s="20">
        <f>+T25-T27+T94</f>
        <v>125669.04312500003</v>
      </c>
      <c r="U97" s="14"/>
      <c r="V97" s="22">
        <f>IF(T$12=0,0,T97/T$12)</f>
        <v>0.20944840520833338</v>
      </c>
      <c r="W97" s="16"/>
      <c r="X97" s="20">
        <f>+P97-T97</f>
        <v>-166148.75312499996</v>
      </c>
      <c r="Y97" s="16"/>
      <c r="Z97" s="22">
        <f>IF(T97=0,0,X97/T97)</f>
        <v>-1.3221136167937215</v>
      </c>
    </row>
    <row r="98" spans="1:26" x14ac:dyDescent="0.25">
      <c r="A98" s="9"/>
      <c r="B98" s="10"/>
      <c r="C98" s="9"/>
      <c r="D98" s="3"/>
      <c r="E98" s="3"/>
      <c r="F98" s="8"/>
      <c r="G98" s="3"/>
      <c r="H98" s="3"/>
      <c r="I98" s="3"/>
      <c r="J98" s="8"/>
      <c r="K98" s="3"/>
      <c r="L98" s="3"/>
      <c r="M98" s="3"/>
      <c r="N98" s="8"/>
      <c r="P98" s="3"/>
      <c r="Q98" s="3"/>
      <c r="R98" s="8"/>
      <c r="S98" s="3"/>
      <c r="T98" s="3"/>
      <c r="U98" s="3"/>
      <c r="V98" s="8"/>
      <c r="W98" s="3"/>
      <c r="X98" s="3"/>
      <c r="Y98" s="3"/>
      <c r="Z98" s="8"/>
    </row>
    <row r="99" spans="1:26" s="23" customFormat="1" x14ac:dyDescent="0.25">
      <c r="A99" s="52"/>
      <c r="B99" s="10" t="s">
        <v>14</v>
      </c>
      <c r="C99" s="10"/>
      <c r="D99" s="4">
        <v>1911.73</v>
      </c>
      <c r="E99" s="4"/>
      <c r="F99" s="13">
        <f>IF(D$12=0,0,D99/D$12)</f>
        <v>0</v>
      </c>
      <c r="G99" s="4"/>
      <c r="H99" s="4">
        <v>5232</v>
      </c>
      <c r="I99" s="4"/>
      <c r="J99" s="13">
        <f>IF(H$12=0,0,H99/H$12)</f>
        <v>0.10464</v>
      </c>
      <c r="K99" s="4"/>
      <c r="L99" s="4">
        <f>+D99-H99</f>
        <v>-3320.27</v>
      </c>
      <c r="M99" s="4"/>
      <c r="N99" s="13">
        <f>IF(H99=0,0,L99/H99)</f>
        <v>-0.63460818042813461</v>
      </c>
      <c r="O99" s="10"/>
      <c r="P99" s="4">
        <v>46457.82</v>
      </c>
      <c r="Q99" s="4"/>
      <c r="R99" s="13">
        <f>IF(P$12=0,0,P99/P$12)</f>
        <v>0.11841562551949456</v>
      </c>
      <c r="S99" s="4"/>
      <c r="T99" s="4">
        <v>69495</v>
      </c>
      <c r="U99" s="4"/>
      <c r="V99" s="13">
        <f>IF(T$12=0,0,T99/T$12)</f>
        <v>0.115825</v>
      </c>
      <c r="W99" s="4"/>
      <c r="X99" s="4">
        <f>+P99-T99</f>
        <v>-23037.18</v>
      </c>
      <c r="Y99" s="4"/>
      <c r="Z99" s="13">
        <f>IF(T99=0,0,X99/T99)</f>
        <v>-0.33149406432117418</v>
      </c>
    </row>
    <row r="100" spans="1:26" x14ac:dyDescent="0.25">
      <c r="A100" s="9"/>
      <c r="B100" s="10"/>
      <c r="C100" s="10"/>
      <c r="D100" s="3"/>
      <c r="E100" s="3"/>
      <c r="F100" s="8"/>
      <c r="G100" s="3"/>
      <c r="H100" s="3"/>
      <c r="I100" s="3"/>
      <c r="J100" s="8"/>
      <c r="K100" s="3"/>
      <c r="L100" s="3"/>
      <c r="M100" s="3"/>
      <c r="N100" s="8"/>
      <c r="O100" s="10"/>
      <c r="P100" s="3"/>
      <c r="Q100" s="3"/>
      <c r="R100" s="8"/>
      <c r="S100" s="3"/>
      <c r="T100" s="3"/>
      <c r="U100" s="3"/>
      <c r="V100" s="8"/>
      <c r="W100" s="3"/>
      <c r="X100" s="3"/>
      <c r="Y100" s="3"/>
      <c r="Z100" s="8"/>
    </row>
    <row r="101" spans="1:26" s="23" customFormat="1" ht="15.75" thickBot="1" x14ac:dyDescent="0.3">
      <c r="A101" s="10"/>
      <c r="B101" s="29" t="s">
        <v>4</v>
      </c>
      <c r="C101" s="29"/>
      <c r="D101" s="35">
        <f>+D97-D99</f>
        <v>-8628.35</v>
      </c>
      <c r="E101" s="14"/>
      <c r="F101" s="32">
        <f>IF(D$12=0,0,D101/D$12)</f>
        <v>0</v>
      </c>
      <c r="G101" s="14"/>
      <c r="H101" s="35">
        <f>+H97-H99</f>
        <v>-122.37637499999255</v>
      </c>
      <c r="I101" s="14"/>
      <c r="J101" s="32">
        <f>IF(H$12=0,0,H101/H$12)</f>
        <v>-2.4475274999998511E-3</v>
      </c>
      <c r="K101" s="16"/>
      <c r="L101" s="35">
        <f>D101-H101</f>
        <v>-8505.9736250000078</v>
      </c>
      <c r="M101" s="16"/>
      <c r="N101" s="32">
        <f>IF(H101=0,0,L101/H101)</f>
        <v>69.506664378647642</v>
      </c>
      <c r="O101" s="28"/>
      <c r="P101" s="35">
        <f>+P97-P99</f>
        <v>-86937.529999999941</v>
      </c>
      <c r="Q101" s="14"/>
      <c r="R101" s="32">
        <f>IF(P$12=0,0,P101/P$12)</f>
        <v>-0.22159373806325428</v>
      </c>
      <c r="S101" s="14"/>
      <c r="T101" s="35">
        <f>+T97-T99</f>
        <v>56174.043125000026</v>
      </c>
      <c r="U101" s="14"/>
      <c r="V101" s="32">
        <f>IF(T$12=0,0,T101/T$12)</f>
        <v>9.3623405208333371E-2</v>
      </c>
      <c r="W101" s="16"/>
      <c r="X101" s="35">
        <f>P101-T101</f>
        <v>-143111.57312499997</v>
      </c>
      <c r="Y101" s="16"/>
      <c r="Z101" s="32">
        <f>IF(T101=0,0,X101/T101)</f>
        <v>-2.5476459439913226</v>
      </c>
    </row>
    <row r="102" spans="1:26" ht="15.75" thickTop="1" x14ac:dyDescent="0.25">
      <c r="A102" s="9"/>
      <c r="B102" s="9"/>
      <c r="C102" s="9"/>
      <c r="D102" s="3"/>
      <c r="E102" s="3"/>
      <c r="F102" s="8"/>
      <c r="G102" s="3"/>
      <c r="H102" s="3"/>
      <c r="I102" s="3"/>
      <c r="J102" s="8"/>
      <c r="K102" s="3"/>
      <c r="L102" s="3"/>
      <c r="M102" s="3"/>
      <c r="N102" s="8"/>
      <c r="P102" s="3"/>
      <c r="Q102" s="3"/>
      <c r="R102" s="8"/>
      <c r="S102" s="3"/>
      <c r="T102" s="3"/>
      <c r="U102" s="3"/>
      <c r="V102" s="8"/>
      <c r="W102" s="3"/>
      <c r="X102" s="3"/>
      <c r="Y102" s="3"/>
      <c r="Z102" s="8"/>
    </row>
    <row r="103" spans="1:26" x14ac:dyDescent="0.25">
      <c r="A103" s="9"/>
      <c r="B103" s="9"/>
      <c r="C103" s="9"/>
      <c r="D103" s="3"/>
      <c r="E103" s="3"/>
      <c r="F103" s="8"/>
      <c r="G103" s="3"/>
      <c r="H103" s="3"/>
      <c r="I103" s="3"/>
      <c r="J103" s="8"/>
      <c r="K103" s="3"/>
      <c r="L103" s="3"/>
      <c r="M103" s="3"/>
      <c r="N103" s="8"/>
      <c r="P103" s="3"/>
      <c r="Q103" s="3"/>
      <c r="R103" s="8"/>
      <c r="S103" s="3"/>
      <c r="T103" s="3"/>
      <c r="U103" s="3"/>
      <c r="V103" s="8"/>
      <c r="W103" s="3"/>
      <c r="X103" s="3"/>
      <c r="Y103" s="3"/>
      <c r="Z103" s="8"/>
    </row>
    <row r="104" spans="1:26" s="23" customFormat="1" ht="15.75" thickBot="1" x14ac:dyDescent="0.3">
      <c r="A104" s="10"/>
      <c r="B104" s="29" t="s">
        <v>5</v>
      </c>
      <c r="C104" s="29"/>
      <c r="D104" s="34">
        <f>SUM(D101:D103)</f>
        <v>-8628.35</v>
      </c>
      <c r="E104" s="14"/>
      <c r="F104" s="31">
        <f>IF(D$12=0,0,D104/D$12)</f>
        <v>0</v>
      </c>
      <c r="G104" s="14"/>
      <c r="H104" s="34">
        <f>SUM(H101:H103)</f>
        <v>-122.37637499999255</v>
      </c>
      <c r="I104" s="14"/>
      <c r="J104" s="31">
        <f>IF(H$12=0,0,H104/H$12)</f>
        <v>-2.4475274999998511E-3</v>
      </c>
      <c r="K104" s="16"/>
      <c r="L104" s="34">
        <f>+D104-H104</f>
        <v>-8505.9736250000078</v>
      </c>
      <c r="M104" s="16"/>
      <c r="N104" s="31">
        <f>IF(H104=0,0,L104/H104)</f>
        <v>69.506664378647642</v>
      </c>
      <c r="O104" s="28"/>
      <c r="P104" s="34">
        <f>SUM(P101:P103)</f>
        <v>-86937.529999999941</v>
      </c>
      <c r="Q104" s="14"/>
      <c r="R104" s="31">
        <f>IF(P$12=0,0,P104/P$12)</f>
        <v>-0.22159373806325428</v>
      </c>
      <c r="S104" s="14"/>
      <c r="T104" s="34">
        <f>SUM(T101:T103)</f>
        <v>56174.043125000026</v>
      </c>
      <c r="U104" s="14"/>
      <c r="V104" s="31">
        <f>IF(T$12=0,0,T104/T$12)</f>
        <v>9.3623405208333371E-2</v>
      </c>
      <c r="W104" s="16"/>
      <c r="X104" s="34">
        <f>+P104-T104</f>
        <v>-143111.57312499997</v>
      </c>
      <c r="Y104" s="16"/>
      <c r="Z104" s="31">
        <f>IF(T104=0,0,X104/T104)</f>
        <v>-2.5476459439913226</v>
      </c>
    </row>
    <row r="105" spans="1:26" ht="15.75" thickTop="1" x14ac:dyDescent="0.25">
      <c r="A105" s="9"/>
      <c r="C105" s="9"/>
      <c r="D105" s="18"/>
      <c r="E105" s="18"/>
      <c r="G105" s="18"/>
      <c r="H105" s="18"/>
      <c r="I105" s="18"/>
      <c r="J105" s="42"/>
      <c r="K105" s="18"/>
      <c r="L105" s="18"/>
      <c r="M105" s="18"/>
      <c r="P105" s="18"/>
      <c r="Q105" s="18"/>
      <c r="R105" s="42"/>
      <c r="S105" s="18"/>
      <c r="T105" s="18"/>
      <c r="U105" s="18"/>
      <c r="V105" s="42"/>
      <c r="W105" s="18"/>
      <c r="X105" s="18"/>
    </row>
    <row r="106" spans="1:26" x14ac:dyDescent="0.25">
      <c r="A106" s="9"/>
      <c r="B106" s="59">
        <v>43992.372220173609</v>
      </c>
      <c r="D106" s="18"/>
      <c r="E106" s="18"/>
      <c r="G106" s="18"/>
      <c r="H106" s="18"/>
      <c r="I106" s="18"/>
      <c r="J106" s="42"/>
      <c r="K106" s="18"/>
      <c r="L106" s="18"/>
      <c r="M106" s="18"/>
      <c r="P106" s="18"/>
      <c r="Q106" s="18"/>
      <c r="R106" s="42"/>
      <c r="S106" s="18"/>
      <c r="T106" s="18"/>
      <c r="U106" s="18"/>
      <c r="V106" s="42"/>
      <c r="W106" s="18"/>
      <c r="X106" s="18"/>
    </row>
    <row r="107" spans="1:26" x14ac:dyDescent="0.25">
      <c r="A107" s="9"/>
      <c r="B107" s="56" t="s">
        <v>314</v>
      </c>
      <c r="D107" s="18"/>
      <c r="E107" s="18"/>
      <c r="G107" s="18"/>
      <c r="H107" s="18"/>
      <c r="I107" s="18"/>
      <c r="J107" s="42"/>
      <c r="K107" s="18"/>
      <c r="L107" s="18"/>
      <c r="M107" s="18"/>
      <c r="P107" s="18"/>
      <c r="Q107" s="18"/>
      <c r="R107" s="42"/>
      <c r="S107" s="18"/>
      <c r="T107" s="18"/>
      <c r="U107" s="18"/>
      <c r="V107" s="42"/>
      <c r="W107" s="18"/>
      <c r="X107" s="18"/>
    </row>
    <row r="108" spans="1:26" x14ac:dyDescent="0.25">
      <c r="A108" s="9"/>
      <c r="B108" s="54"/>
      <c r="D108" s="18"/>
      <c r="E108" s="18"/>
      <c r="G108" s="18"/>
      <c r="H108" s="18"/>
      <c r="I108" s="18"/>
      <c r="J108" s="42"/>
      <c r="K108" s="18"/>
      <c r="L108" s="18"/>
      <c r="M108" s="18"/>
      <c r="P108" s="18"/>
      <c r="Q108" s="18"/>
      <c r="R108" s="42"/>
      <c r="S108" s="18"/>
      <c r="T108" s="18"/>
      <c r="U108" s="18"/>
      <c r="V108" s="42"/>
      <c r="W108" s="18"/>
      <c r="X108" s="18"/>
    </row>
    <row r="109" spans="1:26" x14ac:dyDescent="0.25">
      <c r="D109" s="18"/>
      <c r="E109" s="18"/>
      <c r="G109" s="18"/>
      <c r="H109" s="18"/>
      <c r="I109" s="18"/>
      <c r="J109" s="42"/>
      <c r="K109" s="18"/>
      <c r="L109" s="18"/>
      <c r="M109" s="18"/>
      <c r="P109" s="18"/>
      <c r="Q109" s="18"/>
      <c r="R109" s="42"/>
      <c r="S109" s="18"/>
      <c r="T109" s="18"/>
      <c r="U109" s="18"/>
      <c r="V109" s="42"/>
      <c r="W109" s="18"/>
      <c r="X109" s="18"/>
    </row>
  </sheetData>
  <pageMargins left="0.25" right="0.25" top="0.75" bottom="0.75" header="0.3" footer="0.3"/>
  <pageSetup scale="55" fitToWidth="2" orientation="landscape"/>
  <drawing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58"/>
  <sheetViews>
    <sheetView zoomScale="80" workbookViewId="0">
      <pane xSplit="3" ySplit="10" topLeftCell="D39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63" t="s">
        <v>13</v>
      </c>
    </row>
    <row r="3" spans="1:26" x14ac:dyDescent="0.25">
      <c r="D3" s="63" t="s">
        <v>296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61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63" t="str">
        <f>CONCATENATE("Period ",RIGHT(202011,2),", ",2020)</f>
        <v>Period 11, 2020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61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4">
        <v>43981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61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51"/>
      <c r="C6" s="51"/>
      <c r="D6" s="23" t="str">
        <f>CONCATENATE("Department ","455", " - ", "Vending")</f>
        <v>Department 455 - Vending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57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5" t="s">
        <v>294</v>
      </c>
      <c r="E9" s="15"/>
      <c r="F9" s="38"/>
      <c r="G9" s="15"/>
      <c r="H9" s="15"/>
      <c r="I9" s="15"/>
      <c r="J9" s="46"/>
      <c r="K9" s="15"/>
      <c r="L9" s="15"/>
      <c r="M9" s="15"/>
      <c r="N9" s="38"/>
      <c r="P9" s="15" t="s">
        <v>295</v>
      </c>
      <c r="Q9" s="15"/>
      <c r="R9" s="38"/>
      <c r="S9" s="15"/>
      <c r="T9" s="15"/>
      <c r="U9" s="15"/>
      <c r="V9" s="46"/>
      <c r="W9" s="15"/>
      <c r="X9" s="15"/>
      <c r="Y9" s="15"/>
      <c r="Z9" s="38"/>
    </row>
    <row r="10" spans="1:26" x14ac:dyDescent="0.25">
      <c r="A10" s="10"/>
      <c r="B10" s="55"/>
      <c r="C10" s="10"/>
      <c r="D10" s="43" t="s">
        <v>10</v>
      </c>
      <c r="E10" s="33"/>
      <c r="F10" s="40" t="s">
        <v>15</v>
      </c>
      <c r="G10" s="33"/>
      <c r="H10" s="47" t="s">
        <v>11</v>
      </c>
      <c r="I10" s="33"/>
      <c r="J10" s="45" t="s">
        <v>16</v>
      </c>
      <c r="K10" s="10"/>
      <c r="L10" s="43" t="s">
        <v>12</v>
      </c>
      <c r="M10" s="10"/>
      <c r="N10" s="40" t="s">
        <v>17</v>
      </c>
      <c r="O10" s="10"/>
      <c r="P10" s="53" t="s">
        <v>10</v>
      </c>
      <c r="Q10" s="33"/>
      <c r="R10" s="40" t="s">
        <v>15</v>
      </c>
      <c r="S10" s="33"/>
      <c r="T10" s="47" t="s">
        <v>11</v>
      </c>
      <c r="U10" s="33"/>
      <c r="V10" s="45" t="s">
        <v>16</v>
      </c>
      <c r="W10" s="10"/>
      <c r="X10" s="43" t="s">
        <v>12</v>
      </c>
      <c r="Y10" s="10"/>
      <c r="Z10" s="40" t="s">
        <v>17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x14ac:dyDescent="0.25">
      <c r="A12" s="10"/>
      <c r="B12" s="28" t="s">
        <v>7</v>
      </c>
      <c r="C12" s="10"/>
      <c r="D12" s="4">
        <f>SUM(0)</f>
        <v>0</v>
      </c>
      <c r="E12" s="4"/>
      <c r="F12" s="13"/>
      <c r="G12" s="4"/>
      <c r="H12" s="4">
        <f>SUM(0)</f>
        <v>0</v>
      </c>
      <c r="I12" s="4"/>
      <c r="J12" s="13"/>
      <c r="K12" s="4"/>
      <c r="L12" s="4">
        <f>+D12-H12</f>
        <v>0</v>
      </c>
      <c r="M12" s="4"/>
      <c r="N12" s="13">
        <f>IF(H12=0,0,L12/H12)</f>
        <v>0</v>
      </c>
      <c r="O12" s="10"/>
      <c r="P12" s="4">
        <f>SUM(0)</f>
        <v>0</v>
      </c>
      <c r="Q12" s="4"/>
      <c r="R12" s="13"/>
      <c r="S12" s="4"/>
      <c r="T12" s="4">
        <f>SUM(0)</f>
        <v>0</v>
      </c>
      <c r="U12" s="4"/>
      <c r="V12" s="13"/>
      <c r="W12" s="4"/>
      <c r="X12" s="4">
        <f>+P12-T12</f>
        <v>0</v>
      </c>
      <c r="Y12" s="4"/>
      <c r="Z12" s="13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8" t="s">
        <v>8</v>
      </c>
      <c r="C14" s="10"/>
      <c r="D14" s="4">
        <f>SUM(0)</f>
        <v>0</v>
      </c>
      <c r="E14" s="4"/>
      <c r="F14" s="13">
        <f>IF(D$12=0,0,D14/D$12)</f>
        <v>0</v>
      </c>
      <c r="G14" s="4"/>
      <c r="H14" s="4">
        <f>SUM(0)</f>
        <v>0</v>
      </c>
      <c r="I14" s="4"/>
      <c r="J14" s="13">
        <f>IF(H$12=0,0,H14/H$12)</f>
        <v>0</v>
      </c>
      <c r="K14" s="4"/>
      <c r="L14" s="4">
        <f>+D14-H14</f>
        <v>0</v>
      </c>
      <c r="M14" s="4"/>
      <c r="N14" s="13">
        <f>IF(H14=0,0,L14/H14)</f>
        <v>0</v>
      </c>
      <c r="O14" s="10"/>
      <c r="P14" s="4">
        <f>SUM(0)</f>
        <v>0</v>
      </c>
      <c r="Q14" s="4"/>
      <c r="R14" s="13">
        <f>IF(P$12=0,0,P14/P$12)</f>
        <v>0</v>
      </c>
      <c r="S14" s="4"/>
      <c r="T14" s="4">
        <f>SUM(0)</f>
        <v>0</v>
      </c>
      <c r="U14" s="4"/>
      <c r="V14" s="13">
        <f>IF(T$12=0,0,T14/T$12)</f>
        <v>0</v>
      </c>
      <c r="W14" s="4"/>
      <c r="X14" s="4">
        <f>+P14-T14</f>
        <v>0</v>
      </c>
      <c r="Y14" s="4"/>
      <c r="Z14" s="13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9" t="s">
        <v>6</v>
      </c>
      <c r="C16" s="29"/>
      <c r="D16" s="20">
        <f>D12-D14</f>
        <v>0</v>
      </c>
      <c r="E16" s="14"/>
      <c r="F16" s="22">
        <f>IF(D$12=0,0,D16/D$12)</f>
        <v>0</v>
      </c>
      <c r="G16" s="14"/>
      <c r="H16" s="20">
        <f>H12-H14</f>
        <v>0</v>
      </c>
      <c r="I16" s="14"/>
      <c r="J16" s="22">
        <f>IF(H$12=0,0,H16/H$12)</f>
        <v>0</v>
      </c>
      <c r="K16" s="16"/>
      <c r="L16" s="20">
        <f>+D16-H16</f>
        <v>0</v>
      </c>
      <c r="M16" s="16"/>
      <c r="N16" s="22">
        <f>IF(H16=0,0,L16/H16)</f>
        <v>0</v>
      </c>
      <c r="O16" s="28"/>
      <c r="P16" s="20">
        <f>P12-P14</f>
        <v>0</v>
      </c>
      <c r="Q16" s="14"/>
      <c r="R16" s="22">
        <f>IF(P$12=0,0,P16/P$12)</f>
        <v>0</v>
      </c>
      <c r="S16" s="14"/>
      <c r="T16" s="20">
        <f>T12-T14</f>
        <v>0</v>
      </c>
      <c r="U16" s="14"/>
      <c r="V16" s="22">
        <f>IF(T$12=0,0,T16/T$12)</f>
        <v>0</v>
      </c>
      <c r="W16" s="16"/>
      <c r="X16" s="20">
        <f>+P16-T16</f>
        <v>0</v>
      </c>
      <c r="Y16" s="16"/>
      <c r="Z16" s="22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8" t="s">
        <v>9</v>
      </c>
      <c r="C18" s="10"/>
      <c r="D18" s="21">
        <f>SUM(OSRRefD22x_0)</f>
        <v>0</v>
      </c>
      <c r="E18" s="21"/>
      <c r="F18" s="30">
        <f t="shared" ref="F18:F27" si="0">IF(D$12=0,0,D18/D$12)</f>
        <v>0</v>
      </c>
      <c r="G18" s="21"/>
      <c r="H18" s="21">
        <f>SUM(OSRRefH22x_0)</f>
        <v>5329.3879716076881</v>
      </c>
      <c r="I18" s="21"/>
      <c r="J18" s="30">
        <f t="shared" ref="J18:J27" si="1">IF(H$12=0,0,H18/H$12)</f>
        <v>0</v>
      </c>
      <c r="K18" s="4"/>
      <c r="L18" s="21">
        <f t="shared" ref="L18:L27" si="2">+D18-H18</f>
        <v>-5329.3879716076881</v>
      </c>
      <c r="M18" s="4"/>
      <c r="N18" s="30">
        <f t="shared" ref="N18:N27" si="3">IF(H18=0,0,L18/H18)</f>
        <v>-1</v>
      </c>
      <c r="O18" s="10"/>
      <c r="P18" s="21">
        <f>SUM(OSRRefP22x_0)</f>
        <v>67961.41</v>
      </c>
      <c r="Q18" s="21"/>
      <c r="R18" s="30">
        <f t="shared" ref="R18:R27" si="4">IF(P$12=0,0,P18/P$12)</f>
        <v>0</v>
      </c>
      <c r="S18" s="21"/>
      <c r="T18" s="21">
        <f>SUM(OSRRefT22x_0)</f>
        <v>63952.655659292279</v>
      </c>
      <c r="U18" s="21"/>
      <c r="V18" s="30">
        <f t="shared" ref="V18:V27" si="5">IF(T$12=0,0,T18/T$12)</f>
        <v>0</v>
      </c>
      <c r="W18" s="4"/>
      <c r="X18" s="21">
        <f t="shared" ref="X18:X27" si="6">+P18-T18</f>
        <v>4008.7543407077246</v>
      </c>
      <c r="Y18" s="4"/>
      <c r="Z18" s="30">
        <f t="shared" ref="Z18:Z27" si="7">IF(T18=0,0,X18/T18)</f>
        <v>6.2683156772478071E-2</v>
      </c>
    </row>
    <row r="19" spans="1:26" s="27" customFormat="1" outlineLevel="1" collapsed="1" x14ac:dyDescent="0.25">
      <c r="A19" s="25"/>
      <c r="B19" s="12" t="str">
        <f>CONCATENATE("     ","*Benefits                                         ")</f>
        <v xml:space="preserve">     *Benefits                                         </v>
      </c>
      <c r="C19" s="12"/>
      <c r="D19" s="1">
        <f>SUM(OSRRefD22_0x_0)</f>
        <v>0</v>
      </c>
      <c r="E19" s="1"/>
      <c r="F19" s="5">
        <f t="shared" si="0"/>
        <v>0</v>
      </c>
      <c r="G19" s="1"/>
      <c r="H19" s="1">
        <f>SUM(OSRRefH22_0x_0)</f>
        <v>1212.7235869923079</v>
      </c>
      <c r="I19" s="1"/>
      <c r="J19" s="5">
        <f t="shared" si="1"/>
        <v>0</v>
      </c>
      <c r="K19" s="1"/>
      <c r="L19" s="1">
        <f t="shared" si="2"/>
        <v>-1212.7235869923079</v>
      </c>
      <c r="M19" s="1"/>
      <c r="N19" s="5">
        <f t="shared" si="3"/>
        <v>-1</v>
      </c>
      <c r="O19" s="12"/>
      <c r="P19" s="1">
        <f>SUM(OSRRefP22_0x_0)</f>
        <v>30774.21</v>
      </c>
      <c r="Q19" s="1"/>
      <c r="R19" s="5">
        <f t="shared" si="4"/>
        <v>0</v>
      </c>
      <c r="S19" s="1"/>
      <c r="T19" s="1">
        <f>SUM(OSRRefT22_0x_0)</f>
        <v>14552.683043907693</v>
      </c>
      <c r="U19" s="1"/>
      <c r="V19" s="5">
        <f t="shared" si="5"/>
        <v>0</v>
      </c>
      <c r="W19" s="1"/>
      <c r="X19" s="1">
        <f t="shared" si="6"/>
        <v>16221.526956092306</v>
      </c>
      <c r="Y19" s="1"/>
      <c r="Z19" s="5">
        <f t="shared" si="7"/>
        <v>1.1146760296468667</v>
      </c>
    </row>
    <row r="20" spans="1:26" s="24" customFormat="1" hidden="1" outlineLevel="2" x14ac:dyDescent="0.25">
      <c r="A20" s="26"/>
      <c r="B20" s="11" t="str">
        <f>CONCATENATE("          ", "6111", " - ", "F.I.C.A.")</f>
        <v xml:space="preserve">          6111 - F.I.C.A.</v>
      </c>
      <c r="C20" s="11"/>
      <c r="D20" s="7"/>
      <c r="E20" s="2"/>
      <c r="F20" s="6">
        <f t="shared" si="0"/>
        <v>0</v>
      </c>
      <c r="G20" s="2"/>
      <c r="H20" s="7">
        <v>350.05369483846198</v>
      </c>
      <c r="I20" s="2"/>
      <c r="J20" s="6">
        <f t="shared" si="1"/>
        <v>0</v>
      </c>
      <c r="K20" s="2"/>
      <c r="L20" s="7">
        <f t="shared" si="2"/>
        <v>-350.05369483846198</v>
      </c>
      <c r="M20" s="2"/>
      <c r="N20" s="6">
        <f t="shared" si="3"/>
        <v>-1</v>
      </c>
      <c r="O20" s="11"/>
      <c r="P20" s="7">
        <v>2908.48</v>
      </c>
      <c r="Q20" s="2"/>
      <c r="R20" s="6">
        <f t="shared" si="4"/>
        <v>0</v>
      </c>
      <c r="S20" s="2"/>
      <c r="T20" s="7">
        <v>4200.6443380615419</v>
      </c>
      <c r="U20" s="2"/>
      <c r="V20" s="6">
        <f t="shared" si="5"/>
        <v>0</v>
      </c>
      <c r="W20" s="2"/>
      <c r="X20" s="7">
        <f t="shared" si="6"/>
        <v>-1292.1643380615419</v>
      </c>
      <c r="Y20" s="2"/>
      <c r="Z20" s="6">
        <f t="shared" si="7"/>
        <v>-0.3076109839515318</v>
      </c>
    </row>
    <row r="21" spans="1:26" s="24" customFormat="1" hidden="1" outlineLevel="2" x14ac:dyDescent="0.25">
      <c r="A21" s="26"/>
      <c r="B21" s="11" t="str">
        <f>CONCATENATE("          ", "6112", " - ", "COMPENSATION INSURANCE")</f>
        <v xml:space="preserve">          6112 - COMPENSATION INSURANCE</v>
      </c>
      <c r="C21" s="11"/>
      <c r="D21" s="7"/>
      <c r="E21" s="2"/>
      <c r="F21" s="6">
        <f t="shared" si="0"/>
        <v>0</v>
      </c>
      <c r="G21" s="2"/>
      <c r="H21" s="7">
        <v>0</v>
      </c>
      <c r="I21" s="2"/>
      <c r="J21" s="6">
        <f t="shared" si="1"/>
        <v>0</v>
      </c>
      <c r="K21" s="2"/>
      <c r="L21" s="7">
        <f t="shared" si="2"/>
        <v>0</v>
      </c>
      <c r="M21" s="2"/>
      <c r="N21" s="6">
        <f t="shared" si="3"/>
        <v>0</v>
      </c>
      <c r="O21" s="11"/>
      <c r="P21" s="7">
        <v>159.32</v>
      </c>
      <c r="Q21" s="2"/>
      <c r="R21" s="6">
        <f t="shared" si="4"/>
        <v>0</v>
      </c>
      <c r="S21" s="2"/>
      <c r="T21" s="7">
        <v>0</v>
      </c>
      <c r="U21" s="2"/>
      <c r="V21" s="6">
        <f t="shared" si="5"/>
        <v>0</v>
      </c>
      <c r="W21" s="2"/>
      <c r="X21" s="7">
        <f t="shared" si="6"/>
        <v>159.32</v>
      </c>
      <c r="Y21" s="2"/>
      <c r="Z21" s="6">
        <f t="shared" si="7"/>
        <v>0</v>
      </c>
    </row>
    <row r="22" spans="1:26" s="24" customFormat="1" hidden="1" outlineLevel="2" x14ac:dyDescent="0.25">
      <c r="A22" s="26"/>
      <c r="B22" s="11" t="str">
        <f>CONCATENATE("          ", "6113", " - ", "GROUP INSURANCE")</f>
        <v xml:space="preserve">          6113 - GROUP INSURANCE</v>
      </c>
      <c r="C22" s="11"/>
      <c r="D22" s="7"/>
      <c r="E22" s="2"/>
      <c r="F22" s="6">
        <f t="shared" si="0"/>
        <v>0</v>
      </c>
      <c r="G22" s="2"/>
      <c r="H22" s="7">
        <v>0</v>
      </c>
      <c r="I22" s="2"/>
      <c r="J22" s="6">
        <f t="shared" si="1"/>
        <v>0</v>
      </c>
      <c r="K22" s="2"/>
      <c r="L22" s="7">
        <f t="shared" si="2"/>
        <v>0</v>
      </c>
      <c r="M22" s="2"/>
      <c r="N22" s="6">
        <f t="shared" si="3"/>
        <v>0</v>
      </c>
      <c r="O22" s="11"/>
      <c r="P22" s="7">
        <v>8394</v>
      </c>
      <c r="Q22" s="2"/>
      <c r="R22" s="6">
        <f t="shared" si="4"/>
        <v>0</v>
      </c>
      <c r="S22" s="2"/>
      <c r="T22" s="7">
        <v>0</v>
      </c>
      <c r="U22" s="2"/>
      <c r="V22" s="6">
        <f t="shared" si="5"/>
        <v>0</v>
      </c>
      <c r="W22" s="2"/>
      <c r="X22" s="7">
        <f t="shared" si="6"/>
        <v>8394</v>
      </c>
      <c r="Y22" s="2"/>
      <c r="Z22" s="6">
        <f t="shared" si="7"/>
        <v>0</v>
      </c>
    </row>
    <row r="23" spans="1:26" s="24" customFormat="1" hidden="1" outlineLevel="2" x14ac:dyDescent="0.25">
      <c r="A23" s="26"/>
      <c r="B23" s="11" t="str">
        <f>CONCATENATE("          ", "6114", " - ", "STATE UNEMPLOYMENT INSURANCE")</f>
        <v xml:space="preserve">          6114 - STATE UNEMPLOYMENT INSURANCE</v>
      </c>
      <c r="C23" s="11"/>
      <c r="D23" s="7"/>
      <c r="E23" s="2"/>
      <c r="F23" s="6">
        <f t="shared" si="0"/>
        <v>0</v>
      </c>
      <c r="G23" s="2"/>
      <c r="H23" s="7">
        <v>11.892586</v>
      </c>
      <c r="I23" s="2"/>
      <c r="J23" s="6">
        <f t="shared" si="1"/>
        <v>0</v>
      </c>
      <c r="K23" s="2"/>
      <c r="L23" s="7">
        <f t="shared" si="2"/>
        <v>-11.892586</v>
      </c>
      <c r="M23" s="2"/>
      <c r="N23" s="6">
        <f t="shared" si="3"/>
        <v>-1</v>
      </c>
      <c r="O23" s="11"/>
      <c r="P23" s="7">
        <v>134.31</v>
      </c>
      <c r="Q23" s="2"/>
      <c r="R23" s="6">
        <f t="shared" si="4"/>
        <v>0</v>
      </c>
      <c r="S23" s="2"/>
      <c r="T23" s="7">
        <v>142.71103199999999</v>
      </c>
      <c r="U23" s="2"/>
      <c r="V23" s="6">
        <f t="shared" si="5"/>
        <v>0</v>
      </c>
      <c r="W23" s="2"/>
      <c r="X23" s="7">
        <f t="shared" si="6"/>
        <v>-8.4010319999999865</v>
      </c>
      <c r="Y23" s="2"/>
      <c r="Z23" s="6">
        <f t="shared" si="7"/>
        <v>-5.8867432196832457E-2</v>
      </c>
    </row>
    <row r="24" spans="1:26" s="24" customFormat="1" hidden="1" outlineLevel="2" x14ac:dyDescent="0.25">
      <c r="A24" s="26"/>
      <c r="B24" s="11" t="str">
        <f>CONCATENATE("          ", "6115", " - ", "P.E.R.S.")</f>
        <v xml:space="preserve">          6115 - P.E.R.S.</v>
      </c>
      <c r="C24" s="11"/>
      <c r="D24" s="7"/>
      <c r="E24" s="2"/>
      <c r="F24" s="6">
        <f t="shared" si="0"/>
        <v>0</v>
      </c>
      <c r="G24" s="2"/>
      <c r="H24" s="7">
        <v>393.37015230769197</v>
      </c>
      <c r="I24" s="2"/>
      <c r="J24" s="6">
        <f t="shared" si="1"/>
        <v>0</v>
      </c>
      <c r="K24" s="2"/>
      <c r="L24" s="7">
        <f t="shared" si="2"/>
        <v>-393.37015230769197</v>
      </c>
      <c r="M24" s="2"/>
      <c r="N24" s="6">
        <f t="shared" si="3"/>
        <v>-1</v>
      </c>
      <c r="O24" s="11"/>
      <c r="P24" s="7">
        <v>5280.61</v>
      </c>
      <c r="Q24" s="2"/>
      <c r="R24" s="6">
        <f t="shared" si="4"/>
        <v>0</v>
      </c>
      <c r="S24" s="2"/>
      <c r="T24" s="7">
        <v>4720.4418276923043</v>
      </c>
      <c r="U24" s="2"/>
      <c r="V24" s="6">
        <f t="shared" si="5"/>
        <v>0</v>
      </c>
      <c r="W24" s="2"/>
      <c r="X24" s="7">
        <f t="shared" si="6"/>
        <v>560.16817230769539</v>
      </c>
      <c r="Y24" s="2"/>
      <c r="Z24" s="6">
        <f t="shared" si="7"/>
        <v>0.11866858924550001</v>
      </c>
    </row>
    <row r="25" spans="1:26" s="24" customFormat="1" hidden="1" outlineLevel="2" x14ac:dyDescent="0.25">
      <c r="A25" s="26"/>
      <c r="B25" s="11" t="str">
        <f>CONCATENATE("          ", "6116", " - ", "EDUCATIONAL BENEFITS")</f>
        <v xml:space="preserve">          6116 - EDUCATIONAL BENEFITS</v>
      </c>
      <c r="C25" s="11"/>
      <c r="D25" s="7"/>
      <c r="E25" s="2"/>
      <c r="F25" s="6">
        <f t="shared" si="0"/>
        <v>0</v>
      </c>
      <c r="G25" s="2"/>
      <c r="H25" s="7">
        <v>0</v>
      </c>
      <c r="I25" s="2"/>
      <c r="J25" s="6">
        <f t="shared" si="1"/>
        <v>0</v>
      </c>
      <c r="K25" s="2"/>
      <c r="L25" s="7">
        <f t="shared" si="2"/>
        <v>0</v>
      </c>
      <c r="M25" s="2"/>
      <c r="N25" s="6">
        <f t="shared" si="3"/>
        <v>0</v>
      </c>
      <c r="O25" s="11"/>
      <c r="P25" s="7"/>
      <c r="Q25" s="2"/>
      <c r="R25" s="6">
        <f t="shared" si="4"/>
        <v>0</v>
      </c>
      <c r="S25" s="2"/>
      <c r="T25" s="7">
        <v>0</v>
      </c>
      <c r="U25" s="2"/>
      <c r="V25" s="6">
        <f t="shared" si="5"/>
        <v>0</v>
      </c>
      <c r="W25" s="2"/>
      <c r="X25" s="7">
        <f t="shared" si="6"/>
        <v>0</v>
      </c>
      <c r="Y25" s="2"/>
      <c r="Z25" s="6">
        <f t="shared" si="7"/>
        <v>0</v>
      </c>
    </row>
    <row r="26" spans="1:26" s="24" customFormat="1" hidden="1" outlineLevel="2" x14ac:dyDescent="0.25">
      <c r="A26" s="26"/>
      <c r="B26" s="11" t="str">
        <f>CONCATENATE("          ", "6118", " - ", "VACATION")</f>
        <v xml:space="preserve">          6118 - VACATION</v>
      </c>
      <c r="C26" s="11"/>
      <c r="D26" s="7"/>
      <c r="E26" s="2"/>
      <c r="F26" s="6">
        <f t="shared" si="0"/>
        <v>0</v>
      </c>
      <c r="G26" s="2"/>
      <c r="H26" s="7">
        <v>457.40715384615396</v>
      </c>
      <c r="I26" s="2"/>
      <c r="J26" s="6">
        <f t="shared" si="1"/>
        <v>0</v>
      </c>
      <c r="K26" s="2"/>
      <c r="L26" s="7">
        <f t="shared" si="2"/>
        <v>-457.40715384615396</v>
      </c>
      <c r="M26" s="2"/>
      <c r="N26" s="6">
        <f t="shared" si="3"/>
        <v>-1</v>
      </c>
      <c r="O26" s="11"/>
      <c r="P26" s="7">
        <v>5313.38</v>
      </c>
      <c r="Q26" s="2"/>
      <c r="R26" s="6">
        <f t="shared" si="4"/>
        <v>0</v>
      </c>
      <c r="S26" s="2"/>
      <c r="T26" s="7">
        <v>5488.8858461538457</v>
      </c>
      <c r="U26" s="2"/>
      <c r="V26" s="6">
        <f t="shared" si="5"/>
        <v>0</v>
      </c>
      <c r="W26" s="2"/>
      <c r="X26" s="7">
        <f t="shared" si="6"/>
        <v>-175.5058461538456</v>
      </c>
      <c r="Y26" s="2"/>
      <c r="Z26" s="6">
        <f t="shared" si="7"/>
        <v>-3.1974767024317965E-2</v>
      </c>
    </row>
    <row r="27" spans="1:26" s="24" customFormat="1" hidden="1" outlineLevel="2" x14ac:dyDescent="0.25">
      <c r="A27" s="26"/>
      <c r="B27" s="11" t="str">
        <f>CONCATENATE("          ", "6119", " - ", "SICK LEAVE")</f>
        <v xml:space="preserve">          6119 - SICK LEAVE</v>
      </c>
      <c r="C27" s="11"/>
      <c r="D27" s="7"/>
      <c r="E27" s="2"/>
      <c r="F27" s="6">
        <f t="shared" si="0"/>
        <v>0</v>
      </c>
      <c r="G27" s="2"/>
      <c r="H27" s="7">
        <v>0</v>
      </c>
      <c r="I27" s="2"/>
      <c r="J27" s="6">
        <f t="shared" si="1"/>
        <v>0</v>
      </c>
      <c r="K27" s="2"/>
      <c r="L27" s="7">
        <f t="shared" si="2"/>
        <v>0</v>
      </c>
      <c r="M27" s="2"/>
      <c r="N27" s="6">
        <f t="shared" si="3"/>
        <v>0</v>
      </c>
      <c r="O27" s="11"/>
      <c r="P27" s="7">
        <v>8584.11</v>
      </c>
      <c r="Q27" s="2"/>
      <c r="R27" s="6">
        <f t="shared" si="4"/>
        <v>0</v>
      </c>
      <c r="S27" s="2"/>
      <c r="T27" s="7">
        <v>0</v>
      </c>
      <c r="U27" s="2"/>
      <c r="V27" s="6">
        <f t="shared" si="5"/>
        <v>0</v>
      </c>
      <c r="W27" s="2"/>
      <c r="X27" s="7">
        <f t="shared" si="6"/>
        <v>8584.11</v>
      </c>
      <c r="Y27" s="2"/>
      <c r="Z27" s="6">
        <f t="shared" si="7"/>
        <v>0</v>
      </c>
    </row>
    <row r="28" spans="1:26" s="27" customFormat="1" outlineLevel="1" collapsed="1" x14ac:dyDescent="0.25">
      <c r="A28" s="25"/>
      <c r="B28" s="12" t="str">
        <f>CONCATENATE("     ","*Payroll                                          ")</f>
        <v xml:space="preserve">     *Payroll                                          </v>
      </c>
      <c r="C28" s="12"/>
      <c r="D28" s="1">
        <f>SUM(OSRRefD22_1x_0)</f>
        <v>0</v>
      </c>
      <c r="E28" s="1"/>
      <c r="F28" s="5">
        <f t="shared" ref="F28:F38" si="8">IF(D$12=0,0,D28/D$12)</f>
        <v>0</v>
      </c>
      <c r="G28" s="1"/>
      <c r="H28" s="1">
        <f>SUM(OSRRefH22_1x_0)</f>
        <v>4116.6643846153802</v>
      </c>
      <c r="I28" s="1"/>
      <c r="J28" s="5">
        <f t="shared" ref="J28:J38" si="9">IF(H$12=0,0,H28/H$12)</f>
        <v>0</v>
      </c>
      <c r="K28" s="1"/>
      <c r="L28" s="1">
        <f t="shared" ref="L28:L38" si="10">+D28-H28</f>
        <v>-4116.6643846153802</v>
      </c>
      <c r="M28" s="1"/>
      <c r="N28" s="5">
        <f t="shared" ref="N28:N38" si="11">IF(H28=0,0,L28/H28)</f>
        <v>-1</v>
      </c>
      <c r="O28" s="12"/>
      <c r="P28" s="1">
        <f>SUM(OSRRefP22_1x_0)</f>
        <v>37187.199999999997</v>
      </c>
      <c r="Q28" s="1"/>
      <c r="R28" s="5">
        <f t="shared" ref="R28:R38" si="12">IF(P$12=0,0,P28/P$12)</f>
        <v>0</v>
      </c>
      <c r="S28" s="1"/>
      <c r="T28" s="1">
        <f>SUM(OSRRefT22_1x_0)</f>
        <v>49399.972615384584</v>
      </c>
      <c r="U28" s="1"/>
      <c r="V28" s="5">
        <f t="shared" ref="V28:V38" si="13">IF(T$12=0,0,T28/T$12)</f>
        <v>0</v>
      </c>
      <c r="W28" s="1"/>
      <c r="X28" s="1">
        <f t="shared" ref="X28:X38" si="14">+P28-T28</f>
        <v>-12212.772615384587</v>
      </c>
      <c r="Y28" s="1"/>
      <c r="Z28" s="5">
        <f t="shared" ref="Z28:Z38" si="15">IF(T28=0,0,X28/T28)</f>
        <v>-0.24722225476661855</v>
      </c>
    </row>
    <row r="29" spans="1:26" s="24" customFormat="1" hidden="1" outlineLevel="2" x14ac:dyDescent="0.25">
      <c r="A29" s="26"/>
      <c r="B29" s="11" t="str">
        <f>CONCATENATE("          ", "6001", " - ", "ADMINISTRATIVE SALARIES")</f>
        <v xml:space="preserve">          6001 - ADMINISTRATIVE SALARIES</v>
      </c>
      <c r="C29" s="11"/>
      <c r="D29" s="7"/>
      <c r="E29" s="2"/>
      <c r="F29" s="6">
        <f t="shared" si="8"/>
        <v>0</v>
      </c>
      <c r="G29" s="2"/>
      <c r="H29" s="7">
        <v>4116.6643846153802</v>
      </c>
      <c r="I29" s="2"/>
      <c r="J29" s="6">
        <f t="shared" si="9"/>
        <v>0</v>
      </c>
      <c r="K29" s="2"/>
      <c r="L29" s="7">
        <f t="shared" si="10"/>
        <v>-4116.6643846153802</v>
      </c>
      <c r="M29" s="2"/>
      <c r="N29" s="6">
        <f t="shared" si="11"/>
        <v>-1</v>
      </c>
      <c r="O29" s="11"/>
      <c r="P29" s="7">
        <v>37187.199999999997</v>
      </c>
      <c r="Q29" s="2"/>
      <c r="R29" s="6">
        <f t="shared" si="12"/>
        <v>0</v>
      </c>
      <c r="S29" s="2"/>
      <c r="T29" s="7">
        <v>49399.972615384584</v>
      </c>
      <c r="U29" s="2"/>
      <c r="V29" s="6">
        <f t="shared" si="13"/>
        <v>0</v>
      </c>
      <c r="W29" s="2"/>
      <c r="X29" s="7">
        <f t="shared" si="14"/>
        <v>-12212.772615384587</v>
      </c>
      <c r="Y29" s="2"/>
      <c r="Z29" s="6">
        <f t="shared" si="15"/>
        <v>-0.24722225476661855</v>
      </c>
    </row>
    <row r="30" spans="1:26" s="24" customFormat="1" hidden="1" outlineLevel="2" x14ac:dyDescent="0.25">
      <c r="A30" s="26"/>
      <c r="B30" s="11" t="str">
        <f>CONCATENATE("          ", "6002", " - ", "STAFF SALARIES")</f>
        <v xml:space="preserve">          6002 - STAFF SALARIES</v>
      </c>
      <c r="C30" s="11"/>
      <c r="D30" s="7"/>
      <c r="E30" s="2"/>
      <c r="F30" s="6">
        <f t="shared" si="8"/>
        <v>0</v>
      </c>
      <c r="G30" s="2"/>
      <c r="H30" s="7">
        <v>0</v>
      </c>
      <c r="I30" s="2"/>
      <c r="J30" s="6">
        <f t="shared" si="9"/>
        <v>0</v>
      </c>
      <c r="K30" s="2"/>
      <c r="L30" s="7">
        <f t="shared" si="10"/>
        <v>0</v>
      </c>
      <c r="M30" s="2"/>
      <c r="N30" s="6">
        <f t="shared" si="11"/>
        <v>0</v>
      </c>
      <c r="O30" s="11"/>
      <c r="P30" s="7">
        <v>0</v>
      </c>
      <c r="Q30" s="2"/>
      <c r="R30" s="6">
        <f t="shared" si="12"/>
        <v>0</v>
      </c>
      <c r="S30" s="2"/>
      <c r="T30" s="7">
        <v>0</v>
      </c>
      <c r="U30" s="2"/>
      <c r="V30" s="6">
        <f t="shared" si="13"/>
        <v>0</v>
      </c>
      <c r="W30" s="2"/>
      <c r="X30" s="7">
        <f t="shared" si="14"/>
        <v>0</v>
      </c>
      <c r="Y30" s="2"/>
      <c r="Z30" s="6">
        <f t="shared" si="15"/>
        <v>0</v>
      </c>
    </row>
    <row r="31" spans="1:26" s="24" customFormat="1" hidden="1" outlineLevel="2" x14ac:dyDescent="0.25">
      <c r="A31" s="26"/>
      <c r="B31" s="11" t="str">
        <f>CONCATENATE("          ", "6003", " - ", "STAFF HOURLY-9 MONTH")</f>
        <v xml:space="preserve">          6003 - STAFF HOURLY-9 MONTH</v>
      </c>
      <c r="C31" s="11"/>
      <c r="D31" s="7"/>
      <c r="E31" s="2"/>
      <c r="F31" s="6">
        <f t="shared" si="8"/>
        <v>0</v>
      </c>
      <c r="G31" s="2"/>
      <c r="H31" s="7">
        <v>0</v>
      </c>
      <c r="I31" s="2"/>
      <c r="J31" s="6">
        <f t="shared" si="9"/>
        <v>0</v>
      </c>
      <c r="K31" s="2"/>
      <c r="L31" s="7">
        <f t="shared" si="10"/>
        <v>0</v>
      </c>
      <c r="M31" s="2"/>
      <c r="N31" s="6">
        <f t="shared" si="11"/>
        <v>0</v>
      </c>
      <c r="O31" s="11"/>
      <c r="P31" s="7"/>
      <c r="Q31" s="2"/>
      <c r="R31" s="6">
        <f t="shared" si="12"/>
        <v>0</v>
      </c>
      <c r="S31" s="2"/>
      <c r="T31" s="7">
        <v>0</v>
      </c>
      <c r="U31" s="2"/>
      <c r="V31" s="6">
        <f t="shared" si="13"/>
        <v>0</v>
      </c>
      <c r="W31" s="2"/>
      <c r="X31" s="7">
        <f t="shared" si="14"/>
        <v>0</v>
      </c>
      <c r="Y31" s="2"/>
      <c r="Z31" s="6">
        <f t="shared" si="15"/>
        <v>0</v>
      </c>
    </row>
    <row r="32" spans="1:26" s="24" customFormat="1" hidden="1" outlineLevel="2" x14ac:dyDescent="0.25">
      <c r="A32" s="26"/>
      <c r="B32" s="11" t="str">
        <f>CONCATENATE("          ", "6004", " - ", "STAFF HOURLY")</f>
        <v xml:space="preserve">          6004 - STAFF HOURLY</v>
      </c>
      <c r="C32" s="11"/>
      <c r="D32" s="7"/>
      <c r="E32" s="2"/>
      <c r="F32" s="6">
        <f t="shared" si="8"/>
        <v>0</v>
      </c>
      <c r="G32" s="2"/>
      <c r="H32" s="7">
        <v>0</v>
      </c>
      <c r="I32" s="2"/>
      <c r="J32" s="6">
        <f t="shared" si="9"/>
        <v>0</v>
      </c>
      <c r="K32" s="2"/>
      <c r="L32" s="7">
        <f t="shared" si="10"/>
        <v>0</v>
      </c>
      <c r="M32" s="2"/>
      <c r="N32" s="6">
        <f t="shared" si="11"/>
        <v>0</v>
      </c>
      <c r="O32" s="11"/>
      <c r="P32" s="7"/>
      <c r="Q32" s="2"/>
      <c r="R32" s="6">
        <f t="shared" si="12"/>
        <v>0</v>
      </c>
      <c r="S32" s="2"/>
      <c r="T32" s="7">
        <v>0</v>
      </c>
      <c r="U32" s="2"/>
      <c r="V32" s="6">
        <f t="shared" si="13"/>
        <v>0</v>
      </c>
      <c r="W32" s="2"/>
      <c r="X32" s="7">
        <f t="shared" si="14"/>
        <v>0</v>
      </c>
      <c r="Y32" s="2"/>
      <c r="Z32" s="6">
        <f t="shared" si="15"/>
        <v>0</v>
      </c>
    </row>
    <row r="33" spans="1:26" s="24" customFormat="1" hidden="1" outlineLevel="2" x14ac:dyDescent="0.25">
      <c r="A33" s="26"/>
      <c r="B33" s="11" t="str">
        <f>CONCATENATE("          ", "6005", " - ", "TEMPORARY WAGES-HOURLY")</f>
        <v xml:space="preserve">          6005 - TEMPORARY WAGES-HOURLY</v>
      </c>
      <c r="C33" s="11"/>
      <c r="D33" s="7"/>
      <c r="E33" s="2"/>
      <c r="F33" s="6">
        <f t="shared" si="8"/>
        <v>0</v>
      </c>
      <c r="G33" s="2"/>
      <c r="H33" s="7">
        <v>0</v>
      </c>
      <c r="I33" s="2"/>
      <c r="J33" s="6">
        <f t="shared" si="9"/>
        <v>0</v>
      </c>
      <c r="K33" s="2"/>
      <c r="L33" s="7">
        <f t="shared" si="10"/>
        <v>0</v>
      </c>
      <c r="M33" s="2"/>
      <c r="N33" s="6">
        <f t="shared" si="11"/>
        <v>0</v>
      </c>
      <c r="O33" s="11"/>
      <c r="P33" s="7"/>
      <c r="Q33" s="2"/>
      <c r="R33" s="6">
        <f t="shared" si="12"/>
        <v>0</v>
      </c>
      <c r="S33" s="2"/>
      <c r="T33" s="7">
        <v>0</v>
      </c>
      <c r="U33" s="2"/>
      <c r="V33" s="6">
        <f t="shared" si="13"/>
        <v>0</v>
      </c>
      <c r="W33" s="2"/>
      <c r="X33" s="7">
        <f t="shared" si="14"/>
        <v>0</v>
      </c>
      <c r="Y33" s="2"/>
      <c r="Z33" s="6">
        <f t="shared" si="15"/>
        <v>0</v>
      </c>
    </row>
    <row r="34" spans="1:26" s="24" customFormat="1" hidden="1" outlineLevel="2" x14ac:dyDescent="0.25">
      <c r="A34" s="26"/>
      <c r="B34" s="11" t="str">
        <f>CONCATENATE("          ", "6006", " - ", "TEMPORARY PART TIME")</f>
        <v xml:space="preserve">          6006 - TEMPORARY PART TIME</v>
      </c>
      <c r="C34" s="11"/>
      <c r="D34" s="7"/>
      <c r="E34" s="2"/>
      <c r="F34" s="6">
        <f t="shared" si="8"/>
        <v>0</v>
      </c>
      <c r="G34" s="2"/>
      <c r="H34" s="7">
        <v>0</v>
      </c>
      <c r="I34" s="2"/>
      <c r="J34" s="6">
        <f t="shared" si="9"/>
        <v>0</v>
      </c>
      <c r="K34" s="2"/>
      <c r="L34" s="7">
        <f t="shared" si="10"/>
        <v>0</v>
      </c>
      <c r="M34" s="2"/>
      <c r="N34" s="6">
        <f t="shared" si="11"/>
        <v>0</v>
      </c>
      <c r="O34" s="11"/>
      <c r="P34" s="7"/>
      <c r="Q34" s="2"/>
      <c r="R34" s="6">
        <f t="shared" si="12"/>
        <v>0</v>
      </c>
      <c r="S34" s="2"/>
      <c r="T34" s="7">
        <v>0</v>
      </c>
      <c r="U34" s="2"/>
      <c r="V34" s="6">
        <f t="shared" si="13"/>
        <v>0</v>
      </c>
      <c r="W34" s="2"/>
      <c r="X34" s="7">
        <f t="shared" si="14"/>
        <v>0</v>
      </c>
      <c r="Y34" s="2"/>
      <c r="Z34" s="6">
        <f t="shared" si="15"/>
        <v>0</v>
      </c>
    </row>
    <row r="35" spans="1:26" s="24" customFormat="1" hidden="1" outlineLevel="2" x14ac:dyDescent="0.25">
      <c r="A35" s="26"/>
      <c r="B35" s="11" t="str">
        <f>CONCATENATE("          ", "6007", " - ", "STUDENT HOURLY")</f>
        <v xml:space="preserve">          6007 - STUDENT HOURLY</v>
      </c>
      <c r="C35" s="11"/>
      <c r="D35" s="7"/>
      <c r="E35" s="2"/>
      <c r="F35" s="6">
        <f t="shared" si="8"/>
        <v>0</v>
      </c>
      <c r="G35" s="2"/>
      <c r="H35" s="7">
        <v>0</v>
      </c>
      <c r="I35" s="2"/>
      <c r="J35" s="6">
        <f t="shared" si="9"/>
        <v>0</v>
      </c>
      <c r="K35" s="2"/>
      <c r="L35" s="7">
        <f t="shared" si="10"/>
        <v>0</v>
      </c>
      <c r="M35" s="2"/>
      <c r="N35" s="6">
        <f t="shared" si="11"/>
        <v>0</v>
      </c>
      <c r="O35" s="11"/>
      <c r="P35" s="7"/>
      <c r="Q35" s="2"/>
      <c r="R35" s="6">
        <f t="shared" si="12"/>
        <v>0</v>
      </c>
      <c r="S35" s="2"/>
      <c r="T35" s="7">
        <v>0</v>
      </c>
      <c r="U35" s="2"/>
      <c r="V35" s="6">
        <f t="shared" si="13"/>
        <v>0</v>
      </c>
      <c r="W35" s="2"/>
      <c r="X35" s="7">
        <f t="shared" si="14"/>
        <v>0</v>
      </c>
      <c r="Y35" s="2"/>
      <c r="Z35" s="6">
        <f t="shared" si="15"/>
        <v>0</v>
      </c>
    </row>
    <row r="36" spans="1:26" s="24" customFormat="1" hidden="1" outlineLevel="2" x14ac:dyDescent="0.25">
      <c r="A36" s="26"/>
      <c r="B36" s="11" t="str">
        <f>CONCATENATE("          ", "6008", " - ", "STUDENT HOURLY-FICA EXEMPT")</f>
        <v xml:space="preserve">          6008 - STUDENT HOURLY-FICA EXEMPT</v>
      </c>
      <c r="C36" s="11"/>
      <c r="D36" s="7"/>
      <c r="E36" s="2"/>
      <c r="F36" s="6">
        <f t="shared" si="8"/>
        <v>0</v>
      </c>
      <c r="G36" s="2"/>
      <c r="H36" s="7">
        <v>0</v>
      </c>
      <c r="I36" s="2"/>
      <c r="J36" s="6">
        <f t="shared" si="9"/>
        <v>0</v>
      </c>
      <c r="K36" s="2"/>
      <c r="L36" s="7">
        <f t="shared" si="10"/>
        <v>0</v>
      </c>
      <c r="M36" s="2"/>
      <c r="N36" s="6">
        <f t="shared" si="11"/>
        <v>0</v>
      </c>
      <c r="O36" s="11"/>
      <c r="P36" s="7"/>
      <c r="Q36" s="2"/>
      <c r="R36" s="6">
        <f t="shared" si="12"/>
        <v>0</v>
      </c>
      <c r="S36" s="2"/>
      <c r="T36" s="7">
        <v>0</v>
      </c>
      <c r="U36" s="2"/>
      <c r="V36" s="6">
        <f t="shared" si="13"/>
        <v>0</v>
      </c>
      <c r="W36" s="2"/>
      <c r="X36" s="7">
        <f t="shared" si="14"/>
        <v>0</v>
      </c>
      <c r="Y36" s="2"/>
      <c r="Z36" s="6">
        <f t="shared" si="15"/>
        <v>0</v>
      </c>
    </row>
    <row r="37" spans="1:26" s="24" customFormat="1" hidden="1" outlineLevel="2" x14ac:dyDescent="0.25">
      <c r="A37" s="26"/>
      <c r="B37" s="11" t="str">
        <f>CONCATENATE("          ", "6009", " - ", "TEMPORARY-SEASONAL")</f>
        <v xml:space="preserve">          6009 - TEMPORARY-SEASONAL</v>
      </c>
      <c r="C37" s="11"/>
      <c r="D37" s="7"/>
      <c r="E37" s="2"/>
      <c r="F37" s="6">
        <f t="shared" si="8"/>
        <v>0</v>
      </c>
      <c r="G37" s="2"/>
      <c r="H37" s="7">
        <v>0</v>
      </c>
      <c r="I37" s="2"/>
      <c r="J37" s="6">
        <f t="shared" si="9"/>
        <v>0</v>
      </c>
      <c r="K37" s="2"/>
      <c r="L37" s="7">
        <f t="shared" si="10"/>
        <v>0</v>
      </c>
      <c r="M37" s="2"/>
      <c r="N37" s="6">
        <f t="shared" si="11"/>
        <v>0</v>
      </c>
      <c r="O37" s="11"/>
      <c r="P37" s="7"/>
      <c r="Q37" s="2"/>
      <c r="R37" s="6">
        <f t="shared" si="12"/>
        <v>0</v>
      </c>
      <c r="S37" s="2"/>
      <c r="T37" s="7">
        <v>0</v>
      </c>
      <c r="U37" s="2"/>
      <c r="V37" s="6">
        <f t="shared" si="13"/>
        <v>0</v>
      </c>
      <c r="W37" s="2"/>
      <c r="X37" s="7">
        <f t="shared" si="14"/>
        <v>0</v>
      </c>
      <c r="Y37" s="2"/>
      <c r="Z37" s="6">
        <f t="shared" si="15"/>
        <v>0</v>
      </c>
    </row>
    <row r="38" spans="1:26" s="24" customFormat="1" hidden="1" outlineLevel="2" x14ac:dyDescent="0.25">
      <c r="A38" s="26"/>
      <c r="B38" s="11" t="str">
        <f>CONCATENATE("          ", "6010", " - ", "GRATUITY")</f>
        <v xml:space="preserve">          6010 - GRATUITY</v>
      </c>
      <c r="C38" s="11"/>
      <c r="D38" s="7"/>
      <c r="E38" s="2"/>
      <c r="F38" s="6">
        <f t="shared" si="8"/>
        <v>0</v>
      </c>
      <c r="G38" s="2"/>
      <c r="H38" s="7">
        <v>0</v>
      </c>
      <c r="I38" s="2"/>
      <c r="J38" s="6">
        <f t="shared" si="9"/>
        <v>0</v>
      </c>
      <c r="K38" s="2"/>
      <c r="L38" s="7">
        <f t="shared" si="10"/>
        <v>0</v>
      </c>
      <c r="M38" s="2"/>
      <c r="N38" s="6">
        <f t="shared" si="11"/>
        <v>0</v>
      </c>
      <c r="O38" s="11"/>
      <c r="P38" s="7"/>
      <c r="Q38" s="2"/>
      <c r="R38" s="6">
        <f t="shared" si="12"/>
        <v>0</v>
      </c>
      <c r="S38" s="2"/>
      <c r="T38" s="7">
        <v>0</v>
      </c>
      <c r="U38" s="2"/>
      <c r="V38" s="6">
        <f t="shared" si="13"/>
        <v>0</v>
      </c>
      <c r="W38" s="2"/>
      <c r="X38" s="7">
        <f t="shared" si="14"/>
        <v>0</v>
      </c>
      <c r="Y38" s="2"/>
      <c r="Z38" s="6">
        <f t="shared" si="15"/>
        <v>0</v>
      </c>
    </row>
    <row r="39" spans="1:26" s="62" customFormat="1" x14ac:dyDescent="0.25">
      <c r="A39" s="36"/>
      <c r="B39" s="36"/>
      <c r="C39" s="36"/>
      <c r="D39" s="1"/>
      <c r="E39" s="1"/>
      <c r="F39" s="5"/>
      <c r="G39" s="1"/>
      <c r="H39" s="1"/>
      <c r="I39" s="1"/>
      <c r="J39" s="5"/>
      <c r="K39" s="1"/>
      <c r="L39" s="1"/>
      <c r="M39" s="1"/>
      <c r="N39" s="5"/>
      <c r="O39" s="36"/>
      <c r="P39" s="1"/>
      <c r="Q39" s="1"/>
      <c r="R39" s="5"/>
      <c r="S39" s="1"/>
      <c r="T39" s="1"/>
      <c r="U39" s="1"/>
      <c r="V39" s="5"/>
      <c r="W39" s="1"/>
      <c r="X39" s="1"/>
      <c r="Y39" s="1"/>
      <c r="Z39" s="5"/>
    </row>
    <row r="40" spans="1:26" s="23" customFormat="1" collapsed="1" x14ac:dyDescent="0.25">
      <c r="A40" s="10"/>
      <c r="B40" s="28" t="s">
        <v>0</v>
      </c>
      <c r="C40" s="10"/>
      <c r="D40" s="4">
        <f>SUM(OSRRefD25x_0)</f>
        <v>6624.89</v>
      </c>
      <c r="E40" s="4"/>
      <c r="F40" s="13">
        <f t="shared" ref="F40:F44" si="16">IF(D$12=0,0,D40/D$12)</f>
        <v>0</v>
      </c>
      <c r="G40" s="4"/>
      <c r="H40" s="4">
        <f>SUM(OSRRefH25x_0)</f>
        <v>13380</v>
      </c>
      <c r="I40" s="4"/>
      <c r="J40" s="13">
        <f t="shared" ref="J40:J44" si="17">IF(H$12=0,0,H40/H$12)</f>
        <v>0</v>
      </c>
      <c r="K40" s="4"/>
      <c r="L40" s="4">
        <f t="shared" ref="L40:L44" si="18">+D40-H40</f>
        <v>-6755.11</v>
      </c>
      <c r="M40" s="4"/>
      <c r="N40" s="13">
        <f t="shared" ref="N40:N44" si="19">IF(H40=0,0,L40/H40)</f>
        <v>-0.50486621823617339</v>
      </c>
      <c r="O40" s="10"/>
      <c r="P40" s="4">
        <f>SUM(OSRRefP25x_0)</f>
        <v>371164.31</v>
      </c>
      <c r="Q40" s="4"/>
      <c r="R40" s="13">
        <f t="shared" ref="R40:R44" si="20">IF(P$12=0,0,P40/P$12)</f>
        <v>0</v>
      </c>
      <c r="S40" s="4"/>
      <c r="T40" s="4">
        <f>SUM(OSRRefT25x_0)</f>
        <v>398649</v>
      </c>
      <c r="U40" s="4"/>
      <c r="V40" s="13">
        <f t="shared" ref="V40:V44" si="21">IF(T$12=0,0,T40/T$12)</f>
        <v>0</v>
      </c>
      <c r="W40" s="4"/>
      <c r="X40" s="4">
        <f t="shared" ref="X40:X44" si="22">+P40-T40</f>
        <v>-27484.690000000002</v>
      </c>
      <c r="Y40" s="4"/>
      <c r="Z40" s="13">
        <f t="shared" ref="Z40:Z44" si="23">IF(T40=0,0,X40/T40)</f>
        <v>-6.8944585336975645E-2</v>
      </c>
    </row>
    <row r="41" spans="1:26" s="24" customFormat="1" hidden="1" outlineLevel="1" x14ac:dyDescent="0.25">
      <c r="A41" s="44"/>
      <c r="B41" s="11" t="str">
        <f>CONCATENATE("          ", "9150", " - ", "MISC. INCOME")</f>
        <v xml:space="preserve">          9150 - MISC. INCOME</v>
      </c>
      <c r="C41" s="11"/>
      <c r="D41" s="2">
        <f t="shared" ref="D41:D43" si="24">0</f>
        <v>0</v>
      </c>
      <c r="E41" s="2"/>
      <c r="F41" s="19">
        <f t="shared" si="16"/>
        <v>0</v>
      </c>
      <c r="G41" s="2"/>
      <c r="H41" s="2">
        <v>4981</v>
      </c>
      <c r="I41" s="2"/>
      <c r="J41" s="19">
        <f t="shared" si="17"/>
        <v>0</v>
      </c>
      <c r="K41" s="2"/>
      <c r="L41" s="2">
        <f t="shared" si="18"/>
        <v>-4981</v>
      </c>
      <c r="M41" s="2"/>
      <c r="N41" s="19">
        <f t="shared" si="19"/>
        <v>-1</v>
      </c>
      <c r="O41" s="11"/>
      <c r="P41" s="2">
        <f t="shared" ref="P41:P42" si="25">0</f>
        <v>0</v>
      </c>
      <c r="Q41" s="2"/>
      <c r="R41" s="19">
        <f t="shared" si="20"/>
        <v>0</v>
      </c>
      <c r="S41" s="2"/>
      <c r="T41" s="2">
        <v>74753</v>
      </c>
      <c r="U41" s="2"/>
      <c r="V41" s="19">
        <f t="shared" si="21"/>
        <v>0</v>
      </c>
      <c r="W41" s="2"/>
      <c r="X41" s="2">
        <f t="shared" si="22"/>
        <v>-74753</v>
      </c>
      <c r="Y41" s="2"/>
      <c r="Z41" s="19">
        <f t="shared" si="23"/>
        <v>-1</v>
      </c>
    </row>
    <row r="42" spans="1:26" s="24" customFormat="1" hidden="1" outlineLevel="1" x14ac:dyDescent="0.25">
      <c r="A42" s="44"/>
      <c r="B42" s="11" t="str">
        <f>CONCATENATE("          ", "9151", " - ", "MISC. INCOME")</f>
        <v xml:space="preserve">          9151 - MISC. INCOME</v>
      </c>
      <c r="C42" s="11"/>
      <c r="D42" s="2">
        <f t="shared" si="24"/>
        <v>0</v>
      </c>
      <c r="E42" s="2"/>
      <c r="F42" s="19">
        <f t="shared" si="16"/>
        <v>0</v>
      </c>
      <c r="G42" s="2"/>
      <c r="H42" s="2">
        <v>8399</v>
      </c>
      <c r="I42" s="2"/>
      <c r="J42" s="19">
        <f t="shared" si="17"/>
        <v>0</v>
      </c>
      <c r="K42" s="2"/>
      <c r="L42" s="2">
        <f t="shared" si="18"/>
        <v>-8399</v>
      </c>
      <c r="M42" s="2"/>
      <c r="N42" s="19">
        <f t="shared" si="19"/>
        <v>-1</v>
      </c>
      <c r="O42" s="11"/>
      <c r="P42" s="2">
        <f t="shared" si="25"/>
        <v>0</v>
      </c>
      <c r="Q42" s="2"/>
      <c r="R42" s="19">
        <f t="shared" si="20"/>
        <v>0</v>
      </c>
      <c r="S42" s="2"/>
      <c r="T42" s="2">
        <v>323896</v>
      </c>
      <c r="U42" s="2"/>
      <c r="V42" s="19">
        <f t="shared" si="21"/>
        <v>0</v>
      </c>
      <c r="W42" s="2"/>
      <c r="X42" s="2">
        <f t="shared" si="22"/>
        <v>-323896</v>
      </c>
      <c r="Y42" s="2"/>
      <c r="Z42" s="19">
        <f t="shared" si="23"/>
        <v>-1</v>
      </c>
    </row>
    <row r="43" spans="1:26" s="24" customFormat="1" hidden="1" outlineLevel="1" x14ac:dyDescent="0.25">
      <c r="A43" s="44"/>
      <c r="B43" s="11" t="str">
        <f>CONCATENATE("          ", "9160", " - ", "MISC. INCOME")</f>
        <v xml:space="preserve">          9160 - MISC. INCOME</v>
      </c>
      <c r="C43" s="11"/>
      <c r="D43" s="2">
        <f t="shared" si="24"/>
        <v>0</v>
      </c>
      <c r="E43" s="2"/>
      <c r="F43" s="19">
        <f t="shared" si="16"/>
        <v>0</v>
      </c>
      <c r="G43" s="2"/>
      <c r="H43" s="2"/>
      <c r="I43" s="2"/>
      <c r="J43" s="19">
        <f t="shared" si="17"/>
        <v>0</v>
      </c>
      <c r="K43" s="2"/>
      <c r="L43" s="2">
        <f t="shared" si="18"/>
        <v>0</v>
      </c>
      <c r="M43" s="2"/>
      <c r="N43" s="19">
        <f t="shared" si="19"/>
        <v>0</v>
      </c>
      <c r="O43" s="11"/>
      <c r="P43" s="2">
        <f>--128039.29</f>
        <v>128039.29</v>
      </c>
      <c r="Q43" s="2"/>
      <c r="R43" s="19">
        <f t="shared" si="20"/>
        <v>0</v>
      </c>
      <c r="S43" s="2"/>
      <c r="T43" s="2"/>
      <c r="U43" s="2"/>
      <c r="V43" s="19">
        <f t="shared" si="21"/>
        <v>0</v>
      </c>
      <c r="W43" s="2"/>
      <c r="X43" s="2">
        <f t="shared" si="22"/>
        <v>128039.29</v>
      </c>
      <c r="Y43" s="2"/>
      <c r="Z43" s="19">
        <f t="shared" si="23"/>
        <v>0</v>
      </c>
    </row>
    <row r="44" spans="1:26" s="24" customFormat="1" hidden="1" outlineLevel="1" x14ac:dyDescent="0.25">
      <c r="A44" s="44"/>
      <c r="B44" s="11" t="str">
        <f>CONCATENATE("          ", "9165", " - ", "OTHER INCOME")</f>
        <v xml:space="preserve">          9165 - OTHER INCOME</v>
      </c>
      <c r="C44" s="11"/>
      <c r="D44" s="2">
        <f>--6624.89</f>
        <v>6624.89</v>
      </c>
      <c r="E44" s="2"/>
      <c r="F44" s="19">
        <f t="shared" si="16"/>
        <v>0</v>
      </c>
      <c r="G44" s="2"/>
      <c r="H44" s="2"/>
      <c r="I44" s="2"/>
      <c r="J44" s="19">
        <f t="shared" si="17"/>
        <v>0</v>
      </c>
      <c r="K44" s="2"/>
      <c r="L44" s="2">
        <f t="shared" si="18"/>
        <v>6624.89</v>
      </c>
      <c r="M44" s="2"/>
      <c r="N44" s="19">
        <f t="shared" si="19"/>
        <v>0</v>
      </c>
      <c r="O44" s="11"/>
      <c r="P44" s="2">
        <f>--243125.02</f>
        <v>243125.02</v>
      </c>
      <c r="Q44" s="2"/>
      <c r="R44" s="19">
        <f t="shared" si="20"/>
        <v>0</v>
      </c>
      <c r="S44" s="2"/>
      <c r="T44" s="2"/>
      <c r="U44" s="2"/>
      <c r="V44" s="19">
        <f t="shared" si="21"/>
        <v>0</v>
      </c>
      <c r="W44" s="2"/>
      <c r="X44" s="2">
        <f t="shared" si="22"/>
        <v>243125.02</v>
      </c>
      <c r="Y44" s="2"/>
      <c r="Z44" s="19">
        <f t="shared" si="23"/>
        <v>0</v>
      </c>
    </row>
    <row r="45" spans="1:26" x14ac:dyDescent="0.25">
      <c r="A45" s="9"/>
      <c r="B45" s="10"/>
      <c r="C45" s="10"/>
      <c r="D45" s="3"/>
      <c r="E45" s="3"/>
      <c r="F45" s="8"/>
      <c r="G45" s="3"/>
      <c r="H45" s="3"/>
      <c r="I45" s="3"/>
      <c r="J45" s="8"/>
      <c r="K45" s="3"/>
      <c r="L45" s="3"/>
      <c r="M45" s="3"/>
      <c r="N45" s="8"/>
      <c r="O45" s="10"/>
      <c r="P45" s="3"/>
      <c r="Q45" s="3"/>
      <c r="R45" s="8"/>
      <c r="S45" s="3"/>
      <c r="T45" s="3"/>
      <c r="U45" s="3"/>
      <c r="V45" s="8"/>
      <c r="W45" s="3"/>
      <c r="X45" s="3"/>
      <c r="Y45" s="3"/>
      <c r="Z45" s="8"/>
    </row>
    <row r="46" spans="1:26" s="23" customFormat="1" x14ac:dyDescent="0.25">
      <c r="A46" s="10"/>
      <c r="B46" s="29" t="s">
        <v>3</v>
      </c>
      <c r="C46" s="29"/>
      <c r="D46" s="20">
        <f>+D16-D18+D40</f>
        <v>6624.89</v>
      </c>
      <c r="E46" s="14"/>
      <c r="F46" s="22">
        <f>IF(D$12=0,0,D46/D$12)</f>
        <v>0</v>
      </c>
      <c r="G46" s="14"/>
      <c r="H46" s="20">
        <f>+H16-H18+H40</f>
        <v>8050.6120283923119</v>
      </c>
      <c r="I46" s="14"/>
      <c r="J46" s="22">
        <f>IF(H$12=0,0,H46/H$12)</f>
        <v>0</v>
      </c>
      <c r="K46" s="16"/>
      <c r="L46" s="20">
        <f>+D46-H46</f>
        <v>-1425.7220283923116</v>
      </c>
      <c r="M46" s="16"/>
      <c r="N46" s="22">
        <f>IF(H46=0,0,L46/H46)</f>
        <v>-0.17709486227434373</v>
      </c>
      <c r="O46" s="28"/>
      <c r="P46" s="20">
        <f>+P16-P18+P40</f>
        <v>303202.90000000002</v>
      </c>
      <c r="Q46" s="14"/>
      <c r="R46" s="22">
        <f>IF(P$12=0,0,P46/P$12)</f>
        <v>0</v>
      </c>
      <c r="S46" s="14"/>
      <c r="T46" s="20">
        <f>+T16-T18+T40</f>
        <v>334696.3443407077</v>
      </c>
      <c r="U46" s="14"/>
      <c r="V46" s="22">
        <f>IF(T$12=0,0,T46/T$12)</f>
        <v>0</v>
      </c>
      <c r="W46" s="16"/>
      <c r="X46" s="20">
        <f>+P46-T46</f>
        <v>-31493.444340707676</v>
      </c>
      <c r="Y46" s="16"/>
      <c r="Z46" s="22">
        <f>IF(T46=0,0,X46/T46)</f>
        <v>-9.4095573116414408E-2</v>
      </c>
    </row>
    <row r="47" spans="1:26" x14ac:dyDescent="0.25">
      <c r="A47" s="9"/>
      <c r="B47" s="10"/>
      <c r="C47" s="9"/>
      <c r="D47" s="3"/>
      <c r="E47" s="3"/>
      <c r="F47" s="8"/>
      <c r="G47" s="3"/>
      <c r="H47" s="3"/>
      <c r="I47" s="3"/>
      <c r="J47" s="8"/>
      <c r="K47" s="3"/>
      <c r="L47" s="3"/>
      <c r="M47" s="3"/>
      <c r="N47" s="8"/>
      <c r="P47" s="3"/>
      <c r="Q47" s="3"/>
      <c r="R47" s="8"/>
      <c r="S47" s="3"/>
      <c r="T47" s="3"/>
      <c r="U47" s="3"/>
      <c r="V47" s="8"/>
      <c r="W47" s="3"/>
      <c r="X47" s="3"/>
      <c r="Y47" s="3"/>
      <c r="Z47" s="8"/>
    </row>
    <row r="48" spans="1:26" s="23" customFormat="1" x14ac:dyDescent="0.25">
      <c r="A48" s="52"/>
      <c r="B48" s="10" t="s">
        <v>14</v>
      </c>
      <c r="C48" s="10"/>
      <c r="D48" s="4"/>
      <c r="E48" s="4"/>
      <c r="F48" s="13">
        <f>IF(D$12=0,0,D48/D$12)</f>
        <v>0</v>
      </c>
      <c r="G48" s="4"/>
      <c r="H48" s="4"/>
      <c r="I48" s="4"/>
      <c r="J48" s="13">
        <f>IF(H$12=0,0,H48/H$12)</f>
        <v>0</v>
      </c>
      <c r="K48" s="4"/>
      <c r="L48" s="4">
        <f>+D48-H48</f>
        <v>0</v>
      </c>
      <c r="M48" s="4"/>
      <c r="N48" s="13">
        <f>IF(H48=0,0,L48/H48)</f>
        <v>0</v>
      </c>
      <c r="O48" s="10"/>
      <c r="P48" s="4"/>
      <c r="Q48" s="4"/>
      <c r="R48" s="13">
        <f>IF(P$12=0,0,P48/P$12)</f>
        <v>0</v>
      </c>
      <c r="S48" s="4"/>
      <c r="T48" s="4"/>
      <c r="U48" s="4"/>
      <c r="V48" s="13">
        <f>IF(T$12=0,0,T48/T$12)</f>
        <v>0</v>
      </c>
      <c r="W48" s="4"/>
      <c r="X48" s="4">
        <f>+P48-T48</f>
        <v>0</v>
      </c>
      <c r="Y48" s="4"/>
      <c r="Z48" s="13">
        <f>IF(T48=0,0,X48/T48)</f>
        <v>0</v>
      </c>
    </row>
    <row r="49" spans="1:26" x14ac:dyDescent="0.25">
      <c r="A49" s="9"/>
      <c r="B49" s="10"/>
      <c r="C49" s="10"/>
      <c r="D49" s="3"/>
      <c r="E49" s="3"/>
      <c r="F49" s="8"/>
      <c r="G49" s="3"/>
      <c r="H49" s="3"/>
      <c r="I49" s="3"/>
      <c r="J49" s="8"/>
      <c r="K49" s="3"/>
      <c r="L49" s="3"/>
      <c r="M49" s="3"/>
      <c r="N49" s="8"/>
      <c r="O49" s="10"/>
      <c r="P49" s="3"/>
      <c r="Q49" s="3"/>
      <c r="R49" s="8"/>
      <c r="S49" s="3"/>
      <c r="T49" s="3"/>
      <c r="U49" s="3"/>
      <c r="V49" s="8"/>
      <c r="W49" s="3"/>
      <c r="X49" s="3"/>
      <c r="Y49" s="3"/>
      <c r="Z49" s="8"/>
    </row>
    <row r="50" spans="1:26" s="23" customFormat="1" ht="15.75" thickBot="1" x14ac:dyDescent="0.3">
      <c r="A50" s="10"/>
      <c r="B50" s="29" t="s">
        <v>4</v>
      </c>
      <c r="C50" s="29"/>
      <c r="D50" s="35">
        <f>+D46-D48</f>
        <v>6624.89</v>
      </c>
      <c r="E50" s="14"/>
      <c r="F50" s="32">
        <f>IF(D$12=0,0,D50/D$12)</f>
        <v>0</v>
      </c>
      <c r="G50" s="14"/>
      <c r="H50" s="35">
        <f>+H46-H48</f>
        <v>8050.6120283923119</v>
      </c>
      <c r="I50" s="14"/>
      <c r="J50" s="32">
        <f>IF(H$12=0,0,H50/H$12)</f>
        <v>0</v>
      </c>
      <c r="K50" s="16"/>
      <c r="L50" s="35">
        <f>D50-H50</f>
        <v>-1425.7220283923116</v>
      </c>
      <c r="M50" s="16"/>
      <c r="N50" s="32">
        <f>IF(H50=0,0,L50/H50)</f>
        <v>-0.17709486227434373</v>
      </c>
      <c r="O50" s="28"/>
      <c r="P50" s="35">
        <f>+P46-P48</f>
        <v>303202.90000000002</v>
      </c>
      <c r="Q50" s="14"/>
      <c r="R50" s="32">
        <f>IF(P$12=0,0,P50/P$12)</f>
        <v>0</v>
      </c>
      <c r="S50" s="14"/>
      <c r="T50" s="35">
        <f>+T46-T48</f>
        <v>334696.3443407077</v>
      </c>
      <c r="U50" s="14"/>
      <c r="V50" s="32">
        <f>IF(T$12=0,0,T50/T$12)</f>
        <v>0</v>
      </c>
      <c r="W50" s="16"/>
      <c r="X50" s="35">
        <f>P50-T50</f>
        <v>-31493.444340707676</v>
      </c>
      <c r="Y50" s="16"/>
      <c r="Z50" s="32">
        <f>IF(T50=0,0,X50/T50)</f>
        <v>-9.4095573116414408E-2</v>
      </c>
    </row>
    <row r="51" spans="1:26" ht="15.75" thickTop="1" x14ac:dyDescent="0.25">
      <c r="A51" s="9"/>
      <c r="B51" s="9"/>
      <c r="C51" s="9"/>
      <c r="D51" s="3"/>
      <c r="E51" s="3"/>
      <c r="F51" s="8"/>
      <c r="G51" s="3"/>
      <c r="H51" s="3"/>
      <c r="I51" s="3"/>
      <c r="J51" s="8"/>
      <c r="K51" s="3"/>
      <c r="L51" s="3"/>
      <c r="M51" s="3"/>
      <c r="N51" s="8"/>
      <c r="P51" s="3"/>
      <c r="Q51" s="3"/>
      <c r="R51" s="8"/>
      <c r="S51" s="3"/>
      <c r="T51" s="3"/>
      <c r="U51" s="3"/>
      <c r="V51" s="8"/>
      <c r="W51" s="3"/>
      <c r="X51" s="3"/>
      <c r="Y51" s="3"/>
      <c r="Z51" s="8"/>
    </row>
    <row r="52" spans="1:26" x14ac:dyDescent="0.25">
      <c r="A52" s="9"/>
      <c r="B52" s="9"/>
      <c r="C52" s="9"/>
      <c r="D52" s="3"/>
      <c r="E52" s="3"/>
      <c r="F52" s="8"/>
      <c r="G52" s="3"/>
      <c r="H52" s="3"/>
      <c r="I52" s="3"/>
      <c r="J52" s="8"/>
      <c r="K52" s="3"/>
      <c r="L52" s="3"/>
      <c r="M52" s="3"/>
      <c r="N52" s="8"/>
      <c r="P52" s="3"/>
      <c r="Q52" s="3"/>
      <c r="R52" s="8"/>
      <c r="S52" s="3"/>
      <c r="T52" s="3"/>
      <c r="U52" s="3"/>
      <c r="V52" s="8"/>
      <c r="W52" s="3"/>
      <c r="X52" s="3"/>
      <c r="Y52" s="3"/>
      <c r="Z52" s="8"/>
    </row>
    <row r="53" spans="1:26" s="23" customFormat="1" ht="15.75" thickBot="1" x14ac:dyDescent="0.3">
      <c r="A53" s="10"/>
      <c r="B53" s="29" t="s">
        <v>5</v>
      </c>
      <c r="C53" s="29"/>
      <c r="D53" s="34">
        <f>SUM(D50:D52)</f>
        <v>6624.89</v>
      </c>
      <c r="E53" s="14"/>
      <c r="F53" s="31">
        <f>IF(D$12=0,0,D53/D$12)</f>
        <v>0</v>
      </c>
      <c r="G53" s="14"/>
      <c r="H53" s="34">
        <f>SUM(H50:H52)</f>
        <v>8050.6120283923119</v>
      </c>
      <c r="I53" s="14"/>
      <c r="J53" s="31">
        <f>IF(H$12=0,0,H53/H$12)</f>
        <v>0</v>
      </c>
      <c r="K53" s="16"/>
      <c r="L53" s="34">
        <f>+D53-H53</f>
        <v>-1425.7220283923116</v>
      </c>
      <c r="M53" s="16"/>
      <c r="N53" s="31">
        <f>IF(H53=0,0,L53/H53)</f>
        <v>-0.17709486227434373</v>
      </c>
      <c r="O53" s="28"/>
      <c r="P53" s="34">
        <f>SUM(P50:P52)</f>
        <v>303202.90000000002</v>
      </c>
      <c r="Q53" s="14"/>
      <c r="R53" s="31">
        <f>IF(P$12=0,0,P53/P$12)</f>
        <v>0</v>
      </c>
      <c r="S53" s="14"/>
      <c r="T53" s="34">
        <f>SUM(T50:T52)</f>
        <v>334696.3443407077</v>
      </c>
      <c r="U53" s="14"/>
      <c r="V53" s="31">
        <f>IF(T$12=0,0,T53/T$12)</f>
        <v>0</v>
      </c>
      <c r="W53" s="16"/>
      <c r="X53" s="34">
        <f>+P53-T53</f>
        <v>-31493.444340707676</v>
      </c>
      <c r="Y53" s="16"/>
      <c r="Z53" s="31">
        <f>IF(T53=0,0,X53/T53)</f>
        <v>-9.4095573116414408E-2</v>
      </c>
    </row>
    <row r="54" spans="1:26" ht="15.75" thickTop="1" x14ac:dyDescent="0.25">
      <c r="A54" s="9"/>
      <c r="C54" s="9"/>
      <c r="D54" s="18"/>
      <c r="E54" s="18"/>
      <c r="G54" s="18"/>
      <c r="H54" s="18"/>
      <c r="I54" s="18"/>
      <c r="J54" s="42"/>
      <c r="K54" s="18"/>
      <c r="L54" s="18"/>
      <c r="M54" s="18"/>
      <c r="P54" s="18"/>
      <c r="Q54" s="18"/>
      <c r="R54" s="42"/>
      <c r="S54" s="18"/>
      <c r="T54" s="18"/>
      <c r="U54" s="18"/>
      <c r="V54" s="42"/>
      <c r="W54" s="18"/>
      <c r="X54" s="18"/>
    </row>
    <row r="55" spans="1:26" x14ac:dyDescent="0.25">
      <c r="A55" s="9"/>
      <c r="B55" s="59">
        <v>43992.372333368054</v>
      </c>
      <c r="D55" s="18"/>
      <c r="E55" s="18"/>
      <c r="G55" s="18"/>
      <c r="H55" s="18"/>
      <c r="I55" s="18"/>
      <c r="J55" s="42"/>
      <c r="K55" s="18"/>
      <c r="L55" s="18"/>
      <c r="M55" s="18"/>
      <c r="P55" s="18"/>
      <c r="Q55" s="18"/>
      <c r="R55" s="42"/>
      <c r="S55" s="18"/>
      <c r="T55" s="18"/>
      <c r="U55" s="18"/>
      <c r="V55" s="42"/>
      <c r="W55" s="18"/>
      <c r="X55" s="18"/>
    </row>
    <row r="56" spans="1:26" x14ac:dyDescent="0.25">
      <c r="A56" s="9"/>
      <c r="B56" s="56" t="s">
        <v>314</v>
      </c>
      <c r="D56" s="18"/>
      <c r="E56" s="18"/>
      <c r="G56" s="18"/>
      <c r="H56" s="18"/>
      <c r="I56" s="18"/>
      <c r="J56" s="42"/>
      <c r="K56" s="18"/>
      <c r="L56" s="18"/>
      <c r="M56" s="18"/>
      <c r="P56" s="18"/>
      <c r="Q56" s="18"/>
      <c r="R56" s="42"/>
      <c r="S56" s="18"/>
      <c r="T56" s="18"/>
      <c r="U56" s="18"/>
      <c r="V56" s="42"/>
      <c r="W56" s="18"/>
      <c r="X56" s="18"/>
    </row>
    <row r="57" spans="1:26" x14ac:dyDescent="0.25">
      <c r="A57" s="9"/>
      <c r="B57" s="54"/>
      <c r="D57" s="18"/>
      <c r="E57" s="18"/>
      <c r="G57" s="18"/>
      <c r="H57" s="18"/>
      <c r="I57" s="18"/>
      <c r="J57" s="42"/>
      <c r="K57" s="18"/>
      <c r="L57" s="18"/>
      <c r="M57" s="18"/>
      <c r="P57" s="18"/>
      <c r="Q57" s="18"/>
      <c r="R57" s="42"/>
      <c r="S57" s="18"/>
      <c r="T57" s="18"/>
      <c r="U57" s="18"/>
      <c r="V57" s="42"/>
      <c r="W57" s="18"/>
      <c r="X57" s="18"/>
    </row>
    <row r="58" spans="1:26" x14ac:dyDescent="0.25">
      <c r="D58" s="18"/>
      <c r="E58" s="18"/>
      <c r="G58" s="18"/>
      <c r="H58" s="18"/>
      <c r="I58" s="18"/>
      <c r="J58" s="42"/>
      <c r="K58" s="18"/>
      <c r="L58" s="18"/>
      <c r="M58" s="18"/>
      <c r="P58" s="18"/>
      <c r="Q58" s="18"/>
      <c r="R58" s="42"/>
      <c r="S58" s="18"/>
      <c r="T58" s="18"/>
      <c r="U58" s="18"/>
      <c r="V58" s="42"/>
      <c r="W58" s="18"/>
      <c r="X58" s="18"/>
    </row>
  </sheetData>
  <pageMargins left="0.25" right="0.25" top="0.75" bottom="0.75" header="0.3" footer="0.3"/>
  <pageSetup scale="55" fitToWidth="2" orientation="landscape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63" t="s">
        <v>13</v>
      </c>
    </row>
    <row r="3" spans="1:26" x14ac:dyDescent="0.25">
      <c r="D3" s="63" t="s">
        <v>296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61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63" t="e">
        <f ca="1">CONCATENATE("Period ",RIGHT(_xll.OneStop.ReportPlayer.OSRFunctions.OSRGet("Period","PeriodId"),2),", ",_xll.OneStop.ReportPlayer.OSRFunctions.OSRGet("Period","Year"))</f>
        <v>#NAME?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61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5" t="e">
        <f ca="1">_xll.OneStop.ReportPlayer.OSRFunctions.OSRGet("Period","PeriodEnd")</f>
        <v>#NAME?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61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51"/>
      <c r="C6" s="51"/>
      <c r="D6" s="23" t="s">
        <v>300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57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5" t="s">
        <v>294</v>
      </c>
      <c r="E9" s="15"/>
      <c r="F9" s="38"/>
      <c r="G9" s="15"/>
      <c r="H9" s="15"/>
      <c r="I9" s="15"/>
      <c r="J9" s="46"/>
      <c r="K9" s="15"/>
      <c r="L9" s="15"/>
      <c r="M9" s="15"/>
      <c r="N9" s="38"/>
      <c r="P9" s="15" t="s">
        <v>295</v>
      </c>
      <c r="Q9" s="15"/>
      <c r="R9" s="38"/>
      <c r="S9" s="15"/>
      <c r="T9" s="15"/>
      <c r="U9" s="15"/>
      <c r="V9" s="46"/>
      <c r="W9" s="15"/>
      <c r="X9" s="15"/>
      <c r="Y9" s="15"/>
      <c r="Z9" s="38"/>
    </row>
    <row r="10" spans="1:26" x14ac:dyDescent="0.25">
      <c r="A10" s="10"/>
      <c r="B10" s="55"/>
      <c r="C10" s="10"/>
      <c r="D10" s="43" t="s">
        <v>10</v>
      </c>
      <c r="E10" s="33"/>
      <c r="F10" s="40" t="s">
        <v>15</v>
      </c>
      <c r="G10" s="33"/>
      <c r="H10" s="47" t="s">
        <v>11</v>
      </c>
      <c r="I10" s="33"/>
      <c r="J10" s="45" t="s">
        <v>16</v>
      </c>
      <c r="K10" s="10"/>
      <c r="L10" s="43" t="s">
        <v>12</v>
      </c>
      <c r="M10" s="10"/>
      <c r="N10" s="40" t="s">
        <v>17</v>
      </c>
      <c r="O10" s="10"/>
      <c r="P10" s="53" t="s">
        <v>10</v>
      </c>
      <c r="Q10" s="33"/>
      <c r="R10" s="40" t="s">
        <v>15</v>
      </c>
      <c r="S10" s="33"/>
      <c r="T10" s="47" t="s">
        <v>11</v>
      </c>
      <c r="U10" s="33"/>
      <c r="V10" s="45" t="s">
        <v>16</v>
      </c>
      <c r="W10" s="10"/>
      <c r="X10" s="43" t="s">
        <v>12</v>
      </c>
      <c r="Y10" s="10"/>
      <c r="Z10" s="40" t="s">
        <v>17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 t="e">
        <f ca="1">SUM(_xll.OneStop.ReportPlayer.OSRFunctions.OSRRef(D13))</f>
        <v>#NAME?</v>
      </c>
      <c r="E12" s="4"/>
      <c r="F12" s="13"/>
      <c r="G12" s="4"/>
      <c r="H12" s="4" t="e">
        <f ca="1">SUM(_xll.OneStop.ReportPlayer.OSRFunctions.OSRRef(H13))</f>
        <v>#NAME?</v>
      </c>
      <c r="I12" s="4"/>
      <c r="J12" s="13"/>
      <c r="K12" s="4"/>
      <c r="L12" s="4" t="e">
        <f t="shared" ref="L12:L13" ca="1" si="0">+D12-H12</f>
        <v>#NAME?</v>
      </c>
      <c r="M12" s="4"/>
      <c r="N12" s="13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3"/>
      <c r="S12" s="4"/>
      <c r="T12" s="4" t="e">
        <f ca="1">SUM(_xll.OneStop.ReportPlayer.OSRFunctions.OSRRef(T13))</f>
        <v>#NAME?</v>
      </c>
      <c r="U12" s="4"/>
      <c r="V12" s="13"/>
      <c r="W12" s="4"/>
      <c r="X12" s="4" t="e">
        <f t="shared" ref="X12:X13" ca="1" si="2">+P12-T12</f>
        <v>#NAME?</v>
      </c>
      <c r="Y12" s="4"/>
      <c r="Z12" s="13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8</v>
      </c>
      <c r="C15" s="10"/>
      <c r="D15" s="4" t="e">
        <f ca="1">SUM(_xll.OneStop.ReportPlayer.OSRFunctions.OSRRef(D16))</f>
        <v>#NAME?</v>
      </c>
      <c r="E15" s="4"/>
      <c r="F15" s="13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3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3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3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3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3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6</v>
      </c>
      <c r="C18" s="29"/>
      <c r="D18" s="20" t="e">
        <f ca="1">D12-D15</f>
        <v>#NAME?</v>
      </c>
      <c r="E18" s="14"/>
      <c r="F18" s="22" t="e">
        <f ca="1">IF(D$12=0,0,D18/D$12)</f>
        <v>#NAME?</v>
      </c>
      <c r="G18" s="14"/>
      <c r="H18" s="20" t="e">
        <f ca="1">H12-H15</f>
        <v>#NAME?</v>
      </c>
      <c r="I18" s="14"/>
      <c r="J18" s="22" t="e">
        <f ca="1">IF(H$12=0,0,H18/H$12)</f>
        <v>#NAME?</v>
      </c>
      <c r="K18" s="16"/>
      <c r="L18" s="20" t="e">
        <f ca="1">+D18-H18</f>
        <v>#NAME?</v>
      </c>
      <c r="M18" s="16"/>
      <c r="N18" s="22" t="e">
        <f ca="1">IF(H18=0,0,L18/H18)</f>
        <v>#NAME?</v>
      </c>
      <c r="O18" s="28"/>
      <c r="P18" s="20" t="e">
        <f ca="1">P12-P15</f>
        <v>#NAME?</v>
      </c>
      <c r="Q18" s="14"/>
      <c r="R18" s="22" t="e">
        <f ca="1">IF(P$12=0,0,P18/P$12)</f>
        <v>#NAME?</v>
      </c>
      <c r="S18" s="14"/>
      <c r="T18" s="20" t="e">
        <f ca="1">T12-T15</f>
        <v>#NAME?</v>
      </c>
      <c r="U18" s="14"/>
      <c r="V18" s="22" t="e">
        <f ca="1">IF(T$12=0,0,T18/T$12)</f>
        <v>#NAME?</v>
      </c>
      <c r="W18" s="16"/>
      <c r="X18" s="20" t="e">
        <f ca="1">+P18-T18</f>
        <v>#NAME?</v>
      </c>
      <c r="Y18" s="16"/>
      <c r="Z18" s="22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9</v>
      </c>
      <c r="C20" s="10"/>
      <c r="D20" s="21" t="e">
        <f ca="1">SUM(_xll.OneStop.ReportPlayer.OSRFunctions.OSRRef(D22))</f>
        <v>#NAME?</v>
      </c>
      <c r="E20" s="21"/>
      <c r="F20" s="30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0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0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0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0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0" t="e">
        <f t="shared" ref="Z20:Z22" ca="1" si="19">IF(T20=0,0,X20/T20)</f>
        <v>#NAME?</v>
      </c>
    </row>
    <row r="21" spans="1:26" s="27" customFormat="1" outlineLevel="1" collapsed="1" x14ac:dyDescent="0.25">
      <c r="A21" s="25"/>
      <c r="B21" s="12" t="e">
        <f ca="1">CONCATENATE("     ",_xll.OneStop.ReportPlayer.OSRFunctions.OSRGet("d_Account","AccountCategory"))</f>
        <v>#NAME?</v>
      </c>
      <c r="C21" s="12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2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6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62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8" t="s">
        <v>0</v>
      </c>
      <c r="C24" s="10"/>
      <c r="D24" s="4" t="e">
        <f ca="1">SUM(_xll.OneStop.ReportPlayer.OSRFunctions.OSRRef(D25))</f>
        <v>#NAME?</v>
      </c>
      <c r="E24" s="4"/>
      <c r="F24" s="13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3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3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3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3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3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3</v>
      </c>
      <c r="C27" s="29"/>
      <c r="D27" s="20" t="e">
        <f ca="1">+D18-D20+D24</f>
        <v>#NAME?</v>
      </c>
      <c r="E27" s="14"/>
      <c r="F27" s="22" t="e">
        <f ca="1">IF(D$12=0,0,D27/D$12)</f>
        <v>#NAME?</v>
      </c>
      <c r="G27" s="14"/>
      <c r="H27" s="20" t="e">
        <f ca="1">+H18-H20+H24</f>
        <v>#NAME?</v>
      </c>
      <c r="I27" s="14"/>
      <c r="J27" s="22" t="e">
        <f ca="1">IF(H$12=0,0,H27/H$12)</f>
        <v>#NAME?</v>
      </c>
      <c r="K27" s="16"/>
      <c r="L27" s="20" t="e">
        <f ca="1">+D27-H27</f>
        <v>#NAME?</v>
      </c>
      <c r="M27" s="16"/>
      <c r="N27" s="22" t="e">
        <f ca="1">IF(H27=0,0,L27/H27)</f>
        <v>#NAME?</v>
      </c>
      <c r="O27" s="28"/>
      <c r="P27" s="20" t="e">
        <f ca="1">+P18-P20+P24</f>
        <v>#NAME?</v>
      </c>
      <c r="Q27" s="14"/>
      <c r="R27" s="22" t="e">
        <f ca="1">IF(P$12=0,0,P27/P$12)</f>
        <v>#NAME?</v>
      </c>
      <c r="S27" s="14"/>
      <c r="T27" s="20" t="e">
        <f ca="1">+T18-T20+T24</f>
        <v>#NAME?</v>
      </c>
      <c r="U27" s="14"/>
      <c r="V27" s="22" t="e">
        <f ca="1">IF(T$12=0,0,T27/T$12)</f>
        <v>#NAME?</v>
      </c>
      <c r="W27" s="16"/>
      <c r="X27" s="20" t="e">
        <f ca="1">+P27-T27</f>
        <v>#NAME?</v>
      </c>
      <c r="Y27" s="16"/>
      <c r="Z27" s="22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3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3" t="e">
        <f ca="1">IF(H$12=0,0,H29/H$12)</f>
        <v>#NAME?</v>
      </c>
      <c r="K29" s="4"/>
      <c r="L29" s="4" t="e">
        <f ca="1">+D29-H29</f>
        <v>#NAME?</v>
      </c>
      <c r="M29" s="4"/>
      <c r="N29" s="13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3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3" t="e">
        <f ca="1">IF(T$12=0,0,T29/T$12)</f>
        <v>#NAME?</v>
      </c>
      <c r="W29" s="4"/>
      <c r="X29" s="4" t="e">
        <f ca="1">+P29-T29</f>
        <v>#NAME?</v>
      </c>
      <c r="Y29" s="4"/>
      <c r="Z29" s="13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4</v>
      </c>
      <c r="C31" s="29"/>
      <c r="D31" s="35" t="e">
        <f ca="1">+D27-D29</f>
        <v>#NAME?</v>
      </c>
      <c r="E31" s="14"/>
      <c r="F31" s="32" t="e">
        <f ca="1">IF(D$12=0,0,D31/D$12)</f>
        <v>#NAME?</v>
      </c>
      <c r="G31" s="14"/>
      <c r="H31" s="35" t="e">
        <f ca="1">+H27-H29</f>
        <v>#NAME?</v>
      </c>
      <c r="I31" s="14"/>
      <c r="J31" s="32" t="e">
        <f ca="1">IF(H$12=0,0,H31/H$12)</f>
        <v>#NAME?</v>
      </c>
      <c r="K31" s="16"/>
      <c r="L31" s="35" t="e">
        <f ca="1">D31-H31</f>
        <v>#NAME?</v>
      </c>
      <c r="M31" s="16"/>
      <c r="N31" s="32" t="e">
        <f ca="1">IF(H31=0,0,L31/H31)</f>
        <v>#NAME?</v>
      </c>
      <c r="O31" s="28"/>
      <c r="P31" s="35" t="e">
        <f ca="1">+P27-P29</f>
        <v>#NAME?</v>
      </c>
      <c r="Q31" s="14"/>
      <c r="R31" s="32" t="e">
        <f ca="1">IF(P$12=0,0,P31/P$12)</f>
        <v>#NAME?</v>
      </c>
      <c r="S31" s="14"/>
      <c r="T31" s="35" t="e">
        <f ca="1">+T27-T29</f>
        <v>#NAME?</v>
      </c>
      <c r="U31" s="14"/>
      <c r="V31" s="32" t="e">
        <f ca="1">IF(T$12=0,0,T31/T$12)</f>
        <v>#NAME?</v>
      </c>
      <c r="W31" s="16"/>
      <c r="X31" s="35" t="e">
        <f ca="1">P31-T31</f>
        <v>#NAME?</v>
      </c>
      <c r="Y31" s="16"/>
      <c r="Z31" s="32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3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3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3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3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3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3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3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3" t="e">
        <f t="shared" ca="1" si="29"/>
        <v>#NAME?</v>
      </c>
      <c r="K34" s="4"/>
      <c r="L34" s="4" t="e">
        <f t="shared" ca="1" si="30"/>
        <v>#NAME?</v>
      </c>
      <c r="M34" s="4"/>
      <c r="N34" s="13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3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3" t="e">
        <f t="shared" ca="1" si="33"/>
        <v>#NAME?</v>
      </c>
      <c r="W34" s="4"/>
      <c r="X34" s="4" t="e">
        <f t="shared" ca="1" si="34"/>
        <v>#NAME?</v>
      </c>
      <c r="Y34" s="4"/>
      <c r="Z34" s="13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5</v>
      </c>
      <c r="C36" s="29"/>
      <c r="D36" s="34" t="e">
        <f ca="1">SUM(D31:D35)</f>
        <v>#NAME?</v>
      </c>
      <c r="E36" s="14"/>
      <c r="F36" s="31" t="e">
        <f ca="1">IF(D$12=0,0,D36/D$12)</f>
        <v>#NAME?</v>
      </c>
      <c r="G36" s="14"/>
      <c r="H36" s="34" t="e">
        <f ca="1">SUM(H31:H35)</f>
        <v>#NAME?</v>
      </c>
      <c r="I36" s="14"/>
      <c r="J36" s="31" t="e">
        <f ca="1">IF(H$12=0,0,H36/H$12)</f>
        <v>#NAME?</v>
      </c>
      <c r="K36" s="16"/>
      <c r="L36" s="34" t="e">
        <f ca="1">+D36-H36</f>
        <v>#NAME?</v>
      </c>
      <c r="M36" s="16"/>
      <c r="N36" s="31" t="e">
        <f ca="1">IF(H36=0,0,L36/H36)</f>
        <v>#NAME?</v>
      </c>
      <c r="O36" s="28"/>
      <c r="P36" s="34" t="e">
        <f ca="1">SUM(P31:P35)</f>
        <v>#NAME?</v>
      </c>
      <c r="Q36" s="14"/>
      <c r="R36" s="31" t="e">
        <f ca="1">IF(P$12=0,0,P36/P$12)</f>
        <v>#NAME?</v>
      </c>
      <c r="S36" s="14"/>
      <c r="T36" s="34" t="e">
        <f ca="1">SUM(T31:T35)</f>
        <v>#NAME?</v>
      </c>
      <c r="U36" s="14"/>
      <c r="V36" s="31" t="e">
        <f ca="1">IF(T$12=0,0,T36/T$12)</f>
        <v>#NAME?</v>
      </c>
      <c r="W36" s="16"/>
      <c r="X36" s="34" t="e">
        <f ca="1">+P36-T36</f>
        <v>#NAME?</v>
      </c>
      <c r="Y36" s="16"/>
      <c r="Z36" s="31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59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56" t="e">
        <f ca="1">_xll.OneStop.ReportPlayer.OSRFunctions.OSRGet("User","UserId")</f>
        <v>#NAME?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54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118"/>
  <sheetViews>
    <sheetView zoomScale="80" workbookViewId="0">
      <pane xSplit="3" ySplit="10" topLeftCell="D40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63" t="s">
        <v>13</v>
      </c>
    </row>
    <row r="3" spans="1:26" x14ac:dyDescent="0.25">
      <c r="D3" s="63" t="s">
        <v>296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61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63" t="str">
        <f>CONCATENATE("Period ",RIGHT(202011,2),", ",2020)</f>
        <v>Period 11, 2020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61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4">
        <v>43981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61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51"/>
      <c r="C6" s="51"/>
      <c r="D6" s="23" t="s">
        <v>302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57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5" t="s">
        <v>294</v>
      </c>
      <c r="E9" s="15"/>
      <c r="F9" s="38"/>
      <c r="G9" s="15"/>
      <c r="H9" s="15"/>
      <c r="I9" s="15"/>
      <c r="J9" s="46"/>
      <c r="K9" s="15"/>
      <c r="L9" s="15"/>
      <c r="M9" s="15"/>
      <c r="N9" s="38"/>
      <c r="P9" s="15" t="s">
        <v>295</v>
      </c>
      <c r="Q9" s="15"/>
      <c r="R9" s="38"/>
      <c r="S9" s="15"/>
      <c r="T9" s="15"/>
      <c r="U9" s="15"/>
      <c r="V9" s="46"/>
      <c r="W9" s="15"/>
      <c r="X9" s="15"/>
      <c r="Y9" s="15"/>
      <c r="Z9" s="38"/>
    </row>
    <row r="10" spans="1:26" x14ac:dyDescent="0.25">
      <c r="A10" s="10"/>
      <c r="B10" s="55"/>
      <c r="C10" s="10"/>
      <c r="D10" s="43" t="s">
        <v>10</v>
      </c>
      <c r="E10" s="33"/>
      <c r="F10" s="40" t="s">
        <v>15</v>
      </c>
      <c r="G10" s="33"/>
      <c r="H10" s="47" t="s">
        <v>11</v>
      </c>
      <c r="I10" s="33"/>
      <c r="J10" s="45" t="s">
        <v>16</v>
      </c>
      <c r="K10" s="10"/>
      <c r="L10" s="43" t="s">
        <v>12</v>
      </c>
      <c r="M10" s="10"/>
      <c r="N10" s="40" t="s">
        <v>17</v>
      </c>
      <c r="O10" s="10"/>
      <c r="P10" s="53" t="s">
        <v>10</v>
      </c>
      <c r="Q10" s="33"/>
      <c r="R10" s="40" t="s">
        <v>15</v>
      </c>
      <c r="S10" s="33"/>
      <c r="T10" s="47" t="s">
        <v>11</v>
      </c>
      <c r="U10" s="33"/>
      <c r="V10" s="45" t="s">
        <v>16</v>
      </c>
      <c r="W10" s="10"/>
      <c r="X10" s="43" t="s">
        <v>12</v>
      </c>
      <c r="Y10" s="10"/>
      <c r="Z10" s="40" t="s">
        <v>17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122566.18</v>
      </c>
      <c r="E12" s="4"/>
      <c r="F12" s="13"/>
      <c r="G12" s="4"/>
      <c r="H12" s="4">
        <f>SUM(OSRRefH13x_0)</f>
        <v>676116</v>
      </c>
      <c r="I12" s="4"/>
      <c r="J12" s="13"/>
      <c r="K12" s="4"/>
      <c r="L12" s="4">
        <f t="shared" ref="L12:L19" si="0">+D12-H12</f>
        <v>-553549.82000000007</v>
      </c>
      <c r="M12" s="4"/>
      <c r="N12" s="13">
        <f t="shared" ref="N12:N19" si="1">IF(H12=0,0,L12/H12)</f>
        <v>-0.8187201900265636</v>
      </c>
      <c r="O12" s="10"/>
      <c r="P12" s="4">
        <f>SUM(OSRRefP13x_0)</f>
        <v>9172158.8100000005</v>
      </c>
      <c r="Q12" s="4"/>
      <c r="R12" s="13"/>
      <c r="S12" s="4"/>
      <c r="T12" s="4">
        <f>SUM(OSRRefT13x_0)</f>
        <v>11127705</v>
      </c>
      <c r="U12" s="4"/>
      <c r="V12" s="13"/>
      <c r="W12" s="4"/>
      <c r="X12" s="4">
        <f t="shared" ref="X12:X19" si="2">+P12-T12</f>
        <v>-1955546.1899999995</v>
      </c>
      <c r="Y12" s="4"/>
      <c r="Z12" s="13">
        <f t="shared" ref="Z12:Z19" si="3">IF(T12=0,0,X12/T12)</f>
        <v>-0.17573670312072431</v>
      </c>
    </row>
    <row r="13" spans="1:26" s="24" customFormat="1" hidden="1" outlineLevel="1" x14ac:dyDescent="0.25">
      <c r="A13" s="44"/>
      <c r="B13" s="11" t="str">
        <f>CONCATENATE("          ", "4053", " - ", "TAXABLE SALES-FOOD")</f>
        <v xml:space="preserve">          4053 - TAXABLE SALES-FOOD</v>
      </c>
      <c r="C13" s="11"/>
      <c r="D13" s="2">
        <f>--59.42</f>
        <v>59.42</v>
      </c>
      <c r="E13" s="2"/>
      <c r="F13" s="19"/>
      <c r="G13" s="2"/>
      <c r="H13" s="2"/>
      <c r="I13" s="2"/>
      <c r="J13" s="19"/>
      <c r="K13" s="2"/>
      <c r="L13" s="2">
        <f t="shared" si="0"/>
        <v>59.42</v>
      </c>
      <c r="M13" s="2"/>
      <c r="N13" s="19">
        <f t="shared" si="1"/>
        <v>0</v>
      </c>
      <c r="O13" s="11"/>
      <c r="P13" s="2">
        <f>--26715.69</f>
        <v>26715.69</v>
      </c>
      <c r="Q13" s="2"/>
      <c r="R13" s="19"/>
      <c r="S13" s="2"/>
      <c r="T13" s="2"/>
      <c r="U13" s="2"/>
      <c r="V13" s="19"/>
      <c r="W13" s="2"/>
      <c r="X13" s="2">
        <f t="shared" si="2"/>
        <v>26715.69</v>
      </c>
      <c r="Y13" s="2"/>
      <c r="Z13" s="19">
        <f t="shared" si="3"/>
        <v>0</v>
      </c>
    </row>
    <row r="14" spans="1:26" s="24" customFormat="1" hidden="1" outlineLevel="1" x14ac:dyDescent="0.25">
      <c r="A14" s="44"/>
      <c r="B14" s="11" t="str">
        <f>CONCATENATE("          ", "4055", " - ", "TAXABLE SALES-FOOD")</f>
        <v xml:space="preserve">          4055 - TAXABLE SALES-FOOD</v>
      </c>
      <c r="C14" s="11"/>
      <c r="D14" s="2">
        <f t="shared" ref="D14:D15" si="4">0</f>
        <v>0</v>
      </c>
      <c r="E14" s="2"/>
      <c r="F14" s="19"/>
      <c r="G14" s="2"/>
      <c r="H14" s="2"/>
      <c r="I14" s="2"/>
      <c r="J14" s="19"/>
      <c r="K14" s="2"/>
      <c r="L14" s="2">
        <f t="shared" si="0"/>
        <v>0</v>
      </c>
      <c r="M14" s="2"/>
      <c r="N14" s="19">
        <f t="shared" si="1"/>
        <v>0</v>
      </c>
      <c r="O14" s="11"/>
      <c r="P14" s="2">
        <f>--973.49</f>
        <v>973.49</v>
      </c>
      <c r="Q14" s="2"/>
      <c r="R14" s="19"/>
      <c r="S14" s="2"/>
      <c r="T14" s="2"/>
      <c r="U14" s="2"/>
      <c r="V14" s="19"/>
      <c r="W14" s="2"/>
      <c r="X14" s="2">
        <f t="shared" si="2"/>
        <v>973.49</v>
      </c>
      <c r="Y14" s="2"/>
      <c r="Z14" s="19">
        <f t="shared" si="3"/>
        <v>0</v>
      </c>
    </row>
    <row r="15" spans="1:26" s="24" customFormat="1" hidden="1" outlineLevel="1" x14ac:dyDescent="0.25">
      <c r="A15" s="44"/>
      <c r="B15" s="11" t="str">
        <f>CONCATENATE("          ", "4100", " - ", "NON-TAXABLE SALES")</f>
        <v xml:space="preserve">          4100 - NON-TAXABLE SALES</v>
      </c>
      <c r="C15" s="11"/>
      <c r="D15" s="2">
        <f t="shared" si="4"/>
        <v>0</v>
      </c>
      <c r="E15" s="2"/>
      <c r="F15" s="19"/>
      <c r="G15" s="2"/>
      <c r="H15" s="2">
        <v>676116</v>
      </c>
      <c r="I15" s="2"/>
      <c r="J15" s="19"/>
      <c r="K15" s="2"/>
      <c r="L15" s="2">
        <f t="shared" si="0"/>
        <v>-676116</v>
      </c>
      <c r="M15" s="2"/>
      <c r="N15" s="19">
        <f t="shared" si="1"/>
        <v>-1</v>
      </c>
      <c r="O15" s="11"/>
      <c r="P15" s="2">
        <f>0</f>
        <v>0</v>
      </c>
      <c r="Q15" s="2"/>
      <c r="R15" s="19"/>
      <c r="S15" s="2"/>
      <c r="T15" s="2">
        <v>11127705</v>
      </c>
      <c r="U15" s="2"/>
      <c r="V15" s="19"/>
      <c r="W15" s="2"/>
      <c r="X15" s="2">
        <f t="shared" si="2"/>
        <v>-11127705</v>
      </c>
      <c r="Y15" s="2"/>
      <c r="Z15" s="19">
        <f t="shared" si="3"/>
        <v>-1</v>
      </c>
    </row>
    <row r="16" spans="1:26" s="24" customFormat="1" hidden="1" outlineLevel="1" x14ac:dyDescent="0.25">
      <c r="A16" s="44"/>
      <c r="B16" s="11" t="str">
        <f>CONCATENATE("          ", "4151", " - ", "NON-TAXABLE SALES-FOOD")</f>
        <v xml:space="preserve">          4151 - NON-TAXABLE SALES-FOOD</v>
      </c>
      <c r="C16" s="11"/>
      <c r="D16" s="2">
        <f>--126289.52</f>
        <v>126289.52</v>
      </c>
      <c r="E16" s="2"/>
      <c r="F16" s="19"/>
      <c r="G16" s="2"/>
      <c r="H16" s="2"/>
      <c r="I16" s="2"/>
      <c r="J16" s="19"/>
      <c r="K16" s="2"/>
      <c r="L16" s="2">
        <f t="shared" si="0"/>
        <v>126289.52</v>
      </c>
      <c r="M16" s="2"/>
      <c r="N16" s="19">
        <f t="shared" si="1"/>
        <v>0</v>
      </c>
      <c r="O16" s="11"/>
      <c r="P16" s="2">
        <f>--8840399.9</f>
        <v>8840399.9000000004</v>
      </c>
      <c r="Q16" s="2"/>
      <c r="R16" s="19"/>
      <c r="S16" s="2"/>
      <c r="T16" s="2"/>
      <c r="U16" s="2"/>
      <c r="V16" s="19"/>
      <c r="W16" s="2"/>
      <c r="X16" s="2">
        <f t="shared" si="2"/>
        <v>8840399.9000000004</v>
      </c>
      <c r="Y16" s="2"/>
      <c r="Z16" s="19">
        <f t="shared" si="3"/>
        <v>0</v>
      </c>
    </row>
    <row r="17" spans="1:26" s="24" customFormat="1" hidden="1" outlineLevel="1" x14ac:dyDescent="0.25">
      <c r="A17" s="44"/>
      <c r="B17" s="11" t="str">
        <f>CONCATENATE("          ", "4153", " - ", "NON-TAXABLE SALES-FOOD")</f>
        <v xml:space="preserve">          4153 - NON-TAXABLE SALES-FOOD</v>
      </c>
      <c r="C17" s="11"/>
      <c r="D17" s="2">
        <f>-4166.46</f>
        <v>-4166.46</v>
      </c>
      <c r="E17" s="2"/>
      <c r="F17" s="19"/>
      <c r="G17" s="2"/>
      <c r="H17" s="2"/>
      <c r="I17" s="2"/>
      <c r="J17" s="19"/>
      <c r="K17" s="2"/>
      <c r="L17" s="2">
        <f t="shared" si="0"/>
        <v>-4166.46</v>
      </c>
      <c r="M17" s="2"/>
      <c r="N17" s="19">
        <f t="shared" si="1"/>
        <v>0</v>
      </c>
      <c r="O17" s="11"/>
      <c r="P17" s="2">
        <f>--299952.13</f>
        <v>299952.13</v>
      </c>
      <c r="Q17" s="2"/>
      <c r="R17" s="19"/>
      <c r="S17" s="2"/>
      <c r="T17" s="2"/>
      <c r="U17" s="2"/>
      <c r="V17" s="19"/>
      <c r="W17" s="2"/>
      <c r="X17" s="2">
        <f t="shared" si="2"/>
        <v>299952.13</v>
      </c>
      <c r="Y17" s="2"/>
      <c r="Z17" s="19">
        <f t="shared" si="3"/>
        <v>0</v>
      </c>
    </row>
    <row r="18" spans="1:26" s="24" customFormat="1" hidden="1" outlineLevel="1" x14ac:dyDescent="0.25">
      <c r="A18" s="44"/>
      <c r="B18" s="11" t="str">
        <f>CONCATENATE("          ", "4155", " - ", "NON-TAXABLE SALES-FOOD")</f>
        <v xml:space="preserve">          4155 - NON-TAXABLE SALES-FOOD</v>
      </c>
      <c r="C18" s="11"/>
      <c r="D18" s="2">
        <f>0</f>
        <v>0</v>
      </c>
      <c r="E18" s="2"/>
      <c r="F18" s="19"/>
      <c r="G18" s="2"/>
      <c r="H18" s="2"/>
      <c r="I18" s="2"/>
      <c r="J18" s="19"/>
      <c r="K18" s="2"/>
      <c r="L18" s="2">
        <f t="shared" si="0"/>
        <v>0</v>
      </c>
      <c r="M18" s="2"/>
      <c r="N18" s="19">
        <f t="shared" si="1"/>
        <v>0</v>
      </c>
      <c r="O18" s="11"/>
      <c r="P18" s="2">
        <f>--3733.9</f>
        <v>3733.9</v>
      </c>
      <c r="Q18" s="2"/>
      <c r="R18" s="19"/>
      <c r="S18" s="2"/>
      <c r="T18" s="2"/>
      <c r="U18" s="2"/>
      <c r="V18" s="19"/>
      <c r="W18" s="2"/>
      <c r="X18" s="2">
        <f t="shared" si="2"/>
        <v>3733.9</v>
      </c>
      <c r="Y18" s="2"/>
      <c r="Z18" s="19">
        <f t="shared" si="3"/>
        <v>0</v>
      </c>
    </row>
    <row r="19" spans="1:26" s="24" customFormat="1" hidden="1" outlineLevel="1" x14ac:dyDescent="0.25">
      <c r="A19" s="44"/>
      <c r="B19" s="11" t="str">
        <f>CONCATENATE("          ", "4159", " - ", "NON-TAXABLE SALES-FOOD")</f>
        <v xml:space="preserve">          4159 - NON-TAXABLE SALES-FOOD</v>
      </c>
      <c r="C19" s="11"/>
      <c r="D19" s="2">
        <f>--383.7</f>
        <v>383.7</v>
      </c>
      <c r="E19" s="2"/>
      <c r="F19" s="19"/>
      <c r="G19" s="2"/>
      <c r="H19" s="2"/>
      <c r="I19" s="2"/>
      <c r="J19" s="19"/>
      <c r="K19" s="2"/>
      <c r="L19" s="2">
        <f t="shared" si="0"/>
        <v>383.7</v>
      </c>
      <c r="M19" s="2"/>
      <c r="N19" s="19">
        <f t="shared" si="1"/>
        <v>0</v>
      </c>
      <c r="O19" s="11"/>
      <c r="P19" s="2">
        <f>--383.7</f>
        <v>383.7</v>
      </c>
      <c r="Q19" s="2"/>
      <c r="R19" s="19"/>
      <c r="S19" s="2"/>
      <c r="T19" s="2"/>
      <c r="U19" s="2"/>
      <c r="V19" s="19"/>
      <c r="W19" s="2"/>
      <c r="X19" s="2">
        <f t="shared" si="2"/>
        <v>383.7</v>
      </c>
      <c r="Y19" s="2"/>
      <c r="Z19" s="19">
        <f t="shared" si="3"/>
        <v>0</v>
      </c>
    </row>
    <row r="20" spans="1:26" x14ac:dyDescent="0.25">
      <c r="A20" s="9"/>
      <c r="B20" s="10"/>
      <c r="C20" s="9"/>
      <c r="D20" s="3"/>
      <c r="E20" s="3"/>
      <c r="F20" s="8"/>
      <c r="G20" s="3"/>
      <c r="H20" s="3"/>
      <c r="I20" s="3"/>
      <c r="J20" s="8"/>
      <c r="K20" s="3"/>
      <c r="L20" s="3"/>
      <c r="M20" s="3"/>
      <c r="N20" s="8"/>
      <c r="P20" s="3"/>
      <c r="Q20" s="3"/>
      <c r="R20" s="8"/>
      <c r="S20" s="3"/>
      <c r="T20" s="3"/>
      <c r="U20" s="3"/>
      <c r="V20" s="8"/>
      <c r="W20" s="3"/>
      <c r="X20" s="3"/>
      <c r="Y20" s="3"/>
      <c r="Z20" s="8"/>
    </row>
    <row r="21" spans="1:26" s="23" customFormat="1" collapsed="1" x14ac:dyDescent="0.25">
      <c r="A21" s="10"/>
      <c r="B21" s="28" t="s">
        <v>8</v>
      </c>
      <c r="C21" s="10"/>
      <c r="D21" s="4">
        <f>SUM(OSRRefD16x_0)</f>
        <v>26408.559999999998</v>
      </c>
      <c r="E21" s="4"/>
      <c r="F21" s="13">
        <f t="shared" ref="F21:F24" si="5">IF(D$12=0,0,D21/D$12)</f>
        <v>0.21546367847965889</v>
      </c>
      <c r="G21" s="4"/>
      <c r="H21" s="4">
        <f>SUM(OSRRefH16x_0)</f>
        <v>180149.08000000002</v>
      </c>
      <c r="I21" s="4"/>
      <c r="J21" s="13">
        <f t="shared" ref="J21:J24" si="6">IF(H$12=0,0,H21/H$12)</f>
        <v>0.26644700021889739</v>
      </c>
      <c r="K21" s="4"/>
      <c r="L21" s="4">
        <f t="shared" ref="L21:L24" si="7">+D21-H21</f>
        <v>-153740.52000000002</v>
      </c>
      <c r="M21" s="4"/>
      <c r="N21" s="13">
        <f t="shared" ref="N21:N24" si="8">IF(H21=0,0,L21/H21)</f>
        <v>-0.85340718920129932</v>
      </c>
      <c r="O21" s="10"/>
      <c r="P21" s="4">
        <f>SUM(OSRRefP16x_0)</f>
        <v>2195142.14</v>
      </c>
      <c r="Q21" s="4"/>
      <c r="R21" s="13">
        <f t="shared" ref="R21:R24" si="9">IF(P$12=0,0,P21/P$12)</f>
        <v>0.23932666076461012</v>
      </c>
      <c r="S21" s="4"/>
      <c r="T21" s="4">
        <f>SUM(OSRRefT16x_0)</f>
        <v>2930184.6399999997</v>
      </c>
      <c r="U21" s="4"/>
      <c r="V21" s="13">
        <f t="shared" ref="V21:V24" si="10">IF(T$12=0,0,T21/T$12)</f>
        <v>0.26332335733199252</v>
      </c>
      <c r="W21" s="4"/>
      <c r="X21" s="4">
        <f t="shared" ref="X21:X24" si="11">+P21-T21</f>
        <v>-735042.49999999953</v>
      </c>
      <c r="Y21" s="4"/>
      <c r="Z21" s="13">
        <f t="shared" ref="Z21:Z24" si="12">IF(T21=0,0,X21/T21)</f>
        <v>-0.25085193948733536</v>
      </c>
    </row>
    <row r="22" spans="1:26" s="24" customFormat="1" hidden="1" outlineLevel="1" x14ac:dyDescent="0.25">
      <c r="A22" s="44"/>
      <c r="B22" s="11" t="str">
        <f>CONCATENATE("          ", "5000", " - ", "PURCHASES @ COST")</f>
        <v xml:space="preserve">          5000 - PURCHASES @ COST</v>
      </c>
      <c r="C22" s="11"/>
      <c r="D22" s="2"/>
      <c r="E22" s="2"/>
      <c r="F22" s="19">
        <f t="shared" si="5"/>
        <v>0</v>
      </c>
      <c r="G22" s="2"/>
      <c r="H22" s="2">
        <v>180149.08000000002</v>
      </c>
      <c r="I22" s="2"/>
      <c r="J22" s="19">
        <f t="shared" si="6"/>
        <v>0.26644700021889739</v>
      </c>
      <c r="K22" s="2"/>
      <c r="L22" s="2">
        <f t="shared" si="7"/>
        <v>-180149.08000000002</v>
      </c>
      <c r="M22" s="2"/>
      <c r="N22" s="19">
        <f t="shared" si="8"/>
        <v>-1</v>
      </c>
      <c r="O22" s="11"/>
      <c r="P22" s="2"/>
      <c r="Q22" s="2"/>
      <c r="R22" s="19">
        <f t="shared" si="9"/>
        <v>0</v>
      </c>
      <c r="S22" s="2"/>
      <c r="T22" s="2">
        <v>2930184.6399999997</v>
      </c>
      <c r="U22" s="2"/>
      <c r="V22" s="19">
        <f t="shared" si="10"/>
        <v>0.26332335733199252</v>
      </c>
      <c r="W22" s="2"/>
      <c r="X22" s="2">
        <f t="shared" si="11"/>
        <v>-2930184.6399999997</v>
      </c>
      <c r="Y22" s="2"/>
      <c r="Z22" s="19">
        <f t="shared" si="12"/>
        <v>-1</v>
      </c>
    </row>
    <row r="23" spans="1:26" s="24" customFormat="1" hidden="1" outlineLevel="1" x14ac:dyDescent="0.25">
      <c r="A23" s="44"/>
      <c r="B23" s="11" t="str">
        <f>CONCATENATE("          ", "5053", " - ", "PURCHASES @ COST-FOOD")</f>
        <v xml:space="preserve">          5053 - PURCHASES @ COST-FOOD</v>
      </c>
      <c r="C23" s="11"/>
      <c r="D23" s="2">
        <v>13513.56</v>
      </c>
      <c r="E23" s="2"/>
      <c r="F23" s="19">
        <f t="shared" si="5"/>
        <v>0.11025521069515261</v>
      </c>
      <c r="G23" s="2"/>
      <c r="H23" s="2"/>
      <c r="I23" s="2"/>
      <c r="J23" s="19">
        <f t="shared" si="6"/>
        <v>0</v>
      </c>
      <c r="K23" s="2"/>
      <c r="L23" s="2">
        <f t="shared" si="7"/>
        <v>13513.56</v>
      </c>
      <c r="M23" s="2"/>
      <c r="N23" s="19">
        <f t="shared" si="8"/>
        <v>0</v>
      </c>
      <c r="O23" s="11"/>
      <c r="P23" s="2">
        <v>2172140.4</v>
      </c>
      <c r="Q23" s="2"/>
      <c r="R23" s="19">
        <f t="shared" si="9"/>
        <v>0.2368188825548693</v>
      </c>
      <c r="S23" s="2"/>
      <c r="T23" s="2"/>
      <c r="U23" s="2"/>
      <c r="V23" s="19">
        <f t="shared" si="10"/>
        <v>0</v>
      </c>
      <c r="W23" s="2"/>
      <c r="X23" s="2">
        <f t="shared" si="11"/>
        <v>2172140.4</v>
      </c>
      <c r="Y23" s="2"/>
      <c r="Z23" s="19">
        <f t="shared" si="12"/>
        <v>0</v>
      </c>
    </row>
    <row r="24" spans="1:26" s="24" customFormat="1" hidden="1" outlineLevel="1" x14ac:dyDescent="0.25">
      <c r="A24" s="44"/>
      <c r="B24" s="11" t="str">
        <f>CONCATENATE("          ", "5059", " - ", "PURCHASES @ COST-FOOD")</f>
        <v xml:space="preserve">          5059 - PURCHASES @ COST-FOOD</v>
      </c>
      <c r="C24" s="11"/>
      <c r="D24" s="2">
        <v>12895</v>
      </c>
      <c r="E24" s="2"/>
      <c r="F24" s="19">
        <f t="shared" si="5"/>
        <v>0.10520846778450631</v>
      </c>
      <c r="G24" s="2"/>
      <c r="H24" s="2"/>
      <c r="I24" s="2"/>
      <c r="J24" s="19">
        <f t="shared" si="6"/>
        <v>0</v>
      </c>
      <c r="K24" s="2"/>
      <c r="L24" s="2">
        <f t="shared" si="7"/>
        <v>12895</v>
      </c>
      <c r="M24" s="2"/>
      <c r="N24" s="19">
        <f t="shared" si="8"/>
        <v>0</v>
      </c>
      <c r="O24" s="11"/>
      <c r="P24" s="2">
        <v>23001.74</v>
      </c>
      <c r="Q24" s="2"/>
      <c r="R24" s="19">
        <f t="shared" si="9"/>
        <v>2.5077782097407885E-3</v>
      </c>
      <c r="S24" s="2"/>
      <c r="T24" s="2"/>
      <c r="U24" s="2"/>
      <c r="V24" s="19">
        <f t="shared" si="10"/>
        <v>0</v>
      </c>
      <c r="W24" s="2"/>
      <c r="X24" s="2">
        <f t="shared" si="11"/>
        <v>23001.74</v>
      </c>
      <c r="Y24" s="2"/>
      <c r="Z24" s="19">
        <f t="shared" si="12"/>
        <v>0</v>
      </c>
    </row>
    <row r="25" spans="1:26" x14ac:dyDescent="0.25">
      <c r="A25" s="9"/>
      <c r="B25" s="10"/>
      <c r="C25" s="10"/>
      <c r="D25" s="3"/>
      <c r="E25" s="3"/>
      <c r="F25" s="8"/>
      <c r="G25" s="3"/>
      <c r="H25" s="3"/>
      <c r="I25" s="3"/>
      <c r="J25" s="8"/>
      <c r="K25" s="3"/>
      <c r="L25" s="3"/>
      <c r="M25" s="3"/>
      <c r="N25" s="8"/>
      <c r="O25" s="10"/>
      <c r="P25" s="3"/>
      <c r="Q25" s="3"/>
      <c r="R25" s="8"/>
      <c r="S25" s="3"/>
      <c r="T25" s="3"/>
      <c r="U25" s="3"/>
      <c r="V25" s="8"/>
      <c r="W25" s="3"/>
      <c r="X25" s="3"/>
      <c r="Y25" s="3"/>
      <c r="Z25" s="8"/>
    </row>
    <row r="26" spans="1:26" s="23" customFormat="1" x14ac:dyDescent="0.25">
      <c r="A26" s="10"/>
      <c r="B26" s="29" t="s">
        <v>6</v>
      </c>
      <c r="C26" s="29"/>
      <c r="D26" s="20">
        <f>D12-D21</f>
        <v>96157.62</v>
      </c>
      <c r="E26" s="14"/>
      <c r="F26" s="22">
        <f>IF(D$12=0,0,D26/D$12)</f>
        <v>0.78453632152034114</v>
      </c>
      <c r="G26" s="14"/>
      <c r="H26" s="20">
        <f>H12-H21</f>
        <v>495966.92</v>
      </c>
      <c r="I26" s="14"/>
      <c r="J26" s="22">
        <f>IF(H$12=0,0,H26/H$12)</f>
        <v>0.73355299978110267</v>
      </c>
      <c r="K26" s="16"/>
      <c r="L26" s="20">
        <f>+D26-H26</f>
        <v>-399809.3</v>
      </c>
      <c r="M26" s="16"/>
      <c r="N26" s="22">
        <f>IF(H26=0,0,L26/H26)</f>
        <v>-0.8061209001600349</v>
      </c>
      <c r="O26" s="28"/>
      <c r="P26" s="20">
        <f>P12-P21</f>
        <v>6977016.6699999999</v>
      </c>
      <c r="Q26" s="14"/>
      <c r="R26" s="22">
        <f>IF(P$12=0,0,P26/P$12)</f>
        <v>0.76067333923538982</v>
      </c>
      <c r="S26" s="14"/>
      <c r="T26" s="20">
        <f>T12-T21</f>
        <v>8197520.3600000003</v>
      </c>
      <c r="U26" s="14"/>
      <c r="V26" s="22">
        <f>IF(T$12=0,0,T26/T$12)</f>
        <v>0.73667664266800748</v>
      </c>
      <c r="W26" s="16"/>
      <c r="X26" s="20">
        <f>+P26-T26</f>
        <v>-1220503.6900000004</v>
      </c>
      <c r="Y26" s="16"/>
      <c r="Z26" s="22">
        <f>IF(T26=0,0,X26/T26)</f>
        <v>-0.14888693609783243</v>
      </c>
    </row>
    <row r="27" spans="1:26" x14ac:dyDescent="0.25">
      <c r="A27" s="9"/>
      <c r="B27" s="10"/>
      <c r="C27" s="9"/>
      <c r="D27" s="1"/>
      <c r="E27" s="1"/>
      <c r="F27" s="5"/>
      <c r="G27" s="1"/>
      <c r="H27" s="1"/>
      <c r="I27" s="1"/>
      <c r="J27" s="5"/>
      <c r="K27" s="1"/>
      <c r="L27" s="1"/>
      <c r="M27" s="1"/>
      <c r="N27" s="5"/>
      <c r="O27" s="36"/>
      <c r="P27" s="1"/>
      <c r="Q27" s="1"/>
      <c r="R27" s="5"/>
      <c r="S27" s="1"/>
      <c r="T27" s="1"/>
      <c r="U27" s="1"/>
      <c r="V27" s="5"/>
      <c r="W27" s="1"/>
      <c r="X27" s="1"/>
      <c r="Y27" s="1"/>
      <c r="Z27" s="5"/>
    </row>
    <row r="28" spans="1:26" s="23" customFormat="1" x14ac:dyDescent="0.25">
      <c r="A28" s="10"/>
      <c r="B28" s="28" t="s">
        <v>9</v>
      </c>
      <c r="C28" s="10"/>
      <c r="D28" s="21">
        <f>SUM(OSRRefD22x_0)</f>
        <v>174716.46999999991</v>
      </c>
      <c r="E28" s="21"/>
      <c r="F28" s="30">
        <f t="shared" ref="F28:F39" si="13">IF(D$12=0,0,D28/D$12)</f>
        <v>1.4254867859959406</v>
      </c>
      <c r="G28" s="21"/>
      <c r="H28" s="21">
        <f>SUM(OSRRefH22x_0)</f>
        <v>414768.17433116026</v>
      </c>
      <c r="I28" s="21"/>
      <c r="J28" s="30">
        <f t="shared" ref="J28:J39" si="14">IF(H$12=0,0,H28/H$12)</f>
        <v>0.61345712027397703</v>
      </c>
      <c r="K28" s="4"/>
      <c r="L28" s="21">
        <f t="shared" ref="L28:L39" si="15">+D28-H28</f>
        <v>-240051.70433116035</v>
      </c>
      <c r="M28" s="4"/>
      <c r="N28" s="30">
        <f t="shared" ref="N28:N39" si="16">IF(H28=0,0,L28/H28)</f>
        <v>-0.57876114703896653</v>
      </c>
      <c r="O28" s="10"/>
      <c r="P28" s="21">
        <f>SUM(OSRRefP22x_0)</f>
        <v>4813666.4500000011</v>
      </c>
      <c r="Q28" s="21"/>
      <c r="R28" s="30">
        <f t="shared" ref="R28:R39" si="17">IF(P$12=0,0,P28/P$12)</f>
        <v>0.52481281121646872</v>
      </c>
      <c r="S28" s="21"/>
      <c r="T28" s="21">
        <f>SUM(OSRRefT22x_0)</f>
        <v>5356328.8255472844</v>
      </c>
      <c r="U28" s="21"/>
      <c r="V28" s="30">
        <f t="shared" ref="V28:V39" si="18">IF(T$12=0,0,T28/T$12)</f>
        <v>0.48135072106488125</v>
      </c>
      <c r="W28" s="4"/>
      <c r="X28" s="21">
        <f t="shared" ref="X28:X39" si="19">+P28-T28</f>
        <v>-542662.37554728333</v>
      </c>
      <c r="Y28" s="4"/>
      <c r="Z28" s="30">
        <f t="shared" ref="Z28:Z39" si="20">IF(T28=0,0,X28/T28)</f>
        <v>-0.10131237144348333</v>
      </c>
    </row>
    <row r="29" spans="1:26" s="27" customFormat="1" outlineLevel="1" collapsed="1" x14ac:dyDescent="0.25">
      <c r="A29" s="25"/>
      <c r="B29" s="12" t="str">
        <f>CONCATENATE("     ","*Benefits                                         ")</f>
        <v xml:space="preserve">     *Benefits                                         </v>
      </c>
      <c r="C29" s="12"/>
      <c r="D29" s="1">
        <f>SUM(OSRRefD22_0x_0)</f>
        <v>71605.189999999988</v>
      </c>
      <c r="E29" s="1"/>
      <c r="F29" s="5">
        <f t="shared" si="13"/>
        <v>0.58421654325850725</v>
      </c>
      <c r="G29" s="1"/>
      <c r="H29" s="1">
        <f>SUM(OSRRefH22_0x_0)</f>
        <v>79121.651108391088</v>
      </c>
      <c r="I29" s="1"/>
      <c r="J29" s="5">
        <f t="shared" si="14"/>
        <v>0.11702378158243716</v>
      </c>
      <c r="K29" s="1"/>
      <c r="L29" s="1">
        <f t="shared" si="15"/>
        <v>-7516.4611083911004</v>
      </c>
      <c r="M29" s="1"/>
      <c r="N29" s="5">
        <f t="shared" si="16"/>
        <v>-9.4998789877300191E-2</v>
      </c>
      <c r="O29" s="12"/>
      <c r="P29" s="1">
        <f>SUM(OSRRefP22_0x_0)</f>
        <v>943497.00999999978</v>
      </c>
      <c r="Q29" s="1"/>
      <c r="R29" s="5">
        <f t="shared" si="17"/>
        <v>0.10286531552106867</v>
      </c>
      <c r="S29" s="1"/>
      <c r="T29" s="1">
        <f>SUM(OSRRefT22_0x_0)</f>
        <v>954110.4279800544</v>
      </c>
      <c r="U29" s="1"/>
      <c r="V29" s="5">
        <f t="shared" si="18"/>
        <v>8.5741887296621758E-2</v>
      </c>
      <c r="W29" s="1"/>
      <c r="X29" s="1">
        <f t="shared" si="19"/>
        <v>-10613.417980054626</v>
      </c>
      <c r="Y29" s="1"/>
      <c r="Z29" s="5">
        <f t="shared" si="20"/>
        <v>-1.1123888460714422E-2</v>
      </c>
    </row>
    <row r="30" spans="1:26" s="24" customFormat="1" hidden="1" outlineLevel="2" x14ac:dyDescent="0.25">
      <c r="A30" s="26"/>
      <c r="B30" s="11" t="str">
        <f>CONCATENATE("          ", "6111", " - ", "F.I.C.A.")</f>
        <v xml:space="preserve">          6111 - F.I.C.A.</v>
      </c>
      <c r="C30" s="11"/>
      <c r="D30" s="7">
        <v>6769.18</v>
      </c>
      <c r="E30" s="2"/>
      <c r="F30" s="6">
        <f t="shared" si="13"/>
        <v>5.5228775180885953E-2</v>
      </c>
      <c r="G30" s="2"/>
      <c r="H30" s="7">
        <v>10637.95800476031</v>
      </c>
      <c r="I30" s="2"/>
      <c r="J30" s="6">
        <f t="shared" si="14"/>
        <v>1.5733924363216238E-2</v>
      </c>
      <c r="K30" s="2"/>
      <c r="L30" s="7">
        <f t="shared" si="15"/>
        <v>-3868.7780047603101</v>
      </c>
      <c r="M30" s="2"/>
      <c r="N30" s="6">
        <f t="shared" si="16"/>
        <v>-0.36367675102957692</v>
      </c>
      <c r="O30" s="11"/>
      <c r="P30" s="7">
        <v>143677.36000000002</v>
      </c>
      <c r="Q30" s="2"/>
      <c r="R30" s="6">
        <f t="shared" si="17"/>
        <v>1.5664508538966303E-2</v>
      </c>
      <c r="S30" s="2"/>
      <c r="T30" s="7">
        <v>140262.57178134372</v>
      </c>
      <c r="U30" s="2"/>
      <c r="V30" s="6">
        <f t="shared" si="18"/>
        <v>1.2604806811588168E-2</v>
      </c>
      <c r="W30" s="2"/>
      <c r="X30" s="7">
        <f t="shared" si="19"/>
        <v>3414.7882186562929</v>
      </c>
      <c r="Y30" s="2"/>
      <c r="Z30" s="6">
        <f t="shared" si="20"/>
        <v>2.4345683779273843E-2</v>
      </c>
    </row>
    <row r="31" spans="1:26" s="24" customFormat="1" hidden="1" outlineLevel="2" x14ac:dyDescent="0.25">
      <c r="A31" s="26"/>
      <c r="B31" s="11" t="str">
        <f>CONCATENATE("          ", "6112", " - ", "COMPENSATION INSURANCE")</f>
        <v xml:space="preserve">          6112 - COMPENSATION INSURANCE</v>
      </c>
      <c r="C31" s="11"/>
      <c r="D31" s="7">
        <v>5577.67</v>
      </c>
      <c r="E31" s="2"/>
      <c r="F31" s="6">
        <f t="shared" si="13"/>
        <v>4.5507414851307271E-2</v>
      </c>
      <c r="G31" s="2"/>
      <c r="H31" s="7">
        <v>8663.8408440615494</v>
      </c>
      <c r="I31" s="2"/>
      <c r="J31" s="6">
        <f t="shared" si="14"/>
        <v>1.2814133734538968E-2</v>
      </c>
      <c r="K31" s="2"/>
      <c r="L31" s="7">
        <f t="shared" si="15"/>
        <v>-3086.1708440615494</v>
      </c>
      <c r="M31" s="2"/>
      <c r="N31" s="6">
        <f t="shared" si="16"/>
        <v>-0.35621278132976109</v>
      </c>
      <c r="O31" s="11"/>
      <c r="P31" s="7">
        <v>91553.67</v>
      </c>
      <c r="Q31" s="2"/>
      <c r="R31" s="6">
        <f t="shared" si="17"/>
        <v>9.9816926305487715E-3</v>
      </c>
      <c r="S31" s="2"/>
      <c r="T31" s="7">
        <v>111370.49869329848</v>
      </c>
      <c r="U31" s="2"/>
      <c r="V31" s="6">
        <f t="shared" si="18"/>
        <v>1.0008397840641756E-2</v>
      </c>
      <c r="W31" s="2"/>
      <c r="X31" s="7">
        <f t="shared" si="19"/>
        <v>-19816.828693298477</v>
      </c>
      <c r="Y31" s="2"/>
      <c r="Z31" s="6">
        <f t="shared" si="20"/>
        <v>-0.17793606858016989</v>
      </c>
    </row>
    <row r="32" spans="1:26" s="24" customFormat="1" hidden="1" outlineLevel="2" x14ac:dyDescent="0.25">
      <c r="A32" s="26"/>
      <c r="B32" s="11" t="str">
        <f>CONCATENATE("          ", "6113", " - ", "GROUP INSURANCE")</f>
        <v xml:space="preserve">          6113 - GROUP INSURANCE</v>
      </c>
      <c r="C32" s="11"/>
      <c r="D32" s="7">
        <v>41691.089999999997</v>
      </c>
      <c r="E32" s="2"/>
      <c r="F32" s="6">
        <f t="shared" si="13"/>
        <v>0.34015166337076019</v>
      </c>
      <c r="G32" s="2"/>
      <c r="H32" s="7">
        <v>44401.692307692305</v>
      </c>
      <c r="I32" s="2"/>
      <c r="J32" s="6">
        <f t="shared" si="14"/>
        <v>6.5671707676925706E-2</v>
      </c>
      <c r="K32" s="2"/>
      <c r="L32" s="7">
        <f t="shared" si="15"/>
        <v>-2710.6023076923084</v>
      </c>
      <c r="M32" s="2"/>
      <c r="N32" s="6">
        <f t="shared" si="16"/>
        <v>-6.1047274705399328E-2</v>
      </c>
      <c r="O32" s="11"/>
      <c r="P32" s="7">
        <v>516248.63</v>
      </c>
      <c r="Q32" s="2"/>
      <c r="R32" s="6">
        <f t="shared" si="17"/>
        <v>5.6284310018395768E-2</v>
      </c>
      <c r="S32" s="2"/>
      <c r="T32" s="7">
        <v>512977.76923076913</v>
      </c>
      <c r="U32" s="2"/>
      <c r="V32" s="6">
        <f t="shared" si="18"/>
        <v>4.6099152451540469E-2</v>
      </c>
      <c r="W32" s="2"/>
      <c r="X32" s="7">
        <f t="shared" si="19"/>
        <v>3270.8607692308724</v>
      </c>
      <c r="Y32" s="2"/>
      <c r="Z32" s="6">
        <f t="shared" si="20"/>
        <v>6.3762232311463714E-3</v>
      </c>
    </row>
    <row r="33" spans="1:26" s="24" customFormat="1" hidden="1" outlineLevel="2" x14ac:dyDescent="0.25">
      <c r="A33" s="26"/>
      <c r="B33" s="11" t="str">
        <f>CONCATENATE("          ", "6114", " - ", "STATE UNEMPLOYMENT INSURANCE")</f>
        <v xml:space="preserve">          6114 - STATE UNEMPLOYMENT INSURANCE</v>
      </c>
      <c r="C33" s="11"/>
      <c r="D33" s="7">
        <v>379.18</v>
      </c>
      <c r="E33" s="2"/>
      <c r="F33" s="6">
        <f t="shared" si="13"/>
        <v>3.0936755963186582E-3</v>
      </c>
      <c r="G33" s="2"/>
      <c r="H33" s="7">
        <v>582.0998032</v>
      </c>
      <c r="I33" s="2"/>
      <c r="J33" s="6">
        <f t="shared" si="14"/>
        <v>8.6094664702506668E-4</v>
      </c>
      <c r="K33" s="2"/>
      <c r="L33" s="7">
        <f t="shared" si="15"/>
        <v>-202.91980319999999</v>
      </c>
      <c r="M33" s="2"/>
      <c r="N33" s="6">
        <f t="shared" si="16"/>
        <v>-0.34859967669544129</v>
      </c>
      <c r="O33" s="11"/>
      <c r="P33" s="7">
        <v>7153.84</v>
      </c>
      <c r="Q33" s="2"/>
      <c r="R33" s="6">
        <f t="shared" si="17"/>
        <v>7.7995160661637082E-4</v>
      </c>
      <c r="S33" s="2"/>
      <c r="T33" s="7">
        <v>7488.0390845200009</v>
      </c>
      <c r="U33" s="2"/>
      <c r="V33" s="6">
        <f t="shared" si="18"/>
        <v>6.7291854740218228E-4</v>
      </c>
      <c r="W33" s="2"/>
      <c r="X33" s="7">
        <f t="shared" si="19"/>
        <v>-334.19908452000072</v>
      </c>
      <c r="Y33" s="2"/>
      <c r="Z33" s="6">
        <f t="shared" si="20"/>
        <v>-4.4631055039615036E-2</v>
      </c>
    </row>
    <row r="34" spans="1:26" s="24" customFormat="1" hidden="1" outlineLevel="2" x14ac:dyDescent="0.25">
      <c r="A34" s="26"/>
      <c r="B34" s="11" t="str">
        <f>CONCATENATE("          ", "6115", " - ", "P.E.R.S.")</f>
        <v xml:space="preserve">          6115 - P.E.R.S.</v>
      </c>
      <c r="C34" s="11"/>
      <c r="D34" s="7">
        <v>3282.73</v>
      </c>
      <c r="E34" s="2"/>
      <c r="F34" s="6">
        <f t="shared" si="13"/>
        <v>2.6783326362949389E-2</v>
      </c>
      <c r="G34" s="2"/>
      <c r="H34" s="7">
        <v>3642.2280791384651</v>
      </c>
      <c r="I34" s="2"/>
      <c r="J34" s="6">
        <f t="shared" si="14"/>
        <v>5.3869869654592775E-3</v>
      </c>
      <c r="K34" s="2"/>
      <c r="L34" s="7">
        <f t="shared" si="15"/>
        <v>-359.49807913846507</v>
      </c>
      <c r="M34" s="2"/>
      <c r="N34" s="6">
        <f t="shared" si="16"/>
        <v>-9.8702791622951022E-2</v>
      </c>
      <c r="O34" s="11"/>
      <c r="P34" s="7">
        <v>48405.71</v>
      </c>
      <c r="Q34" s="2"/>
      <c r="R34" s="6">
        <f t="shared" si="17"/>
        <v>5.2774609557812479E-3</v>
      </c>
      <c r="S34" s="2"/>
      <c r="T34" s="7">
        <v>43706.736949661579</v>
      </c>
      <c r="U34" s="2"/>
      <c r="V34" s="6">
        <f t="shared" si="18"/>
        <v>3.9277404415071736E-3</v>
      </c>
      <c r="W34" s="2"/>
      <c r="X34" s="7">
        <f t="shared" si="19"/>
        <v>4698.9730503384199</v>
      </c>
      <c r="Y34" s="2"/>
      <c r="Z34" s="6">
        <f t="shared" si="20"/>
        <v>0.10751141307461078</v>
      </c>
    </row>
    <row r="35" spans="1:26" s="24" customFormat="1" hidden="1" outlineLevel="2" x14ac:dyDescent="0.25">
      <c r="A35" s="26"/>
      <c r="B35" s="11" t="str">
        <f>CONCATENATE("          ", "6116", " - ", "EDUCATIONAL BENEFITS")</f>
        <v xml:space="preserve">          6116 - EDUCATIONAL BENEFITS</v>
      </c>
      <c r="C35" s="11"/>
      <c r="D35" s="7"/>
      <c r="E35" s="2"/>
      <c r="F35" s="6">
        <f t="shared" si="13"/>
        <v>0</v>
      </c>
      <c r="G35" s="2"/>
      <c r="H35" s="7">
        <v>0</v>
      </c>
      <c r="I35" s="2"/>
      <c r="J35" s="6">
        <f t="shared" si="14"/>
        <v>0</v>
      </c>
      <c r="K35" s="2"/>
      <c r="L35" s="7">
        <f t="shared" si="15"/>
        <v>0</v>
      </c>
      <c r="M35" s="2"/>
      <c r="N35" s="6">
        <f t="shared" si="16"/>
        <v>0</v>
      </c>
      <c r="O35" s="11"/>
      <c r="P35" s="7"/>
      <c r="Q35" s="2"/>
      <c r="R35" s="6">
        <f t="shared" si="17"/>
        <v>0</v>
      </c>
      <c r="S35" s="2"/>
      <c r="T35" s="7">
        <v>0</v>
      </c>
      <c r="U35" s="2"/>
      <c r="V35" s="6">
        <f t="shared" si="18"/>
        <v>0</v>
      </c>
      <c r="W35" s="2"/>
      <c r="X35" s="7">
        <f t="shared" si="19"/>
        <v>0</v>
      </c>
      <c r="Y35" s="2"/>
      <c r="Z35" s="6">
        <f t="shared" si="20"/>
        <v>0</v>
      </c>
    </row>
    <row r="36" spans="1:26" s="24" customFormat="1" hidden="1" outlineLevel="2" x14ac:dyDescent="0.25">
      <c r="A36" s="26"/>
      <c r="B36" s="11" t="str">
        <f>CONCATENATE("          ", "6117", " - ", "RETIREMENT STAFF HOURLY")</f>
        <v xml:space="preserve">          6117 - RETIREMENT STAFF HOURLY</v>
      </c>
      <c r="C36" s="11"/>
      <c r="D36" s="7">
        <v>1448.63</v>
      </c>
      <c r="E36" s="2"/>
      <c r="F36" s="6">
        <f t="shared" si="13"/>
        <v>1.1819165776399332E-2</v>
      </c>
      <c r="G36" s="2"/>
      <c r="H36" s="7"/>
      <c r="I36" s="2"/>
      <c r="J36" s="6">
        <f t="shared" si="14"/>
        <v>0</v>
      </c>
      <c r="K36" s="2"/>
      <c r="L36" s="7">
        <f t="shared" si="15"/>
        <v>1448.63</v>
      </c>
      <c r="M36" s="2"/>
      <c r="N36" s="6">
        <f t="shared" si="16"/>
        <v>0</v>
      </c>
      <c r="O36" s="11"/>
      <c r="P36" s="7">
        <v>19423.689999999999</v>
      </c>
      <c r="Q36" s="2"/>
      <c r="R36" s="6">
        <f t="shared" si="17"/>
        <v>2.1176792075190856E-3</v>
      </c>
      <c r="S36" s="2"/>
      <c r="T36" s="7"/>
      <c r="U36" s="2"/>
      <c r="V36" s="6">
        <f t="shared" si="18"/>
        <v>0</v>
      </c>
      <c r="W36" s="2"/>
      <c r="X36" s="7">
        <f t="shared" si="19"/>
        <v>19423.689999999999</v>
      </c>
      <c r="Y36" s="2"/>
      <c r="Z36" s="6">
        <f t="shared" si="20"/>
        <v>0</v>
      </c>
    </row>
    <row r="37" spans="1:26" s="24" customFormat="1" hidden="1" outlineLevel="2" x14ac:dyDescent="0.25">
      <c r="A37" s="26"/>
      <c r="B37" s="11" t="str">
        <f>CONCATENATE("          ", "6118", " - ", "VACATION")</f>
        <v xml:space="preserve">          6118 - VACATION</v>
      </c>
      <c r="C37" s="11"/>
      <c r="D37" s="7">
        <v>5908.39</v>
      </c>
      <c r="E37" s="2"/>
      <c r="F37" s="6">
        <f t="shared" si="13"/>
        <v>4.8205712211965818E-2</v>
      </c>
      <c r="G37" s="2"/>
      <c r="H37" s="7">
        <v>3611.6687587692322</v>
      </c>
      <c r="I37" s="2"/>
      <c r="J37" s="6">
        <f t="shared" si="14"/>
        <v>5.3417886261665631E-3</v>
      </c>
      <c r="K37" s="2"/>
      <c r="L37" s="7">
        <f t="shared" si="15"/>
        <v>2296.7212412307681</v>
      </c>
      <c r="M37" s="2"/>
      <c r="N37" s="6">
        <f t="shared" si="16"/>
        <v>0.63591691116586069</v>
      </c>
      <c r="O37" s="11"/>
      <c r="P37" s="7">
        <v>92741.95</v>
      </c>
      <c r="Q37" s="2"/>
      <c r="R37" s="6">
        <f t="shared" si="17"/>
        <v>1.0111245555287108E-2</v>
      </c>
      <c r="S37" s="2"/>
      <c r="T37" s="7">
        <v>43069.983825230767</v>
      </c>
      <c r="U37" s="2"/>
      <c r="V37" s="6">
        <f t="shared" si="18"/>
        <v>3.8705181189859694E-3</v>
      </c>
      <c r="W37" s="2"/>
      <c r="X37" s="7">
        <f t="shared" si="19"/>
        <v>49671.96617476923</v>
      </c>
      <c r="Y37" s="2"/>
      <c r="Z37" s="6">
        <f t="shared" si="20"/>
        <v>1.1532849971880177</v>
      </c>
    </row>
    <row r="38" spans="1:26" s="24" customFormat="1" hidden="1" outlineLevel="2" x14ac:dyDescent="0.25">
      <c r="A38" s="26"/>
      <c r="B38" s="11" t="str">
        <f>CONCATENATE("          ", "6119", " - ", "SICK LEAVE")</f>
        <v xml:space="preserve">          6119 - SICK LEAVE</v>
      </c>
      <c r="C38" s="11"/>
      <c r="D38" s="7">
        <v>4472.3100000000004</v>
      </c>
      <c r="E38" s="2"/>
      <c r="F38" s="6">
        <f t="shared" si="13"/>
        <v>3.6488940097504877E-2</v>
      </c>
      <c r="G38" s="2"/>
      <c r="H38" s="7">
        <v>6082.1633107692296</v>
      </c>
      <c r="I38" s="2"/>
      <c r="J38" s="6">
        <f t="shared" si="14"/>
        <v>8.9957393565146069E-3</v>
      </c>
      <c r="K38" s="2"/>
      <c r="L38" s="7">
        <f t="shared" si="15"/>
        <v>-1609.8533107692292</v>
      </c>
      <c r="M38" s="2"/>
      <c r="N38" s="6">
        <f t="shared" si="16"/>
        <v>-0.26468432834067163</v>
      </c>
      <c r="O38" s="11"/>
      <c r="P38" s="7">
        <v>-14315.68</v>
      </c>
      <c r="Q38" s="2"/>
      <c r="R38" s="6">
        <f t="shared" si="17"/>
        <v>-1.560775417930209E-3</v>
      </c>
      <c r="S38" s="2"/>
      <c r="T38" s="7">
        <v>78734.828415230761</v>
      </c>
      <c r="U38" s="2"/>
      <c r="V38" s="6">
        <f t="shared" si="18"/>
        <v>7.0755675510117098E-3</v>
      </c>
      <c r="W38" s="2"/>
      <c r="X38" s="7">
        <f t="shared" si="19"/>
        <v>-93050.508415230754</v>
      </c>
      <c r="Y38" s="2"/>
      <c r="Z38" s="6">
        <f t="shared" si="20"/>
        <v>-1.1818214415163533</v>
      </c>
    </row>
    <row r="39" spans="1:26" s="24" customFormat="1" hidden="1" outlineLevel="2" x14ac:dyDescent="0.25">
      <c r="A39" s="26"/>
      <c r="B39" s="11" t="str">
        <f>CONCATENATE("          ", "6156", " - ", "EMPLOYEE MEALS")</f>
        <v xml:space="preserve">          6156 - EMPLOYEE MEALS</v>
      </c>
      <c r="C39" s="11"/>
      <c r="D39" s="7">
        <v>2076.0100000000002</v>
      </c>
      <c r="E39" s="2"/>
      <c r="F39" s="6">
        <f t="shared" si="13"/>
        <v>1.6937869810415895E-2</v>
      </c>
      <c r="G39" s="2"/>
      <c r="H39" s="7">
        <v>1500</v>
      </c>
      <c r="I39" s="2"/>
      <c r="J39" s="6">
        <f t="shared" si="14"/>
        <v>2.218554212590739E-3</v>
      </c>
      <c r="K39" s="2"/>
      <c r="L39" s="7">
        <f t="shared" si="15"/>
        <v>576.01000000000022</v>
      </c>
      <c r="M39" s="2"/>
      <c r="N39" s="6">
        <f t="shared" si="16"/>
        <v>0.38400666666666683</v>
      </c>
      <c r="O39" s="11"/>
      <c r="P39" s="7">
        <v>38607.839999999997</v>
      </c>
      <c r="Q39" s="2"/>
      <c r="R39" s="6">
        <f t="shared" si="17"/>
        <v>4.2092424258842499E-3</v>
      </c>
      <c r="S39" s="2"/>
      <c r="T39" s="7">
        <v>16500</v>
      </c>
      <c r="U39" s="2"/>
      <c r="V39" s="6">
        <f t="shared" si="18"/>
        <v>1.4827855339443309E-3</v>
      </c>
      <c r="W39" s="2"/>
      <c r="X39" s="7">
        <f t="shared" si="19"/>
        <v>22107.839999999997</v>
      </c>
      <c r="Y39" s="2"/>
      <c r="Z39" s="6">
        <f t="shared" si="20"/>
        <v>1.3398690909090907</v>
      </c>
    </row>
    <row r="40" spans="1:26" s="27" customFormat="1" outlineLevel="1" collapsed="1" x14ac:dyDescent="0.25">
      <c r="A40" s="25"/>
      <c r="B40" s="12" t="str">
        <f>CONCATENATE("     ","*Payroll                                          ")</f>
        <v xml:space="preserve">     *Payroll                                          </v>
      </c>
      <c r="C40" s="12"/>
      <c r="D40" s="1">
        <f>SUM(OSRRefD22_1x_0)</f>
        <v>65388.45</v>
      </c>
      <c r="E40" s="1"/>
      <c r="F40" s="5">
        <f t="shared" ref="F40:F50" si="21">IF(D$12=0,0,D40/D$12)</f>
        <v>0.53349504732871667</v>
      </c>
      <c r="G40" s="1"/>
      <c r="H40" s="1">
        <f>SUM(OSRRefH22_1x_0)</f>
        <v>215995.5232227692</v>
      </c>
      <c r="I40" s="1"/>
      <c r="J40" s="5">
        <f t="shared" ref="J40:J50" si="22">IF(H$12=0,0,H40/H$12)</f>
        <v>0.31946518529774359</v>
      </c>
      <c r="K40" s="1"/>
      <c r="L40" s="1">
        <f t="shared" ref="L40:L50" si="23">+D40-H40</f>
        <v>-150607.07322276919</v>
      </c>
      <c r="M40" s="1"/>
      <c r="N40" s="5">
        <f t="shared" ref="N40:N50" si="24">IF(H40=0,0,L40/H40)</f>
        <v>-0.69726942010478166</v>
      </c>
      <c r="O40" s="12"/>
      <c r="P40" s="1">
        <f>SUM(OSRRefP22_1x_0)</f>
        <v>2534012.4000000004</v>
      </c>
      <c r="Q40" s="1"/>
      <c r="R40" s="5">
        <f t="shared" ref="R40:R50" si="25">IF(P$12=0,0,P40/P$12)</f>
        <v>0.27627218984011465</v>
      </c>
      <c r="S40" s="1"/>
      <c r="T40" s="1">
        <f>SUM(OSRRefT22_1x_0)</f>
        <v>2777596.3975672303</v>
      </c>
      <c r="U40" s="1"/>
      <c r="V40" s="5">
        <f t="shared" ref="V40:V50" si="26">IF(T$12=0,0,T40/T$12)</f>
        <v>0.24961089439082276</v>
      </c>
      <c r="W40" s="1"/>
      <c r="X40" s="1">
        <f t="shared" ref="X40:X50" si="27">+P40-T40</f>
        <v>-243583.9975672299</v>
      </c>
      <c r="Y40" s="1"/>
      <c r="Z40" s="5">
        <f t="shared" ref="Z40:Z50" si="28">IF(T40=0,0,X40/T40)</f>
        <v>-8.7695965396763179E-2</v>
      </c>
    </row>
    <row r="41" spans="1:26" s="24" customFormat="1" hidden="1" outlineLevel="2" x14ac:dyDescent="0.25">
      <c r="A41" s="26"/>
      <c r="B41" s="11" t="str">
        <f>CONCATENATE("          ", "6001", " - ", "ADMINISTRATIVE SALARIES")</f>
        <v xml:space="preserve">          6001 - ADMINISTRATIVE SALARIES</v>
      </c>
      <c r="C41" s="11"/>
      <c r="D41" s="7">
        <v>8959.5400000000009</v>
      </c>
      <c r="E41" s="2"/>
      <c r="F41" s="6">
        <f t="shared" si="21"/>
        <v>7.3099610349282335E-2</v>
      </c>
      <c r="G41" s="2"/>
      <c r="H41" s="7">
        <v>0</v>
      </c>
      <c r="I41" s="2"/>
      <c r="J41" s="6">
        <f t="shared" si="22"/>
        <v>0</v>
      </c>
      <c r="K41" s="2"/>
      <c r="L41" s="7">
        <f t="shared" si="23"/>
        <v>8959.5400000000009</v>
      </c>
      <c r="M41" s="2"/>
      <c r="N41" s="6">
        <f t="shared" si="24"/>
        <v>0</v>
      </c>
      <c r="O41" s="11"/>
      <c r="P41" s="7">
        <v>91631.709999999992</v>
      </c>
      <c r="Q41" s="2"/>
      <c r="R41" s="6">
        <f t="shared" si="25"/>
        <v>9.9902009873725668E-3</v>
      </c>
      <c r="S41" s="2"/>
      <c r="T41" s="7">
        <v>0</v>
      </c>
      <c r="U41" s="2"/>
      <c r="V41" s="6">
        <f t="shared" si="26"/>
        <v>0</v>
      </c>
      <c r="W41" s="2"/>
      <c r="X41" s="7">
        <f t="shared" si="27"/>
        <v>91631.709999999992</v>
      </c>
      <c r="Y41" s="2"/>
      <c r="Z41" s="6">
        <f t="shared" si="28"/>
        <v>0</v>
      </c>
    </row>
    <row r="42" spans="1:26" s="24" customFormat="1" hidden="1" outlineLevel="2" x14ac:dyDescent="0.25">
      <c r="A42" s="26"/>
      <c r="B42" s="11" t="str">
        <f>CONCATENATE("          ", "6002", " - ", "STAFF SALARIES")</f>
        <v xml:space="preserve">          6002 - STAFF SALARIES</v>
      </c>
      <c r="C42" s="11"/>
      <c r="D42" s="7">
        <v>14298.82</v>
      </c>
      <c r="E42" s="2"/>
      <c r="F42" s="6">
        <f t="shared" si="21"/>
        <v>0.11666203515521166</v>
      </c>
      <c r="G42" s="2"/>
      <c r="H42" s="7">
        <v>39678.938974769218</v>
      </c>
      <c r="I42" s="2"/>
      <c r="J42" s="6">
        <f t="shared" si="22"/>
        <v>5.8686584809070068E-2</v>
      </c>
      <c r="K42" s="2"/>
      <c r="L42" s="7">
        <f t="shared" si="23"/>
        <v>-25380.118974769219</v>
      </c>
      <c r="M42" s="2"/>
      <c r="N42" s="6">
        <f t="shared" si="24"/>
        <v>-0.6396370374446696</v>
      </c>
      <c r="O42" s="11"/>
      <c r="P42" s="7">
        <v>409872.81</v>
      </c>
      <c r="Q42" s="2"/>
      <c r="R42" s="6">
        <f t="shared" si="25"/>
        <v>4.4686623780775987E-2</v>
      </c>
      <c r="S42" s="2"/>
      <c r="T42" s="7">
        <v>476147.26769723039</v>
      </c>
      <c r="U42" s="2"/>
      <c r="V42" s="6">
        <f t="shared" si="26"/>
        <v>4.2789350337489214E-2</v>
      </c>
      <c r="W42" s="2"/>
      <c r="X42" s="7">
        <f t="shared" si="27"/>
        <v>-66274.457697230391</v>
      </c>
      <c r="Y42" s="2"/>
      <c r="Z42" s="6">
        <f t="shared" si="28"/>
        <v>-0.139188990871985</v>
      </c>
    </row>
    <row r="43" spans="1:26" s="24" customFormat="1" hidden="1" outlineLevel="2" x14ac:dyDescent="0.25">
      <c r="A43" s="26"/>
      <c r="B43" s="11" t="str">
        <f>CONCATENATE("          ", "6003", " - ", "STAFF HOURLY-9 MONTH")</f>
        <v xml:space="preserve">          6003 - STAFF HOURLY-9 MONTH</v>
      </c>
      <c r="C43" s="11"/>
      <c r="D43" s="7"/>
      <c r="E43" s="2"/>
      <c r="F43" s="6">
        <f t="shared" si="21"/>
        <v>0</v>
      </c>
      <c r="G43" s="2"/>
      <c r="H43" s="7">
        <v>0</v>
      </c>
      <c r="I43" s="2"/>
      <c r="J43" s="6">
        <f t="shared" si="22"/>
        <v>0</v>
      </c>
      <c r="K43" s="2"/>
      <c r="L43" s="7">
        <f t="shared" si="23"/>
        <v>0</v>
      </c>
      <c r="M43" s="2"/>
      <c r="N43" s="6">
        <f t="shared" si="24"/>
        <v>0</v>
      </c>
      <c r="O43" s="11"/>
      <c r="P43" s="7"/>
      <c r="Q43" s="2"/>
      <c r="R43" s="6">
        <f t="shared" si="25"/>
        <v>0</v>
      </c>
      <c r="S43" s="2"/>
      <c r="T43" s="7">
        <v>0</v>
      </c>
      <c r="U43" s="2"/>
      <c r="V43" s="6">
        <f t="shared" si="26"/>
        <v>0</v>
      </c>
      <c r="W43" s="2"/>
      <c r="X43" s="7">
        <f t="shared" si="27"/>
        <v>0</v>
      </c>
      <c r="Y43" s="2"/>
      <c r="Z43" s="6">
        <f t="shared" si="28"/>
        <v>0</v>
      </c>
    </row>
    <row r="44" spans="1:26" s="24" customFormat="1" hidden="1" outlineLevel="2" x14ac:dyDescent="0.25">
      <c r="A44" s="26"/>
      <c r="B44" s="11" t="str">
        <f>CONCATENATE("          ", "6004", " - ", "STAFF HOURLY")</f>
        <v xml:space="preserve">          6004 - STAFF HOURLY</v>
      </c>
      <c r="C44" s="11"/>
      <c r="D44" s="7">
        <v>42130.09</v>
      </c>
      <c r="E44" s="2"/>
      <c r="F44" s="6">
        <f t="shared" si="21"/>
        <v>0.34373340182422263</v>
      </c>
      <c r="G44" s="2"/>
      <c r="H44" s="7">
        <v>73193.003039999996</v>
      </c>
      <c r="I44" s="2"/>
      <c r="J44" s="6">
        <f t="shared" si="22"/>
        <v>0.10825509681770583</v>
      </c>
      <c r="K44" s="2"/>
      <c r="L44" s="7">
        <f t="shared" si="23"/>
        <v>-31062.913039999999</v>
      </c>
      <c r="M44" s="2"/>
      <c r="N44" s="6">
        <f t="shared" si="24"/>
        <v>-0.42439730233536271</v>
      </c>
      <c r="O44" s="11"/>
      <c r="P44" s="7">
        <v>665161.30000000005</v>
      </c>
      <c r="Q44" s="2"/>
      <c r="R44" s="6">
        <f t="shared" si="25"/>
        <v>7.2519601304199405E-2</v>
      </c>
      <c r="S44" s="2"/>
      <c r="T44" s="7">
        <v>873133.43904000008</v>
      </c>
      <c r="U44" s="2"/>
      <c r="V44" s="6">
        <f t="shared" si="26"/>
        <v>7.8464826218883413E-2</v>
      </c>
      <c r="W44" s="2"/>
      <c r="X44" s="7">
        <f t="shared" si="27"/>
        <v>-207972.13904000004</v>
      </c>
      <c r="Y44" s="2"/>
      <c r="Z44" s="6">
        <f t="shared" si="28"/>
        <v>-0.23819055569405628</v>
      </c>
    </row>
    <row r="45" spans="1:26" s="24" customFormat="1" hidden="1" outlineLevel="2" x14ac:dyDescent="0.25">
      <c r="A45" s="26"/>
      <c r="B45" s="11" t="str">
        <f>CONCATENATE("          ", "6005", " - ", "TEMPORARY WAGES-HOURLY")</f>
        <v xml:space="preserve">          6005 - TEMPORARY WAGES-HOURLY</v>
      </c>
      <c r="C45" s="11"/>
      <c r="D45" s="7"/>
      <c r="E45" s="2"/>
      <c r="F45" s="6">
        <f t="shared" si="21"/>
        <v>0</v>
      </c>
      <c r="G45" s="2"/>
      <c r="H45" s="7">
        <v>15196.191107999999</v>
      </c>
      <c r="I45" s="2"/>
      <c r="J45" s="6">
        <f t="shared" si="22"/>
        <v>2.2475715865324885E-2</v>
      </c>
      <c r="K45" s="2"/>
      <c r="L45" s="7">
        <f t="shared" si="23"/>
        <v>-15196.191107999999</v>
      </c>
      <c r="M45" s="2"/>
      <c r="N45" s="6">
        <f t="shared" si="24"/>
        <v>-1</v>
      </c>
      <c r="O45" s="11"/>
      <c r="P45" s="7">
        <v>393545.39999999997</v>
      </c>
      <c r="Q45" s="2"/>
      <c r="R45" s="6">
        <f t="shared" si="25"/>
        <v>4.2906518318341233E-2</v>
      </c>
      <c r="S45" s="2"/>
      <c r="T45" s="7">
        <v>258900.08002999998</v>
      </c>
      <c r="U45" s="2"/>
      <c r="V45" s="6">
        <f t="shared" si="26"/>
        <v>2.3266260206394759E-2</v>
      </c>
      <c r="W45" s="2"/>
      <c r="X45" s="7">
        <f t="shared" si="27"/>
        <v>134645.31996999998</v>
      </c>
      <c r="Y45" s="2"/>
      <c r="Z45" s="6">
        <f t="shared" si="28"/>
        <v>0.52006673753981836</v>
      </c>
    </row>
    <row r="46" spans="1:26" s="24" customFormat="1" hidden="1" outlineLevel="2" x14ac:dyDescent="0.25">
      <c r="A46" s="26"/>
      <c r="B46" s="11" t="str">
        <f>CONCATENATE("          ", "6006", " - ", "TEMPORARY PART TIME")</f>
        <v xml:space="preserve">          6006 - TEMPORARY PART TIME</v>
      </c>
      <c r="C46" s="11"/>
      <c r="D46" s="7"/>
      <c r="E46" s="2"/>
      <c r="F46" s="6">
        <f t="shared" si="21"/>
        <v>0</v>
      </c>
      <c r="G46" s="2"/>
      <c r="H46" s="7">
        <v>0</v>
      </c>
      <c r="I46" s="2"/>
      <c r="J46" s="6">
        <f t="shared" si="22"/>
        <v>0</v>
      </c>
      <c r="K46" s="2"/>
      <c r="L46" s="7">
        <f t="shared" si="23"/>
        <v>0</v>
      </c>
      <c r="M46" s="2"/>
      <c r="N46" s="6">
        <f t="shared" si="24"/>
        <v>0</v>
      </c>
      <c r="O46" s="11"/>
      <c r="P46" s="7">
        <v>34130.700000000004</v>
      </c>
      <c r="Q46" s="2"/>
      <c r="R46" s="6">
        <f t="shared" si="25"/>
        <v>3.7211196084817903E-3</v>
      </c>
      <c r="S46" s="2"/>
      <c r="T46" s="7">
        <v>0</v>
      </c>
      <c r="U46" s="2"/>
      <c r="V46" s="6">
        <f t="shared" si="26"/>
        <v>0</v>
      </c>
      <c r="W46" s="2"/>
      <c r="X46" s="7">
        <f t="shared" si="27"/>
        <v>34130.700000000004</v>
      </c>
      <c r="Y46" s="2"/>
      <c r="Z46" s="6">
        <f t="shared" si="28"/>
        <v>0</v>
      </c>
    </row>
    <row r="47" spans="1:26" s="24" customFormat="1" hidden="1" outlineLevel="2" x14ac:dyDescent="0.25">
      <c r="A47" s="26"/>
      <c r="B47" s="11" t="str">
        <f>CONCATENATE("          ", "6007", " - ", "STUDENT HOURLY")</f>
        <v xml:space="preserve">          6007 - STUDENT HOURLY</v>
      </c>
      <c r="C47" s="11"/>
      <c r="D47" s="7"/>
      <c r="E47" s="2"/>
      <c r="F47" s="6">
        <f t="shared" si="21"/>
        <v>0</v>
      </c>
      <c r="G47" s="2"/>
      <c r="H47" s="7">
        <v>19478.8125</v>
      </c>
      <c r="I47" s="2"/>
      <c r="J47" s="6">
        <f t="shared" si="22"/>
        <v>2.880986768542676E-2</v>
      </c>
      <c r="K47" s="2"/>
      <c r="L47" s="7">
        <f t="shared" si="23"/>
        <v>-19478.8125</v>
      </c>
      <c r="M47" s="2"/>
      <c r="N47" s="6">
        <f t="shared" si="24"/>
        <v>-1</v>
      </c>
      <c r="O47" s="11"/>
      <c r="P47" s="7">
        <v>767218.78</v>
      </c>
      <c r="Q47" s="2"/>
      <c r="R47" s="6">
        <f t="shared" si="25"/>
        <v>8.3646477987661449E-2</v>
      </c>
      <c r="S47" s="2"/>
      <c r="T47" s="7">
        <v>400609.11749999999</v>
      </c>
      <c r="U47" s="2"/>
      <c r="V47" s="6">
        <f t="shared" si="26"/>
        <v>3.6001054799709373E-2</v>
      </c>
      <c r="W47" s="2"/>
      <c r="X47" s="7">
        <f t="shared" si="27"/>
        <v>366609.66250000003</v>
      </c>
      <c r="Y47" s="2"/>
      <c r="Z47" s="6">
        <f t="shared" si="28"/>
        <v>0.91513060109022615</v>
      </c>
    </row>
    <row r="48" spans="1:26" s="24" customFormat="1" hidden="1" outlineLevel="2" x14ac:dyDescent="0.25">
      <c r="A48" s="26"/>
      <c r="B48" s="11" t="str">
        <f>CONCATENATE("          ", "6008", " - ", "STUDENT HOURLY-FICA EXEMPT")</f>
        <v xml:space="preserve">          6008 - STUDENT HOURLY-FICA EXEMPT</v>
      </c>
      <c r="C48" s="11"/>
      <c r="D48" s="7"/>
      <c r="E48" s="2"/>
      <c r="F48" s="6">
        <f t="shared" si="21"/>
        <v>0</v>
      </c>
      <c r="G48" s="2"/>
      <c r="H48" s="7">
        <v>68448.57759999999</v>
      </c>
      <c r="I48" s="2"/>
      <c r="J48" s="6">
        <f t="shared" si="22"/>
        <v>0.10123792012021604</v>
      </c>
      <c r="K48" s="2"/>
      <c r="L48" s="7">
        <f t="shared" si="23"/>
        <v>-68448.57759999999</v>
      </c>
      <c r="M48" s="2"/>
      <c r="N48" s="6">
        <f t="shared" si="24"/>
        <v>-1</v>
      </c>
      <c r="O48" s="11"/>
      <c r="P48" s="7">
        <v>172451.69999999998</v>
      </c>
      <c r="Q48" s="2"/>
      <c r="R48" s="6">
        <f t="shared" si="25"/>
        <v>1.8801647853282207E-2</v>
      </c>
      <c r="S48" s="2"/>
      <c r="T48" s="7">
        <v>768806.49329999997</v>
      </c>
      <c r="U48" s="2"/>
      <c r="V48" s="6">
        <f t="shared" si="26"/>
        <v>6.9089402828346011E-2</v>
      </c>
      <c r="W48" s="2"/>
      <c r="X48" s="7">
        <f t="shared" si="27"/>
        <v>-596354.79330000002</v>
      </c>
      <c r="Y48" s="2"/>
      <c r="Z48" s="6">
        <f t="shared" si="28"/>
        <v>-0.77568906935245319</v>
      </c>
    </row>
    <row r="49" spans="1:26" s="24" customFormat="1" hidden="1" outlineLevel="2" x14ac:dyDescent="0.25">
      <c r="A49" s="26"/>
      <c r="B49" s="11" t="str">
        <f>CONCATENATE("          ", "6009", " - ", "TEMPORARY-SEASONAL")</f>
        <v xml:space="preserve">          6009 - TEMPORARY-SEASONAL</v>
      </c>
      <c r="C49" s="11"/>
      <c r="D49" s="7"/>
      <c r="E49" s="2"/>
      <c r="F49" s="6">
        <f t="shared" si="21"/>
        <v>0</v>
      </c>
      <c r="G49" s="2"/>
      <c r="H49" s="7">
        <v>0</v>
      </c>
      <c r="I49" s="2"/>
      <c r="J49" s="6">
        <f t="shared" si="22"/>
        <v>0</v>
      </c>
      <c r="K49" s="2"/>
      <c r="L49" s="7">
        <f t="shared" si="23"/>
        <v>0</v>
      </c>
      <c r="M49" s="2"/>
      <c r="N49" s="6">
        <f t="shared" si="24"/>
        <v>0</v>
      </c>
      <c r="O49" s="11"/>
      <c r="P49" s="7"/>
      <c r="Q49" s="2"/>
      <c r="R49" s="6">
        <f t="shared" si="25"/>
        <v>0</v>
      </c>
      <c r="S49" s="2"/>
      <c r="T49" s="7">
        <v>0</v>
      </c>
      <c r="U49" s="2"/>
      <c r="V49" s="6">
        <f t="shared" si="26"/>
        <v>0</v>
      </c>
      <c r="W49" s="2"/>
      <c r="X49" s="7">
        <f t="shared" si="27"/>
        <v>0</v>
      </c>
      <c r="Y49" s="2"/>
      <c r="Z49" s="6">
        <f t="shared" si="28"/>
        <v>0</v>
      </c>
    </row>
    <row r="50" spans="1:26" s="24" customFormat="1" hidden="1" outlineLevel="2" x14ac:dyDescent="0.25">
      <c r="A50" s="26"/>
      <c r="B50" s="11" t="str">
        <f>CONCATENATE("          ", "6010", " - ", "GRATUITY")</f>
        <v xml:space="preserve">          6010 - GRATUITY</v>
      </c>
      <c r="C50" s="11"/>
      <c r="D50" s="7"/>
      <c r="E50" s="2"/>
      <c r="F50" s="6">
        <f t="shared" si="21"/>
        <v>0</v>
      </c>
      <c r="G50" s="2"/>
      <c r="H50" s="7">
        <v>0</v>
      </c>
      <c r="I50" s="2"/>
      <c r="J50" s="6">
        <f t="shared" si="22"/>
        <v>0</v>
      </c>
      <c r="K50" s="2"/>
      <c r="L50" s="7">
        <f t="shared" si="23"/>
        <v>0</v>
      </c>
      <c r="M50" s="2"/>
      <c r="N50" s="6">
        <f t="shared" si="24"/>
        <v>0</v>
      </c>
      <c r="O50" s="11"/>
      <c r="P50" s="7"/>
      <c r="Q50" s="2"/>
      <c r="R50" s="6">
        <f t="shared" si="25"/>
        <v>0</v>
      </c>
      <c r="S50" s="2"/>
      <c r="T50" s="7">
        <v>0</v>
      </c>
      <c r="U50" s="2"/>
      <c r="V50" s="6">
        <f t="shared" si="26"/>
        <v>0</v>
      </c>
      <c r="W50" s="2"/>
      <c r="X50" s="7">
        <f t="shared" si="27"/>
        <v>0</v>
      </c>
      <c r="Y50" s="2"/>
      <c r="Z50" s="6">
        <f t="shared" si="28"/>
        <v>0</v>
      </c>
    </row>
    <row r="51" spans="1:26" s="27" customFormat="1" outlineLevel="1" collapsed="1" x14ac:dyDescent="0.25">
      <c r="A51" s="25"/>
      <c r="B51" s="12" t="str">
        <f>CONCATENATE("     ","Advertising/Promo                                 ")</f>
        <v xml:space="preserve">     Advertising/Promo                                 </v>
      </c>
      <c r="C51" s="12"/>
      <c r="D51" s="1">
        <f>SUM(OSRRefD22_2x_0)</f>
        <v>0</v>
      </c>
      <c r="E51" s="1"/>
      <c r="F51" s="5">
        <f t="shared" ref="F51:F55" si="29">IF(D$12=0,0,D51/D$12)</f>
        <v>0</v>
      </c>
      <c r="G51" s="1"/>
      <c r="H51" s="1">
        <f>SUM(OSRRefH22_2x_0)</f>
        <v>925</v>
      </c>
      <c r="I51" s="1"/>
      <c r="J51" s="5">
        <f t="shared" ref="J51:J55" si="30">IF(H$12=0,0,H51/H$12)</f>
        <v>1.3681084310976223E-3</v>
      </c>
      <c r="K51" s="1"/>
      <c r="L51" s="1">
        <f t="shared" ref="L51:L55" si="31">+D51-H51</f>
        <v>-925</v>
      </c>
      <c r="M51" s="1"/>
      <c r="N51" s="5">
        <f t="shared" ref="N51:N55" si="32">IF(H51=0,0,L51/H51)</f>
        <v>-1</v>
      </c>
      <c r="O51" s="12"/>
      <c r="P51" s="1">
        <f>SUM(OSRRefP22_2x_0)</f>
        <v>8477.7099999999991</v>
      </c>
      <c r="Q51" s="1"/>
      <c r="R51" s="5">
        <f t="shared" ref="R51:R55" si="33">IF(P$12=0,0,P51/P$12)</f>
        <v>9.242873107209096E-4</v>
      </c>
      <c r="S51" s="1"/>
      <c r="T51" s="1">
        <f>SUM(OSRRefT22_2x_0)</f>
        <v>15125</v>
      </c>
      <c r="U51" s="1"/>
      <c r="V51" s="5">
        <f t="shared" ref="V51:V55" si="34">IF(T$12=0,0,T51/T$12)</f>
        <v>1.3592200727823034E-3</v>
      </c>
      <c r="W51" s="1"/>
      <c r="X51" s="1">
        <f t="shared" ref="X51:X55" si="35">+P51-T51</f>
        <v>-6647.2900000000009</v>
      </c>
      <c r="Y51" s="1"/>
      <c r="Z51" s="5">
        <f t="shared" ref="Z51:Z55" si="36">IF(T51=0,0,X51/T51)</f>
        <v>-0.43949024793388436</v>
      </c>
    </row>
    <row r="52" spans="1:26" s="24" customFormat="1" hidden="1" outlineLevel="2" x14ac:dyDescent="0.25">
      <c r="A52" s="26"/>
      <c r="B52" s="11" t="str">
        <f>CONCATENATE("          ", "6362", " - ", "ADVERTISING EXPENSE")</f>
        <v xml:space="preserve">          6362 - ADVERTISING EXPENSE</v>
      </c>
      <c r="C52" s="11"/>
      <c r="D52" s="7"/>
      <c r="E52" s="2"/>
      <c r="F52" s="6">
        <f t="shared" si="29"/>
        <v>0</v>
      </c>
      <c r="G52" s="2"/>
      <c r="H52" s="7">
        <v>925</v>
      </c>
      <c r="I52" s="2"/>
      <c r="J52" s="6">
        <f t="shared" si="30"/>
        <v>1.3681084310976223E-3</v>
      </c>
      <c r="K52" s="2"/>
      <c r="L52" s="7">
        <f t="shared" si="31"/>
        <v>-925</v>
      </c>
      <c r="M52" s="2"/>
      <c r="N52" s="6">
        <f t="shared" si="32"/>
        <v>-1</v>
      </c>
      <c r="O52" s="11"/>
      <c r="P52" s="7">
        <v>8477.7099999999991</v>
      </c>
      <c r="Q52" s="2"/>
      <c r="R52" s="6">
        <f t="shared" si="33"/>
        <v>9.242873107209096E-4</v>
      </c>
      <c r="S52" s="2"/>
      <c r="T52" s="7">
        <v>15125</v>
      </c>
      <c r="U52" s="2"/>
      <c r="V52" s="6">
        <f t="shared" si="34"/>
        <v>1.3592200727823034E-3</v>
      </c>
      <c r="W52" s="2"/>
      <c r="X52" s="7">
        <f t="shared" si="35"/>
        <v>-6647.2900000000009</v>
      </c>
      <c r="Y52" s="2"/>
      <c r="Z52" s="6">
        <f t="shared" si="36"/>
        <v>-0.43949024793388436</v>
      </c>
    </row>
    <row r="53" spans="1:26" s="27" customFormat="1" outlineLevel="1" collapsed="1" x14ac:dyDescent="0.25">
      <c r="A53" s="25"/>
      <c r="B53" s="12" t="str">
        <f>CONCATENATE("     ","Bad Debts/Over/Short                              ")</f>
        <v xml:space="preserve">     Bad Debts/Over/Short                              </v>
      </c>
      <c r="C53" s="12"/>
      <c r="D53" s="1">
        <f>SUM(OSRRefD22_3x_0)</f>
        <v>0</v>
      </c>
      <c r="E53" s="1"/>
      <c r="F53" s="5">
        <f t="shared" si="29"/>
        <v>0</v>
      </c>
      <c r="G53" s="1"/>
      <c r="H53" s="1">
        <f>SUM(OSRRefH22_3x_0)</f>
        <v>113</v>
      </c>
      <c r="I53" s="1"/>
      <c r="J53" s="5">
        <f t="shared" si="30"/>
        <v>1.67131084015169E-4</v>
      </c>
      <c r="K53" s="1"/>
      <c r="L53" s="1">
        <f t="shared" si="31"/>
        <v>-113</v>
      </c>
      <c r="M53" s="1"/>
      <c r="N53" s="5">
        <f t="shared" si="32"/>
        <v>-1</v>
      </c>
      <c r="O53" s="12"/>
      <c r="P53" s="1">
        <f>SUM(OSRRefP22_3x_0)</f>
        <v>63.55</v>
      </c>
      <c r="Q53" s="1"/>
      <c r="R53" s="5">
        <f t="shared" si="33"/>
        <v>6.928576065507526E-6</v>
      </c>
      <c r="S53" s="1"/>
      <c r="T53" s="1">
        <f>SUM(OSRRefT22_3x_0)</f>
        <v>1175</v>
      </c>
      <c r="U53" s="1"/>
      <c r="V53" s="5">
        <f t="shared" si="34"/>
        <v>1.0559230317482356E-4</v>
      </c>
      <c r="W53" s="1"/>
      <c r="X53" s="1">
        <f t="shared" si="35"/>
        <v>-1111.45</v>
      </c>
      <c r="Y53" s="1"/>
      <c r="Z53" s="5">
        <f t="shared" si="36"/>
        <v>-0.9459148936170213</v>
      </c>
    </row>
    <row r="54" spans="1:26" s="24" customFormat="1" hidden="1" outlineLevel="2" x14ac:dyDescent="0.25">
      <c r="A54" s="26"/>
      <c r="B54" s="11" t="str">
        <f>CONCATENATE("          ", "6272", " - ", "CASH (OVER/SHORT)")</f>
        <v xml:space="preserve">          6272 - CASH (OVER/SHORT)</v>
      </c>
      <c r="C54" s="11"/>
      <c r="D54" s="7"/>
      <c r="E54" s="2"/>
      <c r="F54" s="6">
        <f t="shared" si="29"/>
        <v>0</v>
      </c>
      <c r="G54" s="2"/>
      <c r="H54" s="7">
        <v>63</v>
      </c>
      <c r="I54" s="2"/>
      <c r="J54" s="6">
        <f t="shared" si="30"/>
        <v>9.3179276928811029E-5</v>
      </c>
      <c r="K54" s="2"/>
      <c r="L54" s="7">
        <f t="shared" si="31"/>
        <v>-63</v>
      </c>
      <c r="M54" s="2"/>
      <c r="N54" s="6">
        <f t="shared" si="32"/>
        <v>-1</v>
      </c>
      <c r="O54" s="11"/>
      <c r="P54" s="7">
        <v>63.55</v>
      </c>
      <c r="Q54" s="2"/>
      <c r="R54" s="6">
        <f t="shared" si="33"/>
        <v>6.928576065507526E-6</v>
      </c>
      <c r="S54" s="2"/>
      <c r="T54" s="7">
        <v>675</v>
      </c>
      <c r="U54" s="2"/>
      <c r="V54" s="6">
        <f t="shared" si="34"/>
        <v>6.0659408206813535E-5</v>
      </c>
      <c r="W54" s="2"/>
      <c r="X54" s="7">
        <f t="shared" si="35"/>
        <v>-611.45000000000005</v>
      </c>
      <c r="Y54" s="2"/>
      <c r="Z54" s="6">
        <f t="shared" si="36"/>
        <v>-0.90585185185185191</v>
      </c>
    </row>
    <row r="55" spans="1:26" s="24" customFormat="1" hidden="1" outlineLevel="2" x14ac:dyDescent="0.25">
      <c r="A55" s="26"/>
      <c r="B55" s="11" t="str">
        <f>CONCATENATE("          ", "6342", " - ", "BAD DEBT")</f>
        <v xml:space="preserve">          6342 - BAD DEBT</v>
      </c>
      <c r="C55" s="11"/>
      <c r="D55" s="7"/>
      <c r="E55" s="2"/>
      <c r="F55" s="6">
        <f t="shared" si="29"/>
        <v>0</v>
      </c>
      <c r="G55" s="2"/>
      <c r="H55" s="7">
        <v>50</v>
      </c>
      <c r="I55" s="2"/>
      <c r="J55" s="6">
        <f t="shared" si="30"/>
        <v>7.3951807086357962E-5</v>
      </c>
      <c r="K55" s="2"/>
      <c r="L55" s="7">
        <f t="shared" si="31"/>
        <v>-50</v>
      </c>
      <c r="M55" s="2"/>
      <c r="N55" s="6">
        <f t="shared" si="32"/>
        <v>-1</v>
      </c>
      <c r="O55" s="11"/>
      <c r="P55" s="7"/>
      <c r="Q55" s="2"/>
      <c r="R55" s="6">
        <f t="shared" si="33"/>
        <v>0</v>
      </c>
      <c r="S55" s="2"/>
      <c r="T55" s="7">
        <v>500</v>
      </c>
      <c r="U55" s="2"/>
      <c r="V55" s="6">
        <f t="shared" si="34"/>
        <v>4.4932894968010023E-5</v>
      </c>
      <c r="W55" s="2"/>
      <c r="X55" s="7">
        <f t="shared" si="35"/>
        <v>-500</v>
      </c>
      <c r="Y55" s="2"/>
      <c r="Z55" s="6">
        <f t="shared" si="36"/>
        <v>-1</v>
      </c>
    </row>
    <row r="56" spans="1:26" s="27" customFormat="1" outlineLevel="1" collapsed="1" x14ac:dyDescent="0.25">
      <c r="A56" s="25"/>
      <c r="B56" s="12" t="str">
        <f>CONCATENATE("     ","Bank/card Fees                                    ")</f>
        <v xml:space="preserve">     Bank/card Fees                                    </v>
      </c>
      <c r="C56" s="12"/>
      <c r="D56" s="1">
        <f>SUM(OSRRefD22_4x_0)</f>
        <v>29.5</v>
      </c>
      <c r="E56" s="1"/>
      <c r="F56" s="5">
        <f t="shared" ref="F56:F62" si="37">IF(D$12=0,0,D56/D$12)</f>
        <v>2.4068629698665653E-4</v>
      </c>
      <c r="G56" s="1"/>
      <c r="H56" s="1">
        <f>SUM(OSRRefH22_4x_0)</f>
        <v>431</v>
      </c>
      <c r="I56" s="1"/>
      <c r="J56" s="5">
        <f t="shared" ref="J56:J62" si="38">IF(H$12=0,0,H56/H$12)</f>
        <v>6.3746457708440567E-4</v>
      </c>
      <c r="K56" s="1"/>
      <c r="L56" s="1">
        <f t="shared" ref="L56:L62" si="39">+D56-H56</f>
        <v>-401.5</v>
      </c>
      <c r="M56" s="1"/>
      <c r="N56" s="5">
        <f t="shared" ref="N56:N62" si="40">IF(H56=0,0,L56/H56)</f>
        <v>-0.93155452436194897</v>
      </c>
      <c r="O56" s="12"/>
      <c r="P56" s="1">
        <f>SUM(OSRRefP22_4x_0)</f>
        <v>3181.84</v>
      </c>
      <c r="Q56" s="1"/>
      <c r="R56" s="5">
        <f t="shared" ref="R56:R62" si="41">IF(P$12=0,0,P56/P$12)</f>
        <v>3.4690197432375247E-4</v>
      </c>
      <c r="S56" s="1"/>
      <c r="T56" s="1">
        <f>SUM(OSRRefT22_4x_0)</f>
        <v>4804</v>
      </c>
      <c r="U56" s="1"/>
      <c r="V56" s="5">
        <f t="shared" ref="V56:V62" si="42">IF(T$12=0,0,T56/T$12)</f>
        <v>4.3171525485264034E-4</v>
      </c>
      <c r="W56" s="1"/>
      <c r="X56" s="1">
        <f t="shared" ref="X56:X62" si="43">+P56-T56</f>
        <v>-1622.1599999999999</v>
      </c>
      <c r="Y56" s="1"/>
      <c r="Z56" s="5">
        <f t="shared" ref="Z56:Z62" si="44">IF(T56=0,0,X56/T56)</f>
        <v>-0.33766860949208988</v>
      </c>
    </row>
    <row r="57" spans="1:26" s="24" customFormat="1" hidden="1" outlineLevel="2" x14ac:dyDescent="0.25">
      <c r="A57" s="26"/>
      <c r="B57" s="11" t="str">
        <f>CONCATENATE("          ", "6381", " - ", "BANK/CREDIT CARD FEES")</f>
        <v xml:space="preserve">          6381 - BANK/CREDIT CARD FEES</v>
      </c>
      <c r="C57" s="11"/>
      <c r="D57" s="7">
        <v>29.5</v>
      </c>
      <c r="E57" s="2"/>
      <c r="F57" s="6">
        <f t="shared" si="37"/>
        <v>2.4068629698665653E-4</v>
      </c>
      <c r="G57" s="2"/>
      <c r="H57" s="7">
        <v>431</v>
      </c>
      <c r="I57" s="2"/>
      <c r="J57" s="6">
        <f t="shared" si="38"/>
        <v>6.3746457708440567E-4</v>
      </c>
      <c r="K57" s="2"/>
      <c r="L57" s="7">
        <f t="shared" si="39"/>
        <v>-401.5</v>
      </c>
      <c r="M57" s="2"/>
      <c r="N57" s="6">
        <f t="shared" si="40"/>
        <v>-0.93155452436194897</v>
      </c>
      <c r="O57" s="11"/>
      <c r="P57" s="7">
        <v>3181.84</v>
      </c>
      <c r="Q57" s="2"/>
      <c r="R57" s="6">
        <f t="shared" si="41"/>
        <v>3.4690197432375247E-4</v>
      </c>
      <c r="S57" s="2"/>
      <c r="T57" s="7">
        <v>4804</v>
      </c>
      <c r="U57" s="2"/>
      <c r="V57" s="6">
        <f t="shared" si="42"/>
        <v>4.3171525485264034E-4</v>
      </c>
      <c r="W57" s="2"/>
      <c r="X57" s="7">
        <f t="shared" si="43"/>
        <v>-1622.1599999999999</v>
      </c>
      <c r="Y57" s="2"/>
      <c r="Z57" s="6">
        <f t="shared" si="44"/>
        <v>-0.33766860949208988</v>
      </c>
    </row>
    <row r="58" spans="1:26" s="27" customFormat="1" outlineLevel="1" collapsed="1" x14ac:dyDescent="0.25">
      <c r="A58" s="25"/>
      <c r="B58" s="12" t="str">
        <f>CONCATENATE("     ","Depreciation                                      ")</f>
        <v xml:space="preserve">     Depreciation                                      </v>
      </c>
      <c r="C58" s="12"/>
      <c r="D58" s="1">
        <f>SUM(OSRRefD22_5x_0)</f>
        <v>213.02</v>
      </c>
      <c r="E58" s="1"/>
      <c r="F58" s="5">
        <f t="shared" si="37"/>
        <v>1.7379998299694094E-3</v>
      </c>
      <c r="G58" s="1"/>
      <c r="H58" s="1">
        <f>SUM(OSRRefH22_5x_0)</f>
        <v>0</v>
      </c>
      <c r="I58" s="1"/>
      <c r="J58" s="5">
        <f t="shared" si="38"/>
        <v>0</v>
      </c>
      <c r="K58" s="1"/>
      <c r="L58" s="1">
        <f t="shared" si="39"/>
        <v>213.02</v>
      </c>
      <c r="M58" s="1"/>
      <c r="N58" s="5">
        <f t="shared" si="40"/>
        <v>0</v>
      </c>
      <c r="O58" s="12"/>
      <c r="P58" s="1">
        <f>SUM(OSRRefP22_5x_0)</f>
        <v>639.05999999999995</v>
      </c>
      <c r="Q58" s="1"/>
      <c r="R58" s="5">
        <f t="shared" si="41"/>
        <v>6.9673891745448299E-5</v>
      </c>
      <c r="S58" s="1"/>
      <c r="T58" s="1">
        <f>SUM(OSRRefT22_5x_0)</f>
        <v>0</v>
      </c>
      <c r="U58" s="1"/>
      <c r="V58" s="5">
        <f t="shared" si="42"/>
        <v>0</v>
      </c>
      <c r="W58" s="1"/>
      <c r="X58" s="1">
        <f t="shared" si="43"/>
        <v>639.05999999999995</v>
      </c>
      <c r="Y58" s="1"/>
      <c r="Z58" s="5">
        <f t="shared" si="44"/>
        <v>0</v>
      </c>
    </row>
    <row r="59" spans="1:26" s="24" customFormat="1" hidden="1" outlineLevel="2" x14ac:dyDescent="0.25">
      <c r="A59" s="26"/>
      <c r="B59" s="11" t="str">
        <f>CONCATENATE("          ", "6322", " - ", "EQUIPMENT DEPRECIATION EXPENSE")</f>
        <v xml:space="preserve">          6322 - EQUIPMENT DEPRECIATION EXPENSE</v>
      </c>
      <c r="C59" s="11"/>
      <c r="D59" s="7">
        <v>213.02</v>
      </c>
      <c r="E59" s="2"/>
      <c r="F59" s="6">
        <f t="shared" si="37"/>
        <v>1.7379998299694094E-3</v>
      </c>
      <c r="G59" s="2"/>
      <c r="H59" s="7"/>
      <c r="I59" s="2"/>
      <c r="J59" s="6">
        <f t="shared" si="38"/>
        <v>0</v>
      </c>
      <c r="K59" s="2"/>
      <c r="L59" s="7">
        <f t="shared" si="39"/>
        <v>213.02</v>
      </c>
      <c r="M59" s="2"/>
      <c r="N59" s="6">
        <f t="shared" si="40"/>
        <v>0</v>
      </c>
      <c r="O59" s="11"/>
      <c r="P59" s="7">
        <v>639.05999999999995</v>
      </c>
      <c r="Q59" s="2"/>
      <c r="R59" s="6">
        <f t="shared" si="41"/>
        <v>6.9673891745448299E-5</v>
      </c>
      <c r="S59" s="2"/>
      <c r="T59" s="7"/>
      <c r="U59" s="2"/>
      <c r="V59" s="6">
        <f t="shared" si="42"/>
        <v>0</v>
      </c>
      <c r="W59" s="2"/>
      <c r="X59" s="7">
        <f t="shared" si="43"/>
        <v>639.05999999999995</v>
      </c>
      <c r="Y59" s="2"/>
      <c r="Z59" s="6">
        <f t="shared" si="44"/>
        <v>0</v>
      </c>
    </row>
    <row r="60" spans="1:26" s="27" customFormat="1" outlineLevel="1" collapsed="1" x14ac:dyDescent="0.25">
      <c r="A60" s="25"/>
      <c r="B60" s="12" t="str">
        <f>CONCATENATE("     ","Donations                                         ")</f>
        <v xml:space="preserve">     Donations                                         </v>
      </c>
      <c r="C60" s="12"/>
      <c r="D60" s="1">
        <f>SUM(OSRRefD22_6x_0)</f>
        <v>17557.53</v>
      </c>
      <c r="E60" s="1"/>
      <c r="F60" s="5">
        <f t="shared" si="37"/>
        <v>0.14324938576041124</v>
      </c>
      <c r="G60" s="1"/>
      <c r="H60" s="1">
        <f>SUM(OSRRefH22_6x_0)</f>
        <v>9716</v>
      </c>
      <c r="I60" s="1"/>
      <c r="J60" s="5">
        <f t="shared" si="38"/>
        <v>1.437031515302108E-2</v>
      </c>
      <c r="K60" s="1"/>
      <c r="L60" s="1">
        <f t="shared" si="39"/>
        <v>7841.5299999999988</v>
      </c>
      <c r="M60" s="1"/>
      <c r="N60" s="5">
        <f t="shared" si="40"/>
        <v>0.80707389872375446</v>
      </c>
      <c r="O60" s="12"/>
      <c r="P60" s="1">
        <f>SUM(OSRRefP22_6x_0)</f>
        <v>137701.38</v>
      </c>
      <c r="Q60" s="1"/>
      <c r="R60" s="5">
        <f t="shared" si="41"/>
        <v>1.5012973810469817E-2</v>
      </c>
      <c r="S60" s="1"/>
      <c r="T60" s="1">
        <f>SUM(OSRRefT22_6x_0)</f>
        <v>134708</v>
      </c>
      <c r="U60" s="1"/>
      <c r="V60" s="5">
        <f t="shared" si="42"/>
        <v>1.2105640830701389E-2</v>
      </c>
      <c r="W60" s="1"/>
      <c r="X60" s="1">
        <f t="shared" si="43"/>
        <v>2993.3800000000047</v>
      </c>
      <c r="Y60" s="1"/>
      <c r="Z60" s="5">
        <f t="shared" si="44"/>
        <v>2.2221248923597742E-2</v>
      </c>
    </row>
    <row r="61" spans="1:26" s="24" customFormat="1" hidden="1" outlineLevel="2" x14ac:dyDescent="0.25">
      <c r="A61" s="26"/>
      <c r="B61" s="11" t="str">
        <f>CONCATENATE("          ", "6396", " - ", "COUPONS-CHARTROOM")</f>
        <v xml:space="preserve">          6396 - COUPONS-CHARTROOM</v>
      </c>
      <c r="C61" s="11"/>
      <c r="D61" s="7"/>
      <c r="E61" s="2"/>
      <c r="F61" s="6">
        <f t="shared" si="37"/>
        <v>0</v>
      </c>
      <c r="G61" s="2"/>
      <c r="H61" s="7">
        <v>100</v>
      </c>
      <c r="I61" s="2"/>
      <c r="J61" s="6">
        <f t="shared" si="38"/>
        <v>1.4790361417271592E-4</v>
      </c>
      <c r="K61" s="2"/>
      <c r="L61" s="7">
        <f t="shared" si="39"/>
        <v>-100</v>
      </c>
      <c r="M61" s="2"/>
      <c r="N61" s="6">
        <f t="shared" si="40"/>
        <v>-1</v>
      </c>
      <c r="O61" s="11"/>
      <c r="P61" s="7"/>
      <c r="Q61" s="2"/>
      <c r="R61" s="6">
        <f t="shared" si="41"/>
        <v>0</v>
      </c>
      <c r="S61" s="2"/>
      <c r="T61" s="7">
        <v>1100</v>
      </c>
      <c r="U61" s="2"/>
      <c r="V61" s="6">
        <f t="shared" si="42"/>
        <v>9.8852368929622049E-5</v>
      </c>
      <c r="W61" s="2"/>
      <c r="X61" s="7">
        <f t="shared" si="43"/>
        <v>-1100</v>
      </c>
      <c r="Y61" s="2"/>
      <c r="Z61" s="6">
        <f t="shared" si="44"/>
        <v>-1</v>
      </c>
    </row>
    <row r="62" spans="1:26" s="24" customFormat="1" hidden="1" outlineLevel="2" x14ac:dyDescent="0.25">
      <c r="A62" s="26"/>
      <c r="B62" s="11" t="str">
        <f>CONCATENATE("          ", "6399", " - ", "DONATION-ON CAMPUS")</f>
        <v xml:space="preserve">          6399 - DONATION-ON CAMPUS</v>
      </c>
      <c r="C62" s="11"/>
      <c r="D62" s="7">
        <v>17557.53</v>
      </c>
      <c r="E62" s="2"/>
      <c r="F62" s="6">
        <f t="shared" si="37"/>
        <v>0.14324938576041124</v>
      </c>
      <c r="G62" s="2"/>
      <c r="H62" s="7">
        <v>9616</v>
      </c>
      <c r="I62" s="2"/>
      <c r="J62" s="6">
        <f t="shared" si="38"/>
        <v>1.4222411538848363E-2</v>
      </c>
      <c r="K62" s="2"/>
      <c r="L62" s="7">
        <f t="shared" si="39"/>
        <v>7941.5299999999988</v>
      </c>
      <c r="M62" s="2"/>
      <c r="N62" s="6">
        <f t="shared" si="40"/>
        <v>0.82586626455906809</v>
      </c>
      <c r="O62" s="11"/>
      <c r="P62" s="7">
        <v>137701.38</v>
      </c>
      <c r="Q62" s="2"/>
      <c r="R62" s="6">
        <f t="shared" si="41"/>
        <v>1.5012973810469817E-2</v>
      </c>
      <c r="S62" s="2"/>
      <c r="T62" s="7">
        <v>133608</v>
      </c>
      <c r="U62" s="2"/>
      <c r="V62" s="6">
        <f t="shared" si="42"/>
        <v>1.2006788461771768E-2</v>
      </c>
      <c r="W62" s="2"/>
      <c r="X62" s="7">
        <f t="shared" si="43"/>
        <v>4093.3800000000047</v>
      </c>
      <c r="Y62" s="2"/>
      <c r="Z62" s="6">
        <f t="shared" si="44"/>
        <v>3.0637237291180203E-2</v>
      </c>
    </row>
    <row r="63" spans="1:26" s="27" customFormat="1" outlineLevel="1" collapsed="1" x14ac:dyDescent="0.25">
      <c r="A63" s="25"/>
      <c r="B63" s="12" t="str">
        <f>CONCATENATE("     ","Employees' Appreciation                           ")</f>
        <v xml:space="preserve">     Employees' Appreciation                           </v>
      </c>
      <c r="C63" s="12"/>
      <c r="D63" s="1">
        <f>SUM(OSRRefD22_7x_0)</f>
        <v>0</v>
      </c>
      <c r="E63" s="1"/>
      <c r="F63" s="5">
        <f t="shared" ref="F63:F79" si="45">IF(D$12=0,0,D63/D$12)</f>
        <v>0</v>
      </c>
      <c r="G63" s="1"/>
      <c r="H63" s="1">
        <f>SUM(OSRRefH22_7x_0)</f>
        <v>605</v>
      </c>
      <c r="I63" s="1"/>
      <c r="J63" s="5">
        <f t="shared" ref="J63:J79" si="46">IF(H$12=0,0,H63/H$12)</f>
        <v>8.9481686574493136E-4</v>
      </c>
      <c r="K63" s="1"/>
      <c r="L63" s="1">
        <f t="shared" ref="L63:L79" si="47">+D63-H63</f>
        <v>-605</v>
      </c>
      <c r="M63" s="1"/>
      <c r="N63" s="5">
        <f t="shared" ref="N63:N79" si="48">IF(H63=0,0,L63/H63)</f>
        <v>-1</v>
      </c>
      <c r="O63" s="12"/>
      <c r="P63" s="1">
        <f>SUM(OSRRefP22_7x_0)</f>
        <v>1798.43</v>
      </c>
      <c r="Q63" s="1"/>
      <c r="R63" s="5">
        <f t="shared" ref="R63:R79" si="49">IF(P$12=0,0,P63/P$12)</f>
        <v>1.9607488675831158E-4</v>
      </c>
      <c r="S63" s="1"/>
      <c r="T63" s="1">
        <f>SUM(OSRRefT22_7x_0)</f>
        <v>7465</v>
      </c>
      <c r="U63" s="1"/>
      <c r="V63" s="5">
        <f t="shared" ref="V63:V79" si="50">IF(T$12=0,0,T63/T$12)</f>
        <v>6.7084812187238971E-4</v>
      </c>
      <c r="W63" s="1"/>
      <c r="X63" s="1">
        <f t="shared" ref="X63:X79" si="51">+P63-T63</f>
        <v>-5666.57</v>
      </c>
      <c r="Y63" s="1"/>
      <c r="Z63" s="5">
        <f t="shared" ref="Z63:Z79" si="52">IF(T63=0,0,X63/T63)</f>
        <v>-0.75908506363027461</v>
      </c>
    </row>
    <row r="64" spans="1:26" s="24" customFormat="1" hidden="1" outlineLevel="2" x14ac:dyDescent="0.25">
      <c r="A64" s="26"/>
      <c r="B64" s="11" t="str">
        <f>CONCATENATE("          ", "6277", " - ", "EMPLOYEE APPRECIATION")</f>
        <v xml:space="preserve">          6277 - EMPLOYEE APPRECIATION</v>
      </c>
      <c r="C64" s="11"/>
      <c r="D64" s="7"/>
      <c r="E64" s="2"/>
      <c r="F64" s="6">
        <f t="shared" si="45"/>
        <v>0</v>
      </c>
      <c r="G64" s="2"/>
      <c r="H64" s="7">
        <v>605</v>
      </c>
      <c r="I64" s="2"/>
      <c r="J64" s="6">
        <f t="shared" si="46"/>
        <v>8.9481686574493136E-4</v>
      </c>
      <c r="K64" s="2"/>
      <c r="L64" s="7">
        <f t="shared" si="47"/>
        <v>-605</v>
      </c>
      <c r="M64" s="2"/>
      <c r="N64" s="6">
        <f t="shared" si="48"/>
        <v>-1</v>
      </c>
      <c r="O64" s="11"/>
      <c r="P64" s="7">
        <v>1798.43</v>
      </c>
      <c r="Q64" s="2"/>
      <c r="R64" s="6">
        <f t="shared" si="49"/>
        <v>1.9607488675831158E-4</v>
      </c>
      <c r="S64" s="2"/>
      <c r="T64" s="7">
        <v>7465</v>
      </c>
      <c r="U64" s="2"/>
      <c r="V64" s="6">
        <f t="shared" si="50"/>
        <v>6.7084812187238971E-4</v>
      </c>
      <c r="W64" s="2"/>
      <c r="X64" s="7">
        <f t="shared" si="51"/>
        <v>-5666.57</v>
      </c>
      <c r="Y64" s="2"/>
      <c r="Z64" s="6">
        <f t="shared" si="52"/>
        <v>-0.75908506363027461</v>
      </c>
    </row>
    <row r="65" spans="1:26" s="27" customFormat="1" outlineLevel="1" collapsed="1" x14ac:dyDescent="0.25">
      <c r="A65" s="25"/>
      <c r="B65" s="12" t="str">
        <f>CONCATENATE("     ","Equipment Rental                                  ")</f>
        <v xml:space="preserve">     Equipment Rental                                  </v>
      </c>
      <c r="C65" s="12"/>
      <c r="D65" s="1">
        <f>SUM(OSRRefD22_8x_0)</f>
        <v>91.26</v>
      </c>
      <c r="E65" s="1"/>
      <c r="F65" s="5">
        <f t="shared" si="45"/>
        <v>7.4457733772889071E-4</v>
      </c>
      <c r="G65" s="1"/>
      <c r="H65" s="1">
        <f>SUM(OSRRefH22_8x_0)</f>
        <v>670</v>
      </c>
      <c r="I65" s="1"/>
      <c r="J65" s="5">
        <f t="shared" si="46"/>
        <v>9.9095421495719663E-4</v>
      </c>
      <c r="K65" s="1"/>
      <c r="L65" s="1">
        <f t="shared" si="47"/>
        <v>-578.74</v>
      </c>
      <c r="M65" s="1"/>
      <c r="N65" s="5">
        <f t="shared" si="48"/>
        <v>-0.86379104477611945</v>
      </c>
      <c r="O65" s="12"/>
      <c r="P65" s="1">
        <f>SUM(OSRRefP22_8x_0)</f>
        <v>4950.8599999999997</v>
      </c>
      <c r="Q65" s="1"/>
      <c r="R65" s="5">
        <f t="shared" si="49"/>
        <v>5.3977041856299911E-4</v>
      </c>
      <c r="S65" s="1"/>
      <c r="T65" s="1">
        <f>SUM(OSRRefT22_8x_0)</f>
        <v>7570</v>
      </c>
      <c r="U65" s="1"/>
      <c r="V65" s="5">
        <f t="shared" si="50"/>
        <v>6.8028402981567182E-4</v>
      </c>
      <c r="W65" s="1"/>
      <c r="X65" s="1">
        <f t="shared" si="51"/>
        <v>-2619.1400000000003</v>
      </c>
      <c r="Y65" s="1"/>
      <c r="Z65" s="5">
        <f t="shared" si="52"/>
        <v>-0.34598943196829596</v>
      </c>
    </row>
    <row r="66" spans="1:26" s="24" customFormat="1" hidden="1" outlineLevel="2" x14ac:dyDescent="0.25">
      <c r="A66" s="26"/>
      <c r="B66" s="11" t="str">
        <f>CONCATENATE("          ", "6351", " - ", "EQUIPMENT RENTAL")</f>
        <v xml:space="preserve">          6351 - EQUIPMENT RENTAL</v>
      </c>
      <c r="C66" s="11"/>
      <c r="D66" s="7">
        <v>91.26</v>
      </c>
      <c r="E66" s="2"/>
      <c r="F66" s="6">
        <f t="shared" si="45"/>
        <v>7.4457733772889071E-4</v>
      </c>
      <c r="G66" s="2"/>
      <c r="H66" s="7">
        <v>670</v>
      </c>
      <c r="I66" s="2"/>
      <c r="J66" s="6">
        <f t="shared" si="46"/>
        <v>9.9095421495719663E-4</v>
      </c>
      <c r="K66" s="2"/>
      <c r="L66" s="7">
        <f t="shared" si="47"/>
        <v>-578.74</v>
      </c>
      <c r="M66" s="2"/>
      <c r="N66" s="6">
        <f t="shared" si="48"/>
        <v>-0.86379104477611945</v>
      </c>
      <c r="O66" s="11"/>
      <c r="P66" s="7">
        <v>4950.8599999999997</v>
      </c>
      <c r="Q66" s="2"/>
      <c r="R66" s="6">
        <f t="shared" si="49"/>
        <v>5.3977041856299911E-4</v>
      </c>
      <c r="S66" s="2"/>
      <c r="T66" s="7">
        <v>7570</v>
      </c>
      <c r="U66" s="2"/>
      <c r="V66" s="6">
        <f t="shared" si="50"/>
        <v>6.8028402981567182E-4</v>
      </c>
      <c r="W66" s="2"/>
      <c r="X66" s="7">
        <f t="shared" si="51"/>
        <v>-2619.1400000000003</v>
      </c>
      <c r="Y66" s="2"/>
      <c r="Z66" s="6">
        <f t="shared" si="52"/>
        <v>-0.34598943196829596</v>
      </c>
    </row>
    <row r="67" spans="1:26" s="27" customFormat="1" outlineLevel="1" collapsed="1" x14ac:dyDescent="0.25">
      <c r="A67" s="25"/>
      <c r="B67" s="12" t="str">
        <f>CONCATENATE("     ","Freight out/Postage                               ")</f>
        <v xml:space="preserve">     Freight out/Postage                               </v>
      </c>
      <c r="C67" s="12"/>
      <c r="D67" s="1">
        <f>SUM(OSRRefD22_9x_0)</f>
        <v>0</v>
      </c>
      <c r="E67" s="1"/>
      <c r="F67" s="5">
        <f t="shared" si="45"/>
        <v>0</v>
      </c>
      <c r="G67" s="1"/>
      <c r="H67" s="1">
        <f>SUM(OSRRefH22_9x_0)</f>
        <v>1</v>
      </c>
      <c r="I67" s="1"/>
      <c r="J67" s="5">
        <f t="shared" si="46"/>
        <v>1.4790361417271592E-6</v>
      </c>
      <c r="K67" s="1"/>
      <c r="L67" s="1">
        <f t="shared" si="47"/>
        <v>-1</v>
      </c>
      <c r="M67" s="1"/>
      <c r="N67" s="5">
        <f t="shared" si="48"/>
        <v>-1</v>
      </c>
      <c r="O67" s="12"/>
      <c r="P67" s="1">
        <f>SUM(OSRRefP22_9x_0)</f>
        <v>0</v>
      </c>
      <c r="Q67" s="1"/>
      <c r="R67" s="5">
        <f t="shared" si="49"/>
        <v>0</v>
      </c>
      <c r="S67" s="1"/>
      <c r="T67" s="1">
        <f>SUM(OSRRefT22_9x_0)</f>
        <v>11</v>
      </c>
      <c r="U67" s="1"/>
      <c r="V67" s="5">
        <f t="shared" si="50"/>
        <v>9.8852368929622055E-7</v>
      </c>
      <c r="W67" s="1"/>
      <c r="X67" s="1">
        <f t="shared" si="51"/>
        <v>-11</v>
      </c>
      <c r="Y67" s="1"/>
      <c r="Z67" s="5">
        <f t="shared" si="52"/>
        <v>-1</v>
      </c>
    </row>
    <row r="68" spans="1:26" s="24" customFormat="1" hidden="1" outlineLevel="2" x14ac:dyDescent="0.25">
      <c r="A68" s="26"/>
      <c r="B68" s="11" t="str">
        <f>CONCATENATE("          ", "6307", " - ", "POSTAGE")</f>
        <v xml:space="preserve">          6307 - POSTAGE</v>
      </c>
      <c r="C68" s="11"/>
      <c r="D68" s="7"/>
      <c r="E68" s="2"/>
      <c r="F68" s="6">
        <f t="shared" si="45"/>
        <v>0</v>
      </c>
      <c r="G68" s="2"/>
      <c r="H68" s="7">
        <v>1</v>
      </c>
      <c r="I68" s="2"/>
      <c r="J68" s="6">
        <f t="shared" si="46"/>
        <v>1.4790361417271592E-6</v>
      </c>
      <c r="K68" s="2"/>
      <c r="L68" s="7">
        <f t="shared" si="47"/>
        <v>-1</v>
      </c>
      <c r="M68" s="2"/>
      <c r="N68" s="6">
        <f t="shared" si="48"/>
        <v>-1</v>
      </c>
      <c r="O68" s="11"/>
      <c r="P68" s="7"/>
      <c r="Q68" s="2"/>
      <c r="R68" s="6">
        <f t="shared" si="49"/>
        <v>0</v>
      </c>
      <c r="S68" s="2"/>
      <c r="T68" s="7">
        <v>11</v>
      </c>
      <c r="U68" s="2"/>
      <c r="V68" s="6">
        <f t="shared" si="50"/>
        <v>9.8852368929622055E-7</v>
      </c>
      <c r="W68" s="2"/>
      <c r="X68" s="7">
        <f t="shared" si="51"/>
        <v>-11</v>
      </c>
      <c r="Y68" s="2"/>
      <c r="Z68" s="6">
        <f t="shared" si="52"/>
        <v>-1</v>
      </c>
    </row>
    <row r="69" spans="1:26" s="27" customFormat="1" outlineLevel="1" collapsed="1" x14ac:dyDescent="0.25">
      <c r="A69" s="25"/>
      <c r="B69" s="12" t="str">
        <f>CONCATENATE("     ","General                                           ")</f>
        <v xml:space="preserve">     General                                           </v>
      </c>
      <c r="C69" s="12"/>
      <c r="D69" s="1">
        <f>SUM(OSRRefD22_10x_0)</f>
        <v>0</v>
      </c>
      <c r="E69" s="1"/>
      <c r="F69" s="5">
        <f t="shared" si="45"/>
        <v>0</v>
      </c>
      <c r="G69" s="1"/>
      <c r="H69" s="1">
        <f>SUM(OSRRefH22_10x_0)</f>
        <v>1087</v>
      </c>
      <c r="I69" s="1"/>
      <c r="J69" s="5">
        <f t="shared" si="46"/>
        <v>1.6077122860574222E-3</v>
      </c>
      <c r="K69" s="1"/>
      <c r="L69" s="1">
        <f t="shared" si="47"/>
        <v>-1087</v>
      </c>
      <c r="M69" s="1"/>
      <c r="N69" s="5">
        <f t="shared" si="48"/>
        <v>-1</v>
      </c>
      <c r="O69" s="12"/>
      <c r="P69" s="1">
        <f>SUM(OSRRefP22_10x_0)</f>
        <v>9014.11</v>
      </c>
      <c r="Q69" s="1"/>
      <c r="R69" s="5">
        <f t="shared" si="49"/>
        <v>9.8276863568610637E-4</v>
      </c>
      <c r="S69" s="1"/>
      <c r="T69" s="1">
        <f>SUM(OSRRefT22_10x_0)</f>
        <v>14561</v>
      </c>
      <c r="U69" s="1"/>
      <c r="V69" s="5">
        <f t="shared" si="50"/>
        <v>1.3085357672583879E-3</v>
      </c>
      <c r="W69" s="1"/>
      <c r="X69" s="1">
        <f t="shared" si="51"/>
        <v>-5546.8899999999994</v>
      </c>
      <c r="Y69" s="1"/>
      <c r="Z69" s="5">
        <f t="shared" si="52"/>
        <v>-0.38094155621179859</v>
      </c>
    </row>
    <row r="70" spans="1:26" s="24" customFormat="1" hidden="1" outlineLevel="2" x14ac:dyDescent="0.25">
      <c r="A70" s="26"/>
      <c r="B70" s="11" t="str">
        <f>CONCATENATE("          ", "6279", " - ", "GENERAL EXPENSE")</f>
        <v xml:space="preserve">          6279 - GENERAL EXPENSE</v>
      </c>
      <c r="C70" s="11"/>
      <c r="D70" s="7"/>
      <c r="E70" s="2"/>
      <c r="F70" s="6">
        <f t="shared" si="45"/>
        <v>0</v>
      </c>
      <c r="G70" s="2"/>
      <c r="H70" s="7">
        <v>1087</v>
      </c>
      <c r="I70" s="2"/>
      <c r="J70" s="6">
        <f t="shared" si="46"/>
        <v>1.6077122860574222E-3</v>
      </c>
      <c r="K70" s="2"/>
      <c r="L70" s="7">
        <f t="shared" si="47"/>
        <v>-1087</v>
      </c>
      <c r="M70" s="2"/>
      <c r="N70" s="6">
        <f t="shared" si="48"/>
        <v>-1</v>
      </c>
      <c r="O70" s="11"/>
      <c r="P70" s="7">
        <v>9014.11</v>
      </c>
      <c r="Q70" s="2"/>
      <c r="R70" s="6">
        <f t="shared" si="49"/>
        <v>9.8276863568610637E-4</v>
      </c>
      <c r="S70" s="2"/>
      <c r="T70" s="7">
        <v>14561</v>
      </c>
      <c r="U70" s="2"/>
      <c r="V70" s="6">
        <f t="shared" si="50"/>
        <v>1.3085357672583879E-3</v>
      </c>
      <c r="W70" s="2"/>
      <c r="X70" s="7">
        <f t="shared" si="51"/>
        <v>-5546.8899999999994</v>
      </c>
      <c r="Y70" s="2"/>
      <c r="Z70" s="6">
        <f t="shared" si="52"/>
        <v>-0.38094155621179859</v>
      </c>
    </row>
    <row r="71" spans="1:26" s="27" customFormat="1" outlineLevel="1" collapsed="1" x14ac:dyDescent="0.25">
      <c r="A71" s="25"/>
      <c r="B71" s="12" t="str">
        <f>CONCATENATE("     ","Insurance                                         ")</f>
        <v xml:space="preserve">     Insurance                                         </v>
      </c>
      <c r="C71" s="12"/>
      <c r="D71" s="1">
        <f>SUM(OSRRefD22_11x_0)</f>
        <v>5.9</v>
      </c>
      <c r="E71" s="1"/>
      <c r="F71" s="5">
        <f t="shared" si="45"/>
        <v>4.8137259397331309E-5</v>
      </c>
      <c r="G71" s="1"/>
      <c r="H71" s="1">
        <f>SUM(OSRRefH22_11x_0)</f>
        <v>5</v>
      </c>
      <c r="I71" s="1"/>
      <c r="J71" s="5">
        <f t="shared" si="46"/>
        <v>7.3951807086357963E-6</v>
      </c>
      <c r="K71" s="1"/>
      <c r="L71" s="1">
        <f t="shared" si="47"/>
        <v>0.90000000000000036</v>
      </c>
      <c r="M71" s="1"/>
      <c r="N71" s="5">
        <f t="shared" si="48"/>
        <v>0.18000000000000008</v>
      </c>
      <c r="O71" s="12"/>
      <c r="P71" s="1">
        <f>SUM(OSRRefP22_11x_0)</f>
        <v>64.900000000000006</v>
      </c>
      <c r="Q71" s="1"/>
      <c r="R71" s="5">
        <f t="shared" si="49"/>
        <v>7.0757606082051695E-6</v>
      </c>
      <c r="S71" s="1"/>
      <c r="T71" s="1">
        <f>SUM(OSRRefT22_11x_0)</f>
        <v>55</v>
      </c>
      <c r="U71" s="1"/>
      <c r="V71" s="5">
        <f t="shared" si="50"/>
        <v>4.942618446481103E-6</v>
      </c>
      <c r="W71" s="1"/>
      <c r="X71" s="1">
        <f t="shared" si="51"/>
        <v>9.9000000000000057</v>
      </c>
      <c r="Y71" s="1"/>
      <c r="Z71" s="5">
        <f t="shared" si="52"/>
        <v>0.1800000000000001</v>
      </c>
    </row>
    <row r="72" spans="1:26" s="24" customFormat="1" hidden="1" outlineLevel="2" x14ac:dyDescent="0.25">
      <c r="A72" s="26"/>
      <c r="B72" s="11" t="str">
        <f>CONCATENATE("          ", "6314", " - ", "LIABILITY INSURANCE")</f>
        <v xml:space="preserve">          6314 - LIABILITY INSURANCE</v>
      </c>
      <c r="C72" s="11"/>
      <c r="D72" s="7">
        <v>5.9</v>
      </c>
      <c r="E72" s="2"/>
      <c r="F72" s="6">
        <f t="shared" si="45"/>
        <v>4.8137259397331309E-5</v>
      </c>
      <c r="G72" s="2"/>
      <c r="H72" s="7">
        <v>5</v>
      </c>
      <c r="I72" s="2"/>
      <c r="J72" s="6">
        <f t="shared" si="46"/>
        <v>7.3951807086357963E-6</v>
      </c>
      <c r="K72" s="2"/>
      <c r="L72" s="7">
        <f t="shared" si="47"/>
        <v>0.90000000000000036</v>
      </c>
      <c r="M72" s="2"/>
      <c r="N72" s="6">
        <f t="shared" si="48"/>
        <v>0.18000000000000008</v>
      </c>
      <c r="O72" s="11"/>
      <c r="P72" s="7">
        <v>64.900000000000006</v>
      </c>
      <c r="Q72" s="2"/>
      <c r="R72" s="6">
        <f t="shared" si="49"/>
        <v>7.0757606082051695E-6</v>
      </c>
      <c r="S72" s="2"/>
      <c r="T72" s="7">
        <v>55</v>
      </c>
      <c r="U72" s="2"/>
      <c r="V72" s="6">
        <f t="shared" si="50"/>
        <v>4.942618446481103E-6</v>
      </c>
      <c r="W72" s="2"/>
      <c r="X72" s="7">
        <f t="shared" si="51"/>
        <v>9.9000000000000057</v>
      </c>
      <c r="Y72" s="2"/>
      <c r="Z72" s="6">
        <f t="shared" si="52"/>
        <v>0.1800000000000001</v>
      </c>
    </row>
    <row r="73" spans="1:26" s="27" customFormat="1" outlineLevel="1" collapsed="1" x14ac:dyDescent="0.25">
      <c r="A73" s="25"/>
      <c r="B73" s="12" t="str">
        <f>CONCATENATE("     ","R/H Commissions                                   ")</f>
        <v xml:space="preserve">     R/H Commissions                                   </v>
      </c>
      <c r="C73" s="12"/>
      <c r="D73" s="1">
        <f>SUM(OSRRefD22_12x_0)</f>
        <v>8698.56</v>
      </c>
      <c r="E73" s="1"/>
      <c r="F73" s="5">
        <f t="shared" si="45"/>
        <v>7.0970311712415288E-2</v>
      </c>
      <c r="G73" s="1"/>
      <c r="H73" s="1">
        <f>SUM(OSRRefH22_12x_0)</f>
        <v>54076</v>
      </c>
      <c r="I73" s="1"/>
      <c r="J73" s="5">
        <f t="shared" si="46"/>
        <v>7.9980358400037865E-2</v>
      </c>
      <c r="K73" s="1"/>
      <c r="L73" s="1">
        <f t="shared" si="47"/>
        <v>-45377.440000000002</v>
      </c>
      <c r="M73" s="1"/>
      <c r="N73" s="5">
        <f t="shared" si="48"/>
        <v>-0.83914194836896228</v>
      </c>
      <c r="O73" s="12"/>
      <c r="P73" s="1">
        <f>SUM(OSRRefP22_12x_0)</f>
        <v>714561.85000000009</v>
      </c>
      <c r="Q73" s="1"/>
      <c r="R73" s="5">
        <f t="shared" si="49"/>
        <v>7.7905525275134224E-2</v>
      </c>
      <c r="S73" s="1"/>
      <c r="T73" s="1">
        <f>SUM(OSRRefT22_12x_0)</f>
        <v>890097</v>
      </c>
      <c r="U73" s="1"/>
      <c r="V73" s="5">
        <f t="shared" si="50"/>
        <v>7.9989270024681633E-2</v>
      </c>
      <c r="W73" s="1"/>
      <c r="X73" s="1">
        <f t="shared" si="51"/>
        <v>-175535.14999999991</v>
      </c>
      <c r="Y73" s="1"/>
      <c r="Z73" s="5">
        <f t="shared" si="52"/>
        <v>-0.19720901205149541</v>
      </c>
    </row>
    <row r="74" spans="1:26" s="24" customFormat="1" hidden="1" outlineLevel="2" x14ac:dyDescent="0.25">
      <c r="A74" s="26"/>
      <c r="B74" s="11" t="str">
        <f>CONCATENATE("          ", "6387", " - ", "COMMISSION DUE HOUSING")</f>
        <v xml:space="preserve">          6387 - COMMISSION DUE HOUSING</v>
      </c>
      <c r="C74" s="11"/>
      <c r="D74" s="7">
        <v>8698.56</v>
      </c>
      <c r="E74" s="2"/>
      <c r="F74" s="6">
        <f t="shared" si="45"/>
        <v>7.0970311712415288E-2</v>
      </c>
      <c r="G74" s="2"/>
      <c r="H74" s="7">
        <v>54076</v>
      </c>
      <c r="I74" s="2"/>
      <c r="J74" s="6">
        <f t="shared" si="46"/>
        <v>7.9980358400037865E-2</v>
      </c>
      <c r="K74" s="2"/>
      <c r="L74" s="7">
        <f t="shared" si="47"/>
        <v>-45377.440000000002</v>
      </c>
      <c r="M74" s="2"/>
      <c r="N74" s="6">
        <f t="shared" si="48"/>
        <v>-0.83914194836896228</v>
      </c>
      <c r="O74" s="11"/>
      <c r="P74" s="7">
        <v>714561.85000000009</v>
      </c>
      <c r="Q74" s="2"/>
      <c r="R74" s="6">
        <f t="shared" si="49"/>
        <v>7.7905525275134224E-2</v>
      </c>
      <c r="S74" s="2"/>
      <c r="T74" s="7">
        <v>890097</v>
      </c>
      <c r="U74" s="2"/>
      <c r="V74" s="6">
        <f t="shared" si="50"/>
        <v>7.9989270024681633E-2</v>
      </c>
      <c r="W74" s="2"/>
      <c r="X74" s="7">
        <f t="shared" si="51"/>
        <v>-175535.14999999991</v>
      </c>
      <c r="Y74" s="2"/>
      <c r="Z74" s="6">
        <f t="shared" si="52"/>
        <v>-0.19720901205149541</v>
      </c>
    </row>
    <row r="75" spans="1:26" s="27" customFormat="1" outlineLevel="1" collapsed="1" x14ac:dyDescent="0.25">
      <c r="A75" s="25"/>
      <c r="B75" s="12" t="str">
        <f>CONCATENATE("     ","Repair and Maintenance                            ")</f>
        <v xml:space="preserve">     Repair and Maintenance                            </v>
      </c>
      <c r="C75" s="12"/>
      <c r="D75" s="1">
        <f>SUM(OSRRefD22_13x_0)</f>
        <v>0.52</v>
      </c>
      <c r="E75" s="1"/>
      <c r="F75" s="5">
        <f t="shared" si="45"/>
        <v>4.2426059129851325E-6</v>
      </c>
      <c r="G75" s="1"/>
      <c r="H75" s="1">
        <f>SUM(OSRRefH22_13x_0)</f>
        <v>3737</v>
      </c>
      <c r="I75" s="1"/>
      <c r="J75" s="5">
        <f t="shared" si="46"/>
        <v>5.5271580616343937E-3</v>
      </c>
      <c r="K75" s="1"/>
      <c r="L75" s="1">
        <f t="shared" si="47"/>
        <v>-3736.48</v>
      </c>
      <c r="M75" s="1"/>
      <c r="N75" s="5">
        <f t="shared" si="48"/>
        <v>-0.99986085094995991</v>
      </c>
      <c r="O75" s="12"/>
      <c r="P75" s="1">
        <f>SUM(OSRRefP22_13x_0)</f>
        <v>64845.540000000008</v>
      </c>
      <c r="Q75" s="1"/>
      <c r="R75" s="5">
        <f t="shared" si="49"/>
        <v>7.0698230747271596E-3</v>
      </c>
      <c r="S75" s="1"/>
      <c r="T75" s="1">
        <f>SUM(OSRRefT22_13x_0)</f>
        <v>38617</v>
      </c>
      <c r="U75" s="1"/>
      <c r="V75" s="5">
        <f t="shared" si="50"/>
        <v>3.4703472099592864E-3</v>
      </c>
      <c r="W75" s="1"/>
      <c r="X75" s="1">
        <f t="shared" si="51"/>
        <v>26228.540000000008</v>
      </c>
      <c r="Y75" s="1"/>
      <c r="Z75" s="5">
        <f t="shared" si="52"/>
        <v>0.67919672683015275</v>
      </c>
    </row>
    <row r="76" spans="1:26" s="24" customFormat="1" hidden="1" outlineLevel="2" x14ac:dyDescent="0.25">
      <c r="A76" s="26"/>
      <c r="B76" s="11" t="str">
        <f>CONCATENATE("          ", "6371", " - ", "COMPUTER SOFTWARE MAINTENANCE")</f>
        <v xml:space="preserve">          6371 - COMPUTER SOFTWARE MAINTENANCE</v>
      </c>
      <c r="C76" s="11"/>
      <c r="D76" s="7"/>
      <c r="E76" s="2"/>
      <c r="F76" s="6">
        <f t="shared" si="45"/>
        <v>0</v>
      </c>
      <c r="G76" s="2"/>
      <c r="H76" s="7">
        <v>1497</v>
      </c>
      <c r="I76" s="2"/>
      <c r="J76" s="6">
        <f t="shared" si="46"/>
        <v>2.2141171041655575E-3</v>
      </c>
      <c r="K76" s="2"/>
      <c r="L76" s="7">
        <f t="shared" si="47"/>
        <v>-1497</v>
      </c>
      <c r="M76" s="2"/>
      <c r="N76" s="6">
        <f t="shared" si="48"/>
        <v>-1</v>
      </c>
      <c r="O76" s="11"/>
      <c r="P76" s="7">
        <v>63062.930000000008</v>
      </c>
      <c r="Q76" s="2"/>
      <c r="R76" s="6">
        <f t="shared" si="49"/>
        <v>6.8754729727580899E-3</v>
      </c>
      <c r="S76" s="2"/>
      <c r="T76" s="7">
        <v>25467</v>
      </c>
      <c r="U76" s="2"/>
      <c r="V76" s="6">
        <f t="shared" si="50"/>
        <v>2.2886120723006227E-3</v>
      </c>
      <c r="W76" s="2"/>
      <c r="X76" s="7">
        <f t="shared" si="51"/>
        <v>37595.930000000008</v>
      </c>
      <c r="Y76" s="2"/>
      <c r="Z76" s="6">
        <f t="shared" si="52"/>
        <v>1.4762606510385992</v>
      </c>
    </row>
    <row r="77" spans="1:26" s="24" customFormat="1" hidden="1" outlineLevel="2" x14ac:dyDescent="0.25">
      <c r="A77" s="26"/>
      <c r="B77" s="11" t="str">
        <f>CONCATENATE("          ", "6372", " - ", "COMPUTER HARDWARE MAINTENANCE")</f>
        <v xml:space="preserve">          6372 - COMPUTER HARDWARE MAINTENANCE</v>
      </c>
      <c r="C77" s="11"/>
      <c r="D77" s="7"/>
      <c r="E77" s="2"/>
      <c r="F77" s="6">
        <f t="shared" si="45"/>
        <v>0</v>
      </c>
      <c r="G77" s="2"/>
      <c r="H77" s="7"/>
      <c r="I77" s="2"/>
      <c r="J77" s="6">
        <f t="shared" si="46"/>
        <v>0</v>
      </c>
      <c r="K77" s="2"/>
      <c r="L77" s="7">
        <f t="shared" si="47"/>
        <v>0</v>
      </c>
      <c r="M77" s="2"/>
      <c r="N77" s="6">
        <f t="shared" si="48"/>
        <v>0</v>
      </c>
      <c r="O77" s="11"/>
      <c r="P77" s="7"/>
      <c r="Q77" s="2"/>
      <c r="R77" s="6">
        <f t="shared" si="49"/>
        <v>0</v>
      </c>
      <c r="S77" s="2"/>
      <c r="T77" s="7">
        <v>210</v>
      </c>
      <c r="U77" s="2"/>
      <c r="V77" s="6">
        <f t="shared" si="50"/>
        <v>1.8871815886564211E-5</v>
      </c>
      <c r="W77" s="2"/>
      <c r="X77" s="7">
        <f t="shared" si="51"/>
        <v>-210</v>
      </c>
      <c r="Y77" s="2"/>
      <c r="Z77" s="6">
        <f t="shared" si="52"/>
        <v>-1</v>
      </c>
    </row>
    <row r="78" spans="1:26" s="24" customFormat="1" hidden="1" outlineLevel="2" x14ac:dyDescent="0.25">
      <c r="A78" s="26"/>
      <c r="B78" s="11" t="str">
        <f>CONCATENATE("          ", "6373", " - ", "MAINTENANCE CONTRACTS")</f>
        <v xml:space="preserve">          6373 - MAINTENANCE CONTRACTS</v>
      </c>
      <c r="C78" s="11"/>
      <c r="D78" s="7">
        <v>0.52</v>
      </c>
      <c r="E78" s="2"/>
      <c r="F78" s="6">
        <f t="shared" si="45"/>
        <v>4.2426059129851325E-6</v>
      </c>
      <c r="G78" s="2"/>
      <c r="H78" s="7">
        <v>1730</v>
      </c>
      <c r="I78" s="2"/>
      <c r="J78" s="6">
        <f t="shared" si="46"/>
        <v>2.5587325251879853E-3</v>
      </c>
      <c r="K78" s="2"/>
      <c r="L78" s="7">
        <f t="shared" si="47"/>
        <v>-1729.48</v>
      </c>
      <c r="M78" s="2"/>
      <c r="N78" s="6">
        <f t="shared" si="48"/>
        <v>-0.99969942196531791</v>
      </c>
      <c r="O78" s="11"/>
      <c r="P78" s="7">
        <v>723.42</v>
      </c>
      <c r="Q78" s="2"/>
      <c r="R78" s="6">
        <f t="shared" si="49"/>
        <v>7.8871290280243186E-5</v>
      </c>
      <c r="S78" s="2"/>
      <c r="T78" s="7">
        <v>7330</v>
      </c>
      <c r="U78" s="2"/>
      <c r="V78" s="6">
        <f t="shared" si="50"/>
        <v>6.5871624023102697E-4</v>
      </c>
      <c r="W78" s="2"/>
      <c r="X78" s="7">
        <f t="shared" si="51"/>
        <v>-6606.58</v>
      </c>
      <c r="Y78" s="2"/>
      <c r="Z78" s="6">
        <f t="shared" si="52"/>
        <v>-0.90130695770804914</v>
      </c>
    </row>
    <row r="79" spans="1:26" s="24" customFormat="1" hidden="1" outlineLevel="2" x14ac:dyDescent="0.25">
      <c r="A79" s="26"/>
      <c r="B79" s="11" t="str">
        <f>CONCATENATE("          ", "6375", " - ", "OUTSIDE REPAIRS &amp; MAINTENANCE")</f>
        <v xml:space="preserve">          6375 - OUTSIDE REPAIRS &amp; MAINTENANCE</v>
      </c>
      <c r="C79" s="11"/>
      <c r="D79" s="7"/>
      <c r="E79" s="2"/>
      <c r="F79" s="6">
        <f t="shared" si="45"/>
        <v>0</v>
      </c>
      <c r="G79" s="2"/>
      <c r="H79" s="7">
        <v>510</v>
      </c>
      <c r="I79" s="2"/>
      <c r="J79" s="6">
        <f t="shared" si="46"/>
        <v>7.5430843228085117E-4</v>
      </c>
      <c r="K79" s="2"/>
      <c r="L79" s="7">
        <f t="shared" si="47"/>
        <v>-510</v>
      </c>
      <c r="M79" s="2"/>
      <c r="N79" s="6">
        <f t="shared" si="48"/>
        <v>-1</v>
      </c>
      <c r="O79" s="11"/>
      <c r="P79" s="7">
        <v>1059.19</v>
      </c>
      <c r="Q79" s="2"/>
      <c r="R79" s="6">
        <f t="shared" si="49"/>
        <v>1.1547881168882639E-4</v>
      </c>
      <c r="S79" s="2"/>
      <c r="T79" s="7">
        <v>5610</v>
      </c>
      <c r="U79" s="2"/>
      <c r="V79" s="6">
        <f t="shared" si="50"/>
        <v>5.0414708154107243E-4</v>
      </c>
      <c r="W79" s="2"/>
      <c r="X79" s="7">
        <f t="shared" si="51"/>
        <v>-4550.8099999999995</v>
      </c>
      <c r="Y79" s="2"/>
      <c r="Z79" s="6">
        <f t="shared" si="52"/>
        <v>-0.81119607843137242</v>
      </c>
    </row>
    <row r="80" spans="1:26" s="27" customFormat="1" outlineLevel="1" collapsed="1" x14ac:dyDescent="0.25">
      <c r="A80" s="25"/>
      <c r="B80" s="12" t="str">
        <f>CONCATENATE("     ","Services                                          ")</f>
        <v xml:space="preserve">     Services                                          </v>
      </c>
      <c r="C80" s="12"/>
      <c r="D80" s="1">
        <f>SUM(OSRRefD22_14x_0)</f>
        <v>7168.58</v>
      </c>
      <c r="E80" s="1"/>
      <c r="F80" s="5">
        <f t="shared" ref="F80:F84" si="53">IF(D$12=0,0,D80/D$12)</f>
        <v>5.8487422876359531E-2</v>
      </c>
      <c r="G80" s="1"/>
      <c r="H80" s="1">
        <f>SUM(OSRRefH22_14x_0)</f>
        <v>22185</v>
      </c>
      <c r="I80" s="1"/>
      <c r="J80" s="5">
        <f t="shared" ref="J80:J84" si="54">IF(H$12=0,0,H80/H$12)</f>
        <v>3.281241680421703E-2</v>
      </c>
      <c r="K80" s="1"/>
      <c r="L80" s="1">
        <f t="shared" ref="L80:L84" si="55">+D80-H80</f>
        <v>-15016.42</v>
      </c>
      <c r="M80" s="1"/>
      <c r="N80" s="5">
        <f t="shared" ref="N80:N84" si="56">IF(H80=0,0,L80/H80)</f>
        <v>-0.67687266170836147</v>
      </c>
      <c r="O80" s="12"/>
      <c r="P80" s="1">
        <f>SUM(OSRRefP22_14x_0)</f>
        <v>183032.39</v>
      </c>
      <c r="Q80" s="1"/>
      <c r="R80" s="5">
        <f t="shared" ref="R80:R84" si="57">IF(P$12=0,0,P80/P$12)</f>
        <v>1.9955213793338148E-2</v>
      </c>
      <c r="S80" s="1"/>
      <c r="T80" s="1">
        <f>SUM(OSRRefT22_14x_0)</f>
        <v>213619</v>
      </c>
      <c r="U80" s="1"/>
      <c r="V80" s="5">
        <f t="shared" ref="V80:V84" si="58">IF(T$12=0,0,T80/T$12)</f>
        <v>1.9197040180342666E-2</v>
      </c>
      <c r="W80" s="1"/>
      <c r="X80" s="1">
        <f t="shared" ref="X80:X84" si="59">+P80-T80</f>
        <v>-30586.609999999986</v>
      </c>
      <c r="Y80" s="1"/>
      <c r="Z80" s="5">
        <f t="shared" ref="Z80:Z84" si="60">IF(T80=0,0,X80/T80)</f>
        <v>-0.14318300338453033</v>
      </c>
    </row>
    <row r="81" spans="1:26" s="24" customFormat="1" hidden="1" outlineLevel="2" x14ac:dyDescent="0.25">
      <c r="A81" s="26"/>
      <c r="B81" s="11" t="str">
        <f>CONCATENATE("          ", "6282", " - ", "JANITORIAL/EXTERMINATOR EXPENS")</f>
        <v xml:space="preserve">          6282 - JANITORIAL/EXTERMINATOR EXPENS</v>
      </c>
      <c r="C81" s="11"/>
      <c r="D81" s="7">
        <v>1436.53</v>
      </c>
      <c r="E81" s="2"/>
      <c r="F81" s="6">
        <f t="shared" si="53"/>
        <v>1.1720443600347177E-2</v>
      </c>
      <c r="G81" s="2"/>
      <c r="H81" s="7">
        <v>1630</v>
      </c>
      <c r="I81" s="2"/>
      <c r="J81" s="6">
        <f t="shared" si="54"/>
        <v>2.4108289110152696E-3</v>
      </c>
      <c r="K81" s="2"/>
      <c r="L81" s="7">
        <f t="shared" si="55"/>
        <v>-193.47000000000003</v>
      </c>
      <c r="M81" s="2"/>
      <c r="N81" s="6">
        <f t="shared" si="56"/>
        <v>-0.11869325153374234</v>
      </c>
      <c r="O81" s="11"/>
      <c r="P81" s="7">
        <v>18297.830000000002</v>
      </c>
      <c r="Q81" s="2"/>
      <c r="R81" s="6">
        <f t="shared" si="57"/>
        <v>1.9949316599327397E-3</v>
      </c>
      <c r="S81" s="2"/>
      <c r="T81" s="7">
        <v>17930</v>
      </c>
      <c r="U81" s="2"/>
      <c r="V81" s="6">
        <f t="shared" si="58"/>
        <v>1.6112936135528396E-3</v>
      </c>
      <c r="W81" s="2"/>
      <c r="X81" s="7">
        <f t="shared" si="59"/>
        <v>367.83000000000175</v>
      </c>
      <c r="Y81" s="2"/>
      <c r="Z81" s="6">
        <f t="shared" si="60"/>
        <v>2.0514779698828877E-2</v>
      </c>
    </row>
    <row r="82" spans="1:26" s="24" customFormat="1" hidden="1" outlineLevel="2" x14ac:dyDescent="0.25">
      <c r="A82" s="26"/>
      <c r="B82" s="11" t="str">
        <f>CONCATENATE("          ", "6284", " - ", "TRASH REMOVAL EXPENSE")</f>
        <v xml:space="preserve">          6284 - TRASH REMOVAL EXPENSE</v>
      </c>
      <c r="C82" s="11"/>
      <c r="D82" s="7"/>
      <c r="E82" s="2"/>
      <c r="F82" s="6">
        <f t="shared" si="53"/>
        <v>0</v>
      </c>
      <c r="G82" s="2"/>
      <c r="H82" s="7">
        <v>550</v>
      </c>
      <c r="I82" s="2"/>
      <c r="J82" s="6">
        <f t="shared" si="54"/>
        <v>8.1346987794993762E-4</v>
      </c>
      <c r="K82" s="2"/>
      <c r="L82" s="7">
        <f t="shared" si="55"/>
        <v>-550</v>
      </c>
      <c r="M82" s="2"/>
      <c r="N82" s="6">
        <f t="shared" si="56"/>
        <v>-1</v>
      </c>
      <c r="O82" s="11"/>
      <c r="P82" s="7"/>
      <c r="Q82" s="2"/>
      <c r="R82" s="6">
        <f t="shared" si="57"/>
        <v>0</v>
      </c>
      <c r="S82" s="2"/>
      <c r="T82" s="7">
        <v>6000</v>
      </c>
      <c r="U82" s="2"/>
      <c r="V82" s="6">
        <f t="shared" si="58"/>
        <v>5.391947396161203E-4</v>
      </c>
      <c r="W82" s="2"/>
      <c r="X82" s="7">
        <f t="shared" si="59"/>
        <v>-6000</v>
      </c>
      <c r="Y82" s="2"/>
      <c r="Z82" s="6">
        <f t="shared" si="60"/>
        <v>-1</v>
      </c>
    </row>
    <row r="83" spans="1:26" s="24" customFormat="1" hidden="1" outlineLevel="2" x14ac:dyDescent="0.25">
      <c r="A83" s="26"/>
      <c r="B83" s="11" t="str">
        <f>CONCATENATE("          ", "6285", " - ", "JANITORIAL SERVICES")</f>
        <v xml:space="preserve">          6285 - JANITORIAL SERVICES</v>
      </c>
      <c r="C83" s="11"/>
      <c r="D83" s="7">
        <v>5732.05</v>
      </c>
      <c r="E83" s="2"/>
      <c r="F83" s="6">
        <f t="shared" si="53"/>
        <v>4.6766979276012359E-2</v>
      </c>
      <c r="G83" s="2"/>
      <c r="H83" s="7">
        <v>15205</v>
      </c>
      <c r="I83" s="2"/>
      <c r="J83" s="6">
        <f t="shared" si="54"/>
        <v>2.2488744534961455E-2</v>
      </c>
      <c r="K83" s="2"/>
      <c r="L83" s="7">
        <f t="shared" si="55"/>
        <v>-9472.9500000000007</v>
      </c>
      <c r="M83" s="2"/>
      <c r="N83" s="6">
        <f t="shared" si="56"/>
        <v>-0.62301545544228876</v>
      </c>
      <c r="O83" s="11"/>
      <c r="P83" s="7">
        <v>123196.56999999999</v>
      </c>
      <c r="Q83" s="2"/>
      <c r="R83" s="6">
        <f t="shared" si="57"/>
        <v>1.3431578383235603E-2</v>
      </c>
      <c r="S83" s="2"/>
      <c r="T83" s="7">
        <v>138489</v>
      </c>
      <c r="U83" s="2"/>
      <c r="V83" s="6">
        <f t="shared" si="58"/>
        <v>1.2445423382449481E-2</v>
      </c>
      <c r="W83" s="2"/>
      <c r="X83" s="7">
        <f t="shared" si="59"/>
        <v>-15292.430000000008</v>
      </c>
      <c r="Y83" s="2"/>
      <c r="Z83" s="6">
        <f t="shared" si="60"/>
        <v>-0.11042342713139677</v>
      </c>
    </row>
    <row r="84" spans="1:26" s="24" customFormat="1" hidden="1" outlineLevel="2" x14ac:dyDescent="0.25">
      <c r="A84" s="26"/>
      <c r="B84" s="11" t="str">
        <f>CONCATENATE("          ", "6286", " - ", "LAUNDRY EXPENSE")</f>
        <v xml:space="preserve">          6286 - LAUNDRY EXPENSE</v>
      </c>
      <c r="C84" s="11"/>
      <c r="D84" s="7"/>
      <c r="E84" s="2"/>
      <c r="F84" s="6">
        <f t="shared" si="53"/>
        <v>0</v>
      </c>
      <c r="G84" s="2"/>
      <c r="H84" s="7">
        <v>4800</v>
      </c>
      <c r="I84" s="2"/>
      <c r="J84" s="6">
        <f t="shared" si="54"/>
        <v>7.0993734802903647E-3</v>
      </c>
      <c r="K84" s="2"/>
      <c r="L84" s="7">
        <f t="shared" si="55"/>
        <v>-4800</v>
      </c>
      <c r="M84" s="2"/>
      <c r="N84" s="6">
        <f t="shared" si="56"/>
        <v>-1</v>
      </c>
      <c r="O84" s="11"/>
      <c r="P84" s="7">
        <v>41537.990000000005</v>
      </c>
      <c r="Q84" s="2"/>
      <c r="R84" s="6">
        <f t="shared" si="57"/>
        <v>4.5287037501698033E-3</v>
      </c>
      <c r="S84" s="2"/>
      <c r="T84" s="7">
        <v>51200</v>
      </c>
      <c r="U84" s="2"/>
      <c r="V84" s="6">
        <f t="shared" si="58"/>
        <v>4.6011284447242265E-3</v>
      </c>
      <c r="W84" s="2"/>
      <c r="X84" s="7">
        <f t="shared" si="59"/>
        <v>-9662.0099999999948</v>
      </c>
      <c r="Y84" s="2"/>
      <c r="Z84" s="6">
        <f t="shared" si="60"/>
        <v>-0.1887111328124999</v>
      </c>
    </row>
    <row r="85" spans="1:26" s="27" customFormat="1" outlineLevel="1" collapsed="1" x14ac:dyDescent="0.25">
      <c r="A85" s="25"/>
      <c r="B85" s="12" t="str">
        <f>CONCATENATE("     ","Supplies                                          ")</f>
        <v xml:space="preserve">     Supplies                                          </v>
      </c>
      <c r="C85" s="12"/>
      <c r="D85" s="1">
        <f>SUM(OSRRefD22_15x_0)</f>
        <v>3421.66</v>
      </c>
      <c r="E85" s="1"/>
      <c r="F85" s="5">
        <f t="shared" ref="F85:F95" si="61">IF(D$12=0,0,D85/D$12)</f>
        <v>2.7916836438893665E-2</v>
      </c>
      <c r="G85" s="1"/>
      <c r="H85" s="1">
        <f>SUM(OSRRefH22_15x_0)</f>
        <v>22618</v>
      </c>
      <c r="I85" s="1"/>
      <c r="J85" s="5">
        <f t="shared" ref="J85:J95" si="62">IF(H$12=0,0,H85/H$12)</f>
        <v>3.345283945358489E-2</v>
      </c>
      <c r="K85" s="1"/>
      <c r="L85" s="1">
        <f t="shared" ref="L85:L95" si="63">+D85-H85</f>
        <v>-19196.34</v>
      </c>
      <c r="M85" s="1"/>
      <c r="N85" s="5">
        <f t="shared" ref="N85:N95" si="64">IF(H85=0,0,L85/H85)</f>
        <v>-0.84871960385533651</v>
      </c>
      <c r="O85" s="12"/>
      <c r="P85" s="1">
        <f>SUM(OSRRefP22_15x_0)</f>
        <v>192436.13</v>
      </c>
      <c r="Q85" s="1"/>
      <c r="R85" s="5">
        <f t="shared" ref="R85:R95" si="65">IF(P$12=0,0,P85/P$12)</f>
        <v>2.0980462068558536E-2</v>
      </c>
      <c r="S85" s="1"/>
      <c r="T85" s="1">
        <f>SUM(OSRRefT22_15x_0)</f>
        <v>265161</v>
      </c>
      <c r="U85" s="1"/>
      <c r="V85" s="5">
        <f t="shared" ref="V85:V95" si="66">IF(T$12=0,0,T85/T$12)</f>
        <v>2.3828902725225011E-2</v>
      </c>
      <c r="W85" s="1"/>
      <c r="X85" s="1">
        <f t="shared" ref="X85:X95" si="67">+P85-T85</f>
        <v>-72724.87</v>
      </c>
      <c r="Y85" s="1"/>
      <c r="Z85" s="5">
        <f t="shared" ref="Z85:Z95" si="68">IF(T85=0,0,X85/T85)</f>
        <v>-0.27426684165469278</v>
      </c>
    </row>
    <row r="86" spans="1:26" s="24" customFormat="1" hidden="1" outlineLevel="2" x14ac:dyDescent="0.25">
      <c r="A86" s="26"/>
      <c r="B86" s="11" t="str">
        <f>CONCATENATE("          ", "6234", " - ", "EXPENDABLE SUPPLIES &amp; EQUIPMEN")</f>
        <v xml:space="preserve">          6234 - EXPENDABLE SUPPLIES &amp; EQUIPMEN</v>
      </c>
      <c r="C86" s="11"/>
      <c r="D86" s="7"/>
      <c r="E86" s="2"/>
      <c r="F86" s="6">
        <f t="shared" si="61"/>
        <v>0</v>
      </c>
      <c r="G86" s="2"/>
      <c r="H86" s="7">
        <v>200</v>
      </c>
      <c r="I86" s="2"/>
      <c r="J86" s="6">
        <f t="shared" si="62"/>
        <v>2.9580722834543185E-4</v>
      </c>
      <c r="K86" s="2"/>
      <c r="L86" s="7">
        <f t="shared" si="63"/>
        <v>-200</v>
      </c>
      <c r="M86" s="2"/>
      <c r="N86" s="6">
        <f t="shared" si="64"/>
        <v>-1</v>
      </c>
      <c r="O86" s="11"/>
      <c r="P86" s="7">
        <v>118.34</v>
      </c>
      <c r="Q86" s="2"/>
      <c r="R86" s="6">
        <f t="shared" si="65"/>
        <v>1.2902087987288131E-5</v>
      </c>
      <c r="S86" s="2"/>
      <c r="T86" s="7">
        <v>1200</v>
      </c>
      <c r="U86" s="2"/>
      <c r="V86" s="6">
        <f t="shared" si="66"/>
        <v>1.0783894792322407E-4</v>
      </c>
      <c r="W86" s="2"/>
      <c r="X86" s="7">
        <f t="shared" si="67"/>
        <v>-1081.6600000000001</v>
      </c>
      <c r="Y86" s="2"/>
      <c r="Z86" s="6">
        <f t="shared" si="68"/>
        <v>-0.90138333333333343</v>
      </c>
    </row>
    <row r="87" spans="1:26" s="24" customFormat="1" hidden="1" outlineLevel="2" x14ac:dyDescent="0.25">
      <c r="A87" s="26"/>
      <c r="B87" s="11" t="str">
        <f>CONCATENATE("          ", "6235", " - ", "COVID-19 EXPENSES")</f>
        <v xml:space="preserve">          6235 - COVID-19 EXPENSES</v>
      </c>
      <c r="C87" s="11"/>
      <c r="D87" s="7">
        <v>856.03</v>
      </c>
      <c r="E87" s="2"/>
      <c r="F87" s="6">
        <f t="shared" si="61"/>
        <v>6.9842268071012743E-3</v>
      </c>
      <c r="G87" s="2"/>
      <c r="H87" s="7"/>
      <c r="I87" s="2"/>
      <c r="J87" s="6">
        <f t="shared" si="62"/>
        <v>0</v>
      </c>
      <c r="K87" s="2"/>
      <c r="L87" s="7">
        <f t="shared" si="63"/>
        <v>856.03</v>
      </c>
      <c r="M87" s="2"/>
      <c r="N87" s="6">
        <f t="shared" si="64"/>
        <v>0</v>
      </c>
      <c r="O87" s="11"/>
      <c r="P87" s="7">
        <v>856.03</v>
      </c>
      <c r="Q87" s="2"/>
      <c r="R87" s="6">
        <f t="shared" si="65"/>
        <v>9.3329173396638994E-5</v>
      </c>
      <c r="S87" s="2"/>
      <c r="T87" s="7"/>
      <c r="U87" s="2"/>
      <c r="V87" s="6">
        <f t="shared" si="66"/>
        <v>0</v>
      </c>
      <c r="W87" s="2"/>
      <c r="X87" s="7">
        <f t="shared" si="67"/>
        <v>856.03</v>
      </c>
      <c r="Y87" s="2"/>
      <c r="Z87" s="6">
        <f t="shared" si="68"/>
        <v>0</v>
      </c>
    </row>
    <row r="88" spans="1:26" s="24" customFormat="1" hidden="1" outlineLevel="2" x14ac:dyDescent="0.25">
      <c r="A88" s="26"/>
      <c r="B88" s="11" t="str">
        <f>CONCATENATE("          ", "6237", " - ", "JANITORIAL SUPPLIES")</f>
        <v xml:space="preserve">          6237 - JANITORIAL SUPPLIES</v>
      </c>
      <c r="C88" s="11"/>
      <c r="D88" s="7">
        <v>1075.9100000000001</v>
      </c>
      <c r="E88" s="2"/>
      <c r="F88" s="6">
        <f t="shared" si="61"/>
        <v>8.7781963996919881E-3</v>
      </c>
      <c r="G88" s="2"/>
      <c r="H88" s="7">
        <v>9855</v>
      </c>
      <c r="I88" s="2"/>
      <c r="J88" s="6">
        <f t="shared" si="62"/>
        <v>1.4575901176721154E-2</v>
      </c>
      <c r="K88" s="2"/>
      <c r="L88" s="7">
        <f t="shared" si="63"/>
        <v>-8779.09</v>
      </c>
      <c r="M88" s="2"/>
      <c r="N88" s="6">
        <f t="shared" si="64"/>
        <v>-0.89082597666159313</v>
      </c>
      <c r="O88" s="11"/>
      <c r="P88" s="7">
        <v>74207.23</v>
      </c>
      <c r="Q88" s="2"/>
      <c r="R88" s="6">
        <f t="shared" si="65"/>
        <v>8.0904868240064837E-3</v>
      </c>
      <c r="S88" s="2"/>
      <c r="T88" s="7">
        <v>107250</v>
      </c>
      <c r="U88" s="2"/>
      <c r="V88" s="6">
        <f t="shared" si="66"/>
        <v>9.6381059706381507E-3</v>
      </c>
      <c r="W88" s="2"/>
      <c r="X88" s="7">
        <f t="shared" si="67"/>
        <v>-33042.770000000004</v>
      </c>
      <c r="Y88" s="2"/>
      <c r="Z88" s="6">
        <f t="shared" si="68"/>
        <v>-0.3080910955710956</v>
      </c>
    </row>
    <row r="89" spans="1:26" s="24" customFormat="1" hidden="1" outlineLevel="2" x14ac:dyDescent="0.25">
      <c r="A89" s="26"/>
      <c r="B89" s="11" t="str">
        <f>CONCATENATE("          ", "6239", " - ", "KITCHEN SUPPLIES")</f>
        <v xml:space="preserve">          6239 - KITCHEN SUPPLIES</v>
      </c>
      <c r="C89" s="11"/>
      <c r="D89" s="7">
        <v>50</v>
      </c>
      <c r="E89" s="2"/>
      <c r="F89" s="6">
        <f t="shared" si="61"/>
        <v>4.079428762485704E-4</v>
      </c>
      <c r="G89" s="2"/>
      <c r="H89" s="7">
        <v>3650</v>
      </c>
      <c r="I89" s="2"/>
      <c r="J89" s="6">
        <f t="shared" si="62"/>
        <v>5.3984819173041312E-3</v>
      </c>
      <c r="K89" s="2"/>
      <c r="L89" s="7">
        <f t="shared" si="63"/>
        <v>-3600</v>
      </c>
      <c r="M89" s="2"/>
      <c r="N89" s="6">
        <f t="shared" si="64"/>
        <v>-0.98630136986301364</v>
      </c>
      <c r="O89" s="11"/>
      <c r="P89" s="7">
        <v>26848.5</v>
      </c>
      <c r="Q89" s="2"/>
      <c r="R89" s="6">
        <f t="shared" si="65"/>
        <v>2.9271734774945525E-3</v>
      </c>
      <c r="S89" s="2"/>
      <c r="T89" s="7">
        <v>47850</v>
      </c>
      <c r="U89" s="2"/>
      <c r="V89" s="6">
        <f t="shared" si="66"/>
        <v>4.3000780484385593E-3</v>
      </c>
      <c r="W89" s="2"/>
      <c r="X89" s="7">
        <f t="shared" si="67"/>
        <v>-21001.5</v>
      </c>
      <c r="Y89" s="2"/>
      <c r="Z89" s="6">
        <f t="shared" si="68"/>
        <v>-0.4389028213166144</v>
      </c>
    </row>
    <row r="90" spans="1:26" s="24" customFormat="1" hidden="1" outlineLevel="2" x14ac:dyDescent="0.25">
      <c r="A90" s="26"/>
      <c r="B90" s="11" t="str">
        <f>CONCATENATE("          ", "6241", " - ", "OFFICE EXPENSE")</f>
        <v xml:space="preserve">          6241 - OFFICE EXPENSE</v>
      </c>
      <c r="C90" s="11"/>
      <c r="D90" s="7">
        <v>177.61</v>
      </c>
      <c r="E90" s="2"/>
      <c r="F90" s="6">
        <f t="shared" si="61"/>
        <v>1.4490946850101718E-3</v>
      </c>
      <c r="G90" s="2"/>
      <c r="H90" s="7">
        <v>1379</v>
      </c>
      <c r="I90" s="2"/>
      <c r="J90" s="6">
        <f t="shared" si="62"/>
        <v>2.0395908394417526E-3</v>
      </c>
      <c r="K90" s="2"/>
      <c r="L90" s="7">
        <f t="shared" si="63"/>
        <v>-1201.3899999999999</v>
      </c>
      <c r="M90" s="2"/>
      <c r="N90" s="6">
        <f t="shared" si="64"/>
        <v>-0.87120377084844081</v>
      </c>
      <c r="O90" s="11"/>
      <c r="P90" s="7">
        <v>28558.06</v>
      </c>
      <c r="Q90" s="2"/>
      <c r="R90" s="6">
        <f t="shared" si="65"/>
        <v>3.1135592603198721E-3</v>
      </c>
      <c r="S90" s="2"/>
      <c r="T90" s="7">
        <v>15245</v>
      </c>
      <c r="U90" s="2"/>
      <c r="V90" s="6">
        <f t="shared" si="66"/>
        <v>1.3700039675746257E-3</v>
      </c>
      <c r="W90" s="2"/>
      <c r="X90" s="7">
        <f t="shared" si="67"/>
        <v>13313.060000000001</v>
      </c>
      <c r="Y90" s="2"/>
      <c r="Z90" s="6">
        <f t="shared" si="68"/>
        <v>0.87327386028205978</v>
      </c>
    </row>
    <row r="91" spans="1:26" s="24" customFormat="1" hidden="1" outlineLevel="2" x14ac:dyDescent="0.25">
      <c r="A91" s="26"/>
      <c r="B91" s="11" t="str">
        <f>CONCATENATE("          ", "6243", " - ", "PAPER SUPPLIES")</f>
        <v xml:space="preserve">          6243 - PAPER SUPPLIES</v>
      </c>
      <c r="C91" s="11"/>
      <c r="D91" s="7">
        <v>1262.1099999999999</v>
      </c>
      <c r="E91" s="2"/>
      <c r="F91" s="6">
        <f t="shared" si="61"/>
        <v>1.0297375670841663E-2</v>
      </c>
      <c r="G91" s="2"/>
      <c r="H91" s="7">
        <v>6859</v>
      </c>
      <c r="I91" s="2"/>
      <c r="J91" s="6">
        <f t="shared" si="62"/>
        <v>1.0144708896106585E-2</v>
      </c>
      <c r="K91" s="2"/>
      <c r="L91" s="7">
        <f t="shared" si="63"/>
        <v>-5596.89</v>
      </c>
      <c r="M91" s="2"/>
      <c r="N91" s="6">
        <f t="shared" si="64"/>
        <v>-0.81599212713223501</v>
      </c>
      <c r="O91" s="11"/>
      <c r="P91" s="7">
        <v>59955.549999999996</v>
      </c>
      <c r="Q91" s="2"/>
      <c r="R91" s="6">
        <f t="shared" si="65"/>
        <v>6.5366890436560146E-3</v>
      </c>
      <c r="S91" s="2"/>
      <c r="T91" s="7">
        <v>73640</v>
      </c>
      <c r="U91" s="2"/>
      <c r="V91" s="6">
        <f t="shared" si="66"/>
        <v>6.6177167708885163E-3</v>
      </c>
      <c r="W91" s="2"/>
      <c r="X91" s="7">
        <f t="shared" si="67"/>
        <v>-13684.450000000004</v>
      </c>
      <c r="Y91" s="2"/>
      <c r="Z91" s="6">
        <f t="shared" si="68"/>
        <v>-0.18582903313416627</v>
      </c>
    </row>
    <row r="92" spans="1:26" s="24" customFormat="1" hidden="1" outlineLevel="2" x14ac:dyDescent="0.25">
      <c r="A92" s="26"/>
      <c r="B92" s="11" t="str">
        <f>CONCATENATE("          ", "6244", " - ", "SAFETY SUPPLY EXPENSE")</f>
        <v xml:space="preserve">          6244 - SAFETY SUPPLY EXPENSE</v>
      </c>
      <c r="C92" s="11"/>
      <c r="D92" s="7"/>
      <c r="E92" s="2"/>
      <c r="F92" s="6">
        <f t="shared" si="61"/>
        <v>0</v>
      </c>
      <c r="G92" s="2"/>
      <c r="H92" s="7">
        <v>125</v>
      </c>
      <c r="I92" s="2"/>
      <c r="J92" s="6">
        <f t="shared" si="62"/>
        <v>1.8487951771589491E-4</v>
      </c>
      <c r="K92" s="2"/>
      <c r="L92" s="7">
        <f t="shared" si="63"/>
        <v>-125</v>
      </c>
      <c r="M92" s="2"/>
      <c r="N92" s="6">
        <f t="shared" si="64"/>
        <v>-1</v>
      </c>
      <c r="O92" s="11"/>
      <c r="P92" s="7"/>
      <c r="Q92" s="2"/>
      <c r="R92" s="6">
        <f t="shared" si="65"/>
        <v>0</v>
      </c>
      <c r="S92" s="2"/>
      <c r="T92" s="7">
        <v>1375</v>
      </c>
      <c r="U92" s="2"/>
      <c r="V92" s="6">
        <f t="shared" si="66"/>
        <v>1.2356546116202758E-4</v>
      </c>
      <c r="W92" s="2"/>
      <c r="X92" s="7">
        <f t="shared" si="67"/>
        <v>-1375</v>
      </c>
      <c r="Y92" s="2"/>
      <c r="Z92" s="6">
        <f t="shared" si="68"/>
        <v>-1</v>
      </c>
    </row>
    <row r="93" spans="1:26" s="24" customFormat="1" hidden="1" outlineLevel="2" x14ac:dyDescent="0.25">
      <c r="A93" s="26"/>
      <c r="B93" s="11" t="str">
        <f>CONCATENATE("          ", "6245", " - ", "PRINTING")</f>
        <v xml:space="preserve">          6245 - PRINTING</v>
      </c>
      <c r="C93" s="11"/>
      <c r="D93" s="7"/>
      <c r="E93" s="2"/>
      <c r="F93" s="6">
        <f t="shared" si="61"/>
        <v>0</v>
      </c>
      <c r="G93" s="2"/>
      <c r="H93" s="7">
        <v>160</v>
      </c>
      <c r="I93" s="2"/>
      <c r="J93" s="6">
        <f t="shared" si="62"/>
        <v>2.3664578267634548E-4</v>
      </c>
      <c r="K93" s="2"/>
      <c r="L93" s="7">
        <f t="shared" si="63"/>
        <v>-160</v>
      </c>
      <c r="M93" s="2"/>
      <c r="N93" s="6">
        <f t="shared" si="64"/>
        <v>-1</v>
      </c>
      <c r="O93" s="11"/>
      <c r="P93" s="7">
        <v>1351.44</v>
      </c>
      <c r="Q93" s="2"/>
      <c r="R93" s="6">
        <f t="shared" si="65"/>
        <v>1.4734153954318633E-4</v>
      </c>
      <c r="S93" s="2"/>
      <c r="T93" s="7">
        <v>1750</v>
      </c>
      <c r="U93" s="2"/>
      <c r="V93" s="6">
        <f t="shared" si="66"/>
        <v>1.572651323880351E-4</v>
      </c>
      <c r="W93" s="2"/>
      <c r="X93" s="7">
        <f t="shared" si="67"/>
        <v>-398.55999999999995</v>
      </c>
      <c r="Y93" s="2"/>
      <c r="Z93" s="6">
        <f t="shared" si="68"/>
        <v>-0.22774857142857138</v>
      </c>
    </row>
    <row r="94" spans="1:26" s="24" customFormat="1" hidden="1" outlineLevel="2" x14ac:dyDescent="0.25">
      <c r="A94" s="26"/>
      <c r="B94" s="11" t="str">
        <f>CONCATENATE("          ", "6247", " - ", "STORE SUPPLIES")</f>
        <v xml:space="preserve">          6247 - STORE SUPPLIES</v>
      </c>
      <c r="C94" s="11"/>
      <c r="D94" s="7"/>
      <c r="E94" s="2"/>
      <c r="F94" s="6">
        <f t="shared" si="61"/>
        <v>0</v>
      </c>
      <c r="G94" s="2"/>
      <c r="H94" s="7">
        <v>15</v>
      </c>
      <c r="I94" s="2"/>
      <c r="J94" s="6">
        <f t="shared" si="62"/>
        <v>2.218554212590739E-5</v>
      </c>
      <c r="K94" s="2"/>
      <c r="L94" s="7">
        <f t="shared" si="63"/>
        <v>-15</v>
      </c>
      <c r="M94" s="2"/>
      <c r="N94" s="6">
        <f t="shared" si="64"/>
        <v>-1</v>
      </c>
      <c r="O94" s="11"/>
      <c r="P94" s="7">
        <v>667.78</v>
      </c>
      <c r="Q94" s="2"/>
      <c r="R94" s="6">
        <f t="shared" si="65"/>
        <v>7.2805106609356656E-5</v>
      </c>
      <c r="S94" s="2"/>
      <c r="T94" s="7">
        <v>226</v>
      </c>
      <c r="U94" s="2"/>
      <c r="V94" s="6">
        <f t="shared" si="66"/>
        <v>2.030966852554053E-5</v>
      </c>
      <c r="W94" s="2"/>
      <c r="X94" s="7">
        <f t="shared" si="67"/>
        <v>441.78</v>
      </c>
      <c r="Y94" s="2"/>
      <c r="Z94" s="6">
        <f t="shared" si="68"/>
        <v>1.9547787610619467</v>
      </c>
    </row>
    <row r="95" spans="1:26" s="24" customFormat="1" hidden="1" outlineLevel="2" x14ac:dyDescent="0.25">
      <c r="A95" s="26"/>
      <c r="B95" s="11" t="str">
        <f>CONCATENATE("          ", "6248", " - ", "UNIFORMS")</f>
        <v xml:space="preserve">          6248 - UNIFORMS</v>
      </c>
      <c r="C95" s="11"/>
      <c r="D95" s="7"/>
      <c r="E95" s="2"/>
      <c r="F95" s="6">
        <f t="shared" si="61"/>
        <v>0</v>
      </c>
      <c r="G95" s="2"/>
      <c r="H95" s="7">
        <v>375</v>
      </c>
      <c r="I95" s="2"/>
      <c r="J95" s="6">
        <f t="shared" si="62"/>
        <v>5.5463855314768476E-4</v>
      </c>
      <c r="K95" s="2"/>
      <c r="L95" s="7">
        <f t="shared" si="63"/>
        <v>-375</v>
      </c>
      <c r="M95" s="2"/>
      <c r="N95" s="6">
        <f t="shared" si="64"/>
        <v>-1</v>
      </c>
      <c r="O95" s="11"/>
      <c r="P95" s="7">
        <v>-126.8</v>
      </c>
      <c r="Q95" s="2"/>
      <c r="R95" s="6">
        <f t="shared" si="65"/>
        <v>-1.3824444454860021E-5</v>
      </c>
      <c r="S95" s="2"/>
      <c r="T95" s="7">
        <v>16625</v>
      </c>
      <c r="U95" s="2"/>
      <c r="V95" s="6">
        <f t="shared" si="66"/>
        <v>1.4940187576863333E-3</v>
      </c>
      <c r="W95" s="2"/>
      <c r="X95" s="7">
        <f t="shared" si="67"/>
        <v>-16751.8</v>
      </c>
      <c r="Y95" s="2"/>
      <c r="Z95" s="6">
        <f t="shared" si="68"/>
        <v>-1.007627067669173</v>
      </c>
    </row>
    <row r="96" spans="1:26" s="27" customFormat="1" outlineLevel="1" collapsed="1" x14ac:dyDescent="0.25">
      <c r="A96" s="25"/>
      <c r="B96" s="12" t="str">
        <f>CONCATENATE("     ","Telephone/Data Lines                              ")</f>
        <v xml:space="preserve">     Telephone/Data Lines                              </v>
      </c>
      <c r="C96" s="12"/>
      <c r="D96" s="1">
        <f>SUM(OSRRefD22_16x_0)</f>
        <v>536.29999999999995</v>
      </c>
      <c r="E96" s="1"/>
      <c r="F96" s="5">
        <f t="shared" ref="F96:F102" si="69">IF(D$12=0,0,D96/D$12)</f>
        <v>4.3755952906421652E-3</v>
      </c>
      <c r="G96" s="1"/>
      <c r="H96" s="1">
        <f>SUM(OSRRefH22_16x_0)</f>
        <v>693</v>
      </c>
      <c r="I96" s="1"/>
      <c r="J96" s="5">
        <f t="shared" ref="J96:J102" si="70">IF(H$12=0,0,H96/H$12)</f>
        <v>1.0249720462169214E-3</v>
      </c>
      <c r="K96" s="1"/>
      <c r="L96" s="1">
        <f t="shared" ref="L96:L102" si="71">+D96-H96</f>
        <v>-156.70000000000005</v>
      </c>
      <c r="M96" s="1"/>
      <c r="N96" s="5">
        <f t="shared" ref="N96:N102" si="72">IF(H96=0,0,L96/H96)</f>
        <v>-0.22611832611832619</v>
      </c>
      <c r="O96" s="12"/>
      <c r="P96" s="1">
        <f>SUM(OSRRefP22_16x_0)</f>
        <v>7096.8</v>
      </c>
      <c r="Q96" s="1"/>
      <c r="R96" s="5">
        <f t="shared" ref="R96:R102" si="73">IF(P$12=0,0,P96/P$12)</f>
        <v>7.7373278712342748E-4</v>
      </c>
      <c r="S96" s="1"/>
      <c r="T96" s="1">
        <f>SUM(OSRRefT22_16x_0)</f>
        <v>8628</v>
      </c>
      <c r="U96" s="1"/>
      <c r="V96" s="5">
        <f t="shared" ref="V96:V102" si="74">IF(T$12=0,0,T96/T$12)</f>
        <v>7.75362035567981E-4</v>
      </c>
      <c r="W96" s="1"/>
      <c r="X96" s="1">
        <f t="shared" ref="X96:X102" si="75">+P96-T96</f>
        <v>-1531.1999999999998</v>
      </c>
      <c r="Y96" s="1"/>
      <c r="Z96" s="5">
        <f t="shared" ref="Z96:Z102" si="76">IF(T96=0,0,X96/T96)</f>
        <v>-0.17746870653685673</v>
      </c>
    </row>
    <row r="97" spans="1:26" s="24" customFormat="1" hidden="1" outlineLevel="2" x14ac:dyDescent="0.25">
      <c r="A97" s="26"/>
      <c r="B97" s="11" t="str">
        <f>CONCATENATE("          ", "6309", " - ", "TELEPHONE")</f>
        <v xml:space="preserve">          6309 - TELEPHONE</v>
      </c>
      <c r="C97" s="11"/>
      <c r="D97" s="7">
        <v>536.29999999999995</v>
      </c>
      <c r="E97" s="2"/>
      <c r="F97" s="6">
        <f t="shared" si="69"/>
        <v>4.3755952906421652E-3</v>
      </c>
      <c r="G97" s="2"/>
      <c r="H97" s="7">
        <v>693</v>
      </c>
      <c r="I97" s="2"/>
      <c r="J97" s="6">
        <f t="shared" si="70"/>
        <v>1.0249720462169214E-3</v>
      </c>
      <c r="K97" s="2"/>
      <c r="L97" s="7">
        <f t="shared" si="71"/>
        <v>-156.70000000000005</v>
      </c>
      <c r="M97" s="2"/>
      <c r="N97" s="6">
        <f t="shared" si="72"/>
        <v>-0.22611832611832619</v>
      </c>
      <c r="O97" s="11"/>
      <c r="P97" s="7">
        <v>7096.8</v>
      </c>
      <c r="Q97" s="2"/>
      <c r="R97" s="6">
        <f t="shared" si="73"/>
        <v>7.7373278712342748E-4</v>
      </c>
      <c r="S97" s="2"/>
      <c r="T97" s="7">
        <v>8628</v>
      </c>
      <c r="U97" s="2"/>
      <c r="V97" s="6">
        <f t="shared" si="74"/>
        <v>7.75362035567981E-4</v>
      </c>
      <c r="W97" s="2"/>
      <c r="X97" s="7">
        <f t="shared" si="75"/>
        <v>-1531.1999999999998</v>
      </c>
      <c r="Y97" s="2"/>
      <c r="Z97" s="6">
        <f t="shared" si="76"/>
        <v>-0.17746870653685673</v>
      </c>
    </row>
    <row r="98" spans="1:26" s="27" customFormat="1" outlineLevel="1" collapsed="1" x14ac:dyDescent="0.25">
      <c r="A98" s="25"/>
      <c r="B98" s="12" t="str">
        <f>CONCATENATE("     ","Training                                          ")</f>
        <v xml:space="preserve">     Training                                          </v>
      </c>
      <c r="C98" s="12"/>
      <c r="D98" s="1">
        <f>SUM(OSRRefD22_17x_0)</f>
        <v>0</v>
      </c>
      <c r="E98" s="1"/>
      <c r="F98" s="5">
        <f t="shared" si="69"/>
        <v>0</v>
      </c>
      <c r="G98" s="1"/>
      <c r="H98" s="1">
        <f>SUM(OSRRefH22_17x_0)</f>
        <v>2379</v>
      </c>
      <c r="I98" s="1"/>
      <c r="J98" s="5">
        <f t="shared" si="70"/>
        <v>3.5186269811689117E-3</v>
      </c>
      <c r="K98" s="1"/>
      <c r="L98" s="1">
        <f t="shared" si="71"/>
        <v>-2379</v>
      </c>
      <c r="M98" s="1"/>
      <c r="N98" s="5">
        <f t="shared" si="72"/>
        <v>-1</v>
      </c>
      <c r="O98" s="12"/>
      <c r="P98" s="1">
        <f>SUM(OSRRefP22_17x_0)</f>
        <v>6398.23</v>
      </c>
      <c r="Q98" s="1"/>
      <c r="R98" s="5">
        <f t="shared" si="73"/>
        <v>6.9757078268469267E-4</v>
      </c>
      <c r="S98" s="1"/>
      <c r="T98" s="1">
        <f>SUM(OSRRefT22_17x_0)</f>
        <v>18516</v>
      </c>
      <c r="U98" s="1"/>
      <c r="V98" s="5">
        <f t="shared" si="74"/>
        <v>1.6639549664553472E-3</v>
      </c>
      <c r="W98" s="1"/>
      <c r="X98" s="1">
        <f t="shared" si="75"/>
        <v>-12117.77</v>
      </c>
      <c r="Y98" s="1"/>
      <c r="Z98" s="5">
        <f t="shared" si="76"/>
        <v>-0.65444858500756109</v>
      </c>
    </row>
    <row r="99" spans="1:26" s="24" customFormat="1" hidden="1" outlineLevel="2" x14ac:dyDescent="0.25">
      <c r="A99" s="26"/>
      <c r="B99" s="11" t="str">
        <f>CONCATENATE("          ", "6376", " - ", "TRAINING")</f>
        <v xml:space="preserve">          6376 - TRAINING</v>
      </c>
      <c r="C99" s="11"/>
      <c r="D99" s="7"/>
      <c r="E99" s="2"/>
      <c r="F99" s="6">
        <f t="shared" si="69"/>
        <v>0</v>
      </c>
      <c r="G99" s="2"/>
      <c r="H99" s="7">
        <v>2379</v>
      </c>
      <c r="I99" s="2"/>
      <c r="J99" s="6">
        <f t="shared" si="70"/>
        <v>3.5186269811689117E-3</v>
      </c>
      <c r="K99" s="2"/>
      <c r="L99" s="7">
        <f t="shared" si="71"/>
        <v>-2379</v>
      </c>
      <c r="M99" s="2"/>
      <c r="N99" s="6">
        <f t="shared" si="72"/>
        <v>-1</v>
      </c>
      <c r="O99" s="11"/>
      <c r="P99" s="7">
        <v>6398.23</v>
      </c>
      <c r="Q99" s="2"/>
      <c r="R99" s="6">
        <f t="shared" si="73"/>
        <v>6.9757078268469267E-4</v>
      </c>
      <c r="S99" s="2"/>
      <c r="T99" s="7">
        <v>18516</v>
      </c>
      <c r="U99" s="2"/>
      <c r="V99" s="6">
        <f t="shared" si="74"/>
        <v>1.6639549664553472E-3</v>
      </c>
      <c r="W99" s="2"/>
      <c r="X99" s="7">
        <f t="shared" si="75"/>
        <v>-12117.77</v>
      </c>
      <c r="Y99" s="2"/>
      <c r="Z99" s="6">
        <f t="shared" si="76"/>
        <v>-0.65444858500756109</v>
      </c>
    </row>
    <row r="100" spans="1:26" s="27" customFormat="1" outlineLevel="1" collapsed="1" x14ac:dyDescent="0.25">
      <c r="A100" s="25"/>
      <c r="B100" s="12" t="str">
        <f>CONCATENATE("     ","Travel                                            ")</f>
        <v xml:space="preserve">     Travel                                            </v>
      </c>
      <c r="C100" s="12"/>
      <c r="D100" s="1">
        <f>SUM(OSRRefD22_18x_0)</f>
        <v>0</v>
      </c>
      <c r="E100" s="1"/>
      <c r="F100" s="5">
        <f t="shared" si="69"/>
        <v>0</v>
      </c>
      <c r="G100" s="1"/>
      <c r="H100" s="1">
        <f>SUM(OSRRefH22_18x_0)</f>
        <v>410</v>
      </c>
      <c r="I100" s="1"/>
      <c r="J100" s="5">
        <f t="shared" si="70"/>
        <v>6.0640481810813533E-4</v>
      </c>
      <c r="K100" s="1"/>
      <c r="L100" s="1">
        <f t="shared" si="71"/>
        <v>-410</v>
      </c>
      <c r="M100" s="1"/>
      <c r="N100" s="5">
        <f t="shared" si="72"/>
        <v>-1</v>
      </c>
      <c r="O100" s="12"/>
      <c r="P100" s="1">
        <f>SUM(OSRRefP22_18x_0)</f>
        <v>1894.26</v>
      </c>
      <c r="Q100" s="1"/>
      <c r="R100" s="5">
        <f t="shared" si="73"/>
        <v>2.0652280877810051E-4</v>
      </c>
      <c r="S100" s="1"/>
      <c r="T100" s="1">
        <f>SUM(OSRRefT22_18x_0)</f>
        <v>4510</v>
      </c>
      <c r="U100" s="1"/>
      <c r="V100" s="5">
        <f t="shared" si="74"/>
        <v>4.0529471261145043E-4</v>
      </c>
      <c r="W100" s="1"/>
      <c r="X100" s="1">
        <f t="shared" si="75"/>
        <v>-2615.7399999999998</v>
      </c>
      <c r="Y100" s="1"/>
      <c r="Z100" s="5">
        <f t="shared" si="76"/>
        <v>-0.57998669623059862</v>
      </c>
    </row>
    <row r="101" spans="1:26" s="24" customFormat="1" hidden="1" outlineLevel="2" x14ac:dyDescent="0.25">
      <c r="A101" s="26"/>
      <c r="B101" s="11" t="str">
        <f>CONCATENATE("          ", "6292", " - ", "TRAVEL/CONFERENCE")</f>
        <v xml:space="preserve">          6292 - TRAVEL/CONFERENCE</v>
      </c>
      <c r="C101" s="11"/>
      <c r="D101" s="7"/>
      <c r="E101" s="2"/>
      <c r="F101" s="6">
        <f t="shared" si="69"/>
        <v>0</v>
      </c>
      <c r="G101" s="2"/>
      <c r="H101" s="7">
        <v>300</v>
      </c>
      <c r="I101" s="2"/>
      <c r="J101" s="6">
        <f t="shared" si="70"/>
        <v>4.437108425181478E-4</v>
      </c>
      <c r="K101" s="2"/>
      <c r="L101" s="7">
        <f t="shared" si="71"/>
        <v>-300</v>
      </c>
      <c r="M101" s="2"/>
      <c r="N101" s="6">
        <f t="shared" si="72"/>
        <v>-1</v>
      </c>
      <c r="O101" s="11"/>
      <c r="P101" s="7">
        <v>1894.26</v>
      </c>
      <c r="Q101" s="2"/>
      <c r="R101" s="6">
        <f t="shared" si="73"/>
        <v>2.0652280877810051E-4</v>
      </c>
      <c r="S101" s="2"/>
      <c r="T101" s="7">
        <v>3300</v>
      </c>
      <c r="U101" s="2"/>
      <c r="V101" s="6">
        <f t="shared" si="74"/>
        <v>2.9655710678886619E-4</v>
      </c>
      <c r="W101" s="2"/>
      <c r="X101" s="7">
        <f t="shared" si="75"/>
        <v>-1405.74</v>
      </c>
      <c r="Y101" s="2"/>
      <c r="Z101" s="6">
        <f t="shared" si="76"/>
        <v>-0.42598181818181818</v>
      </c>
    </row>
    <row r="102" spans="1:26" s="24" customFormat="1" hidden="1" outlineLevel="2" x14ac:dyDescent="0.25">
      <c r="A102" s="26"/>
      <c r="B102" s="11" t="str">
        <f>CONCATENATE("          ", "6298", " - ", "VEHICLE MILEAGE")</f>
        <v xml:space="preserve">          6298 - VEHICLE MILEAGE</v>
      </c>
      <c r="C102" s="11"/>
      <c r="D102" s="7"/>
      <c r="E102" s="2"/>
      <c r="F102" s="6">
        <f t="shared" si="69"/>
        <v>0</v>
      </c>
      <c r="G102" s="2"/>
      <c r="H102" s="7">
        <v>110</v>
      </c>
      <c r="I102" s="2"/>
      <c r="J102" s="6">
        <f t="shared" si="70"/>
        <v>1.6269397558998751E-4</v>
      </c>
      <c r="K102" s="2"/>
      <c r="L102" s="7">
        <f t="shared" si="71"/>
        <v>-110</v>
      </c>
      <c r="M102" s="2"/>
      <c r="N102" s="6">
        <f t="shared" si="72"/>
        <v>-1</v>
      </c>
      <c r="O102" s="11"/>
      <c r="P102" s="7"/>
      <c r="Q102" s="2"/>
      <c r="R102" s="6">
        <f t="shared" si="73"/>
        <v>0</v>
      </c>
      <c r="S102" s="2"/>
      <c r="T102" s="7">
        <v>1210</v>
      </c>
      <c r="U102" s="2"/>
      <c r="V102" s="6">
        <f t="shared" si="74"/>
        <v>1.0873760582258426E-4</v>
      </c>
      <c r="W102" s="2"/>
      <c r="X102" s="7">
        <f t="shared" si="75"/>
        <v>-1210</v>
      </c>
      <c r="Y102" s="2"/>
      <c r="Z102" s="6">
        <f t="shared" si="76"/>
        <v>-1</v>
      </c>
    </row>
    <row r="103" spans="1:26" s="62" customFormat="1" x14ac:dyDescent="0.25">
      <c r="A103" s="36"/>
      <c r="B103" s="36"/>
      <c r="C103" s="36"/>
      <c r="D103" s="1"/>
      <c r="E103" s="1"/>
      <c r="F103" s="5"/>
      <c r="G103" s="1"/>
      <c r="H103" s="1"/>
      <c r="I103" s="1"/>
      <c r="J103" s="5"/>
      <c r="K103" s="1"/>
      <c r="L103" s="1"/>
      <c r="M103" s="1"/>
      <c r="N103" s="5"/>
      <c r="O103" s="36"/>
      <c r="P103" s="1"/>
      <c r="Q103" s="1"/>
      <c r="R103" s="5"/>
      <c r="S103" s="1"/>
      <c r="T103" s="1"/>
      <c r="U103" s="1"/>
      <c r="V103" s="5"/>
      <c r="W103" s="1"/>
      <c r="X103" s="1"/>
      <c r="Y103" s="1"/>
      <c r="Z103" s="5"/>
    </row>
    <row r="104" spans="1:26" s="23" customFormat="1" x14ac:dyDescent="0.25">
      <c r="A104" s="10"/>
      <c r="B104" s="28" t="s">
        <v>0</v>
      </c>
      <c r="C104" s="10"/>
      <c r="D104" s="4">
        <f>SUM(0)</f>
        <v>0</v>
      </c>
      <c r="E104" s="4"/>
      <c r="F104" s="13">
        <f>IF(D$12=0,0,D104/D$12)</f>
        <v>0</v>
      </c>
      <c r="G104" s="4"/>
      <c r="H104" s="4">
        <f>SUM(0)</f>
        <v>0</v>
      </c>
      <c r="I104" s="4"/>
      <c r="J104" s="13">
        <f>IF(H$12=0,0,H104/H$12)</f>
        <v>0</v>
      </c>
      <c r="K104" s="4"/>
      <c r="L104" s="4">
        <f>+D104-H104</f>
        <v>0</v>
      </c>
      <c r="M104" s="4"/>
      <c r="N104" s="13">
        <f>IF(H104=0,0,L104/H104)</f>
        <v>0</v>
      </c>
      <c r="O104" s="10"/>
      <c r="P104" s="4">
        <f>SUM(0)</f>
        <v>0</v>
      </c>
      <c r="Q104" s="4"/>
      <c r="R104" s="13">
        <f>IF(P$12=0,0,P104/P$12)</f>
        <v>0</v>
      </c>
      <c r="S104" s="4"/>
      <c r="T104" s="4">
        <f>SUM(0)</f>
        <v>0</v>
      </c>
      <c r="U104" s="4"/>
      <c r="V104" s="13">
        <f>IF(T$12=0,0,T104/T$12)</f>
        <v>0</v>
      </c>
      <c r="W104" s="4"/>
      <c r="X104" s="4">
        <f>+P104-T104</f>
        <v>0</v>
      </c>
      <c r="Y104" s="4"/>
      <c r="Z104" s="13">
        <f>IF(T104=0,0,X104/T104)</f>
        <v>0</v>
      </c>
    </row>
    <row r="105" spans="1:26" x14ac:dyDescent="0.25">
      <c r="A105" s="9"/>
      <c r="B105" s="10"/>
      <c r="C105" s="10"/>
      <c r="D105" s="3"/>
      <c r="E105" s="3"/>
      <c r="F105" s="8"/>
      <c r="G105" s="3"/>
      <c r="H105" s="3"/>
      <c r="I105" s="3"/>
      <c r="J105" s="8"/>
      <c r="K105" s="3"/>
      <c r="L105" s="3"/>
      <c r="M105" s="3"/>
      <c r="N105" s="8"/>
      <c r="O105" s="10"/>
      <c r="P105" s="3"/>
      <c r="Q105" s="3"/>
      <c r="R105" s="8"/>
      <c r="S105" s="3"/>
      <c r="T105" s="3"/>
      <c r="U105" s="3"/>
      <c r="V105" s="8"/>
      <c r="W105" s="3"/>
      <c r="X105" s="3"/>
      <c r="Y105" s="3"/>
      <c r="Z105" s="8"/>
    </row>
    <row r="106" spans="1:26" s="23" customFormat="1" x14ac:dyDescent="0.25">
      <c r="A106" s="10"/>
      <c r="B106" s="29" t="s">
        <v>3</v>
      </c>
      <c r="C106" s="29"/>
      <c r="D106" s="20">
        <f>+D26-D28+D104</f>
        <v>-78558.849999999919</v>
      </c>
      <c r="E106" s="14"/>
      <c r="F106" s="22">
        <f>IF(D$12=0,0,D106/D$12)</f>
        <v>-0.64095046447559945</v>
      </c>
      <c r="G106" s="14"/>
      <c r="H106" s="20">
        <f>+H26-H28+H104</f>
        <v>81198.745668839721</v>
      </c>
      <c r="I106" s="14"/>
      <c r="J106" s="22">
        <f>IF(H$12=0,0,H106/H$12)</f>
        <v>0.12009587950712558</v>
      </c>
      <c r="K106" s="16"/>
      <c r="L106" s="20">
        <f>+D106-H106</f>
        <v>-159757.59566883964</v>
      </c>
      <c r="M106" s="16"/>
      <c r="N106" s="22">
        <f>IF(H106=0,0,L106/H106)</f>
        <v>-1.9674884673760069</v>
      </c>
      <c r="O106" s="28"/>
      <c r="P106" s="20">
        <f>+P26-P28+P104</f>
        <v>2163350.2199999988</v>
      </c>
      <c r="Q106" s="14"/>
      <c r="R106" s="22">
        <f>IF(P$12=0,0,P106/P$12)</f>
        <v>0.23586052801892107</v>
      </c>
      <c r="S106" s="14"/>
      <c r="T106" s="20">
        <f>+T26-T28+T104</f>
        <v>2841191.5344527159</v>
      </c>
      <c r="U106" s="14"/>
      <c r="V106" s="22">
        <f>IF(T$12=0,0,T106/T$12)</f>
        <v>0.25532592160312623</v>
      </c>
      <c r="W106" s="16"/>
      <c r="X106" s="20">
        <f>+P106-T106</f>
        <v>-677841.31445271708</v>
      </c>
      <c r="Y106" s="16"/>
      <c r="Z106" s="22">
        <f>IF(T106=0,0,X106/T106)</f>
        <v>-0.23857642338895896</v>
      </c>
    </row>
    <row r="107" spans="1:26" x14ac:dyDescent="0.25">
      <c r="A107" s="9"/>
      <c r="B107" s="10"/>
      <c r="C107" s="9"/>
      <c r="D107" s="3"/>
      <c r="E107" s="3"/>
      <c r="F107" s="8"/>
      <c r="G107" s="3"/>
      <c r="H107" s="3"/>
      <c r="I107" s="3"/>
      <c r="J107" s="8"/>
      <c r="K107" s="3"/>
      <c r="L107" s="3"/>
      <c r="M107" s="3"/>
      <c r="N107" s="8"/>
      <c r="P107" s="3"/>
      <c r="Q107" s="3"/>
      <c r="R107" s="8"/>
      <c r="S107" s="3"/>
      <c r="T107" s="3"/>
      <c r="U107" s="3"/>
      <c r="V107" s="8"/>
      <c r="W107" s="3"/>
      <c r="X107" s="3"/>
      <c r="Y107" s="3"/>
      <c r="Z107" s="8"/>
    </row>
    <row r="108" spans="1:26" s="23" customFormat="1" x14ac:dyDescent="0.25">
      <c r="A108" s="52"/>
      <c r="B108" s="10" t="s">
        <v>14</v>
      </c>
      <c r="C108" s="10"/>
      <c r="D108" s="4">
        <v>58610.380000000005</v>
      </c>
      <c r="E108" s="4"/>
      <c r="F108" s="13">
        <f>IF(D$12=0,0,D108/D$12)</f>
        <v>0.47819373990443376</v>
      </c>
      <c r="G108" s="4"/>
      <c r="H108" s="4">
        <v>67691</v>
      </c>
      <c r="I108" s="4"/>
      <c r="J108" s="13">
        <f>IF(H$12=0,0,H108/H$12)</f>
        <v>0.10011743546965314</v>
      </c>
      <c r="K108" s="4"/>
      <c r="L108" s="4">
        <f>+D108-H108</f>
        <v>-9080.6199999999953</v>
      </c>
      <c r="M108" s="4"/>
      <c r="N108" s="13">
        <f>IF(H108=0,0,L108/H108)</f>
        <v>-0.13414811422493383</v>
      </c>
      <c r="O108" s="10"/>
      <c r="P108" s="4">
        <v>1086126.8499999999</v>
      </c>
      <c r="Q108" s="4"/>
      <c r="R108" s="13">
        <f>IF(P$12=0,0,P108/P$12)</f>
        <v>0.11841561757694859</v>
      </c>
      <c r="S108" s="4"/>
      <c r="T108" s="4">
        <v>1288875</v>
      </c>
      <c r="U108" s="4"/>
      <c r="V108" s="13">
        <f>IF(T$12=0,0,T108/T$12)</f>
        <v>0.11582577000378784</v>
      </c>
      <c r="W108" s="4"/>
      <c r="X108" s="4">
        <f>+P108-T108</f>
        <v>-202748.15000000014</v>
      </c>
      <c r="Y108" s="4"/>
      <c r="Z108" s="13">
        <f>IF(T108=0,0,X108/T108)</f>
        <v>-0.15730629424886056</v>
      </c>
    </row>
    <row r="109" spans="1:26" x14ac:dyDescent="0.25">
      <c r="A109" s="9"/>
      <c r="B109" s="10"/>
      <c r="C109" s="10"/>
      <c r="D109" s="3"/>
      <c r="E109" s="3"/>
      <c r="F109" s="8"/>
      <c r="G109" s="3"/>
      <c r="H109" s="3"/>
      <c r="I109" s="3"/>
      <c r="J109" s="8"/>
      <c r="K109" s="3"/>
      <c r="L109" s="3"/>
      <c r="M109" s="3"/>
      <c r="N109" s="8"/>
      <c r="O109" s="10"/>
      <c r="P109" s="3"/>
      <c r="Q109" s="3"/>
      <c r="R109" s="8"/>
      <c r="S109" s="3"/>
      <c r="T109" s="3"/>
      <c r="U109" s="3"/>
      <c r="V109" s="8"/>
      <c r="W109" s="3"/>
      <c r="X109" s="3"/>
      <c r="Y109" s="3"/>
      <c r="Z109" s="8"/>
    </row>
    <row r="110" spans="1:26" s="23" customFormat="1" ht="15.75" thickBot="1" x14ac:dyDescent="0.3">
      <c r="A110" s="10"/>
      <c r="B110" s="29" t="s">
        <v>4</v>
      </c>
      <c r="C110" s="29"/>
      <c r="D110" s="35">
        <f>+D106-D108</f>
        <v>-137169.22999999992</v>
      </c>
      <c r="E110" s="14"/>
      <c r="F110" s="32">
        <f>IF(D$12=0,0,D110/D$12)</f>
        <v>-1.119144204380033</v>
      </c>
      <c r="G110" s="14"/>
      <c r="H110" s="35">
        <f>+H106-H108</f>
        <v>13507.745668839721</v>
      </c>
      <c r="I110" s="14"/>
      <c r="J110" s="32">
        <f>IF(H$12=0,0,H110/H$12)</f>
        <v>1.9978444037472447E-2</v>
      </c>
      <c r="K110" s="16"/>
      <c r="L110" s="35">
        <f>D110-H110</f>
        <v>-150676.97566883964</v>
      </c>
      <c r="M110" s="16"/>
      <c r="N110" s="32">
        <f>IF(H110=0,0,L110/H110)</f>
        <v>-11.154857321338831</v>
      </c>
      <c r="O110" s="28"/>
      <c r="P110" s="35">
        <f>+P106-P108</f>
        <v>1077223.3699999989</v>
      </c>
      <c r="Q110" s="14"/>
      <c r="R110" s="32">
        <f>IF(P$12=0,0,P110/P$12)</f>
        <v>0.11744491044197249</v>
      </c>
      <c r="S110" s="14"/>
      <c r="T110" s="35">
        <f>+T106-T108</f>
        <v>1552316.5344527159</v>
      </c>
      <c r="U110" s="14"/>
      <c r="V110" s="32">
        <f>IF(T$12=0,0,T110/T$12)</f>
        <v>0.1395001515993384</v>
      </c>
      <c r="W110" s="16"/>
      <c r="X110" s="35">
        <f>P110-T110</f>
        <v>-475093.16445271694</v>
      </c>
      <c r="Y110" s="16"/>
      <c r="Z110" s="32">
        <f>IF(T110=0,0,X110/T110)</f>
        <v>-0.30605430909760656</v>
      </c>
    </row>
    <row r="111" spans="1:26" ht="15.75" thickTop="1" x14ac:dyDescent="0.25">
      <c r="A111" s="9"/>
      <c r="B111" s="9"/>
      <c r="C111" s="9"/>
      <c r="D111" s="3"/>
      <c r="E111" s="3"/>
      <c r="F111" s="8"/>
      <c r="G111" s="3"/>
      <c r="H111" s="3"/>
      <c r="I111" s="3"/>
      <c r="J111" s="8"/>
      <c r="K111" s="3"/>
      <c r="L111" s="3"/>
      <c r="M111" s="3"/>
      <c r="N111" s="8"/>
      <c r="P111" s="3"/>
      <c r="Q111" s="3"/>
      <c r="R111" s="8"/>
      <c r="S111" s="3"/>
      <c r="T111" s="3"/>
      <c r="U111" s="3"/>
      <c r="V111" s="8"/>
      <c r="W111" s="3"/>
      <c r="X111" s="3"/>
      <c r="Y111" s="3"/>
      <c r="Z111" s="8"/>
    </row>
    <row r="112" spans="1:26" x14ac:dyDescent="0.25">
      <c r="A112" s="9"/>
      <c r="B112" s="9"/>
      <c r="C112" s="9"/>
      <c r="D112" s="3"/>
      <c r="E112" s="3"/>
      <c r="F112" s="8"/>
      <c r="G112" s="3"/>
      <c r="H112" s="3"/>
      <c r="I112" s="3"/>
      <c r="J112" s="8"/>
      <c r="K112" s="3"/>
      <c r="L112" s="3"/>
      <c r="M112" s="3"/>
      <c r="N112" s="8"/>
      <c r="P112" s="3"/>
      <c r="Q112" s="3"/>
      <c r="R112" s="8"/>
      <c r="S112" s="3"/>
      <c r="T112" s="3"/>
      <c r="U112" s="3"/>
      <c r="V112" s="8"/>
      <c r="W112" s="3"/>
      <c r="X112" s="3"/>
      <c r="Y112" s="3"/>
      <c r="Z112" s="8"/>
    </row>
    <row r="113" spans="1:26" s="23" customFormat="1" ht="15.75" thickBot="1" x14ac:dyDescent="0.3">
      <c r="A113" s="10"/>
      <c r="B113" s="29" t="s">
        <v>5</v>
      </c>
      <c r="C113" s="29"/>
      <c r="D113" s="34">
        <f>SUM(D110:D112)</f>
        <v>-137169.22999999992</v>
      </c>
      <c r="E113" s="14"/>
      <c r="F113" s="31">
        <f>IF(D$12=0,0,D113/D$12)</f>
        <v>-1.119144204380033</v>
      </c>
      <c r="G113" s="14"/>
      <c r="H113" s="34">
        <f>SUM(H110:H112)</f>
        <v>13507.745668839721</v>
      </c>
      <c r="I113" s="14"/>
      <c r="J113" s="31">
        <f>IF(H$12=0,0,H113/H$12)</f>
        <v>1.9978444037472447E-2</v>
      </c>
      <c r="K113" s="16"/>
      <c r="L113" s="34">
        <f>+D113-H113</f>
        <v>-150676.97566883964</v>
      </c>
      <c r="M113" s="16"/>
      <c r="N113" s="31">
        <f>IF(H113=0,0,L113/H113)</f>
        <v>-11.154857321338831</v>
      </c>
      <c r="O113" s="28"/>
      <c r="P113" s="34">
        <f>SUM(P110:P112)</f>
        <v>1077223.3699999989</v>
      </c>
      <c r="Q113" s="14"/>
      <c r="R113" s="31">
        <f>IF(P$12=0,0,P113/P$12)</f>
        <v>0.11744491044197249</v>
      </c>
      <c r="S113" s="14"/>
      <c r="T113" s="34">
        <f>SUM(T110:T112)</f>
        <v>1552316.5344527159</v>
      </c>
      <c r="U113" s="14"/>
      <c r="V113" s="31">
        <f>IF(T$12=0,0,T113/T$12)</f>
        <v>0.1395001515993384</v>
      </c>
      <c r="W113" s="16"/>
      <c r="X113" s="34">
        <f>+P113-T113</f>
        <v>-475093.16445271694</v>
      </c>
      <c r="Y113" s="16"/>
      <c r="Z113" s="31">
        <f>IF(T113=0,0,X113/T113)</f>
        <v>-0.30605430909760656</v>
      </c>
    </row>
    <row r="114" spans="1:26" ht="15.75" thickTop="1" x14ac:dyDescent="0.25">
      <c r="A114" s="9"/>
      <c r="C114" s="9"/>
      <c r="D114" s="18"/>
      <c r="E114" s="18"/>
      <c r="G114" s="18"/>
      <c r="H114" s="18"/>
      <c r="I114" s="18"/>
      <c r="J114" s="42"/>
      <c r="K114" s="18"/>
      <c r="L114" s="18"/>
      <c r="M114" s="18"/>
      <c r="P114" s="18"/>
      <c r="Q114" s="18"/>
      <c r="R114" s="42"/>
      <c r="S114" s="18"/>
      <c r="T114" s="18"/>
      <c r="U114" s="18"/>
      <c r="V114" s="42"/>
      <c r="W114" s="18"/>
      <c r="X114" s="18"/>
    </row>
    <row r="115" spans="1:26" x14ac:dyDescent="0.25">
      <c r="A115" s="9"/>
      <c r="B115" s="59">
        <v>43992.371243634261</v>
      </c>
      <c r="D115" s="18"/>
      <c r="E115" s="18"/>
      <c r="G115" s="18"/>
      <c r="H115" s="18"/>
      <c r="I115" s="18"/>
      <c r="J115" s="42"/>
      <c r="K115" s="18"/>
      <c r="L115" s="18"/>
      <c r="M115" s="18"/>
      <c r="P115" s="18"/>
      <c r="Q115" s="18"/>
      <c r="R115" s="42"/>
      <c r="S115" s="18"/>
      <c r="T115" s="18"/>
      <c r="U115" s="18"/>
      <c r="V115" s="42"/>
      <c r="W115" s="18"/>
      <c r="X115" s="18"/>
    </row>
    <row r="116" spans="1:26" x14ac:dyDescent="0.25">
      <c r="A116" s="9"/>
      <c r="B116" s="56" t="s">
        <v>314</v>
      </c>
      <c r="D116" s="18"/>
      <c r="E116" s="18"/>
      <c r="G116" s="18"/>
      <c r="H116" s="18"/>
      <c r="I116" s="18"/>
      <c r="J116" s="42"/>
      <c r="K116" s="18"/>
      <c r="L116" s="18"/>
      <c r="M116" s="18"/>
      <c r="P116" s="18"/>
      <c r="Q116" s="18"/>
      <c r="R116" s="42"/>
      <c r="S116" s="18"/>
      <c r="T116" s="18"/>
      <c r="U116" s="18"/>
      <c r="V116" s="42"/>
      <c r="W116" s="18"/>
      <c r="X116" s="18"/>
    </row>
    <row r="117" spans="1:26" x14ac:dyDescent="0.25">
      <c r="A117" s="9"/>
      <c r="B117" s="54"/>
      <c r="D117" s="18"/>
      <c r="E117" s="18"/>
      <c r="G117" s="18"/>
      <c r="H117" s="18"/>
      <c r="I117" s="18"/>
      <c r="J117" s="42"/>
      <c r="K117" s="18"/>
      <c r="L117" s="18"/>
      <c r="M117" s="18"/>
      <c r="P117" s="18"/>
      <c r="Q117" s="18"/>
      <c r="R117" s="42"/>
      <c r="S117" s="18"/>
      <c r="T117" s="18"/>
      <c r="U117" s="18"/>
      <c r="V117" s="42"/>
      <c r="W117" s="18"/>
      <c r="X117" s="18"/>
    </row>
    <row r="118" spans="1:26" x14ac:dyDescent="0.25">
      <c r="D118" s="18"/>
      <c r="E118" s="18"/>
      <c r="G118" s="18"/>
      <c r="H118" s="18"/>
      <c r="I118" s="18"/>
      <c r="J118" s="42"/>
      <c r="K118" s="18"/>
      <c r="L118" s="18"/>
      <c r="M118" s="18"/>
      <c r="P118" s="18"/>
      <c r="Q118" s="18"/>
      <c r="R118" s="42"/>
      <c r="S118" s="18"/>
      <c r="T118" s="18"/>
      <c r="U118" s="18"/>
      <c r="V118" s="42"/>
      <c r="W118" s="18"/>
      <c r="X118" s="18"/>
    </row>
  </sheetData>
  <pageMargins left="0.25" right="0.25" top="0.75" bottom="0.75" header="0.3" footer="0.3"/>
  <pageSetup scale="55" fitToWidth="2" orientation="landscape"/>
  <drawing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76"/>
  <sheetViews>
    <sheetView zoomScale="80" workbookViewId="0">
      <pane xSplit="3" ySplit="10" topLeftCell="D17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63" t="s">
        <v>13</v>
      </c>
    </row>
    <row r="3" spans="1:26" x14ac:dyDescent="0.25">
      <c r="D3" s="63" t="s">
        <v>296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61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63" t="str">
        <f>CONCATENATE("Period ",RIGHT(202011,2),", ",2020)</f>
        <v>Period 11, 2020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61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4">
        <v>43981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61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51"/>
      <c r="C6" s="51"/>
      <c r="D6" s="23" t="str">
        <f>CONCATENATE("Department ","430", " - ", "Res Hall Management")</f>
        <v>Department 430 - Res Hall Management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57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5" t="s">
        <v>294</v>
      </c>
      <c r="E9" s="15"/>
      <c r="F9" s="38"/>
      <c r="G9" s="15"/>
      <c r="H9" s="15"/>
      <c r="I9" s="15"/>
      <c r="J9" s="46"/>
      <c r="K9" s="15"/>
      <c r="L9" s="15"/>
      <c r="M9" s="15"/>
      <c r="N9" s="38"/>
      <c r="P9" s="15" t="s">
        <v>295</v>
      </c>
      <c r="Q9" s="15"/>
      <c r="R9" s="38"/>
      <c r="S9" s="15"/>
      <c r="T9" s="15"/>
      <c r="U9" s="15"/>
      <c r="V9" s="46"/>
      <c r="W9" s="15"/>
      <c r="X9" s="15"/>
      <c r="Y9" s="15"/>
      <c r="Z9" s="38"/>
    </row>
    <row r="10" spans="1:26" x14ac:dyDescent="0.25">
      <c r="A10" s="10"/>
      <c r="B10" s="55"/>
      <c r="C10" s="10"/>
      <c r="D10" s="43" t="s">
        <v>10</v>
      </c>
      <c r="E10" s="33"/>
      <c r="F10" s="40" t="s">
        <v>15</v>
      </c>
      <c r="G10" s="33"/>
      <c r="H10" s="47" t="s">
        <v>11</v>
      </c>
      <c r="I10" s="33"/>
      <c r="J10" s="45" t="s">
        <v>16</v>
      </c>
      <c r="K10" s="10"/>
      <c r="L10" s="43" t="s">
        <v>12</v>
      </c>
      <c r="M10" s="10"/>
      <c r="N10" s="40" t="s">
        <v>17</v>
      </c>
      <c r="O10" s="10"/>
      <c r="P10" s="53" t="s">
        <v>10</v>
      </c>
      <c r="Q10" s="33"/>
      <c r="R10" s="40" t="s">
        <v>15</v>
      </c>
      <c r="S10" s="33"/>
      <c r="T10" s="47" t="s">
        <v>11</v>
      </c>
      <c r="U10" s="33"/>
      <c r="V10" s="45" t="s">
        <v>16</v>
      </c>
      <c r="W10" s="10"/>
      <c r="X10" s="43" t="s">
        <v>12</v>
      </c>
      <c r="Y10" s="10"/>
      <c r="Z10" s="40" t="s">
        <v>17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x14ac:dyDescent="0.25">
      <c r="A12" s="10"/>
      <c r="B12" s="28" t="s">
        <v>7</v>
      </c>
      <c r="C12" s="10"/>
      <c r="D12" s="4">
        <f>SUM(0)</f>
        <v>0</v>
      </c>
      <c r="E12" s="4"/>
      <c r="F12" s="13"/>
      <c r="G12" s="4"/>
      <c r="H12" s="4">
        <f>SUM(0)</f>
        <v>0</v>
      </c>
      <c r="I12" s="4"/>
      <c r="J12" s="13"/>
      <c r="K12" s="4"/>
      <c r="L12" s="4">
        <f>+D12-H12</f>
        <v>0</v>
      </c>
      <c r="M12" s="4"/>
      <c r="N12" s="13">
        <f>IF(H12=0,0,L12/H12)</f>
        <v>0</v>
      </c>
      <c r="O12" s="10"/>
      <c r="P12" s="4">
        <f>SUM(0)</f>
        <v>0</v>
      </c>
      <c r="Q12" s="4"/>
      <c r="R12" s="13"/>
      <c r="S12" s="4"/>
      <c r="T12" s="4">
        <f>SUM(0)</f>
        <v>0</v>
      </c>
      <c r="U12" s="4"/>
      <c r="V12" s="13"/>
      <c r="W12" s="4"/>
      <c r="X12" s="4">
        <f>+P12-T12</f>
        <v>0</v>
      </c>
      <c r="Y12" s="4"/>
      <c r="Z12" s="13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8" t="s">
        <v>8</v>
      </c>
      <c r="C14" s="10"/>
      <c r="D14" s="4">
        <f>SUM(0)</f>
        <v>0</v>
      </c>
      <c r="E14" s="4"/>
      <c r="F14" s="13">
        <f>IF(D$12=0,0,D14/D$12)</f>
        <v>0</v>
      </c>
      <c r="G14" s="4"/>
      <c r="H14" s="4">
        <f>SUM(0)</f>
        <v>0</v>
      </c>
      <c r="I14" s="4"/>
      <c r="J14" s="13">
        <f>IF(H$12=0,0,H14/H$12)</f>
        <v>0</v>
      </c>
      <c r="K14" s="4"/>
      <c r="L14" s="4">
        <f>+D14-H14</f>
        <v>0</v>
      </c>
      <c r="M14" s="4"/>
      <c r="N14" s="13">
        <f>IF(H14=0,0,L14/H14)</f>
        <v>0</v>
      </c>
      <c r="O14" s="10"/>
      <c r="P14" s="4">
        <f>SUM(0)</f>
        <v>0</v>
      </c>
      <c r="Q14" s="4"/>
      <c r="R14" s="13">
        <f>IF(P$12=0,0,P14/P$12)</f>
        <v>0</v>
      </c>
      <c r="S14" s="4"/>
      <c r="T14" s="4">
        <f>SUM(0)</f>
        <v>0</v>
      </c>
      <c r="U14" s="4"/>
      <c r="V14" s="13">
        <f>IF(T$12=0,0,T14/T$12)</f>
        <v>0</v>
      </c>
      <c r="W14" s="4"/>
      <c r="X14" s="4">
        <f>+P14-T14</f>
        <v>0</v>
      </c>
      <c r="Y14" s="4"/>
      <c r="Z14" s="13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9" t="s">
        <v>6</v>
      </c>
      <c r="C16" s="29"/>
      <c r="D16" s="20">
        <f>D12-D14</f>
        <v>0</v>
      </c>
      <c r="E16" s="14"/>
      <c r="F16" s="22">
        <f>IF(D$12=0,0,D16/D$12)</f>
        <v>0</v>
      </c>
      <c r="G16" s="14"/>
      <c r="H16" s="20">
        <f>H12-H14</f>
        <v>0</v>
      </c>
      <c r="I16" s="14"/>
      <c r="J16" s="22">
        <f>IF(H$12=0,0,H16/H$12)</f>
        <v>0</v>
      </c>
      <c r="K16" s="16"/>
      <c r="L16" s="20">
        <f>+D16-H16</f>
        <v>0</v>
      </c>
      <c r="M16" s="16"/>
      <c r="N16" s="22">
        <f>IF(H16=0,0,L16/H16)</f>
        <v>0</v>
      </c>
      <c r="O16" s="28"/>
      <c r="P16" s="20">
        <f>P12-P14</f>
        <v>0</v>
      </c>
      <c r="Q16" s="14"/>
      <c r="R16" s="22">
        <f>IF(P$12=0,0,P16/P$12)</f>
        <v>0</v>
      </c>
      <c r="S16" s="14"/>
      <c r="T16" s="20">
        <f>T12-T14</f>
        <v>0</v>
      </c>
      <c r="U16" s="14"/>
      <c r="V16" s="22">
        <f>IF(T$12=0,0,T16/T$12)</f>
        <v>0</v>
      </c>
      <c r="W16" s="16"/>
      <c r="X16" s="20">
        <f>+P16-T16</f>
        <v>0</v>
      </c>
      <c r="Y16" s="16"/>
      <c r="Z16" s="22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8" t="s">
        <v>9</v>
      </c>
      <c r="C18" s="10"/>
      <c r="D18" s="21">
        <f>SUM(OSRRefD22x_0)</f>
        <v>14475.840000000002</v>
      </c>
      <c r="E18" s="21"/>
      <c r="F18" s="30">
        <f t="shared" ref="F18:F28" si="0">IF(D$12=0,0,D18/D$12)</f>
        <v>0</v>
      </c>
      <c r="G18" s="21"/>
      <c r="H18" s="21">
        <f>SUM(OSRRefH22x_0)</f>
        <v>13508.050783619999</v>
      </c>
      <c r="I18" s="21"/>
      <c r="J18" s="30">
        <f t="shared" ref="J18:J28" si="1">IF(H$12=0,0,H18/H$12)</f>
        <v>0</v>
      </c>
      <c r="K18" s="4"/>
      <c r="L18" s="21">
        <f t="shared" ref="L18:L28" si="2">+D18-H18</f>
        <v>967.78921638000247</v>
      </c>
      <c r="M18" s="4"/>
      <c r="N18" s="30">
        <f t="shared" ref="N18:N28" si="3">IF(H18=0,0,L18/H18)</f>
        <v>7.1645364078254253E-2</v>
      </c>
      <c r="O18" s="10"/>
      <c r="P18" s="21">
        <f>SUM(OSRRefP22x_0)</f>
        <v>211339.99000000002</v>
      </c>
      <c r="Q18" s="21"/>
      <c r="R18" s="30">
        <f t="shared" ref="R18:R28" si="4">IF(P$12=0,0,P18/P$12)</f>
        <v>0</v>
      </c>
      <c r="S18" s="21"/>
      <c r="T18" s="21">
        <f>SUM(OSRRefT22x_0)</f>
        <v>158794.60940344</v>
      </c>
      <c r="U18" s="21"/>
      <c r="V18" s="30">
        <f t="shared" ref="V18:V28" si="5">IF(T$12=0,0,T18/T$12)</f>
        <v>0</v>
      </c>
      <c r="W18" s="4"/>
      <c r="X18" s="21">
        <f t="shared" ref="X18:X28" si="6">+P18-T18</f>
        <v>52545.380596560019</v>
      </c>
      <c r="Y18" s="4"/>
      <c r="Z18" s="30">
        <f t="shared" ref="Z18:Z28" si="7">IF(T18=0,0,X18/T18)</f>
        <v>0.33090153874846662</v>
      </c>
    </row>
    <row r="19" spans="1:26" s="27" customFormat="1" outlineLevel="1" collapsed="1" x14ac:dyDescent="0.25">
      <c r="A19" s="25"/>
      <c r="B19" s="12" t="str">
        <f>CONCATENATE("     ","*Benefits                                         ")</f>
        <v xml:space="preserve">     *Benefits                                         </v>
      </c>
      <c r="C19" s="12"/>
      <c r="D19" s="1">
        <f>SUM(OSRRefD22_0x_0)</f>
        <v>5018.79</v>
      </c>
      <c r="E19" s="1"/>
      <c r="F19" s="5">
        <f t="shared" si="0"/>
        <v>0</v>
      </c>
      <c r="G19" s="1"/>
      <c r="H19" s="1">
        <f>SUM(OSRRefH22_0x_0)</f>
        <v>4452.5201836199994</v>
      </c>
      <c r="I19" s="1"/>
      <c r="J19" s="5">
        <f t="shared" si="1"/>
        <v>0</v>
      </c>
      <c r="K19" s="1"/>
      <c r="L19" s="1">
        <f t="shared" si="2"/>
        <v>566.26981638000052</v>
      </c>
      <c r="M19" s="1"/>
      <c r="N19" s="5">
        <f t="shared" si="3"/>
        <v>0.12717961806511349</v>
      </c>
      <c r="O19" s="12"/>
      <c r="P19" s="1">
        <f>SUM(OSRRefP22_0x_0)</f>
        <v>65537.740000000005</v>
      </c>
      <c r="Q19" s="1"/>
      <c r="R19" s="5">
        <f t="shared" si="4"/>
        <v>0</v>
      </c>
      <c r="S19" s="1"/>
      <c r="T19" s="1">
        <f>SUM(OSRRefT22_0x_0)</f>
        <v>51453.242203439993</v>
      </c>
      <c r="U19" s="1"/>
      <c r="V19" s="5">
        <f t="shared" si="5"/>
        <v>0</v>
      </c>
      <c r="W19" s="1"/>
      <c r="X19" s="1">
        <f t="shared" si="6"/>
        <v>14084.497796560012</v>
      </c>
      <c r="Y19" s="1"/>
      <c r="Z19" s="5">
        <f t="shared" si="7"/>
        <v>0.27373392216707326</v>
      </c>
    </row>
    <row r="20" spans="1:26" s="24" customFormat="1" hidden="1" outlineLevel="2" x14ac:dyDescent="0.25">
      <c r="A20" s="26"/>
      <c r="B20" s="11" t="str">
        <f>CONCATENATE("          ", "6111", " - ", "F.I.C.A.")</f>
        <v xml:space="preserve">          6111 - F.I.C.A.</v>
      </c>
      <c r="C20" s="11"/>
      <c r="D20" s="7">
        <v>685.42</v>
      </c>
      <c r="E20" s="2"/>
      <c r="F20" s="6">
        <f t="shared" si="0"/>
        <v>0</v>
      </c>
      <c r="G20" s="2"/>
      <c r="H20" s="7">
        <v>623.33945201999995</v>
      </c>
      <c r="I20" s="2"/>
      <c r="J20" s="6">
        <f t="shared" si="1"/>
        <v>0</v>
      </c>
      <c r="K20" s="2"/>
      <c r="L20" s="7">
        <f t="shared" si="2"/>
        <v>62.080547980000006</v>
      </c>
      <c r="M20" s="2"/>
      <c r="N20" s="6">
        <f t="shared" si="3"/>
        <v>9.9593484382901123E-2</v>
      </c>
      <c r="O20" s="11"/>
      <c r="P20" s="7">
        <v>8560.7099999999991</v>
      </c>
      <c r="Q20" s="2"/>
      <c r="R20" s="6">
        <f t="shared" si="4"/>
        <v>0</v>
      </c>
      <c r="S20" s="2"/>
      <c r="T20" s="7">
        <v>7480.0734242399994</v>
      </c>
      <c r="U20" s="2"/>
      <c r="V20" s="6">
        <f t="shared" si="5"/>
        <v>0</v>
      </c>
      <c r="W20" s="2"/>
      <c r="X20" s="7">
        <f t="shared" si="6"/>
        <v>1080.6365757599997</v>
      </c>
      <c r="Y20" s="2"/>
      <c r="Z20" s="6">
        <f t="shared" si="7"/>
        <v>0.14446871233350173</v>
      </c>
    </row>
    <row r="21" spans="1:26" s="24" customFormat="1" hidden="1" outlineLevel="2" x14ac:dyDescent="0.25">
      <c r="A21" s="26"/>
      <c r="B21" s="11" t="str">
        <f>CONCATENATE("          ", "6112", " - ", "COMPENSATION INSURANCE")</f>
        <v xml:space="preserve">          6112 - COMPENSATION INSURANCE</v>
      </c>
      <c r="C21" s="11"/>
      <c r="D21" s="7">
        <v>521.45000000000005</v>
      </c>
      <c r="E21" s="2"/>
      <c r="F21" s="6">
        <f t="shared" si="0"/>
        <v>0</v>
      </c>
      <c r="G21" s="2"/>
      <c r="H21" s="7">
        <v>316.02731920000002</v>
      </c>
      <c r="I21" s="2"/>
      <c r="J21" s="6">
        <f t="shared" si="1"/>
        <v>0</v>
      </c>
      <c r="K21" s="2"/>
      <c r="L21" s="7">
        <f t="shared" si="2"/>
        <v>205.42268080000002</v>
      </c>
      <c r="M21" s="2"/>
      <c r="N21" s="6">
        <f t="shared" si="3"/>
        <v>0.65001557877974747</v>
      </c>
      <c r="O21" s="11"/>
      <c r="P21" s="7">
        <v>3751.52</v>
      </c>
      <c r="Q21" s="2"/>
      <c r="R21" s="6">
        <f t="shared" si="4"/>
        <v>0</v>
      </c>
      <c r="S21" s="2"/>
      <c r="T21" s="7">
        <v>3792.3278304</v>
      </c>
      <c r="U21" s="2"/>
      <c r="V21" s="6">
        <f t="shared" si="5"/>
        <v>0</v>
      </c>
      <c r="W21" s="2"/>
      <c r="X21" s="7">
        <f t="shared" si="6"/>
        <v>-40.807830400000057</v>
      </c>
      <c r="Y21" s="2"/>
      <c r="Z21" s="6">
        <f t="shared" si="7"/>
        <v>-1.0760628359414751E-2</v>
      </c>
    </row>
    <row r="22" spans="1:26" s="24" customFormat="1" hidden="1" outlineLevel="2" x14ac:dyDescent="0.25">
      <c r="A22" s="26"/>
      <c r="B22" s="11" t="str">
        <f>CONCATENATE("          ", "6113", " - ", "GROUP INSURANCE")</f>
        <v xml:space="preserve">          6113 - GROUP INSURANCE</v>
      </c>
      <c r="C22" s="11"/>
      <c r="D22" s="7">
        <v>2737.9</v>
      </c>
      <c r="E22" s="2"/>
      <c r="F22" s="6">
        <f t="shared" si="0"/>
        <v>0</v>
      </c>
      <c r="G22" s="2"/>
      <c r="H22" s="7">
        <v>1977</v>
      </c>
      <c r="I22" s="2"/>
      <c r="J22" s="6">
        <f t="shared" si="1"/>
        <v>0</v>
      </c>
      <c r="K22" s="2"/>
      <c r="L22" s="7">
        <f t="shared" si="2"/>
        <v>760.90000000000009</v>
      </c>
      <c r="M22" s="2"/>
      <c r="N22" s="6">
        <f t="shared" si="3"/>
        <v>0.38487607486090042</v>
      </c>
      <c r="O22" s="11"/>
      <c r="P22" s="7">
        <v>30073.100000000002</v>
      </c>
      <c r="Q22" s="2"/>
      <c r="R22" s="6">
        <f t="shared" si="4"/>
        <v>0</v>
      </c>
      <c r="S22" s="2"/>
      <c r="T22" s="7">
        <v>21747</v>
      </c>
      <c r="U22" s="2"/>
      <c r="V22" s="6">
        <f t="shared" si="5"/>
        <v>0</v>
      </c>
      <c r="W22" s="2"/>
      <c r="X22" s="7">
        <f t="shared" si="6"/>
        <v>8326.1000000000022</v>
      </c>
      <c r="Y22" s="2"/>
      <c r="Z22" s="6">
        <f t="shared" si="7"/>
        <v>0.38286200395456854</v>
      </c>
    </row>
    <row r="23" spans="1:26" s="24" customFormat="1" hidden="1" outlineLevel="2" x14ac:dyDescent="0.25">
      <c r="A23" s="26"/>
      <c r="B23" s="11" t="str">
        <f>CONCATENATE("          ", "6114", " - ", "STATE UNEMPLOYMENT INSURANCE")</f>
        <v xml:space="preserve">          6114 - STATE UNEMPLOYMENT INSURANCE</v>
      </c>
      <c r="C23" s="11"/>
      <c r="D23" s="7">
        <v>34.94</v>
      </c>
      <c r="E23" s="2"/>
      <c r="F23" s="6">
        <f t="shared" si="0"/>
        <v>0</v>
      </c>
      <c r="G23" s="2"/>
      <c r="H23" s="7">
        <v>21.177088399999999</v>
      </c>
      <c r="I23" s="2"/>
      <c r="J23" s="6">
        <f t="shared" si="1"/>
        <v>0</v>
      </c>
      <c r="K23" s="2"/>
      <c r="L23" s="7">
        <f t="shared" si="2"/>
        <v>13.762911599999999</v>
      </c>
      <c r="M23" s="2"/>
      <c r="N23" s="6">
        <f t="shared" si="3"/>
        <v>0.6498963096362198</v>
      </c>
      <c r="O23" s="11"/>
      <c r="P23" s="7">
        <v>290.45</v>
      </c>
      <c r="Q23" s="2"/>
      <c r="R23" s="6">
        <f t="shared" si="4"/>
        <v>0</v>
      </c>
      <c r="S23" s="2"/>
      <c r="T23" s="7">
        <v>254.1250608</v>
      </c>
      <c r="U23" s="2"/>
      <c r="V23" s="6">
        <f t="shared" si="5"/>
        <v>0</v>
      </c>
      <c r="W23" s="2"/>
      <c r="X23" s="7">
        <f t="shared" si="6"/>
        <v>36.324939199999989</v>
      </c>
      <c r="Y23" s="2"/>
      <c r="Z23" s="6">
        <f t="shared" si="7"/>
        <v>0.14294119236271713</v>
      </c>
    </row>
    <row r="24" spans="1:26" s="24" customFormat="1" hidden="1" outlineLevel="2" x14ac:dyDescent="0.25">
      <c r="A24" s="26"/>
      <c r="B24" s="11" t="str">
        <f>CONCATENATE("          ", "6115", " - ", "P.E.R.S.")</f>
        <v xml:space="preserve">          6115 - P.E.R.S.</v>
      </c>
      <c r="C24" s="11"/>
      <c r="D24" s="7">
        <v>625.82000000000005</v>
      </c>
      <c r="E24" s="2"/>
      <c r="F24" s="6">
        <f t="shared" si="0"/>
        <v>0</v>
      </c>
      <c r="G24" s="2"/>
      <c r="H24" s="7">
        <v>700.47292400000003</v>
      </c>
      <c r="I24" s="2"/>
      <c r="J24" s="6">
        <f t="shared" si="1"/>
        <v>0</v>
      </c>
      <c r="K24" s="2"/>
      <c r="L24" s="7">
        <f t="shared" si="2"/>
        <v>-74.652923999999985</v>
      </c>
      <c r="M24" s="2"/>
      <c r="N24" s="6">
        <f t="shared" si="3"/>
        <v>-0.106575031585375</v>
      </c>
      <c r="O24" s="11"/>
      <c r="P24" s="7">
        <v>6713.37</v>
      </c>
      <c r="Q24" s="2"/>
      <c r="R24" s="6">
        <f t="shared" si="4"/>
        <v>0</v>
      </c>
      <c r="S24" s="2"/>
      <c r="T24" s="7">
        <v>8405.675088</v>
      </c>
      <c r="U24" s="2"/>
      <c r="V24" s="6">
        <f t="shared" si="5"/>
        <v>0</v>
      </c>
      <c r="W24" s="2"/>
      <c r="X24" s="7">
        <f t="shared" si="6"/>
        <v>-1692.3050880000001</v>
      </c>
      <c r="Y24" s="2"/>
      <c r="Z24" s="6">
        <f t="shared" si="7"/>
        <v>-0.20132887249186524</v>
      </c>
    </row>
    <row r="25" spans="1:26" s="24" customFormat="1" hidden="1" outlineLevel="2" x14ac:dyDescent="0.25">
      <c r="A25" s="26"/>
      <c r="B25" s="11" t="str">
        <f>CONCATENATE("          ", "6116", " - ", "EDUCATIONAL BENEFITS")</f>
        <v xml:space="preserve">          6116 - EDUCATIONAL BENEFITS</v>
      </c>
      <c r="C25" s="11"/>
      <c r="D25" s="7"/>
      <c r="E25" s="2"/>
      <c r="F25" s="6">
        <f t="shared" si="0"/>
        <v>0</v>
      </c>
      <c r="G25" s="2"/>
      <c r="H25" s="7">
        <v>0</v>
      </c>
      <c r="I25" s="2"/>
      <c r="J25" s="6">
        <f t="shared" si="1"/>
        <v>0</v>
      </c>
      <c r="K25" s="2"/>
      <c r="L25" s="7">
        <f t="shared" si="2"/>
        <v>0</v>
      </c>
      <c r="M25" s="2"/>
      <c r="N25" s="6">
        <f t="shared" si="3"/>
        <v>0</v>
      </c>
      <c r="O25" s="11"/>
      <c r="P25" s="7"/>
      <c r="Q25" s="2"/>
      <c r="R25" s="6">
        <f t="shared" si="4"/>
        <v>0</v>
      </c>
      <c r="S25" s="2"/>
      <c r="T25" s="7">
        <v>0</v>
      </c>
      <c r="U25" s="2"/>
      <c r="V25" s="6">
        <f t="shared" si="5"/>
        <v>0</v>
      </c>
      <c r="W25" s="2"/>
      <c r="X25" s="7">
        <f t="shared" si="6"/>
        <v>0</v>
      </c>
      <c r="Y25" s="2"/>
      <c r="Z25" s="6">
        <f t="shared" si="7"/>
        <v>0</v>
      </c>
    </row>
    <row r="26" spans="1:26" s="24" customFormat="1" hidden="1" outlineLevel="2" x14ac:dyDescent="0.25">
      <c r="A26" s="26"/>
      <c r="B26" s="11" t="str">
        <f>CONCATENATE("          ", "6118", " - ", "VACATION")</f>
        <v xml:space="preserve">          6118 - VACATION</v>
      </c>
      <c r="C26" s="11"/>
      <c r="D26" s="7"/>
      <c r="E26" s="2"/>
      <c r="F26" s="6">
        <f t="shared" si="0"/>
        <v>0</v>
      </c>
      <c r="G26" s="2"/>
      <c r="H26" s="7">
        <v>570.15237999999999</v>
      </c>
      <c r="I26" s="2"/>
      <c r="J26" s="6">
        <f t="shared" si="1"/>
        <v>0</v>
      </c>
      <c r="K26" s="2"/>
      <c r="L26" s="7">
        <f t="shared" si="2"/>
        <v>-570.15237999999999</v>
      </c>
      <c r="M26" s="2"/>
      <c r="N26" s="6">
        <f t="shared" si="3"/>
        <v>-1</v>
      </c>
      <c r="O26" s="11"/>
      <c r="P26" s="7">
        <v>9187.49</v>
      </c>
      <c r="Q26" s="2"/>
      <c r="R26" s="6">
        <f t="shared" si="4"/>
        <v>0</v>
      </c>
      <c r="S26" s="2"/>
      <c r="T26" s="7">
        <v>6841.8285599999999</v>
      </c>
      <c r="U26" s="2"/>
      <c r="V26" s="6">
        <f t="shared" si="5"/>
        <v>0</v>
      </c>
      <c r="W26" s="2"/>
      <c r="X26" s="7">
        <f t="shared" si="6"/>
        <v>2345.6614399999999</v>
      </c>
      <c r="Y26" s="2"/>
      <c r="Z26" s="6">
        <f t="shared" si="7"/>
        <v>0.34284130615514868</v>
      </c>
    </row>
    <row r="27" spans="1:26" s="24" customFormat="1" hidden="1" outlineLevel="2" x14ac:dyDescent="0.25">
      <c r="A27" s="26"/>
      <c r="B27" s="11" t="str">
        <f>CONCATENATE("          ", "6119", " - ", "SICK LEAVE")</f>
        <v xml:space="preserve">          6119 - SICK LEAVE</v>
      </c>
      <c r="C27" s="11"/>
      <c r="D27" s="7">
        <v>413.26</v>
      </c>
      <c r="E27" s="2"/>
      <c r="F27" s="6">
        <f t="shared" si="0"/>
        <v>0</v>
      </c>
      <c r="G27" s="2"/>
      <c r="H27" s="7">
        <v>244.35102000000001</v>
      </c>
      <c r="I27" s="2"/>
      <c r="J27" s="6">
        <f t="shared" si="1"/>
        <v>0</v>
      </c>
      <c r="K27" s="2"/>
      <c r="L27" s="7">
        <f t="shared" si="2"/>
        <v>168.90897999999999</v>
      </c>
      <c r="M27" s="2"/>
      <c r="N27" s="6">
        <f t="shared" si="3"/>
        <v>0.69125547337596538</v>
      </c>
      <c r="O27" s="11"/>
      <c r="P27" s="7">
        <v>5736.51</v>
      </c>
      <c r="Q27" s="2"/>
      <c r="R27" s="6">
        <f t="shared" si="4"/>
        <v>0</v>
      </c>
      <c r="S27" s="2"/>
      <c r="T27" s="7">
        <v>2932.2122399999998</v>
      </c>
      <c r="U27" s="2"/>
      <c r="V27" s="6">
        <f t="shared" si="5"/>
        <v>0</v>
      </c>
      <c r="W27" s="2"/>
      <c r="X27" s="7">
        <f t="shared" si="6"/>
        <v>2804.2977600000004</v>
      </c>
      <c r="Y27" s="2"/>
      <c r="Z27" s="6">
        <f t="shared" si="7"/>
        <v>0.95637611825807012</v>
      </c>
    </row>
    <row r="28" spans="1:26" s="24" customFormat="1" hidden="1" outlineLevel="2" x14ac:dyDescent="0.25">
      <c r="A28" s="26"/>
      <c r="B28" s="11" t="str">
        <f>CONCATENATE("          ", "6156", " - ", "EMPLOYEE MEALS")</f>
        <v xml:space="preserve">          6156 - EMPLOYEE MEALS</v>
      </c>
      <c r="C28" s="11"/>
      <c r="D28" s="7"/>
      <c r="E28" s="2"/>
      <c r="F28" s="6">
        <f t="shared" si="0"/>
        <v>0</v>
      </c>
      <c r="G28" s="2"/>
      <c r="H28" s="7"/>
      <c r="I28" s="2"/>
      <c r="J28" s="6">
        <f t="shared" si="1"/>
        <v>0</v>
      </c>
      <c r="K28" s="2"/>
      <c r="L28" s="7">
        <f t="shared" si="2"/>
        <v>0</v>
      </c>
      <c r="M28" s="2"/>
      <c r="N28" s="6">
        <f t="shared" si="3"/>
        <v>0</v>
      </c>
      <c r="O28" s="11"/>
      <c r="P28" s="7">
        <v>1224.5899999999999</v>
      </c>
      <c r="Q28" s="2"/>
      <c r="R28" s="6">
        <f t="shared" si="4"/>
        <v>0</v>
      </c>
      <c r="S28" s="2"/>
      <c r="T28" s="7"/>
      <c r="U28" s="2"/>
      <c r="V28" s="6">
        <f t="shared" si="5"/>
        <v>0</v>
      </c>
      <c r="W28" s="2"/>
      <c r="X28" s="7">
        <f t="shared" si="6"/>
        <v>1224.5899999999999</v>
      </c>
      <c r="Y28" s="2"/>
      <c r="Z28" s="6">
        <f t="shared" si="7"/>
        <v>0</v>
      </c>
    </row>
    <row r="29" spans="1:26" s="27" customFormat="1" outlineLevel="1" collapsed="1" x14ac:dyDescent="0.25">
      <c r="A29" s="25"/>
      <c r="B29" s="12" t="str">
        <f>CONCATENATE("     ","*Payroll                                          ")</f>
        <v xml:space="preserve">     *Payroll                                          </v>
      </c>
      <c r="C29" s="12"/>
      <c r="D29" s="1">
        <f>SUM(OSRRefD22_1x_0)</f>
        <v>8959.5400000000009</v>
      </c>
      <c r="E29" s="1"/>
      <c r="F29" s="5">
        <f t="shared" ref="F29:F39" si="8">IF(D$12=0,0,D29/D$12)</f>
        <v>0</v>
      </c>
      <c r="G29" s="1"/>
      <c r="H29" s="1">
        <f>SUM(OSRRefH22_1x_0)</f>
        <v>7330.5306</v>
      </c>
      <c r="I29" s="1"/>
      <c r="J29" s="5">
        <f t="shared" ref="J29:J39" si="9">IF(H$12=0,0,H29/H$12)</f>
        <v>0</v>
      </c>
      <c r="K29" s="1"/>
      <c r="L29" s="1">
        <f t="shared" ref="L29:L39" si="10">+D29-H29</f>
        <v>1629.0094000000008</v>
      </c>
      <c r="M29" s="1"/>
      <c r="N29" s="5">
        <f t="shared" ref="N29:N39" si="11">IF(H29=0,0,L29/H29)</f>
        <v>0.22222257690323274</v>
      </c>
      <c r="O29" s="12"/>
      <c r="P29" s="1">
        <f>SUM(OSRRefP22_1x_0)</f>
        <v>91631.709999999992</v>
      </c>
      <c r="Q29" s="1"/>
      <c r="R29" s="5">
        <f t="shared" ref="R29:R39" si="12">IF(P$12=0,0,P29/P$12)</f>
        <v>0</v>
      </c>
      <c r="S29" s="1"/>
      <c r="T29" s="1">
        <f>SUM(OSRRefT22_1x_0)</f>
        <v>87966.367200000008</v>
      </c>
      <c r="U29" s="1"/>
      <c r="V29" s="5">
        <f t="shared" ref="V29:V39" si="13">IF(T$12=0,0,T29/T$12)</f>
        <v>0</v>
      </c>
      <c r="W29" s="1"/>
      <c r="X29" s="1">
        <f t="shared" ref="X29:X39" si="14">+P29-T29</f>
        <v>3665.342799999984</v>
      </c>
      <c r="Y29" s="1"/>
      <c r="Z29" s="5">
        <f t="shared" ref="Z29:Z39" si="15">IF(T29=0,0,X29/T29)</f>
        <v>4.1667547685201936E-2</v>
      </c>
    </row>
    <row r="30" spans="1:26" s="24" customFormat="1" hidden="1" outlineLevel="2" x14ac:dyDescent="0.25">
      <c r="A30" s="26"/>
      <c r="B30" s="11" t="str">
        <f>CONCATENATE("          ", "6001", " - ", "ADMINISTRATIVE SALARIES")</f>
        <v xml:space="preserve">          6001 - ADMINISTRATIVE SALARIES</v>
      </c>
      <c r="C30" s="11"/>
      <c r="D30" s="7">
        <v>8959.5400000000009</v>
      </c>
      <c r="E30" s="2"/>
      <c r="F30" s="6">
        <f t="shared" si="8"/>
        <v>0</v>
      </c>
      <c r="G30" s="2"/>
      <c r="H30" s="7">
        <v>0</v>
      </c>
      <c r="I30" s="2"/>
      <c r="J30" s="6">
        <f t="shared" si="9"/>
        <v>0</v>
      </c>
      <c r="K30" s="2"/>
      <c r="L30" s="7">
        <f t="shared" si="10"/>
        <v>8959.5400000000009</v>
      </c>
      <c r="M30" s="2"/>
      <c r="N30" s="6">
        <f t="shared" si="11"/>
        <v>0</v>
      </c>
      <c r="O30" s="11"/>
      <c r="P30" s="7">
        <v>91631.709999999992</v>
      </c>
      <c r="Q30" s="2"/>
      <c r="R30" s="6">
        <f t="shared" si="12"/>
        <v>0</v>
      </c>
      <c r="S30" s="2"/>
      <c r="T30" s="7">
        <v>0</v>
      </c>
      <c r="U30" s="2"/>
      <c r="V30" s="6">
        <f t="shared" si="13"/>
        <v>0</v>
      </c>
      <c r="W30" s="2"/>
      <c r="X30" s="7">
        <f t="shared" si="14"/>
        <v>91631.709999999992</v>
      </c>
      <c r="Y30" s="2"/>
      <c r="Z30" s="6">
        <f t="shared" si="15"/>
        <v>0</v>
      </c>
    </row>
    <row r="31" spans="1:26" s="24" customFormat="1" hidden="1" outlineLevel="2" x14ac:dyDescent="0.25">
      <c r="A31" s="26"/>
      <c r="B31" s="11" t="str">
        <f>CONCATENATE("          ", "6002", " - ", "STAFF SALARIES")</f>
        <v xml:space="preserve">          6002 - STAFF SALARIES</v>
      </c>
      <c r="C31" s="11"/>
      <c r="D31" s="7"/>
      <c r="E31" s="2"/>
      <c r="F31" s="6">
        <f t="shared" si="8"/>
        <v>0</v>
      </c>
      <c r="G31" s="2"/>
      <c r="H31" s="7">
        <v>7330.5306</v>
      </c>
      <c r="I31" s="2"/>
      <c r="J31" s="6">
        <f t="shared" si="9"/>
        <v>0</v>
      </c>
      <c r="K31" s="2"/>
      <c r="L31" s="7">
        <f t="shared" si="10"/>
        <v>-7330.5306</v>
      </c>
      <c r="M31" s="2"/>
      <c r="N31" s="6">
        <f t="shared" si="11"/>
        <v>-1</v>
      </c>
      <c r="O31" s="11"/>
      <c r="P31" s="7"/>
      <c r="Q31" s="2"/>
      <c r="R31" s="6">
        <f t="shared" si="12"/>
        <v>0</v>
      </c>
      <c r="S31" s="2"/>
      <c r="T31" s="7">
        <v>87966.367200000008</v>
      </c>
      <c r="U31" s="2"/>
      <c r="V31" s="6">
        <f t="shared" si="13"/>
        <v>0</v>
      </c>
      <c r="W31" s="2"/>
      <c r="X31" s="7">
        <f t="shared" si="14"/>
        <v>-87966.367200000008</v>
      </c>
      <c r="Y31" s="2"/>
      <c r="Z31" s="6">
        <f t="shared" si="15"/>
        <v>-1</v>
      </c>
    </row>
    <row r="32" spans="1:26" s="24" customFormat="1" hidden="1" outlineLevel="2" x14ac:dyDescent="0.25">
      <c r="A32" s="26"/>
      <c r="B32" s="11" t="str">
        <f>CONCATENATE("          ", "6003", " - ", "STAFF HOURLY-9 MONTH")</f>
        <v xml:space="preserve">          6003 - STAFF HOURLY-9 MONTH</v>
      </c>
      <c r="C32" s="11"/>
      <c r="D32" s="7"/>
      <c r="E32" s="2"/>
      <c r="F32" s="6">
        <f t="shared" si="8"/>
        <v>0</v>
      </c>
      <c r="G32" s="2"/>
      <c r="H32" s="7">
        <v>0</v>
      </c>
      <c r="I32" s="2"/>
      <c r="J32" s="6">
        <f t="shared" si="9"/>
        <v>0</v>
      </c>
      <c r="K32" s="2"/>
      <c r="L32" s="7">
        <f t="shared" si="10"/>
        <v>0</v>
      </c>
      <c r="M32" s="2"/>
      <c r="N32" s="6">
        <f t="shared" si="11"/>
        <v>0</v>
      </c>
      <c r="O32" s="11"/>
      <c r="P32" s="7"/>
      <c r="Q32" s="2"/>
      <c r="R32" s="6">
        <f t="shared" si="12"/>
        <v>0</v>
      </c>
      <c r="S32" s="2"/>
      <c r="T32" s="7">
        <v>0</v>
      </c>
      <c r="U32" s="2"/>
      <c r="V32" s="6">
        <f t="shared" si="13"/>
        <v>0</v>
      </c>
      <c r="W32" s="2"/>
      <c r="X32" s="7">
        <f t="shared" si="14"/>
        <v>0</v>
      </c>
      <c r="Y32" s="2"/>
      <c r="Z32" s="6">
        <f t="shared" si="15"/>
        <v>0</v>
      </c>
    </row>
    <row r="33" spans="1:26" s="24" customFormat="1" hidden="1" outlineLevel="2" x14ac:dyDescent="0.25">
      <c r="A33" s="26"/>
      <c r="B33" s="11" t="str">
        <f>CONCATENATE("          ", "6004", " - ", "STAFF HOURLY")</f>
        <v xml:space="preserve">          6004 - STAFF HOURLY</v>
      </c>
      <c r="C33" s="11"/>
      <c r="D33" s="7"/>
      <c r="E33" s="2"/>
      <c r="F33" s="6">
        <f t="shared" si="8"/>
        <v>0</v>
      </c>
      <c r="G33" s="2"/>
      <c r="H33" s="7">
        <v>0</v>
      </c>
      <c r="I33" s="2"/>
      <c r="J33" s="6">
        <f t="shared" si="9"/>
        <v>0</v>
      </c>
      <c r="K33" s="2"/>
      <c r="L33" s="7">
        <f t="shared" si="10"/>
        <v>0</v>
      </c>
      <c r="M33" s="2"/>
      <c r="N33" s="6">
        <f t="shared" si="11"/>
        <v>0</v>
      </c>
      <c r="O33" s="11"/>
      <c r="P33" s="7"/>
      <c r="Q33" s="2"/>
      <c r="R33" s="6">
        <f t="shared" si="12"/>
        <v>0</v>
      </c>
      <c r="S33" s="2"/>
      <c r="T33" s="7">
        <v>0</v>
      </c>
      <c r="U33" s="2"/>
      <c r="V33" s="6">
        <f t="shared" si="13"/>
        <v>0</v>
      </c>
      <c r="W33" s="2"/>
      <c r="X33" s="7">
        <f t="shared" si="14"/>
        <v>0</v>
      </c>
      <c r="Y33" s="2"/>
      <c r="Z33" s="6">
        <f t="shared" si="15"/>
        <v>0</v>
      </c>
    </row>
    <row r="34" spans="1:26" s="24" customFormat="1" hidden="1" outlineLevel="2" x14ac:dyDescent="0.25">
      <c r="A34" s="26"/>
      <c r="B34" s="11" t="str">
        <f>CONCATENATE("          ", "6005", " - ", "TEMPORARY WAGES-HOURLY")</f>
        <v xml:space="preserve">          6005 - TEMPORARY WAGES-HOURLY</v>
      </c>
      <c r="C34" s="11"/>
      <c r="D34" s="7"/>
      <c r="E34" s="2"/>
      <c r="F34" s="6">
        <f t="shared" si="8"/>
        <v>0</v>
      </c>
      <c r="G34" s="2"/>
      <c r="H34" s="7">
        <v>0</v>
      </c>
      <c r="I34" s="2"/>
      <c r="J34" s="6">
        <f t="shared" si="9"/>
        <v>0</v>
      </c>
      <c r="K34" s="2"/>
      <c r="L34" s="7">
        <f t="shared" si="10"/>
        <v>0</v>
      </c>
      <c r="M34" s="2"/>
      <c r="N34" s="6">
        <f t="shared" si="11"/>
        <v>0</v>
      </c>
      <c r="O34" s="11"/>
      <c r="P34" s="7"/>
      <c r="Q34" s="2"/>
      <c r="R34" s="6">
        <f t="shared" si="12"/>
        <v>0</v>
      </c>
      <c r="S34" s="2"/>
      <c r="T34" s="7">
        <v>0</v>
      </c>
      <c r="U34" s="2"/>
      <c r="V34" s="6">
        <f t="shared" si="13"/>
        <v>0</v>
      </c>
      <c r="W34" s="2"/>
      <c r="X34" s="7">
        <f t="shared" si="14"/>
        <v>0</v>
      </c>
      <c r="Y34" s="2"/>
      <c r="Z34" s="6">
        <f t="shared" si="15"/>
        <v>0</v>
      </c>
    </row>
    <row r="35" spans="1:26" s="24" customFormat="1" hidden="1" outlineLevel="2" x14ac:dyDescent="0.25">
      <c r="A35" s="26"/>
      <c r="B35" s="11" t="str">
        <f>CONCATENATE("          ", "6006", " - ", "TEMPORARY PART TIME")</f>
        <v xml:space="preserve">          6006 - TEMPORARY PART TIME</v>
      </c>
      <c r="C35" s="11"/>
      <c r="D35" s="7"/>
      <c r="E35" s="2"/>
      <c r="F35" s="6">
        <f t="shared" si="8"/>
        <v>0</v>
      </c>
      <c r="G35" s="2"/>
      <c r="H35" s="7">
        <v>0</v>
      </c>
      <c r="I35" s="2"/>
      <c r="J35" s="6">
        <f t="shared" si="9"/>
        <v>0</v>
      </c>
      <c r="K35" s="2"/>
      <c r="L35" s="7">
        <f t="shared" si="10"/>
        <v>0</v>
      </c>
      <c r="M35" s="2"/>
      <c r="N35" s="6">
        <f t="shared" si="11"/>
        <v>0</v>
      </c>
      <c r="O35" s="11"/>
      <c r="P35" s="7"/>
      <c r="Q35" s="2"/>
      <c r="R35" s="6">
        <f t="shared" si="12"/>
        <v>0</v>
      </c>
      <c r="S35" s="2"/>
      <c r="T35" s="7">
        <v>0</v>
      </c>
      <c r="U35" s="2"/>
      <c r="V35" s="6">
        <f t="shared" si="13"/>
        <v>0</v>
      </c>
      <c r="W35" s="2"/>
      <c r="X35" s="7">
        <f t="shared" si="14"/>
        <v>0</v>
      </c>
      <c r="Y35" s="2"/>
      <c r="Z35" s="6">
        <f t="shared" si="15"/>
        <v>0</v>
      </c>
    </row>
    <row r="36" spans="1:26" s="24" customFormat="1" hidden="1" outlineLevel="2" x14ac:dyDescent="0.25">
      <c r="A36" s="26"/>
      <c r="B36" s="11" t="str">
        <f>CONCATENATE("          ", "6007", " - ", "STUDENT HOURLY")</f>
        <v xml:space="preserve">          6007 - STUDENT HOURLY</v>
      </c>
      <c r="C36" s="11"/>
      <c r="D36" s="7"/>
      <c r="E36" s="2"/>
      <c r="F36" s="6">
        <f t="shared" si="8"/>
        <v>0</v>
      </c>
      <c r="G36" s="2"/>
      <c r="H36" s="7">
        <v>0</v>
      </c>
      <c r="I36" s="2"/>
      <c r="J36" s="6">
        <f t="shared" si="9"/>
        <v>0</v>
      </c>
      <c r="K36" s="2"/>
      <c r="L36" s="7">
        <f t="shared" si="10"/>
        <v>0</v>
      </c>
      <c r="M36" s="2"/>
      <c r="N36" s="6">
        <f t="shared" si="11"/>
        <v>0</v>
      </c>
      <c r="O36" s="11"/>
      <c r="P36" s="7"/>
      <c r="Q36" s="2"/>
      <c r="R36" s="6">
        <f t="shared" si="12"/>
        <v>0</v>
      </c>
      <c r="S36" s="2"/>
      <c r="T36" s="7">
        <v>0</v>
      </c>
      <c r="U36" s="2"/>
      <c r="V36" s="6">
        <f t="shared" si="13"/>
        <v>0</v>
      </c>
      <c r="W36" s="2"/>
      <c r="X36" s="7">
        <f t="shared" si="14"/>
        <v>0</v>
      </c>
      <c r="Y36" s="2"/>
      <c r="Z36" s="6">
        <f t="shared" si="15"/>
        <v>0</v>
      </c>
    </row>
    <row r="37" spans="1:26" s="24" customFormat="1" hidden="1" outlineLevel="2" x14ac:dyDescent="0.25">
      <c r="A37" s="26"/>
      <c r="B37" s="11" t="str">
        <f>CONCATENATE("          ", "6008", " - ", "STUDENT HOURLY-FICA EXEMPT")</f>
        <v xml:space="preserve">          6008 - STUDENT HOURLY-FICA EXEMPT</v>
      </c>
      <c r="C37" s="11"/>
      <c r="D37" s="7"/>
      <c r="E37" s="2"/>
      <c r="F37" s="6">
        <f t="shared" si="8"/>
        <v>0</v>
      </c>
      <c r="G37" s="2"/>
      <c r="H37" s="7">
        <v>0</v>
      </c>
      <c r="I37" s="2"/>
      <c r="J37" s="6">
        <f t="shared" si="9"/>
        <v>0</v>
      </c>
      <c r="K37" s="2"/>
      <c r="L37" s="7">
        <f t="shared" si="10"/>
        <v>0</v>
      </c>
      <c r="M37" s="2"/>
      <c r="N37" s="6">
        <f t="shared" si="11"/>
        <v>0</v>
      </c>
      <c r="O37" s="11"/>
      <c r="P37" s="7"/>
      <c r="Q37" s="2"/>
      <c r="R37" s="6">
        <f t="shared" si="12"/>
        <v>0</v>
      </c>
      <c r="S37" s="2"/>
      <c r="T37" s="7">
        <v>0</v>
      </c>
      <c r="U37" s="2"/>
      <c r="V37" s="6">
        <f t="shared" si="13"/>
        <v>0</v>
      </c>
      <c r="W37" s="2"/>
      <c r="X37" s="7">
        <f t="shared" si="14"/>
        <v>0</v>
      </c>
      <c r="Y37" s="2"/>
      <c r="Z37" s="6">
        <f t="shared" si="15"/>
        <v>0</v>
      </c>
    </row>
    <row r="38" spans="1:26" s="24" customFormat="1" hidden="1" outlineLevel="2" x14ac:dyDescent="0.25">
      <c r="A38" s="26"/>
      <c r="B38" s="11" t="str">
        <f>CONCATENATE("          ", "6009", " - ", "TEMPORARY-SEASONAL")</f>
        <v xml:space="preserve">          6009 - TEMPORARY-SEASONAL</v>
      </c>
      <c r="C38" s="11"/>
      <c r="D38" s="7"/>
      <c r="E38" s="2"/>
      <c r="F38" s="6">
        <f t="shared" si="8"/>
        <v>0</v>
      </c>
      <c r="G38" s="2"/>
      <c r="H38" s="7">
        <v>0</v>
      </c>
      <c r="I38" s="2"/>
      <c r="J38" s="6">
        <f t="shared" si="9"/>
        <v>0</v>
      </c>
      <c r="K38" s="2"/>
      <c r="L38" s="7">
        <f t="shared" si="10"/>
        <v>0</v>
      </c>
      <c r="M38" s="2"/>
      <c r="N38" s="6">
        <f t="shared" si="11"/>
        <v>0</v>
      </c>
      <c r="O38" s="11"/>
      <c r="P38" s="7"/>
      <c r="Q38" s="2"/>
      <c r="R38" s="6">
        <f t="shared" si="12"/>
        <v>0</v>
      </c>
      <c r="S38" s="2"/>
      <c r="T38" s="7">
        <v>0</v>
      </c>
      <c r="U38" s="2"/>
      <c r="V38" s="6">
        <f t="shared" si="13"/>
        <v>0</v>
      </c>
      <c r="W38" s="2"/>
      <c r="X38" s="7">
        <f t="shared" si="14"/>
        <v>0</v>
      </c>
      <c r="Y38" s="2"/>
      <c r="Z38" s="6">
        <f t="shared" si="15"/>
        <v>0</v>
      </c>
    </row>
    <row r="39" spans="1:26" s="24" customFormat="1" hidden="1" outlineLevel="2" x14ac:dyDescent="0.25">
      <c r="A39" s="26"/>
      <c r="B39" s="11" t="str">
        <f>CONCATENATE("          ", "6010", " - ", "GRATUITY")</f>
        <v xml:space="preserve">          6010 - GRATUITY</v>
      </c>
      <c r="C39" s="11"/>
      <c r="D39" s="7"/>
      <c r="E39" s="2"/>
      <c r="F39" s="6">
        <f t="shared" si="8"/>
        <v>0</v>
      </c>
      <c r="G39" s="2"/>
      <c r="H39" s="7">
        <v>0</v>
      </c>
      <c r="I39" s="2"/>
      <c r="J39" s="6">
        <f t="shared" si="9"/>
        <v>0</v>
      </c>
      <c r="K39" s="2"/>
      <c r="L39" s="7">
        <f t="shared" si="10"/>
        <v>0</v>
      </c>
      <c r="M39" s="2"/>
      <c r="N39" s="6">
        <f t="shared" si="11"/>
        <v>0</v>
      </c>
      <c r="O39" s="11"/>
      <c r="P39" s="7"/>
      <c r="Q39" s="2"/>
      <c r="R39" s="6">
        <f t="shared" si="12"/>
        <v>0</v>
      </c>
      <c r="S39" s="2"/>
      <c r="T39" s="7">
        <v>0</v>
      </c>
      <c r="U39" s="2"/>
      <c r="V39" s="6">
        <f t="shared" si="13"/>
        <v>0</v>
      </c>
      <c r="W39" s="2"/>
      <c r="X39" s="7">
        <f t="shared" si="14"/>
        <v>0</v>
      </c>
      <c r="Y39" s="2"/>
      <c r="Z39" s="6">
        <f t="shared" si="15"/>
        <v>0</v>
      </c>
    </row>
    <row r="40" spans="1:26" s="27" customFormat="1" outlineLevel="1" collapsed="1" x14ac:dyDescent="0.25">
      <c r="A40" s="25"/>
      <c r="B40" s="12" t="str">
        <f>CONCATENATE("     ","Advertising/Promo                                 ")</f>
        <v xml:space="preserve">     Advertising/Promo                                 </v>
      </c>
      <c r="C40" s="12"/>
      <c r="D40" s="1">
        <f>SUM(OSRRefD22_2x_0)</f>
        <v>0</v>
      </c>
      <c r="E40" s="1"/>
      <c r="F40" s="5">
        <f t="shared" ref="F40:F54" si="16">IF(D$12=0,0,D40/D$12)</f>
        <v>0</v>
      </c>
      <c r="G40" s="1"/>
      <c r="H40" s="1">
        <f>SUM(OSRRefH22_2x_0)</f>
        <v>125</v>
      </c>
      <c r="I40" s="1"/>
      <c r="J40" s="5">
        <f t="shared" ref="J40:J54" si="17">IF(H$12=0,0,H40/H$12)</f>
        <v>0</v>
      </c>
      <c r="K40" s="1"/>
      <c r="L40" s="1">
        <f t="shared" ref="L40:L54" si="18">+D40-H40</f>
        <v>-125</v>
      </c>
      <c r="M40" s="1"/>
      <c r="N40" s="5">
        <f t="shared" ref="N40:N54" si="19">IF(H40=0,0,L40/H40)</f>
        <v>-1</v>
      </c>
      <c r="O40" s="12"/>
      <c r="P40" s="1">
        <f>SUM(OSRRefP22_2x_0)</f>
        <v>0</v>
      </c>
      <c r="Q40" s="1"/>
      <c r="R40" s="5">
        <f t="shared" ref="R40:R54" si="20">IF(P$12=0,0,P40/P$12)</f>
        <v>0</v>
      </c>
      <c r="S40" s="1"/>
      <c r="T40" s="1">
        <f>SUM(OSRRefT22_2x_0)</f>
        <v>1375</v>
      </c>
      <c r="U40" s="1"/>
      <c r="V40" s="5">
        <f t="shared" ref="V40:V54" si="21">IF(T$12=0,0,T40/T$12)</f>
        <v>0</v>
      </c>
      <c r="W40" s="1"/>
      <c r="X40" s="1">
        <f t="shared" ref="X40:X54" si="22">+P40-T40</f>
        <v>-1375</v>
      </c>
      <c r="Y40" s="1"/>
      <c r="Z40" s="5">
        <f t="shared" ref="Z40:Z54" si="23">IF(T40=0,0,X40/T40)</f>
        <v>-1</v>
      </c>
    </row>
    <row r="41" spans="1:26" s="24" customFormat="1" hidden="1" outlineLevel="2" x14ac:dyDescent="0.25">
      <c r="A41" s="26"/>
      <c r="B41" s="11" t="str">
        <f>CONCATENATE("          ", "6362", " - ", "ADVERTISING EXPENSE")</f>
        <v xml:space="preserve">          6362 - ADVERTISING EXPENSE</v>
      </c>
      <c r="C41" s="11"/>
      <c r="D41" s="7"/>
      <c r="E41" s="2"/>
      <c r="F41" s="6">
        <f t="shared" si="16"/>
        <v>0</v>
      </c>
      <c r="G41" s="2"/>
      <c r="H41" s="7">
        <v>125</v>
      </c>
      <c r="I41" s="2"/>
      <c r="J41" s="6">
        <f t="shared" si="17"/>
        <v>0</v>
      </c>
      <c r="K41" s="2"/>
      <c r="L41" s="7">
        <f t="shared" si="18"/>
        <v>-125</v>
      </c>
      <c r="M41" s="2"/>
      <c r="N41" s="6">
        <f t="shared" si="19"/>
        <v>-1</v>
      </c>
      <c r="O41" s="11"/>
      <c r="P41" s="7"/>
      <c r="Q41" s="2"/>
      <c r="R41" s="6">
        <f t="shared" si="20"/>
        <v>0</v>
      </c>
      <c r="S41" s="2"/>
      <c r="T41" s="7">
        <v>1375</v>
      </c>
      <c r="U41" s="2"/>
      <c r="V41" s="6">
        <f t="shared" si="21"/>
        <v>0</v>
      </c>
      <c r="W41" s="2"/>
      <c r="X41" s="7">
        <f t="shared" si="22"/>
        <v>-1375</v>
      </c>
      <c r="Y41" s="2"/>
      <c r="Z41" s="6">
        <f t="shared" si="23"/>
        <v>-1</v>
      </c>
    </row>
    <row r="42" spans="1:26" s="27" customFormat="1" outlineLevel="1" collapsed="1" x14ac:dyDescent="0.25">
      <c r="A42" s="25"/>
      <c r="B42" s="12" t="str">
        <f>CONCATENATE("     ","Donations                                         ")</f>
        <v xml:space="preserve">     Donations                                         </v>
      </c>
      <c r="C42" s="12"/>
      <c r="D42" s="1">
        <f>SUM(OSRRefD22_3x_0)</f>
        <v>0</v>
      </c>
      <c r="E42" s="1"/>
      <c r="F42" s="5">
        <f t="shared" si="16"/>
        <v>0</v>
      </c>
      <c r="G42" s="1"/>
      <c r="H42" s="1">
        <f>SUM(OSRRefH22_3x_0)</f>
        <v>100</v>
      </c>
      <c r="I42" s="1"/>
      <c r="J42" s="5">
        <f t="shared" si="17"/>
        <v>0</v>
      </c>
      <c r="K42" s="1"/>
      <c r="L42" s="1">
        <f t="shared" si="18"/>
        <v>-100</v>
      </c>
      <c r="M42" s="1"/>
      <c r="N42" s="5">
        <f t="shared" si="19"/>
        <v>-1</v>
      </c>
      <c r="O42" s="12"/>
      <c r="P42" s="1">
        <f>SUM(OSRRefP22_3x_0)</f>
        <v>0</v>
      </c>
      <c r="Q42" s="1"/>
      <c r="R42" s="5">
        <f t="shared" si="20"/>
        <v>0</v>
      </c>
      <c r="S42" s="1"/>
      <c r="T42" s="1">
        <f>SUM(OSRRefT22_3x_0)</f>
        <v>1100</v>
      </c>
      <c r="U42" s="1"/>
      <c r="V42" s="5">
        <f t="shared" si="21"/>
        <v>0</v>
      </c>
      <c r="W42" s="1"/>
      <c r="X42" s="1">
        <f t="shared" si="22"/>
        <v>-1100</v>
      </c>
      <c r="Y42" s="1"/>
      <c r="Z42" s="5">
        <f t="shared" si="23"/>
        <v>-1</v>
      </c>
    </row>
    <row r="43" spans="1:26" s="24" customFormat="1" hidden="1" outlineLevel="2" x14ac:dyDescent="0.25">
      <c r="A43" s="26"/>
      <c r="B43" s="11" t="str">
        <f>CONCATENATE("          ", "6396", " - ", "COUPONS-CHARTROOM")</f>
        <v xml:space="preserve">          6396 - COUPONS-CHARTROOM</v>
      </c>
      <c r="C43" s="11"/>
      <c r="D43" s="7"/>
      <c r="E43" s="2"/>
      <c r="F43" s="6">
        <f t="shared" si="16"/>
        <v>0</v>
      </c>
      <c r="G43" s="2"/>
      <c r="H43" s="7">
        <v>100</v>
      </c>
      <c r="I43" s="2"/>
      <c r="J43" s="6">
        <f t="shared" si="17"/>
        <v>0</v>
      </c>
      <c r="K43" s="2"/>
      <c r="L43" s="7">
        <f t="shared" si="18"/>
        <v>-100</v>
      </c>
      <c r="M43" s="2"/>
      <c r="N43" s="6">
        <f t="shared" si="19"/>
        <v>-1</v>
      </c>
      <c r="O43" s="11"/>
      <c r="P43" s="7"/>
      <c r="Q43" s="2"/>
      <c r="R43" s="6">
        <f t="shared" si="20"/>
        <v>0</v>
      </c>
      <c r="S43" s="2"/>
      <c r="T43" s="7">
        <v>1100</v>
      </c>
      <c r="U43" s="2"/>
      <c r="V43" s="6">
        <f t="shared" si="21"/>
        <v>0</v>
      </c>
      <c r="W43" s="2"/>
      <c r="X43" s="7">
        <f t="shared" si="22"/>
        <v>-1100</v>
      </c>
      <c r="Y43" s="2"/>
      <c r="Z43" s="6">
        <f t="shared" si="23"/>
        <v>-1</v>
      </c>
    </row>
    <row r="44" spans="1:26" s="27" customFormat="1" outlineLevel="1" collapsed="1" x14ac:dyDescent="0.25">
      <c r="A44" s="25"/>
      <c r="B44" s="12" t="str">
        <f>CONCATENATE("     ","Employees' Appreciation                           ")</f>
        <v xml:space="preserve">     Employees' Appreciation                           </v>
      </c>
      <c r="C44" s="12"/>
      <c r="D44" s="1">
        <f>SUM(OSRRefD22_4x_0)</f>
        <v>0</v>
      </c>
      <c r="E44" s="1"/>
      <c r="F44" s="5">
        <f t="shared" si="16"/>
        <v>0</v>
      </c>
      <c r="G44" s="1"/>
      <c r="H44" s="1">
        <f>SUM(OSRRefH22_4x_0)</f>
        <v>300</v>
      </c>
      <c r="I44" s="1"/>
      <c r="J44" s="5">
        <f t="shared" si="17"/>
        <v>0</v>
      </c>
      <c r="K44" s="1"/>
      <c r="L44" s="1">
        <f t="shared" si="18"/>
        <v>-300</v>
      </c>
      <c r="M44" s="1"/>
      <c r="N44" s="5">
        <f t="shared" si="19"/>
        <v>-1</v>
      </c>
      <c r="O44" s="12"/>
      <c r="P44" s="1">
        <f>SUM(OSRRefP22_4x_0)</f>
        <v>0</v>
      </c>
      <c r="Q44" s="1"/>
      <c r="R44" s="5">
        <f t="shared" si="20"/>
        <v>0</v>
      </c>
      <c r="S44" s="1"/>
      <c r="T44" s="1">
        <f>SUM(OSRRefT22_4x_0)</f>
        <v>3300</v>
      </c>
      <c r="U44" s="1"/>
      <c r="V44" s="5">
        <f t="shared" si="21"/>
        <v>0</v>
      </c>
      <c r="W44" s="1"/>
      <c r="X44" s="1">
        <f t="shared" si="22"/>
        <v>-3300</v>
      </c>
      <c r="Y44" s="1"/>
      <c r="Z44" s="5">
        <f t="shared" si="23"/>
        <v>-1</v>
      </c>
    </row>
    <row r="45" spans="1:26" s="24" customFormat="1" hidden="1" outlineLevel="2" x14ac:dyDescent="0.25">
      <c r="A45" s="26"/>
      <c r="B45" s="11" t="str">
        <f>CONCATENATE("          ", "6277", " - ", "EMPLOYEE APPRECIATION")</f>
        <v xml:space="preserve">          6277 - EMPLOYEE APPRECIATION</v>
      </c>
      <c r="C45" s="11"/>
      <c r="D45" s="7"/>
      <c r="E45" s="2"/>
      <c r="F45" s="6">
        <f t="shared" si="16"/>
        <v>0</v>
      </c>
      <c r="G45" s="2"/>
      <c r="H45" s="7">
        <v>300</v>
      </c>
      <c r="I45" s="2"/>
      <c r="J45" s="6">
        <f t="shared" si="17"/>
        <v>0</v>
      </c>
      <c r="K45" s="2"/>
      <c r="L45" s="7">
        <f t="shared" si="18"/>
        <v>-300</v>
      </c>
      <c r="M45" s="2"/>
      <c r="N45" s="6">
        <f t="shared" si="19"/>
        <v>-1</v>
      </c>
      <c r="O45" s="11"/>
      <c r="P45" s="7"/>
      <c r="Q45" s="2"/>
      <c r="R45" s="6">
        <f t="shared" si="20"/>
        <v>0</v>
      </c>
      <c r="S45" s="2"/>
      <c r="T45" s="7">
        <v>3300</v>
      </c>
      <c r="U45" s="2"/>
      <c r="V45" s="6">
        <f t="shared" si="21"/>
        <v>0</v>
      </c>
      <c r="W45" s="2"/>
      <c r="X45" s="7">
        <f t="shared" si="22"/>
        <v>-3300</v>
      </c>
      <c r="Y45" s="2"/>
      <c r="Z45" s="6">
        <f t="shared" si="23"/>
        <v>-1</v>
      </c>
    </row>
    <row r="46" spans="1:26" s="27" customFormat="1" outlineLevel="1" collapsed="1" x14ac:dyDescent="0.25">
      <c r="A46" s="25"/>
      <c r="B46" s="12" t="str">
        <f>CONCATENATE("     ","General                                           ")</f>
        <v xml:space="preserve">     General                                           </v>
      </c>
      <c r="C46" s="12"/>
      <c r="D46" s="1">
        <f>SUM(OSRRefD22_5x_0)</f>
        <v>0</v>
      </c>
      <c r="E46" s="1"/>
      <c r="F46" s="5">
        <f t="shared" si="16"/>
        <v>0</v>
      </c>
      <c r="G46" s="1"/>
      <c r="H46" s="1">
        <f>SUM(OSRRefH22_5x_0)</f>
        <v>200</v>
      </c>
      <c r="I46" s="1"/>
      <c r="J46" s="5">
        <f t="shared" si="17"/>
        <v>0</v>
      </c>
      <c r="K46" s="1"/>
      <c r="L46" s="1">
        <f t="shared" si="18"/>
        <v>-200</v>
      </c>
      <c r="M46" s="1"/>
      <c r="N46" s="5">
        <f t="shared" si="19"/>
        <v>-1</v>
      </c>
      <c r="O46" s="12"/>
      <c r="P46" s="1">
        <f>SUM(OSRRefP22_5x_0)</f>
        <v>293.82</v>
      </c>
      <c r="Q46" s="1"/>
      <c r="R46" s="5">
        <f t="shared" si="20"/>
        <v>0</v>
      </c>
      <c r="S46" s="1"/>
      <c r="T46" s="1">
        <f>SUM(OSRRefT22_5x_0)</f>
        <v>2200</v>
      </c>
      <c r="U46" s="1"/>
      <c r="V46" s="5">
        <f t="shared" si="21"/>
        <v>0</v>
      </c>
      <c r="W46" s="1"/>
      <c r="X46" s="1">
        <f t="shared" si="22"/>
        <v>-1906.18</v>
      </c>
      <c r="Y46" s="1"/>
      <c r="Z46" s="5">
        <f t="shared" si="23"/>
        <v>-0.86644545454545463</v>
      </c>
    </row>
    <row r="47" spans="1:26" s="24" customFormat="1" hidden="1" outlineLevel="2" x14ac:dyDescent="0.25">
      <c r="A47" s="26"/>
      <c r="B47" s="11" t="str">
        <f>CONCATENATE("          ", "6279", " - ", "GENERAL EXPENSE")</f>
        <v xml:space="preserve">          6279 - GENERAL EXPENSE</v>
      </c>
      <c r="C47" s="11"/>
      <c r="D47" s="7"/>
      <c r="E47" s="2"/>
      <c r="F47" s="6">
        <f t="shared" si="16"/>
        <v>0</v>
      </c>
      <c r="G47" s="2"/>
      <c r="H47" s="7">
        <v>200</v>
      </c>
      <c r="I47" s="2"/>
      <c r="J47" s="6">
        <f t="shared" si="17"/>
        <v>0</v>
      </c>
      <c r="K47" s="2"/>
      <c r="L47" s="7">
        <f t="shared" si="18"/>
        <v>-200</v>
      </c>
      <c r="M47" s="2"/>
      <c r="N47" s="6">
        <f t="shared" si="19"/>
        <v>-1</v>
      </c>
      <c r="O47" s="11"/>
      <c r="P47" s="7">
        <v>293.82</v>
      </c>
      <c r="Q47" s="2"/>
      <c r="R47" s="6">
        <f t="shared" si="20"/>
        <v>0</v>
      </c>
      <c r="S47" s="2"/>
      <c r="T47" s="7">
        <v>2200</v>
      </c>
      <c r="U47" s="2"/>
      <c r="V47" s="6">
        <f t="shared" si="21"/>
        <v>0</v>
      </c>
      <c r="W47" s="2"/>
      <c r="X47" s="7">
        <f t="shared" si="22"/>
        <v>-1906.18</v>
      </c>
      <c r="Y47" s="2"/>
      <c r="Z47" s="6">
        <f t="shared" si="23"/>
        <v>-0.86644545454545463</v>
      </c>
    </row>
    <row r="48" spans="1:26" s="27" customFormat="1" outlineLevel="1" collapsed="1" x14ac:dyDescent="0.25">
      <c r="A48" s="25"/>
      <c r="B48" s="12" t="str">
        <f>CONCATENATE("     ","Repair and Maintenance                            ")</f>
        <v xml:space="preserve">     Repair and Maintenance                            </v>
      </c>
      <c r="C48" s="12"/>
      <c r="D48" s="1">
        <f>SUM(OSRRefD22_6x_0)</f>
        <v>0</v>
      </c>
      <c r="E48" s="1"/>
      <c r="F48" s="5">
        <f t="shared" si="16"/>
        <v>0</v>
      </c>
      <c r="G48" s="1"/>
      <c r="H48" s="1">
        <f>SUM(OSRRefH22_6x_0)</f>
        <v>0</v>
      </c>
      <c r="I48" s="1"/>
      <c r="J48" s="5">
        <f t="shared" si="17"/>
        <v>0</v>
      </c>
      <c r="K48" s="1"/>
      <c r="L48" s="1">
        <f t="shared" si="18"/>
        <v>0</v>
      </c>
      <c r="M48" s="1"/>
      <c r="N48" s="5">
        <f t="shared" si="19"/>
        <v>0</v>
      </c>
      <c r="O48" s="12"/>
      <c r="P48" s="1">
        <f>SUM(OSRRefP22_6x_0)</f>
        <v>46585.43</v>
      </c>
      <c r="Q48" s="1"/>
      <c r="R48" s="5">
        <f t="shared" si="20"/>
        <v>0</v>
      </c>
      <c r="S48" s="1"/>
      <c r="T48" s="1">
        <f>SUM(OSRRefT22_6x_0)</f>
        <v>0</v>
      </c>
      <c r="U48" s="1"/>
      <c r="V48" s="5">
        <f t="shared" si="21"/>
        <v>0</v>
      </c>
      <c r="W48" s="1"/>
      <c r="X48" s="1">
        <f t="shared" si="22"/>
        <v>46585.43</v>
      </c>
      <c r="Y48" s="1"/>
      <c r="Z48" s="5">
        <f t="shared" si="23"/>
        <v>0</v>
      </c>
    </row>
    <row r="49" spans="1:26" s="24" customFormat="1" hidden="1" outlineLevel="2" x14ac:dyDescent="0.25">
      <c r="A49" s="26"/>
      <c r="B49" s="11" t="str">
        <f>CONCATENATE("          ", "6371", " - ", "COMPUTER SOFTWARE MAINTENANCE")</f>
        <v xml:space="preserve">          6371 - COMPUTER SOFTWARE MAINTENANCE</v>
      </c>
      <c r="C49" s="11"/>
      <c r="D49" s="7"/>
      <c r="E49" s="2"/>
      <c r="F49" s="6">
        <f t="shared" si="16"/>
        <v>0</v>
      </c>
      <c r="G49" s="2"/>
      <c r="H49" s="7"/>
      <c r="I49" s="2"/>
      <c r="J49" s="6">
        <f t="shared" si="17"/>
        <v>0</v>
      </c>
      <c r="K49" s="2"/>
      <c r="L49" s="7">
        <f t="shared" si="18"/>
        <v>0</v>
      </c>
      <c r="M49" s="2"/>
      <c r="N49" s="6">
        <f t="shared" si="19"/>
        <v>0</v>
      </c>
      <c r="O49" s="11"/>
      <c r="P49" s="7">
        <v>46585.43</v>
      </c>
      <c r="Q49" s="2"/>
      <c r="R49" s="6">
        <f t="shared" si="20"/>
        <v>0</v>
      </c>
      <c r="S49" s="2"/>
      <c r="T49" s="7">
        <v>0</v>
      </c>
      <c r="U49" s="2"/>
      <c r="V49" s="6">
        <f t="shared" si="21"/>
        <v>0</v>
      </c>
      <c r="W49" s="2"/>
      <c r="X49" s="7">
        <f t="shared" si="22"/>
        <v>46585.43</v>
      </c>
      <c r="Y49" s="2"/>
      <c r="Z49" s="6">
        <f t="shared" si="23"/>
        <v>0</v>
      </c>
    </row>
    <row r="50" spans="1:26" s="27" customFormat="1" outlineLevel="1" collapsed="1" x14ac:dyDescent="0.25">
      <c r="A50" s="25"/>
      <c r="B50" s="12" t="str">
        <f>CONCATENATE("     ","Supplies                                          ")</f>
        <v xml:space="preserve">     Supplies                                          </v>
      </c>
      <c r="C50" s="12"/>
      <c r="D50" s="1">
        <f>SUM(OSRRefD22_7x_0)</f>
        <v>547.51</v>
      </c>
      <c r="E50" s="1"/>
      <c r="F50" s="5">
        <f t="shared" si="16"/>
        <v>0</v>
      </c>
      <c r="G50" s="1"/>
      <c r="H50" s="1">
        <f>SUM(OSRRefH22_7x_0)</f>
        <v>400</v>
      </c>
      <c r="I50" s="1"/>
      <c r="J50" s="5">
        <f t="shared" si="17"/>
        <v>0</v>
      </c>
      <c r="K50" s="1"/>
      <c r="L50" s="1">
        <f t="shared" si="18"/>
        <v>147.51</v>
      </c>
      <c r="M50" s="1"/>
      <c r="N50" s="5">
        <f t="shared" si="19"/>
        <v>0.36877499999999996</v>
      </c>
      <c r="O50" s="12"/>
      <c r="P50" s="1">
        <f>SUM(OSRRefP22_7x_0)</f>
        <v>4465.32</v>
      </c>
      <c r="Q50" s="1"/>
      <c r="R50" s="5">
        <f t="shared" si="20"/>
        <v>0</v>
      </c>
      <c r="S50" s="1"/>
      <c r="T50" s="1">
        <f>SUM(OSRRefT22_7x_0)</f>
        <v>3800</v>
      </c>
      <c r="U50" s="1"/>
      <c r="V50" s="5">
        <f t="shared" si="21"/>
        <v>0</v>
      </c>
      <c r="W50" s="1"/>
      <c r="X50" s="1">
        <f t="shared" si="22"/>
        <v>665.31999999999971</v>
      </c>
      <c r="Y50" s="1"/>
      <c r="Z50" s="5">
        <f t="shared" si="23"/>
        <v>0.1750842105263157</v>
      </c>
    </row>
    <row r="51" spans="1:26" s="24" customFormat="1" hidden="1" outlineLevel="2" x14ac:dyDescent="0.25">
      <c r="A51" s="26"/>
      <c r="B51" s="11" t="str">
        <f>CONCATENATE("          ", "6234", " - ", "EXPENDABLE SUPPLIES &amp; EQUIPMEN")</f>
        <v xml:space="preserve">          6234 - EXPENDABLE SUPPLIES &amp; EQUIPMEN</v>
      </c>
      <c r="C51" s="11"/>
      <c r="D51" s="7"/>
      <c r="E51" s="2"/>
      <c r="F51" s="6">
        <f t="shared" si="16"/>
        <v>0</v>
      </c>
      <c r="G51" s="2"/>
      <c r="H51" s="7">
        <v>200</v>
      </c>
      <c r="I51" s="2"/>
      <c r="J51" s="6">
        <f t="shared" si="17"/>
        <v>0</v>
      </c>
      <c r="K51" s="2"/>
      <c r="L51" s="7">
        <f t="shared" si="18"/>
        <v>-200</v>
      </c>
      <c r="M51" s="2"/>
      <c r="N51" s="6">
        <f t="shared" si="19"/>
        <v>-1</v>
      </c>
      <c r="O51" s="11"/>
      <c r="P51" s="7"/>
      <c r="Q51" s="2"/>
      <c r="R51" s="6">
        <f t="shared" si="20"/>
        <v>0</v>
      </c>
      <c r="S51" s="2"/>
      <c r="T51" s="7">
        <v>1200</v>
      </c>
      <c r="U51" s="2"/>
      <c r="V51" s="6">
        <f t="shared" si="21"/>
        <v>0</v>
      </c>
      <c r="W51" s="2"/>
      <c r="X51" s="7">
        <f t="shared" si="22"/>
        <v>-1200</v>
      </c>
      <c r="Y51" s="2"/>
      <c r="Z51" s="6">
        <f t="shared" si="23"/>
        <v>-1</v>
      </c>
    </row>
    <row r="52" spans="1:26" s="24" customFormat="1" hidden="1" outlineLevel="2" x14ac:dyDescent="0.25">
      <c r="A52" s="26"/>
      <c r="B52" s="11" t="str">
        <f>CONCATENATE("          ", "6235", " - ", "COVID-19 EXPENSES")</f>
        <v xml:space="preserve">          6235 - COVID-19 EXPENSES</v>
      </c>
      <c r="C52" s="11"/>
      <c r="D52" s="7">
        <v>529.20000000000005</v>
      </c>
      <c r="E52" s="2"/>
      <c r="F52" s="6">
        <f t="shared" si="16"/>
        <v>0</v>
      </c>
      <c r="G52" s="2"/>
      <c r="H52" s="7"/>
      <c r="I52" s="2"/>
      <c r="J52" s="6">
        <f t="shared" si="17"/>
        <v>0</v>
      </c>
      <c r="K52" s="2"/>
      <c r="L52" s="7">
        <f t="shared" si="18"/>
        <v>529.20000000000005</v>
      </c>
      <c r="M52" s="2"/>
      <c r="N52" s="6">
        <f t="shared" si="19"/>
        <v>0</v>
      </c>
      <c r="O52" s="11"/>
      <c r="P52" s="7">
        <v>529.20000000000005</v>
      </c>
      <c r="Q52" s="2"/>
      <c r="R52" s="6">
        <f t="shared" si="20"/>
        <v>0</v>
      </c>
      <c r="S52" s="2"/>
      <c r="T52" s="7"/>
      <c r="U52" s="2"/>
      <c r="V52" s="6">
        <f t="shared" si="21"/>
        <v>0</v>
      </c>
      <c r="W52" s="2"/>
      <c r="X52" s="7">
        <f t="shared" si="22"/>
        <v>529.20000000000005</v>
      </c>
      <c r="Y52" s="2"/>
      <c r="Z52" s="6">
        <f t="shared" si="23"/>
        <v>0</v>
      </c>
    </row>
    <row r="53" spans="1:26" s="24" customFormat="1" hidden="1" outlineLevel="2" x14ac:dyDescent="0.25">
      <c r="A53" s="26"/>
      <c r="B53" s="11" t="str">
        <f>CONCATENATE("          ", "6239", " - ", "KITCHEN SUPPLIES")</f>
        <v xml:space="preserve">          6239 - KITCHEN SUPPLIES</v>
      </c>
      <c r="C53" s="11"/>
      <c r="D53" s="7"/>
      <c r="E53" s="2"/>
      <c r="F53" s="6">
        <f t="shared" si="16"/>
        <v>0</v>
      </c>
      <c r="G53" s="2"/>
      <c r="H53" s="7">
        <v>100</v>
      </c>
      <c r="I53" s="2"/>
      <c r="J53" s="6">
        <f t="shared" si="17"/>
        <v>0</v>
      </c>
      <c r="K53" s="2"/>
      <c r="L53" s="7">
        <f t="shared" si="18"/>
        <v>-100</v>
      </c>
      <c r="M53" s="2"/>
      <c r="N53" s="6">
        <f t="shared" si="19"/>
        <v>-1</v>
      </c>
      <c r="O53" s="11"/>
      <c r="P53" s="7"/>
      <c r="Q53" s="2"/>
      <c r="R53" s="6">
        <f t="shared" si="20"/>
        <v>0</v>
      </c>
      <c r="S53" s="2"/>
      <c r="T53" s="7">
        <v>1100</v>
      </c>
      <c r="U53" s="2"/>
      <c r="V53" s="6">
        <f t="shared" si="21"/>
        <v>0</v>
      </c>
      <c r="W53" s="2"/>
      <c r="X53" s="7">
        <f t="shared" si="22"/>
        <v>-1100</v>
      </c>
      <c r="Y53" s="2"/>
      <c r="Z53" s="6">
        <f t="shared" si="23"/>
        <v>-1</v>
      </c>
    </row>
    <row r="54" spans="1:26" s="24" customFormat="1" hidden="1" outlineLevel="2" x14ac:dyDescent="0.25">
      <c r="A54" s="26"/>
      <c r="B54" s="11" t="str">
        <f>CONCATENATE("          ", "6241", " - ", "OFFICE EXPENSE")</f>
        <v xml:space="preserve">          6241 - OFFICE EXPENSE</v>
      </c>
      <c r="C54" s="11"/>
      <c r="D54" s="7">
        <v>18.309999999999999</v>
      </c>
      <c r="E54" s="2"/>
      <c r="F54" s="6">
        <f t="shared" si="16"/>
        <v>0</v>
      </c>
      <c r="G54" s="2"/>
      <c r="H54" s="7">
        <v>100</v>
      </c>
      <c r="I54" s="2"/>
      <c r="J54" s="6">
        <f t="shared" si="17"/>
        <v>0</v>
      </c>
      <c r="K54" s="2"/>
      <c r="L54" s="7">
        <f t="shared" si="18"/>
        <v>-81.69</v>
      </c>
      <c r="M54" s="2"/>
      <c r="N54" s="6">
        <f t="shared" si="19"/>
        <v>-0.81689999999999996</v>
      </c>
      <c r="O54" s="11"/>
      <c r="P54" s="7">
        <v>3936.12</v>
      </c>
      <c r="Q54" s="2"/>
      <c r="R54" s="6">
        <f t="shared" si="20"/>
        <v>0</v>
      </c>
      <c r="S54" s="2"/>
      <c r="T54" s="7">
        <v>1500</v>
      </c>
      <c r="U54" s="2"/>
      <c r="V54" s="6">
        <f t="shared" si="21"/>
        <v>0</v>
      </c>
      <c r="W54" s="2"/>
      <c r="X54" s="7">
        <f t="shared" si="22"/>
        <v>2436.12</v>
      </c>
      <c r="Y54" s="2"/>
      <c r="Z54" s="6">
        <f t="shared" si="23"/>
        <v>1.62408</v>
      </c>
    </row>
    <row r="55" spans="1:26" s="27" customFormat="1" outlineLevel="1" collapsed="1" x14ac:dyDescent="0.25">
      <c r="A55" s="25"/>
      <c r="B55" s="12" t="str">
        <f>CONCATENATE("     ","Telephone/Data Lines                              ")</f>
        <v xml:space="preserve">     Telephone/Data Lines                              </v>
      </c>
      <c r="C55" s="12"/>
      <c r="D55" s="1">
        <f>SUM(OSRRefD22_8x_0)</f>
        <v>-50</v>
      </c>
      <c r="E55" s="1"/>
      <c r="F55" s="5">
        <f t="shared" ref="F55:F60" si="24">IF(D$12=0,0,D55/D$12)</f>
        <v>0</v>
      </c>
      <c r="G55" s="1"/>
      <c r="H55" s="1">
        <f>SUM(OSRRefH22_8x_0)</f>
        <v>0</v>
      </c>
      <c r="I55" s="1"/>
      <c r="J55" s="5">
        <f t="shared" ref="J55:J60" si="25">IF(H$12=0,0,H55/H$12)</f>
        <v>0</v>
      </c>
      <c r="K55" s="1"/>
      <c r="L55" s="1">
        <f t="shared" ref="L55:L60" si="26">+D55-H55</f>
        <v>-50</v>
      </c>
      <c r="M55" s="1"/>
      <c r="N55" s="5">
        <f t="shared" ref="N55:N60" si="27">IF(H55=0,0,L55/H55)</f>
        <v>0</v>
      </c>
      <c r="O55" s="12"/>
      <c r="P55" s="1">
        <f>SUM(OSRRefP22_8x_0)</f>
        <v>-450</v>
      </c>
      <c r="Q55" s="1"/>
      <c r="R55" s="5">
        <f t="shared" ref="R55:R60" si="28">IF(P$12=0,0,P55/P$12)</f>
        <v>0</v>
      </c>
      <c r="S55" s="1"/>
      <c r="T55" s="1">
        <f>SUM(OSRRefT22_8x_0)</f>
        <v>1000</v>
      </c>
      <c r="U55" s="1"/>
      <c r="V55" s="5">
        <f t="shared" ref="V55:V60" si="29">IF(T$12=0,0,T55/T$12)</f>
        <v>0</v>
      </c>
      <c r="W55" s="1"/>
      <c r="X55" s="1">
        <f t="shared" ref="X55:X60" si="30">+P55-T55</f>
        <v>-1450</v>
      </c>
      <c r="Y55" s="1"/>
      <c r="Z55" s="5">
        <f t="shared" ref="Z55:Z60" si="31">IF(T55=0,0,X55/T55)</f>
        <v>-1.45</v>
      </c>
    </row>
    <row r="56" spans="1:26" s="24" customFormat="1" hidden="1" outlineLevel="2" x14ac:dyDescent="0.25">
      <c r="A56" s="26"/>
      <c r="B56" s="11" t="str">
        <f>CONCATENATE("          ", "6309", " - ", "TELEPHONE")</f>
        <v xml:space="preserve">          6309 - TELEPHONE</v>
      </c>
      <c r="C56" s="11"/>
      <c r="D56" s="7">
        <v>-50</v>
      </c>
      <c r="E56" s="2"/>
      <c r="F56" s="6">
        <f t="shared" si="24"/>
        <v>0</v>
      </c>
      <c r="G56" s="2"/>
      <c r="H56" s="7"/>
      <c r="I56" s="2"/>
      <c r="J56" s="6">
        <f t="shared" si="25"/>
        <v>0</v>
      </c>
      <c r="K56" s="2"/>
      <c r="L56" s="7">
        <f t="shared" si="26"/>
        <v>-50</v>
      </c>
      <c r="M56" s="2"/>
      <c r="N56" s="6">
        <f t="shared" si="27"/>
        <v>0</v>
      </c>
      <c r="O56" s="11"/>
      <c r="P56" s="7">
        <v>-450</v>
      </c>
      <c r="Q56" s="2"/>
      <c r="R56" s="6">
        <f t="shared" si="28"/>
        <v>0</v>
      </c>
      <c r="S56" s="2"/>
      <c r="T56" s="7">
        <v>1000</v>
      </c>
      <c r="U56" s="2"/>
      <c r="V56" s="6">
        <f t="shared" si="29"/>
        <v>0</v>
      </c>
      <c r="W56" s="2"/>
      <c r="X56" s="7">
        <f t="shared" si="30"/>
        <v>-1450</v>
      </c>
      <c r="Y56" s="2"/>
      <c r="Z56" s="6">
        <f t="shared" si="31"/>
        <v>-1.45</v>
      </c>
    </row>
    <row r="57" spans="1:26" s="27" customFormat="1" outlineLevel="1" collapsed="1" x14ac:dyDescent="0.25">
      <c r="A57" s="25"/>
      <c r="B57" s="12" t="str">
        <f>CONCATENATE("     ","Training                                          ")</f>
        <v xml:space="preserve">     Training                                          </v>
      </c>
      <c r="C57" s="12"/>
      <c r="D57" s="1">
        <f>SUM(OSRRefD22_9x_0)</f>
        <v>0</v>
      </c>
      <c r="E57" s="1"/>
      <c r="F57" s="5">
        <f t="shared" si="24"/>
        <v>0</v>
      </c>
      <c r="G57" s="1"/>
      <c r="H57" s="1">
        <f>SUM(OSRRefH22_9x_0)</f>
        <v>300</v>
      </c>
      <c r="I57" s="1"/>
      <c r="J57" s="5">
        <f t="shared" si="25"/>
        <v>0</v>
      </c>
      <c r="K57" s="1"/>
      <c r="L57" s="1">
        <f t="shared" si="26"/>
        <v>-300</v>
      </c>
      <c r="M57" s="1"/>
      <c r="N57" s="5">
        <f t="shared" si="27"/>
        <v>-1</v>
      </c>
      <c r="O57" s="12"/>
      <c r="P57" s="1">
        <f>SUM(OSRRefP22_9x_0)</f>
        <v>2950.22</v>
      </c>
      <c r="Q57" s="1"/>
      <c r="R57" s="5">
        <f t="shared" si="28"/>
        <v>0</v>
      </c>
      <c r="S57" s="1"/>
      <c r="T57" s="1">
        <f>SUM(OSRRefT22_9x_0)</f>
        <v>3300</v>
      </c>
      <c r="U57" s="1"/>
      <c r="V57" s="5">
        <f t="shared" si="29"/>
        <v>0</v>
      </c>
      <c r="W57" s="1"/>
      <c r="X57" s="1">
        <f t="shared" si="30"/>
        <v>-349.7800000000002</v>
      </c>
      <c r="Y57" s="1"/>
      <c r="Z57" s="5">
        <f t="shared" si="31"/>
        <v>-0.10599393939393946</v>
      </c>
    </row>
    <row r="58" spans="1:26" s="24" customFormat="1" hidden="1" outlineLevel="2" x14ac:dyDescent="0.25">
      <c r="A58" s="26"/>
      <c r="B58" s="11" t="str">
        <f>CONCATENATE("          ", "6376", " - ", "TRAINING")</f>
        <v xml:space="preserve">          6376 - TRAINING</v>
      </c>
      <c r="C58" s="11"/>
      <c r="D58" s="7"/>
      <c r="E58" s="2"/>
      <c r="F58" s="6">
        <f t="shared" si="24"/>
        <v>0</v>
      </c>
      <c r="G58" s="2"/>
      <c r="H58" s="7">
        <v>300</v>
      </c>
      <c r="I58" s="2"/>
      <c r="J58" s="6">
        <f t="shared" si="25"/>
        <v>0</v>
      </c>
      <c r="K58" s="2"/>
      <c r="L58" s="7">
        <f t="shared" si="26"/>
        <v>-300</v>
      </c>
      <c r="M58" s="2"/>
      <c r="N58" s="6">
        <f t="shared" si="27"/>
        <v>-1</v>
      </c>
      <c r="O58" s="11"/>
      <c r="P58" s="7">
        <v>2950.22</v>
      </c>
      <c r="Q58" s="2"/>
      <c r="R58" s="6">
        <f t="shared" si="28"/>
        <v>0</v>
      </c>
      <c r="S58" s="2"/>
      <c r="T58" s="7">
        <v>3300</v>
      </c>
      <c r="U58" s="2"/>
      <c r="V58" s="6">
        <f t="shared" si="29"/>
        <v>0</v>
      </c>
      <c r="W58" s="2"/>
      <c r="X58" s="7">
        <f t="shared" si="30"/>
        <v>-349.7800000000002</v>
      </c>
      <c r="Y58" s="2"/>
      <c r="Z58" s="6">
        <f t="shared" si="31"/>
        <v>-0.10599393939393946</v>
      </c>
    </row>
    <row r="59" spans="1:26" s="27" customFormat="1" outlineLevel="1" collapsed="1" x14ac:dyDescent="0.25">
      <c r="A59" s="25"/>
      <c r="B59" s="12" t="str">
        <f>CONCATENATE("     ","Travel                                            ")</f>
        <v xml:space="preserve">     Travel                                            </v>
      </c>
      <c r="C59" s="12"/>
      <c r="D59" s="1">
        <f>SUM(OSRRefD22_10x_0)</f>
        <v>0</v>
      </c>
      <c r="E59" s="1"/>
      <c r="F59" s="5">
        <f t="shared" si="24"/>
        <v>0</v>
      </c>
      <c r="G59" s="1"/>
      <c r="H59" s="1">
        <f>SUM(OSRRefH22_10x_0)</f>
        <v>300</v>
      </c>
      <c r="I59" s="1"/>
      <c r="J59" s="5">
        <f t="shared" si="25"/>
        <v>0</v>
      </c>
      <c r="K59" s="1"/>
      <c r="L59" s="1">
        <f t="shared" si="26"/>
        <v>-300</v>
      </c>
      <c r="M59" s="1"/>
      <c r="N59" s="5">
        <f t="shared" si="27"/>
        <v>-1</v>
      </c>
      <c r="O59" s="12"/>
      <c r="P59" s="1">
        <f>SUM(OSRRefP22_10x_0)</f>
        <v>325.75</v>
      </c>
      <c r="Q59" s="1"/>
      <c r="R59" s="5">
        <f t="shared" si="28"/>
        <v>0</v>
      </c>
      <c r="S59" s="1"/>
      <c r="T59" s="1">
        <f>SUM(OSRRefT22_10x_0)</f>
        <v>3300</v>
      </c>
      <c r="U59" s="1"/>
      <c r="V59" s="5">
        <f t="shared" si="29"/>
        <v>0</v>
      </c>
      <c r="W59" s="1"/>
      <c r="X59" s="1">
        <f t="shared" si="30"/>
        <v>-2974.25</v>
      </c>
      <c r="Y59" s="1"/>
      <c r="Z59" s="5">
        <f t="shared" si="31"/>
        <v>-0.90128787878787875</v>
      </c>
    </row>
    <row r="60" spans="1:26" s="24" customFormat="1" hidden="1" outlineLevel="2" x14ac:dyDescent="0.25">
      <c r="A60" s="26"/>
      <c r="B60" s="11" t="str">
        <f>CONCATENATE("          ", "6292", " - ", "TRAVEL/CONFERENCE")</f>
        <v xml:space="preserve">          6292 - TRAVEL/CONFERENCE</v>
      </c>
      <c r="C60" s="11"/>
      <c r="D60" s="7"/>
      <c r="E60" s="2"/>
      <c r="F60" s="6">
        <f t="shared" si="24"/>
        <v>0</v>
      </c>
      <c r="G60" s="2"/>
      <c r="H60" s="7">
        <v>300</v>
      </c>
      <c r="I60" s="2"/>
      <c r="J60" s="6">
        <f t="shared" si="25"/>
        <v>0</v>
      </c>
      <c r="K60" s="2"/>
      <c r="L60" s="7">
        <f t="shared" si="26"/>
        <v>-300</v>
      </c>
      <c r="M60" s="2"/>
      <c r="N60" s="6">
        <f t="shared" si="27"/>
        <v>-1</v>
      </c>
      <c r="O60" s="11"/>
      <c r="P60" s="7">
        <v>325.75</v>
      </c>
      <c r="Q60" s="2"/>
      <c r="R60" s="6">
        <f t="shared" si="28"/>
        <v>0</v>
      </c>
      <c r="S60" s="2"/>
      <c r="T60" s="7">
        <v>3300</v>
      </c>
      <c r="U60" s="2"/>
      <c r="V60" s="6">
        <f t="shared" si="29"/>
        <v>0</v>
      </c>
      <c r="W60" s="2"/>
      <c r="X60" s="7">
        <f t="shared" si="30"/>
        <v>-2974.25</v>
      </c>
      <c r="Y60" s="2"/>
      <c r="Z60" s="6">
        <f t="shared" si="31"/>
        <v>-0.90128787878787875</v>
      </c>
    </row>
    <row r="61" spans="1:26" s="62" customFormat="1" x14ac:dyDescent="0.25">
      <c r="A61" s="36"/>
      <c r="B61" s="36"/>
      <c r="C61" s="36"/>
      <c r="D61" s="1"/>
      <c r="E61" s="1"/>
      <c r="F61" s="5"/>
      <c r="G61" s="1"/>
      <c r="H61" s="1"/>
      <c r="I61" s="1"/>
      <c r="J61" s="5"/>
      <c r="K61" s="1"/>
      <c r="L61" s="1"/>
      <c r="M61" s="1"/>
      <c r="N61" s="5"/>
      <c r="O61" s="36"/>
      <c r="P61" s="1"/>
      <c r="Q61" s="1"/>
      <c r="R61" s="5"/>
      <c r="S61" s="1"/>
      <c r="T61" s="1"/>
      <c r="U61" s="1"/>
      <c r="V61" s="5"/>
      <c r="W61" s="1"/>
      <c r="X61" s="1"/>
      <c r="Y61" s="1"/>
      <c r="Z61" s="5"/>
    </row>
    <row r="62" spans="1:26" s="23" customFormat="1" x14ac:dyDescent="0.25">
      <c r="A62" s="10"/>
      <c r="B62" s="28" t="s">
        <v>0</v>
      </c>
      <c r="C62" s="10"/>
      <c r="D62" s="4">
        <f>SUM(0)</f>
        <v>0</v>
      </c>
      <c r="E62" s="4"/>
      <c r="F62" s="13">
        <f>IF(D$12=0,0,D62/D$12)</f>
        <v>0</v>
      </c>
      <c r="G62" s="4"/>
      <c r="H62" s="4">
        <f>SUM(0)</f>
        <v>0</v>
      </c>
      <c r="I62" s="4"/>
      <c r="J62" s="13">
        <f>IF(H$12=0,0,H62/H$12)</f>
        <v>0</v>
      </c>
      <c r="K62" s="4"/>
      <c r="L62" s="4">
        <f>+D62-H62</f>
        <v>0</v>
      </c>
      <c r="M62" s="4"/>
      <c r="N62" s="13">
        <f>IF(H62=0,0,L62/H62)</f>
        <v>0</v>
      </c>
      <c r="O62" s="10"/>
      <c r="P62" s="4">
        <f>SUM(0)</f>
        <v>0</v>
      </c>
      <c r="Q62" s="4"/>
      <c r="R62" s="13">
        <f>IF(P$12=0,0,P62/P$12)</f>
        <v>0</v>
      </c>
      <c r="S62" s="4"/>
      <c r="T62" s="4">
        <f>SUM(0)</f>
        <v>0</v>
      </c>
      <c r="U62" s="4"/>
      <c r="V62" s="13">
        <f>IF(T$12=0,0,T62/T$12)</f>
        <v>0</v>
      </c>
      <c r="W62" s="4"/>
      <c r="X62" s="4">
        <f>+P62-T62</f>
        <v>0</v>
      </c>
      <c r="Y62" s="4"/>
      <c r="Z62" s="13">
        <f>IF(T62=0,0,X62/T62)</f>
        <v>0</v>
      </c>
    </row>
    <row r="63" spans="1:26" x14ac:dyDescent="0.25">
      <c r="A63" s="9"/>
      <c r="B63" s="10"/>
      <c r="C63" s="10"/>
      <c r="D63" s="3"/>
      <c r="E63" s="3"/>
      <c r="F63" s="8"/>
      <c r="G63" s="3"/>
      <c r="H63" s="3"/>
      <c r="I63" s="3"/>
      <c r="J63" s="8"/>
      <c r="K63" s="3"/>
      <c r="L63" s="3"/>
      <c r="M63" s="3"/>
      <c r="N63" s="8"/>
      <c r="O63" s="10"/>
      <c r="P63" s="3"/>
      <c r="Q63" s="3"/>
      <c r="R63" s="8"/>
      <c r="S63" s="3"/>
      <c r="T63" s="3"/>
      <c r="U63" s="3"/>
      <c r="V63" s="8"/>
      <c r="W63" s="3"/>
      <c r="X63" s="3"/>
      <c r="Y63" s="3"/>
      <c r="Z63" s="8"/>
    </row>
    <row r="64" spans="1:26" s="23" customFormat="1" x14ac:dyDescent="0.25">
      <c r="A64" s="10"/>
      <c r="B64" s="29" t="s">
        <v>3</v>
      </c>
      <c r="C64" s="29"/>
      <c r="D64" s="20">
        <f>+D16-D18+D62</f>
        <v>-14475.840000000002</v>
      </c>
      <c r="E64" s="14"/>
      <c r="F64" s="22">
        <f>IF(D$12=0,0,D64/D$12)</f>
        <v>0</v>
      </c>
      <c r="G64" s="14"/>
      <c r="H64" s="20">
        <f>+H16-H18+H62</f>
        <v>-13508.050783619999</v>
      </c>
      <c r="I64" s="14"/>
      <c r="J64" s="22">
        <f>IF(H$12=0,0,H64/H$12)</f>
        <v>0</v>
      </c>
      <c r="K64" s="16"/>
      <c r="L64" s="20">
        <f>+D64-H64</f>
        <v>-967.78921638000247</v>
      </c>
      <c r="M64" s="16"/>
      <c r="N64" s="22">
        <f>IF(H64=0,0,L64/H64)</f>
        <v>7.1645364078254253E-2</v>
      </c>
      <c r="O64" s="28"/>
      <c r="P64" s="20">
        <f>+P16-P18+P62</f>
        <v>-211339.99000000002</v>
      </c>
      <c r="Q64" s="14"/>
      <c r="R64" s="22">
        <f>IF(P$12=0,0,P64/P$12)</f>
        <v>0</v>
      </c>
      <c r="S64" s="14"/>
      <c r="T64" s="20">
        <f>+T16-T18+T62</f>
        <v>-158794.60940344</v>
      </c>
      <c r="U64" s="14"/>
      <c r="V64" s="22">
        <f>IF(T$12=0,0,T64/T$12)</f>
        <v>0</v>
      </c>
      <c r="W64" s="16"/>
      <c r="X64" s="20">
        <f>+P64-T64</f>
        <v>-52545.380596560019</v>
      </c>
      <c r="Y64" s="16"/>
      <c r="Z64" s="22">
        <f>IF(T64=0,0,X64/T64)</f>
        <v>0.33090153874846662</v>
      </c>
    </row>
    <row r="65" spans="1:26" x14ac:dyDescent="0.25">
      <c r="A65" s="9"/>
      <c r="B65" s="10"/>
      <c r="C65" s="9"/>
      <c r="D65" s="3"/>
      <c r="E65" s="3"/>
      <c r="F65" s="8"/>
      <c r="G65" s="3"/>
      <c r="H65" s="3"/>
      <c r="I65" s="3"/>
      <c r="J65" s="8"/>
      <c r="K65" s="3"/>
      <c r="L65" s="3"/>
      <c r="M65" s="3"/>
      <c r="N65" s="8"/>
      <c r="P65" s="3"/>
      <c r="Q65" s="3"/>
      <c r="R65" s="8"/>
      <c r="S65" s="3"/>
      <c r="T65" s="3"/>
      <c r="U65" s="3"/>
      <c r="V65" s="8"/>
      <c r="W65" s="3"/>
      <c r="X65" s="3"/>
      <c r="Y65" s="3"/>
      <c r="Z65" s="8"/>
    </row>
    <row r="66" spans="1:26" s="23" customFormat="1" x14ac:dyDescent="0.25">
      <c r="A66" s="52"/>
      <c r="B66" s="10" t="s">
        <v>14</v>
      </c>
      <c r="C66" s="10"/>
      <c r="D66" s="4"/>
      <c r="E66" s="4"/>
      <c r="F66" s="13">
        <f>IF(D$12=0,0,D66/D$12)</f>
        <v>0</v>
      </c>
      <c r="G66" s="4"/>
      <c r="H66" s="4"/>
      <c r="I66" s="4"/>
      <c r="J66" s="13">
        <f>IF(H$12=0,0,H66/H$12)</f>
        <v>0</v>
      </c>
      <c r="K66" s="4"/>
      <c r="L66" s="4">
        <f>+D66-H66</f>
        <v>0</v>
      </c>
      <c r="M66" s="4"/>
      <c r="N66" s="13">
        <f>IF(H66=0,0,L66/H66)</f>
        <v>0</v>
      </c>
      <c r="O66" s="10"/>
      <c r="P66" s="4"/>
      <c r="Q66" s="4"/>
      <c r="R66" s="13">
        <f>IF(P$12=0,0,P66/P$12)</f>
        <v>0</v>
      </c>
      <c r="S66" s="4"/>
      <c r="T66" s="4"/>
      <c r="U66" s="4"/>
      <c r="V66" s="13">
        <f>IF(T$12=0,0,T66/T$12)</f>
        <v>0</v>
      </c>
      <c r="W66" s="4"/>
      <c r="X66" s="4">
        <f>+P66-T66</f>
        <v>0</v>
      </c>
      <c r="Y66" s="4"/>
      <c r="Z66" s="13">
        <f>IF(T66=0,0,X66/T66)</f>
        <v>0</v>
      </c>
    </row>
    <row r="67" spans="1:26" x14ac:dyDescent="0.25">
      <c r="A67" s="9"/>
      <c r="B67" s="10"/>
      <c r="C67" s="10"/>
      <c r="D67" s="3"/>
      <c r="E67" s="3"/>
      <c r="F67" s="8"/>
      <c r="G67" s="3"/>
      <c r="H67" s="3"/>
      <c r="I67" s="3"/>
      <c r="J67" s="8"/>
      <c r="K67" s="3"/>
      <c r="L67" s="3"/>
      <c r="M67" s="3"/>
      <c r="N67" s="8"/>
      <c r="O67" s="10"/>
      <c r="P67" s="3"/>
      <c r="Q67" s="3"/>
      <c r="R67" s="8"/>
      <c r="S67" s="3"/>
      <c r="T67" s="3"/>
      <c r="U67" s="3"/>
      <c r="V67" s="8"/>
      <c r="W67" s="3"/>
      <c r="X67" s="3"/>
      <c r="Y67" s="3"/>
      <c r="Z67" s="8"/>
    </row>
    <row r="68" spans="1:26" s="23" customFormat="1" ht="15.75" thickBot="1" x14ac:dyDescent="0.3">
      <c r="A68" s="10"/>
      <c r="B68" s="29" t="s">
        <v>4</v>
      </c>
      <c r="C68" s="29"/>
      <c r="D68" s="35">
        <f>+D64-D66</f>
        <v>-14475.840000000002</v>
      </c>
      <c r="E68" s="14"/>
      <c r="F68" s="32">
        <f>IF(D$12=0,0,D68/D$12)</f>
        <v>0</v>
      </c>
      <c r="G68" s="14"/>
      <c r="H68" s="35">
        <f>+H64-H66</f>
        <v>-13508.050783619999</v>
      </c>
      <c r="I68" s="14"/>
      <c r="J68" s="32">
        <f>IF(H$12=0,0,H68/H$12)</f>
        <v>0</v>
      </c>
      <c r="K68" s="16"/>
      <c r="L68" s="35">
        <f>D68-H68</f>
        <v>-967.78921638000247</v>
      </c>
      <c r="M68" s="16"/>
      <c r="N68" s="32">
        <f>IF(H68=0,0,L68/H68)</f>
        <v>7.1645364078254253E-2</v>
      </c>
      <c r="O68" s="28"/>
      <c r="P68" s="35">
        <f>+P64-P66</f>
        <v>-211339.99000000002</v>
      </c>
      <c r="Q68" s="14"/>
      <c r="R68" s="32">
        <f>IF(P$12=0,0,P68/P$12)</f>
        <v>0</v>
      </c>
      <c r="S68" s="14"/>
      <c r="T68" s="35">
        <f>+T64-T66</f>
        <v>-158794.60940344</v>
      </c>
      <c r="U68" s="14"/>
      <c r="V68" s="32">
        <f>IF(T$12=0,0,T68/T$12)</f>
        <v>0</v>
      </c>
      <c r="W68" s="16"/>
      <c r="X68" s="35">
        <f>P68-T68</f>
        <v>-52545.380596560019</v>
      </c>
      <c r="Y68" s="16"/>
      <c r="Z68" s="32">
        <f>IF(T68=0,0,X68/T68)</f>
        <v>0.33090153874846662</v>
      </c>
    </row>
    <row r="69" spans="1:26" ht="15.75" thickTop="1" x14ac:dyDescent="0.25">
      <c r="A69" s="9"/>
      <c r="B69" s="9"/>
      <c r="C69" s="9"/>
      <c r="D69" s="3"/>
      <c r="E69" s="3"/>
      <c r="F69" s="8"/>
      <c r="G69" s="3"/>
      <c r="H69" s="3"/>
      <c r="I69" s="3"/>
      <c r="J69" s="8"/>
      <c r="K69" s="3"/>
      <c r="L69" s="3"/>
      <c r="M69" s="3"/>
      <c r="N69" s="8"/>
      <c r="P69" s="3"/>
      <c r="Q69" s="3"/>
      <c r="R69" s="8"/>
      <c r="S69" s="3"/>
      <c r="T69" s="3"/>
      <c r="U69" s="3"/>
      <c r="V69" s="8"/>
      <c r="W69" s="3"/>
      <c r="X69" s="3"/>
      <c r="Y69" s="3"/>
      <c r="Z69" s="8"/>
    </row>
    <row r="70" spans="1:26" x14ac:dyDescent="0.25">
      <c r="A70" s="9"/>
      <c r="B70" s="9"/>
      <c r="C70" s="9"/>
      <c r="D70" s="3"/>
      <c r="E70" s="3"/>
      <c r="F70" s="8"/>
      <c r="G70" s="3"/>
      <c r="H70" s="3"/>
      <c r="I70" s="3"/>
      <c r="J70" s="8"/>
      <c r="K70" s="3"/>
      <c r="L70" s="3"/>
      <c r="M70" s="3"/>
      <c r="N70" s="8"/>
      <c r="P70" s="3"/>
      <c r="Q70" s="3"/>
      <c r="R70" s="8"/>
      <c r="S70" s="3"/>
      <c r="T70" s="3"/>
      <c r="U70" s="3"/>
      <c r="V70" s="8"/>
      <c r="W70" s="3"/>
      <c r="X70" s="3"/>
      <c r="Y70" s="3"/>
      <c r="Z70" s="8"/>
    </row>
    <row r="71" spans="1:26" s="23" customFormat="1" ht="15.75" thickBot="1" x14ac:dyDescent="0.3">
      <c r="A71" s="10"/>
      <c r="B71" s="29" t="s">
        <v>5</v>
      </c>
      <c r="C71" s="29"/>
      <c r="D71" s="34">
        <f>SUM(D68:D70)</f>
        <v>-14475.840000000002</v>
      </c>
      <c r="E71" s="14"/>
      <c r="F71" s="31">
        <f>IF(D$12=0,0,D71/D$12)</f>
        <v>0</v>
      </c>
      <c r="G71" s="14"/>
      <c r="H71" s="34">
        <f>SUM(H68:H70)</f>
        <v>-13508.050783619999</v>
      </c>
      <c r="I71" s="14"/>
      <c r="J71" s="31">
        <f>IF(H$12=0,0,H71/H$12)</f>
        <v>0</v>
      </c>
      <c r="K71" s="16"/>
      <c r="L71" s="34">
        <f>+D71-H71</f>
        <v>-967.78921638000247</v>
      </c>
      <c r="M71" s="16"/>
      <c r="N71" s="31">
        <f>IF(H71=0,0,L71/H71)</f>
        <v>7.1645364078254253E-2</v>
      </c>
      <c r="O71" s="28"/>
      <c r="P71" s="34">
        <f>SUM(P68:P70)</f>
        <v>-211339.99000000002</v>
      </c>
      <c r="Q71" s="14"/>
      <c r="R71" s="31">
        <f>IF(P$12=0,0,P71/P$12)</f>
        <v>0</v>
      </c>
      <c r="S71" s="14"/>
      <c r="T71" s="34">
        <f>SUM(T68:T70)</f>
        <v>-158794.60940344</v>
      </c>
      <c r="U71" s="14"/>
      <c r="V71" s="31">
        <f>IF(T$12=0,0,T71/T$12)</f>
        <v>0</v>
      </c>
      <c r="W71" s="16"/>
      <c r="X71" s="34">
        <f>+P71-T71</f>
        <v>-52545.380596560019</v>
      </c>
      <c r="Y71" s="16"/>
      <c r="Z71" s="31">
        <f>IF(T71=0,0,X71/T71)</f>
        <v>0.33090153874846662</v>
      </c>
    </row>
    <row r="72" spans="1:26" ht="15.75" thickTop="1" x14ac:dyDescent="0.25">
      <c r="A72" s="9"/>
      <c r="C72" s="9"/>
      <c r="D72" s="18"/>
      <c r="E72" s="18"/>
      <c r="G72" s="18"/>
      <c r="H72" s="18"/>
      <c r="I72" s="18"/>
      <c r="J72" s="42"/>
      <c r="K72" s="18"/>
      <c r="L72" s="18"/>
      <c r="M72" s="18"/>
      <c r="P72" s="18"/>
      <c r="Q72" s="18"/>
      <c r="R72" s="42"/>
      <c r="S72" s="18"/>
      <c r="T72" s="18"/>
      <c r="U72" s="18"/>
      <c r="V72" s="42"/>
      <c r="W72" s="18"/>
      <c r="X72" s="18"/>
    </row>
    <row r="73" spans="1:26" x14ac:dyDescent="0.25">
      <c r="A73" s="9"/>
      <c r="B73" s="59">
        <v>43992.372236111114</v>
      </c>
      <c r="D73" s="18"/>
      <c r="E73" s="18"/>
      <c r="G73" s="18"/>
      <c r="H73" s="18"/>
      <c r="I73" s="18"/>
      <c r="J73" s="42"/>
      <c r="K73" s="18"/>
      <c r="L73" s="18"/>
      <c r="M73" s="18"/>
      <c r="P73" s="18"/>
      <c r="Q73" s="18"/>
      <c r="R73" s="42"/>
      <c r="S73" s="18"/>
      <c r="T73" s="18"/>
      <c r="U73" s="18"/>
      <c r="V73" s="42"/>
      <c r="W73" s="18"/>
      <c r="X73" s="18"/>
    </row>
    <row r="74" spans="1:26" x14ac:dyDescent="0.25">
      <c r="A74" s="9"/>
      <c r="B74" s="56" t="s">
        <v>314</v>
      </c>
      <c r="D74" s="18"/>
      <c r="E74" s="18"/>
      <c r="G74" s="18"/>
      <c r="H74" s="18"/>
      <c r="I74" s="18"/>
      <c r="J74" s="42"/>
      <c r="K74" s="18"/>
      <c r="L74" s="18"/>
      <c r="M74" s="18"/>
      <c r="P74" s="18"/>
      <c r="Q74" s="18"/>
      <c r="R74" s="42"/>
      <c r="S74" s="18"/>
      <c r="T74" s="18"/>
      <c r="U74" s="18"/>
      <c r="V74" s="42"/>
      <c r="W74" s="18"/>
      <c r="X74" s="18"/>
    </row>
    <row r="75" spans="1:26" x14ac:dyDescent="0.25">
      <c r="A75" s="9"/>
      <c r="B75" s="54"/>
      <c r="D75" s="18"/>
      <c r="E75" s="18"/>
      <c r="G75" s="18"/>
      <c r="H75" s="18"/>
      <c r="I75" s="18"/>
      <c r="J75" s="42"/>
      <c r="K75" s="18"/>
      <c r="L75" s="18"/>
      <c r="M75" s="18"/>
      <c r="P75" s="18"/>
      <c r="Q75" s="18"/>
      <c r="R75" s="42"/>
      <c r="S75" s="18"/>
      <c r="T75" s="18"/>
      <c r="U75" s="18"/>
      <c r="V75" s="42"/>
      <c r="W75" s="18"/>
      <c r="X75" s="18"/>
    </row>
    <row r="76" spans="1:26" x14ac:dyDescent="0.25">
      <c r="D76" s="18"/>
      <c r="E76" s="18"/>
      <c r="G76" s="18"/>
      <c r="H76" s="18"/>
      <c r="I76" s="18"/>
      <c r="J76" s="42"/>
      <c r="K76" s="18"/>
      <c r="L76" s="18"/>
      <c r="M76" s="18"/>
      <c r="P76" s="18"/>
      <c r="Q76" s="18"/>
      <c r="R76" s="42"/>
      <c r="S76" s="18"/>
      <c r="T76" s="18"/>
      <c r="U76" s="18"/>
      <c r="V76" s="42"/>
      <c r="W76" s="18"/>
      <c r="X76" s="18"/>
    </row>
  </sheetData>
  <pageMargins left="0.25" right="0.25" top="0.75" bottom="0.75" header="0.3" footer="0.3"/>
  <pageSetup scale="55" fitToWidth="2" orientation="landscape"/>
  <drawing r:id="rId1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106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63" t="s">
        <v>13</v>
      </c>
    </row>
    <row r="3" spans="1:26" x14ac:dyDescent="0.25">
      <c r="D3" s="63" t="s">
        <v>296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61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63" t="str">
        <f>CONCATENATE("Period ",RIGHT(202011,2),", ",2020)</f>
        <v>Period 11, 2020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61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4">
        <v>43981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61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51"/>
      <c r="C6" s="51"/>
      <c r="D6" s="23" t="str">
        <f>CONCATENATE("Department ","433", " - ", "Hillside Dining Hall")</f>
        <v>Department 433 - Hillside Dining Hall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57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5" t="s">
        <v>294</v>
      </c>
      <c r="E9" s="15"/>
      <c r="F9" s="38"/>
      <c r="G9" s="15"/>
      <c r="H9" s="15"/>
      <c r="I9" s="15"/>
      <c r="J9" s="46"/>
      <c r="K9" s="15"/>
      <c r="L9" s="15"/>
      <c r="M9" s="15"/>
      <c r="N9" s="38"/>
      <c r="P9" s="15" t="s">
        <v>295</v>
      </c>
      <c r="Q9" s="15"/>
      <c r="R9" s="38"/>
      <c r="S9" s="15"/>
      <c r="T9" s="15"/>
      <c r="U9" s="15"/>
      <c r="V9" s="46"/>
      <c r="W9" s="15"/>
      <c r="X9" s="15"/>
      <c r="Y9" s="15"/>
      <c r="Z9" s="38"/>
    </row>
    <row r="10" spans="1:26" x14ac:dyDescent="0.25">
      <c r="A10" s="10"/>
      <c r="B10" s="55"/>
      <c r="C10" s="10"/>
      <c r="D10" s="43" t="s">
        <v>10</v>
      </c>
      <c r="E10" s="33"/>
      <c r="F10" s="40" t="s">
        <v>15</v>
      </c>
      <c r="G10" s="33"/>
      <c r="H10" s="47" t="s">
        <v>11</v>
      </c>
      <c r="I10" s="33"/>
      <c r="J10" s="45" t="s">
        <v>16</v>
      </c>
      <c r="K10" s="10"/>
      <c r="L10" s="43" t="s">
        <v>12</v>
      </c>
      <c r="M10" s="10"/>
      <c r="N10" s="40" t="s">
        <v>17</v>
      </c>
      <c r="O10" s="10"/>
      <c r="P10" s="53" t="s">
        <v>10</v>
      </c>
      <c r="Q10" s="33"/>
      <c r="R10" s="40" t="s">
        <v>15</v>
      </c>
      <c r="S10" s="33"/>
      <c r="T10" s="47" t="s">
        <v>11</v>
      </c>
      <c r="U10" s="33"/>
      <c r="V10" s="45" t="s">
        <v>16</v>
      </c>
      <c r="W10" s="10"/>
      <c r="X10" s="43" t="s">
        <v>12</v>
      </c>
      <c r="Y10" s="10"/>
      <c r="Z10" s="40" t="s">
        <v>17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122566.18</v>
      </c>
      <c r="E12" s="4"/>
      <c r="F12" s="13"/>
      <c r="G12" s="4"/>
      <c r="H12" s="4">
        <f>SUM(OSRRefH13x_0)</f>
        <v>269235</v>
      </c>
      <c r="I12" s="4"/>
      <c r="J12" s="13"/>
      <c r="K12" s="4"/>
      <c r="L12" s="4">
        <f t="shared" ref="L12:L17" si="0">+D12-H12</f>
        <v>-146668.82</v>
      </c>
      <c r="M12" s="4"/>
      <c r="N12" s="13">
        <f t="shared" ref="N12:N17" si="1">IF(H12=0,0,L12/H12)</f>
        <v>-0.54476134232176354</v>
      </c>
      <c r="O12" s="10"/>
      <c r="P12" s="4">
        <f>SUM(OSRRefP13x_0)</f>
        <v>3786156.1700000004</v>
      </c>
      <c r="Q12" s="4"/>
      <c r="R12" s="13"/>
      <c r="S12" s="4"/>
      <c r="T12" s="4">
        <f>SUM(OSRRefT13x_0)</f>
        <v>4490000</v>
      </c>
      <c r="U12" s="4"/>
      <c r="V12" s="13"/>
      <c r="W12" s="4"/>
      <c r="X12" s="4">
        <f t="shared" ref="X12:X17" si="2">+P12-T12</f>
        <v>-703843.82999999961</v>
      </c>
      <c r="Y12" s="4"/>
      <c r="Z12" s="13">
        <f t="shared" ref="Z12:Z17" si="3">IF(T12=0,0,X12/T12)</f>
        <v>-0.15675809131403109</v>
      </c>
    </row>
    <row r="13" spans="1:26" s="24" customFormat="1" hidden="1" outlineLevel="1" x14ac:dyDescent="0.25">
      <c r="A13" s="44"/>
      <c r="B13" s="11" t="str">
        <f>CONCATENATE("          ", "4053", " - ", "TAXABLE SALES-FOOD")</f>
        <v xml:space="preserve">          4053 - TAXABLE SALES-FOOD</v>
      </c>
      <c r="C13" s="11"/>
      <c r="D13" s="2">
        <f>--59.42</f>
        <v>59.42</v>
      </c>
      <c r="E13" s="2"/>
      <c r="F13" s="19"/>
      <c r="G13" s="2"/>
      <c r="H13" s="2"/>
      <c r="I13" s="2"/>
      <c r="J13" s="19"/>
      <c r="K13" s="2"/>
      <c r="L13" s="2">
        <f t="shared" si="0"/>
        <v>59.42</v>
      </c>
      <c r="M13" s="2"/>
      <c r="N13" s="19">
        <f t="shared" si="1"/>
        <v>0</v>
      </c>
      <c r="O13" s="11"/>
      <c r="P13" s="2">
        <f>--21441.08</f>
        <v>21441.08</v>
      </c>
      <c r="Q13" s="2"/>
      <c r="R13" s="19"/>
      <c r="S13" s="2"/>
      <c r="T13" s="2"/>
      <c r="U13" s="2"/>
      <c r="V13" s="19"/>
      <c r="W13" s="2"/>
      <c r="X13" s="2">
        <f t="shared" si="2"/>
        <v>21441.08</v>
      </c>
      <c r="Y13" s="2"/>
      <c r="Z13" s="19">
        <f t="shared" si="3"/>
        <v>0</v>
      </c>
    </row>
    <row r="14" spans="1:26" s="24" customFormat="1" hidden="1" outlineLevel="1" x14ac:dyDescent="0.25">
      <c r="A14" s="44"/>
      <c r="B14" s="11" t="str">
        <f>CONCATENATE("          ", "4100", " - ", "NON-TAXABLE SALES")</f>
        <v xml:space="preserve">          4100 - NON-TAXABLE SALES</v>
      </c>
      <c r="C14" s="11"/>
      <c r="D14" s="2">
        <f>0</f>
        <v>0</v>
      </c>
      <c r="E14" s="2"/>
      <c r="F14" s="19"/>
      <c r="G14" s="2"/>
      <c r="H14" s="2">
        <v>269235</v>
      </c>
      <c r="I14" s="2"/>
      <c r="J14" s="19"/>
      <c r="K14" s="2"/>
      <c r="L14" s="2">
        <f t="shared" si="0"/>
        <v>-269235</v>
      </c>
      <c r="M14" s="2"/>
      <c r="N14" s="19">
        <f t="shared" si="1"/>
        <v>-1</v>
      </c>
      <c r="O14" s="11"/>
      <c r="P14" s="2">
        <f>0</f>
        <v>0</v>
      </c>
      <c r="Q14" s="2"/>
      <c r="R14" s="19"/>
      <c r="S14" s="2"/>
      <c r="T14" s="2">
        <v>4490000</v>
      </c>
      <c r="U14" s="2"/>
      <c r="V14" s="19"/>
      <c r="W14" s="2"/>
      <c r="X14" s="2">
        <f t="shared" si="2"/>
        <v>-4490000</v>
      </c>
      <c r="Y14" s="2"/>
      <c r="Z14" s="19">
        <f t="shared" si="3"/>
        <v>-1</v>
      </c>
    </row>
    <row r="15" spans="1:26" s="24" customFormat="1" hidden="1" outlineLevel="1" x14ac:dyDescent="0.25">
      <c r="A15" s="44"/>
      <c r="B15" s="11" t="str">
        <f>CONCATENATE("          ", "4151", " - ", "NON-TAXABLE SALES-FOOD")</f>
        <v xml:space="preserve">          4151 - NON-TAXABLE SALES-FOOD</v>
      </c>
      <c r="C15" s="11"/>
      <c r="D15" s="2">
        <f>--126289.52</f>
        <v>126289.52</v>
      </c>
      <c r="E15" s="2"/>
      <c r="F15" s="19"/>
      <c r="G15" s="2"/>
      <c r="H15" s="2"/>
      <c r="I15" s="2"/>
      <c r="J15" s="19"/>
      <c r="K15" s="2"/>
      <c r="L15" s="2">
        <f t="shared" si="0"/>
        <v>126289.52</v>
      </c>
      <c r="M15" s="2"/>
      <c r="N15" s="19">
        <f t="shared" si="1"/>
        <v>0</v>
      </c>
      <c r="O15" s="11"/>
      <c r="P15" s="2">
        <f>--3520129.73</f>
        <v>3520129.73</v>
      </c>
      <c r="Q15" s="2"/>
      <c r="R15" s="19"/>
      <c r="S15" s="2"/>
      <c r="T15" s="2"/>
      <c r="U15" s="2"/>
      <c r="V15" s="19"/>
      <c r="W15" s="2"/>
      <c r="X15" s="2">
        <f t="shared" si="2"/>
        <v>3520129.73</v>
      </c>
      <c r="Y15" s="2"/>
      <c r="Z15" s="19">
        <f t="shared" si="3"/>
        <v>0</v>
      </c>
    </row>
    <row r="16" spans="1:26" s="24" customFormat="1" hidden="1" outlineLevel="1" x14ac:dyDescent="0.25">
      <c r="A16" s="44"/>
      <c r="B16" s="11" t="str">
        <f>CONCATENATE("          ", "4153", " - ", "NON-TAXABLE SALES-FOOD")</f>
        <v xml:space="preserve">          4153 - NON-TAXABLE SALES-FOOD</v>
      </c>
      <c r="C16" s="11"/>
      <c r="D16" s="2">
        <f>-4166.46</f>
        <v>-4166.46</v>
      </c>
      <c r="E16" s="2"/>
      <c r="F16" s="19"/>
      <c r="G16" s="2"/>
      <c r="H16" s="2"/>
      <c r="I16" s="2"/>
      <c r="J16" s="19"/>
      <c r="K16" s="2"/>
      <c r="L16" s="2">
        <f t="shared" si="0"/>
        <v>-4166.46</v>
      </c>
      <c r="M16" s="2"/>
      <c r="N16" s="19">
        <f t="shared" si="1"/>
        <v>0</v>
      </c>
      <c r="O16" s="11"/>
      <c r="P16" s="2">
        <f>--244201.66</f>
        <v>244201.66</v>
      </c>
      <c r="Q16" s="2"/>
      <c r="R16" s="19"/>
      <c r="S16" s="2"/>
      <c r="T16" s="2"/>
      <c r="U16" s="2"/>
      <c r="V16" s="19"/>
      <c r="W16" s="2"/>
      <c r="X16" s="2">
        <f t="shared" si="2"/>
        <v>244201.66</v>
      </c>
      <c r="Y16" s="2"/>
      <c r="Z16" s="19">
        <f t="shared" si="3"/>
        <v>0</v>
      </c>
    </row>
    <row r="17" spans="1:26" s="24" customFormat="1" hidden="1" outlineLevel="1" x14ac:dyDescent="0.25">
      <c r="A17" s="44"/>
      <c r="B17" s="11" t="str">
        <f>CONCATENATE("          ", "4159", " - ", "NON-TAXABLE SALES-FOOD")</f>
        <v xml:space="preserve">          4159 - NON-TAXABLE SALES-FOOD</v>
      </c>
      <c r="C17" s="11"/>
      <c r="D17" s="2">
        <f>--383.7</f>
        <v>383.7</v>
      </c>
      <c r="E17" s="2"/>
      <c r="F17" s="19"/>
      <c r="G17" s="2"/>
      <c r="H17" s="2"/>
      <c r="I17" s="2"/>
      <c r="J17" s="19"/>
      <c r="K17" s="2"/>
      <c r="L17" s="2">
        <f t="shared" si="0"/>
        <v>383.7</v>
      </c>
      <c r="M17" s="2"/>
      <c r="N17" s="19">
        <f t="shared" si="1"/>
        <v>0</v>
      </c>
      <c r="O17" s="11"/>
      <c r="P17" s="2">
        <f>--383.7</f>
        <v>383.7</v>
      </c>
      <c r="Q17" s="2"/>
      <c r="R17" s="19"/>
      <c r="S17" s="2"/>
      <c r="T17" s="2"/>
      <c r="U17" s="2"/>
      <c r="V17" s="19"/>
      <c r="W17" s="2"/>
      <c r="X17" s="2">
        <f t="shared" si="2"/>
        <v>383.7</v>
      </c>
      <c r="Y17" s="2"/>
      <c r="Z17" s="19">
        <f t="shared" si="3"/>
        <v>0</v>
      </c>
    </row>
    <row r="18" spans="1:26" x14ac:dyDescent="0.25">
      <c r="A18" s="9"/>
      <c r="B18" s="10"/>
      <c r="C18" s="9"/>
      <c r="D18" s="3"/>
      <c r="E18" s="3"/>
      <c r="F18" s="8"/>
      <c r="G18" s="3"/>
      <c r="H18" s="3"/>
      <c r="I18" s="3"/>
      <c r="J18" s="8"/>
      <c r="K18" s="3"/>
      <c r="L18" s="3"/>
      <c r="M18" s="3"/>
      <c r="N18" s="8"/>
      <c r="P18" s="3"/>
      <c r="Q18" s="3"/>
      <c r="R18" s="8"/>
      <c r="S18" s="3"/>
      <c r="T18" s="3"/>
      <c r="U18" s="3"/>
      <c r="V18" s="8"/>
      <c r="W18" s="3"/>
      <c r="X18" s="3"/>
      <c r="Y18" s="3"/>
      <c r="Z18" s="8"/>
    </row>
    <row r="19" spans="1:26" s="23" customFormat="1" collapsed="1" x14ac:dyDescent="0.25">
      <c r="A19" s="10"/>
      <c r="B19" s="28" t="s">
        <v>8</v>
      </c>
      <c r="C19" s="10"/>
      <c r="D19" s="4">
        <f>SUM(OSRRefD16x_0)</f>
        <v>19654.559999999998</v>
      </c>
      <c r="E19" s="4"/>
      <c r="F19" s="13">
        <f t="shared" ref="F19:F22" si="4">IF(D$12=0,0,D19/D$12)</f>
        <v>0.160358754756002</v>
      </c>
      <c r="G19" s="4"/>
      <c r="H19" s="4">
        <f>SUM(OSRRefH16x_0)</f>
        <v>72694</v>
      </c>
      <c r="I19" s="4"/>
      <c r="J19" s="13">
        <f t="shared" ref="J19:J22" si="5">IF(H$12=0,0,H19/H$12)</f>
        <v>0.27000204282504131</v>
      </c>
      <c r="K19" s="4"/>
      <c r="L19" s="4">
        <f t="shared" ref="L19:L22" si="6">+D19-H19</f>
        <v>-53039.44</v>
      </c>
      <c r="M19" s="4"/>
      <c r="N19" s="13">
        <f t="shared" ref="N19:N22" si="7">IF(H19=0,0,L19/H19)</f>
        <v>-0.72962610394255378</v>
      </c>
      <c r="O19" s="10"/>
      <c r="P19" s="4">
        <f>SUM(OSRRefP16x_0)</f>
        <v>894533.58000000007</v>
      </c>
      <c r="Q19" s="4"/>
      <c r="R19" s="13">
        <f t="shared" ref="R19:R22" si="8">IF(P$12=0,0,P19/P$12)</f>
        <v>0.23626431130546841</v>
      </c>
      <c r="S19" s="4"/>
      <c r="T19" s="4">
        <f>SUM(OSRRefT16x_0)</f>
        <v>1194278</v>
      </c>
      <c r="U19" s="4"/>
      <c r="V19" s="13">
        <f t="shared" ref="V19:V22" si="9">IF(T$12=0,0,T19/T$12)</f>
        <v>0.26598619153674835</v>
      </c>
      <c r="W19" s="4"/>
      <c r="X19" s="4">
        <f t="shared" ref="X19:X22" si="10">+P19-T19</f>
        <v>-299744.41999999993</v>
      </c>
      <c r="Y19" s="4"/>
      <c r="Z19" s="13">
        <f t="shared" ref="Z19:Z22" si="11">IF(T19=0,0,X19/T19)</f>
        <v>-0.25098379104362628</v>
      </c>
    </row>
    <row r="20" spans="1:26" s="24" customFormat="1" hidden="1" outlineLevel="1" x14ac:dyDescent="0.25">
      <c r="A20" s="44"/>
      <c r="B20" s="11" t="str">
        <f>CONCATENATE("          ", "5000", " - ", "PURCHASES @ COST")</f>
        <v xml:space="preserve">          5000 - PURCHASES @ COST</v>
      </c>
      <c r="C20" s="11"/>
      <c r="D20" s="2"/>
      <c r="E20" s="2"/>
      <c r="F20" s="19">
        <f t="shared" si="4"/>
        <v>0</v>
      </c>
      <c r="G20" s="2"/>
      <c r="H20" s="2">
        <v>72694</v>
      </c>
      <c r="I20" s="2"/>
      <c r="J20" s="19">
        <f t="shared" si="5"/>
        <v>0.27000204282504131</v>
      </c>
      <c r="K20" s="2"/>
      <c r="L20" s="2">
        <f t="shared" si="6"/>
        <v>-72694</v>
      </c>
      <c r="M20" s="2"/>
      <c r="N20" s="19">
        <f t="shared" si="7"/>
        <v>-1</v>
      </c>
      <c r="O20" s="11"/>
      <c r="P20" s="2"/>
      <c r="Q20" s="2"/>
      <c r="R20" s="19">
        <f t="shared" si="8"/>
        <v>0</v>
      </c>
      <c r="S20" s="2"/>
      <c r="T20" s="2">
        <v>1194278</v>
      </c>
      <c r="U20" s="2"/>
      <c r="V20" s="19">
        <f t="shared" si="9"/>
        <v>0.26598619153674835</v>
      </c>
      <c r="W20" s="2"/>
      <c r="X20" s="2">
        <f t="shared" si="10"/>
        <v>-1194278</v>
      </c>
      <c r="Y20" s="2"/>
      <c r="Z20" s="19">
        <f t="shared" si="11"/>
        <v>-1</v>
      </c>
    </row>
    <row r="21" spans="1:26" s="24" customFormat="1" hidden="1" outlineLevel="1" x14ac:dyDescent="0.25">
      <c r="A21" s="44"/>
      <c r="B21" s="11" t="str">
        <f>CONCATENATE("          ", "5053", " - ", "PURCHASES @ COST-FOOD")</f>
        <v xml:space="preserve">          5053 - PURCHASES @ COST-FOOD</v>
      </c>
      <c r="C21" s="11"/>
      <c r="D21" s="2">
        <v>13513.56</v>
      </c>
      <c r="E21" s="2"/>
      <c r="F21" s="19">
        <f t="shared" si="4"/>
        <v>0.11025521069515261</v>
      </c>
      <c r="G21" s="2"/>
      <c r="H21" s="2"/>
      <c r="I21" s="2"/>
      <c r="J21" s="19">
        <f t="shared" si="5"/>
        <v>0</v>
      </c>
      <c r="K21" s="2"/>
      <c r="L21" s="2">
        <f t="shared" si="6"/>
        <v>13513.56</v>
      </c>
      <c r="M21" s="2"/>
      <c r="N21" s="19">
        <f t="shared" si="7"/>
        <v>0</v>
      </c>
      <c r="O21" s="11"/>
      <c r="P21" s="2">
        <v>900169.58000000007</v>
      </c>
      <c r="Q21" s="2"/>
      <c r="R21" s="19">
        <f t="shared" si="8"/>
        <v>0.23775289226910046</v>
      </c>
      <c r="S21" s="2"/>
      <c r="T21" s="2"/>
      <c r="U21" s="2"/>
      <c r="V21" s="19">
        <f t="shared" si="9"/>
        <v>0</v>
      </c>
      <c r="W21" s="2"/>
      <c r="X21" s="2">
        <f t="shared" si="10"/>
        <v>900169.58000000007</v>
      </c>
      <c r="Y21" s="2"/>
      <c r="Z21" s="19">
        <f t="shared" si="11"/>
        <v>0</v>
      </c>
    </row>
    <row r="22" spans="1:26" s="24" customFormat="1" hidden="1" outlineLevel="1" x14ac:dyDescent="0.25">
      <c r="A22" s="44"/>
      <c r="B22" s="11" t="str">
        <f>CONCATENATE("          ", "5059", " - ", "PURCHASES @ COST-FOOD")</f>
        <v xml:space="preserve">          5059 - PURCHASES @ COST-FOOD</v>
      </c>
      <c r="C22" s="11"/>
      <c r="D22" s="2">
        <v>6141</v>
      </c>
      <c r="E22" s="2"/>
      <c r="F22" s="19">
        <f t="shared" si="4"/>
        <v>5.0103544060849416E-2</v>
      </c>
      <c r="G22" s="2"/>
      <c r="H22" s="2"/>
      <c r="I22" s="2"/>
      <c r="J22" s="19">
        <f t="shared" si="5"/>
        <v>0</v>
      </c>
      <c r="K22" s="2"/>
      <c r="L22" s="2">
        <f t="shared" si="6"/>
        <v>6141</v>
      </c>
      <c r="M22" s="2"/>
      <c r="N22" s="19">
        <f t="shared" si="7"/>
        <v>0</v>
      </c>
      <c r="O22" s="11"/>
      <c r="P22" s="2">
        <v>-5636</v>
      </c>
      <c r="Q22" s="2"/>
      <c r="R22" s="19">
        <f t="shared" si="8"/>
        <v>-1.4885809636320415E-3</v>
      </c>
      <c r="S22" s="2"/>
      <c r="T22" s="2"/>
      <c r="U22" s="2"/>
      <c r="V22" s="19">
        <f t="shared" si="9"/>
        <v>0</v>
      </c>
      <c r="W22" s="2"/>
      <c r="X22" s="2">
        <f t="shared" si="10"/>
        <v>-5636</v>
      </c>
      <c r="Y22" s="2"/>
      <c r="Z22" s="19">
        <f t="shared" si="11"/>
        <v>0</v>
      </c>
    </row>
    <row r="23" spans="1:26" x14ac:dyDescent="0.25">
      <c r="A23" s="9"/>
      <c r="B23" s="10"/>
      <c r="C23" s="10"/>
      <c r="D23" s="3"/>
      <c r="E23" s="3"/>
      <c r="F23" s="8"/>
      <c r="G23" s="3"/>
      <c r="H23" s="3"/>
      <c r="I23" s="3"/>
      <c r="J23" s="8"/>
      <c r="K23" s="3"/>
      <c r="L23" s="3"/>
      <c r="M23" s="3"/>
      <c r="N23" s="8"/>
      <c r="O23" s="10"/>
      <c r="P23" s="3"/>
      <c r="Q23" s="3"/>
      <c r="R23" s="8"/>
      <c r="S23" s="3"/>
      <c r="T23" s="3"/>
      <c r="U23" s="3"/>
      <c r="V23" s="8"/>
      <c r="W23" s="3"/>
      <c r="X23" s="3"/>
      <c r="Y23" s="3"/>
      <c r="Z23" s="8"/>
    </row>
    <row r="24" spans="1:26" s="23" customFormat="1" x14ac:dyDescent="0.25">
      <c r="A24" s="10"/>
      <c r="B24" s="29" t="s">
        <v>6</v>
      </c>
      <c r="C24" s="29"/>
      <c r="D24" s="20">
        <f>D12-D19</f>
        <v>102911.62</v>
      </c>
      <c r="E24" s="14"/>
      <c r="F24" s="22">
        <f>IF(D$12=0,0,D24/D$12)</f>
        <v>0.83964124524399797</v>
      </c>
      <c r="G24" s="14"/>
      <c r="H24" s="20">
        <f>H12-H19</f>
        <v>196541</v>
      </c>
      <c r="I24" s="14"/>
      <c r="J24" s="22">
        <f>IF(H$12=0,0,H24/H$12)</f>
        <v>0.72999795717495863</v>
      </c>
      <c r="K24" s="16"/>
      <c r="L24" s="20">
        <f>+D24-H24</f>
        <v>-93629.38</v>
      </c>
      <c r="M24" s="16"/>
      <c r="N24" s="22">
        <f>IF(H24=0,0,L24/H24)</f>
        <v>-0.47638599579731455</v>
      </c>
      <c r="O24" s="28"/>
      <c r="P24" s="20">
        <f>P12-P19</f>
        <v>2891622.5900000003</v>
      </c>
      <c r="Q24" s="14"/>
      <c r="R24" s="22">
        <f>IF(P$12=0,0,P24/P$12)</f>
        <v>0.76373568869453157</v>
      </c>
      <c r="S24" s="14"/>
      <c r="T24" s="20">
        <f>T12-T19</f>
        <v>3295722</v>
      </c>
      <c r="U24" s="14"/>
      <c r="V24" s="22">
        <f>IF(T$12=0,0,T24/T$12)</f>
        <v>0.7340138084632517</v>
      </c>
      <c r="W24" s="16"/>
      <c r="X24" s="20">
        <f>+P24-T24</f>
        <v>-404099.40999999968</v>
      </c>
      <c r="Y24" s="16"/>
      <c r="Z24" s="22">
        <f>IF(T24=0,0,X24/T24)</f>
        <v>-0.12261331811360293</v>
      </c>
    </row>
    <row r="25" spans="1:26" x14ac:dyDescent="0.25">
      <c r="A25" s="9"/>
      <c r="B25" s="10"/>
      <c r="C25" s="9"/>
      <c r="D25" s="1"/>
      <c r="E25" s="1"/>
      <c r="F25" s="5"/>
      <c r="G25" s="1"/>
      <c r="H25" s="1"/>
      <c r="I25" s="1"/>
      <c r="J25" s="5"/>
      <c r="K25" s="1"/>
      <c r="L25" s="1"/>
      <c r="M25" s="1"/>
      <c r="N25" s="5"/>
      <c r="O25" s="36"/>
      <c r="P25" s="1"/>
      <c r="Q25" s="1"/>
      <c r="R25" s="5"/>
      <c r="S25" s="1"/>
      <c r="T25" s="1"/>
      <c r="U25" s="1"/>
      <c r="V25" s="5"/>
      <c r="W25" s="1"/>
      <c r="X25" s="1"/>
      <c r="Y25" s="1"/>
      <c r="Z25" s="5"/>
    </row>
    <row r="26" spans="1:26" s="23" customFormat="1" x14ac:dyDescent="0.25">
      <c r="A26" s="10"/>
      <c r="B26" s="28" t="s">
        <v>9</v>
      </c>
      <c r="C26" s="10"/>
      <c r="D26" s="21">
        <f>SUM(OSRRefD22x_0)</f>
        <v>77931.780000000013</v>
      </c>
      <c r="E26" s="21"/>
      <c r="F26" s="30">
        <f t="shared" ref="F26:F37" si="12">IF(D$12=0,0,D26/D$12)</f>
        <v>0.6358342896874164</v>
      </c>
      <c r="G26" s="21"/>
      <c r="H26" s="21">
        <f>SUM(OSRRefH22x_0)</f>
        <v>165943.03818348338</v>
      </c>
      <c r="I26" s="21"/>
      <c r="J26" s="30">
        <f t="shared" ref="J26:J37" si="13">IF(H$12=0,0,H26/H$12)</f>
        <v>0.61635017060740016</v>
      </c>
      <c r="K26" s="4"/>
      <c r="L26" s="21">
        <f t="shared" ref="L26:L37" si="14">+D26-H26</f>
        <v>-88011.258183483369</v>
      </c>
      <c r="M26" s="4"/>
      <c r="N26" s="30">
        <f t="shared" ref="N26:N37" si="15">IF(H26=0,0,L26/H26)</f>
        <v>-0.53037029541528125</v>
      </c>
      <c r="O26" s="10"/>
      <c r="P26" s="21">
        <f>SUM(OSRRefP22x_0)</f>
        <v>1687729.9300000002</v>
      </c>
      <c r="Q26" s="21"/>
      <c r="R26" s="30">
        <f t="shared" ref="R26:R37" si="16">IF(P$12=0,0,P26/P$12)</f>
        <v>0.44576342185061002</v>
      </c>
      <c r="S26" s="21"/>
      <c r="T26" s="21">
        <f>SUM(OSRRefT22x_0)</f>
        <v>2024895.989581954</v>
      </c>
      <c r="U26" s="21"/>
      <c r="V26" s="30">
        <f t="shared" ref="V26:V37" si="17">IF(T$12=0,0,T26/T$12)</f>
        <v>0.45097906226769574</v>
      </c>
      <c r="W26" s="4"/>
      <c r="X26" s="21">
        <f t="shared" ref="X26:X37" si="18">+P26-T26</f>
        <v>-337166.0595819538</v>
      </c>
      <c r="Y26" s="4"/>
      <c r="Z26" s="30">
        <f t="shared" ref="Z26:Z37" si="19">IF(T26=0,0,X26/T26)</f>
        <v>-0.16651031031552527</v>
      </c>
    </row>
    <row r="27" spans="1:26" s="27" customFormat="1" outlineLevel="1" collapsed="1" x14ac:dyDescent="0.25">
      <c r="A27" s="25"/>
      <c r="B27" s="12" t="str">
        <f>CONCATENATE("     ","*Benefits                                         ")</f>
        <v xml:space="preserve">     *Benefits                                         </v>
      </c>
      <c r="C27" s="12"/>
      <c r="D27" s="1">
        <f>SUM(OSRRefD22_0x_0)</f>
        <v>19917.289999999997</v>
      </c>
      <c r="E27" s="1"/>
      <c r="F27" s="5">
        <f t="shared" si="12"/>
        <v>0.16250233139353776</v>
      </c>
      <c r="G27" s="1"/>
      <c r="H27" s="1">
        <f>SUM(OSRRefH22_0x_0)</f>
        <v>28121.319808714172</v>
      </c>
      <c r="I27" s="1"/>
      <c r="J27" s="5">
        <f t="shared" si="13"/>
        <v>0.10444897509132978</v>
      </c>
      <c r="K27" s="1"/>
      <c r="L27" s="1">
        <f t="shared" si="14"/>
        <v>-8204.0298087141746</v>
      </c>
      <c r="M27" s="1"/>
      <c r="N27" s="5">
        <f t="shared" si="15"/>
        <v>-0.29173701179458611</v>
      </c>
      <c r="O27" s="12"/>
      <c r="P27" s="1">
        <f>SUM(OSRRefP22_0x_0)</f>
        <v>287358.15000000002</v>
      </c>
      <c r="Q27" s="1"/>
      <c r="R27" s="5">
        <f t="shared" si="16"/>
        <v>7.589706739434364E-2</v>
      </c>
      <c r="S27" s="1"/>
      <c r="T27" s="1">
        <f>SUM(OSRRefT22_0x_0)</f>
        <v>334600.70708472363</v>
      </c>
      <c r="U27" s="1"/>
      <c r="V27" s="5">
        <f t="shared" si="17"/>
        <v>7.4521315609069855E-2</v>
      </c>
      <c r="W27" s="1"/>
      <c r="X27" s="1">
        <f t="shared" si="18"/>
        <v>-47242.557084723609</v>
      </c>
      <c r="Y27" s="1"/>
      <c r="Z27" s="5">
        <f t="shared" si="19"/>
        <v>-0.14119084653566319</v>
      </c>
    </row>
    <row r="28" spans="1:26" s="24" customFormat="1" hidden="1" outlineLevel="2" x14ac:dyDescent="0.25">
      <c r="A28" s="26"/>
      <c r="B28" s="11" t="str">
        <f>CONCATENATE("          ", "6111", " - ", "F.I.C.A.")</f>
        <v xml:space="preserve">          6111 - F.I.C.A.</v>
      </c>
      <c r="C28" s="11"/>
      <c r="D28" s="7">
        <v>2033.36</v>
      </c>
      <c r="E28" s="2"/>
      <c r="F28" s="6">
        <f t="shared" si="12"/>
        <v>1.658989453697586E-2</v>
      </c>
      <c r="G28" s="2"/>
      <c r="H28" s="7">
        <v>4018.7139183203099</v>
      </c>
      <c r="I28" s="2"/>
      <c r="J28" s="6">
        <f t="shared" si="13"/>
        <v>1.4926417138634686E-2</v>
      </c>
      <c r="K28" s="2"/>
      <c r="L28" s="7">
        <f t="shared" si="14"/>
        <v>-1985.35391832031</v>
      </c>
      <c r="M28" s="2"/>
      <c r="N28" s="6">
        <f t="shared" si="15"/>
        <v>-0.49402718349011582</v>
      </c>
      <c r="O28" s="11"/>
      <c r="P28" s="7">
        <v>45670.54</v>
      </c>
      <c r="Q28" s="2"/>
      <c r="R28" s="6">
        <f t="shared" si="16"/>
        <v>1.2062508240382488E-2</v>
      </c>
      <c r="S28" s="2"/>
      <c r="T28" s="7">
        <v>52625.71548384372</v>
      </c>
      <c r="U28" s="2"/>
      <c r="V28" s="6">
        <f t="shared" si="17"/>
        <v>1.1720649328250272E-2</v>
      </c>
      <c r="W28" s="2"/>
      <c r="X28" s="7">
        <f t="shared" si="18"/>
        <v>-6955.1754838437191</v>
      </c>
      <c r="Y28" s="2"/>
      <c r="Z28" s="6">
        <f t="shared" si="19"/>
        <v>-0.13216305792515035</v>
      </c>
    </row>
    <row r="29" spans="1:26" s="24" customFormat="1" hidden="1" outlineLevel="2" x14ac:dyDescent="0.25">
      <c r="A29" s="26"/>
      <c r="B29" s="11" t="str">
        <f>CONCATENATE("          ", "6112", " - ", "COMPENSATION INSURANCE")</f>
        <v xml:space="preserve">          6112 - COMPENSATION INSURANCE</v>
      </c>
      <c r="C29" s="11"/>
      <c r="D29" s="7">
        <v>2055.98</v>
      </c>
      <c r="E29" s="2"/>
      <c r="F29" s="6">
        <f t="shared" si="12"/>
        <v>1.6774447894190716E-2</v>
      </c>
      <c r="G29" s="2"/>
      <c r="H29" s="7">
        <v>3687.4206733415399</v>
      </c>
      <c r="I29" s="2"/>
      <c r="J29" s="6">
        <f t="shared" si="13"/>
        <v>1.3695918707974594E-2</v>
      </c>
      <c r="K29" s="2"/>
      <c r="L29" s="7">
        <f t="shared" si="14"/>
        <v>-1631.4406733415399</v>
      </c>
      <c r="M29" s="2"/>
      <c r="N29" s="6">
        <f t="shared" si="15"/>
        <v>-0.44243410716226439</v>
      </c>
      <c r="O29" s="11"/>
      <c r="P29" s="7">
        <v>31113.119999999999</v>
      </c>
      <c r="Q29" s="2"/>
      <c r="R29" s="6">
        <f t="shared" si="16"/>
        <v>8.2176008075229498E-3</v>
      </c>
      <c r="S29" s="2"/>
      <c r="T29" s="7">
        <v>41322.269020098465</v>
      </c>
      <c r="U29" s="2"/>
      <c r="V29" s="6">
        <f t="shared" si="17"/>
        <v>9.2031779554785E-3</v>
      </c>
      <c r="W29" s="2"/>
      <c r="X29" s="7">
        <f t="shared" si="18"/>
        <v>-10209.149020098466</v>
      </c>
      <c r="Y29" s="2"/>
      <c r="Z29" s="6">
        <f t="shared" si="19"/>
        <v>-0.24706167551285496</v>
      </c>
    </row>
    <row r="30" spans="1:26" s="24" customFormat="1" hidden="1" outlineLevel="2" x14ac:dyDescent="0.25">
      <c r="A30" s="26"/>
      <c r="B30" s="11" t="str">
        <f>CONCATENATE("          ", "6113", " - ", "GROUP INSURANCE")</f>
        <v xml:space="preserve">          6113 - GROUP INSURANCE</v>
      </c>
      <c r="C30" s="11"/>
      <c r="D30" s="7">
        <v>9826.58</v>
      </c>
      <c r="E30" s="2"/>
      <c r="F30" s="6">
        <f t="shared" si="12"/>
        <v>8.0173666177733541E-2</v>
      </c>
      <c r="G30" s="2"/>
      <c r="H30" s="7">
        <v>14965.615384615401</v>
      </c>
      <c r="I30" s="2"/>
      <c r="J30" s="6">
        <f t="shared" si="13"/>
        <v>5.5585697939032445E-2</v>
      </c>
      <c r="K30" s="2"/>
      <c r="L30" s="7">
        <f t="shared" si="14"/>
        <v>-5139.0353846154012</v>
      </c>
      <c r="M30" s="2"/>
      <c r="N30" s="6">
        <f t="shared" si="15"/>
        <v>-0.34338951339737833</v>
      </c>
      <c r="O30" s="11"/>
      <c r="P30" s="7">
        <v>137501.45000000001</v>
      </c>
      <c r="Q30" s="2"/>
      <c r="R30" s="6">
        <f t="shared" si="16"/>
        <v>3.6316898676686124E-2</v>
      </c>
      <c r="S30" s="2"/>
      <c r="T30" s="7">
        <v>177557.53846153841</v>
      </c>
      <c r="U30" s="2"/>
      <c r="V30" s="6">
        <f t="shared" si="17"/>
        <v>3.9545108788761336E-2</v>
      </c>
      <c r="W30" s="2"/>
      <c r="X30" s="7">
        <f t="shared" si="18"/>
        <v>-40056.088461538398</v>
      </c>
      <c r="Y30" s="2"/>
      <c r="Z30" s="6">
        <f t="shared" si="19"/>
        <v>-0.22559497506333778</v>
      </c>
    </row>
    <row r="31" spans="1:26" s="24" customFormat="1" hidden="1" outlineLevel="2" x14ac:dyDescent="0.25">
      <c r="A31" s="26"/>
      <c r="B31" s="11" t="str">
        <f>CONCATENATE("          ", "6114", " - ", "STATE UNEMPLOYMENT INSURANCE")</f>
        <v xml:space="preserve">          6114 - STATE UNEMPLOYMENT INSURANCE</v>
      </c>
      <c r="C31" s="11"/>
      <c r="D31" s="7">
        <v>137.77000000000001</v>
      </c>
      <c r="E31" s="2"/>
      <c r="F31" s="6">
        <f t="shared" si="12"/>
        <v>1.1240458012153108E-3</v>
      </c>
      <c r="G31" s="2"/>
      <c r="H31" s="7">
        <v>247.09519976000001</v>
      </c>
      <c r="I31" s="2"/>
      <c r="J31" s="6">
        <f t="shared" si="13"/>
        <v>9.1776774847252408E-4</v>
      </c>
      <c r="K31" s="2"/>
      <c r="L31" s="7">
        <f t="shared" si="14"/>
        <v>-109.32519976</v>
      </c>
      <c r="M31" s="2"/>
      <c r="N31" s="6">
        <f t="shared" si="15"/>
        <v>-0.44244161710217755</v>
      </c>
      <c r="O31" s="11"/>
      <c r="P31" s="7">
        <v>2396.13</v>
      </c>
      <c r="Q31" s="2"/>
      <c r="R31" s="6">
        <f t="shared" si="16"/>
        <v>6.3286612923840377E-4</v>
      </c>
      <c r="S31" s="2"/>
      <c r="T31" s="7">
        <v>2769.0180271200002</v>
      </c>
      <c r="U31" s="2"/>
      <c r="V31" s="6">
        <f t="shared" si="17"/>
        <v>6.1670780114031183E-4</v>
      </c>
      <c r="W31" s="2"/>
      <c r="X31" s="7">
        <f t="shared" si="18"/>
        <v>-372.88802712000006</v>
      </c>
      <c r="Y31" s="2"/>
      <c r="Z31" s="6">
        <f t="shared" si="19"/>
        <v>-0.13466435518581055</v>
      </c>
    </row>
    <row r="32" spans="1:26" s="24" customFormat="1" hidden="1" outlineLevel="2" x14ac:dyDescent="0.25">
      <c r="A32" s="26"/>
      <c r="B32" s="11" t="str">
        <f>CONCATENATE("          ", "6115", " - ", "P.E.R.S.")</f>
        <v xml:space="preserve">          6115 - P.E.R.S.</v>
      </c>
      <c r="C32" s="11"/>
      <c r="D32" s="7">
        <v>872.8</v>
      </c>
      <c r="E32" s="2"/>
      <c r="F32" s="6">
        <f t="shared" si="12"/>
        <v>7.1210508477950445E-3</v>
      </c>
      <c r="G32" s="2"/>
      <c r="H32" s="7">
        <v>1270.4277151384601</v>
      </c>
      <c r="I32" s="2"/>
      <c r="J32" s="6">
        <f t="shared" si="13"/>
        <v>4.7186573630414331E-3</v>
      </c>
      <c r="K32" s="2"/>
      <c r="L32" s="7">
        <f t="shared" si="14"/>
        <v>-397.62771513846019</v>
      </c>
      <c r="M32" s="2"/>
      <c r="N32" s="6">
        <f t="shared" si="15"/>
        <v>-0.31298728011071764</v>
      </c>
      <c r="O32" s="11"/>
      <c r="P32" s="7">
        <v>13858.67</v>
      </c>
      <c r="Q32" s="2"/>
      <c r="R32" s="6">
        <f t="shared" si="16"/>
        <v>3.6603535030621834E-3</v>
      </c>
      <c r="S32" s="2"/>
      <c r="T32" s="7">
        <v>15245.132581661541</v>
      </c>
      <c r="U32" s="2"/>
      <c r="V32" s="6">
        <f t="shared" si="17"/>
        <v>3.395352468076067E-3</v>
      </c>
      <c r="W32" s="2"/>
      <c r="X32" s="7">
        <f t="shared" si="18"/>
        <v>-1386.4625816615408</v>
      </c>
      <c r="Y32" s="2"/>
      <c r="Z32" s="6">
        <f t="shared" si="19"/>
        <v>-9.0944606367630063E-2</v>
      </c>
    </row>
    <row r="33" spans="1:26" s="24" customFormat="1" hidden="1" outlineLevel="2" x14ac:dyDescent="0.25">
      <c r="A33" s="26"/>
      <c r="B33" s="11" t="str">
        <f>CONCATENATE("          ", "6116", " - ", "EDUCATIONAL BENEFITS")</f>
        <v xml:space="preserve">          6116 - EDUCATIONAL BENEFITS</v>
      </c>
      <c r="C33" s="11"/>
      <c r="D33" s="7"/>
      <c r="E33" s="2"/>
      <c r="F33" s="6">
        <f t="shared" si="12"/>
        <v>0</v>
      </c>
      <c r="G33" s="2"/>
      <c r="H33" s="7">
        <v>0</v>
      </c>
      <c r="I33" s="2"/>
      <c r="J33" s="6">
        <f t="shared" si="13"/>
        <v>0</v>
      </c>
      <c r="K33" s="2"/>
      <c r="L33" s="7">
        <f t="shared" si="14"/>
        <v>0</v>
      </c>
      <c r="M33" s="2"/>
      <c r="N33" s="6">
        <f t="shared" si="15"/>
        <v>0</v>
      </c>
      <c r="O33" s="11"/>
      <c r="P33" s="7"/>
      <c r="Q33" s="2"/>
      <c r="R33" s="6">
        <f t="shared" si="16"/>
        <v>0</v>
      </c>
      <c r="S33" s="2"/>
      <c r="T33" s="7">
        <v>0</v>
      </c>
      <c r="U33" s="2"/>
      <c r="V33" s="6">
        <f t="shared" si="17"/>
        <v>0</v>
      </c>
      <c r="W33" s="2"/>
      <c r="X33" s="7">
        <f t="shared" si="18"/>
        <v>0</v>
      </c>
      <c r="Y33" s="2"/>
      <c r="Z33" s="6">
        <f t="shared" si="19"/>
        <v>0</v>
      </c>
    </row>
    <row r="34" spans="1:26" s="24" customFormat="1" hidden="1" outlineLevel="2" x14ac:dyDescent="0.25">
      <c r="A34" s="26"/>
      <c r="B34" s="11" t="str">
        <f>CONCATENATE("          ", "6117", " - ", "RETIREMENT STAFF HOURLY")</f>
        <v xml:space="preserve">          6117 - RETIREMENT STAFF HOURLY</v>
      </c>
      <c r="C34" s="11"/>
      <c r="D34" s="7">
        <v>374.48</v>
      </c>
      <c r="E34" s="2"/>
      <c r="F34" s="6">
        <f t="shared" si="12"/>
        <v>3.0553289659512929E-3</v>
      </c>
      <c r="G34" s="2"/>
      <c r="H34" s="7"/>
      <c r="I34" s="2"/>
      <c r="J34" s="6">
        <f t="shared" si="13"/>
        <v>0</v>
      </c>
      <c r="K34" s="2"/>
      <c r="L34" s="7">
        <f t="shared" si="14"/>
        <v>374.48</v>
      </c>
      <c r="M34" s="2"/>
      <c r="N34" s="6">
        <f t="shared" si="15"/>
        <v>0</v>
      </c>
      <c r="O34" s="11"/>
      <c r="P34" s="7">
        <v>5652.33</v>
      </c>
      <c r="Q34" s="2"/>
      <c r="R34" s="6">
        <f t="shared" si="16"/>
        <v>1.4928940450969299E-3</v>
      </c>
      <c r="S34" s="2"/>
      <c r="T34" s="7"/>
      <c r="U34" s="2"/>
      <c r="V34" s="6">
        <f t="shared" si="17"/>
        <v>0</v>
      </c>
      <c r="W34" s="2"/>
      <c r="X34" s="7">
        <f t="shared" si="18"/>
        <v>5652.33</v>
      </c>
      <c r="Y34" s="2"/>
      <c r="Z34" s="6">
        <f t="shared" si="19"/>
        <v>0</v>
      </c>
    </row>
    <row r="35" spans="1:26" s="24" customFormat="1" hidden="1" outlineLevel="2" x14ac:dyDescent="0.25">
      <c r="A35" s="26"/>
      <c r="B35" s="11" t="str">
        <f>CONCATENATE("          ", "6118", " - ", "VACATION")</f>
        <v xml:space="preserve">          6118 - VACATION</v>
      </c>
      <c r="C35" s="11"/>
      <c r="D35" s="7">
        <v>2342.59</v>
      </c>
      <c r="E35" s="2"/>
      <c r="F35" s="6">
        <f t="shared" si="12"/>
        <v>1.9112858049422771E-2</v>
      </c>
      <c r="G35" s="2"/>
      <c r="H35" s="7">
        <v>1293.5404587692301</v>
      </c>
      <c r="I35" s="2"/>
      <c r="J35" s="6">
        <f t="shared" si="13"/>
        <v>4.8045033475188226E-3</v>
      </c>
      <c r="K35" s="2"/>
      <c r="L35" s="7">
        <f t="shared" si="14"/>
        <v>1049.04954123077</v>
      </c>
      <c r="M35" s="2"/>
      <c r="N35" s="6">
        <f t="shared" si="15"/>
        <v>0.81099090029925558</v>
      </c>
      <c r="O35" s="11"/>
      <c r="P35" s="7">
        <v>28022.22</v>
      </c>
      <c r="Q35" s="2"/>
      <c r="R35" s="6">
        <f t="shared" si="16"/>
        <v>7.4012319465417082E-3</v>
      </c>
      <c r="S35" s="2"/>
      <c r="T35" s="7">
        <v>15735.077505230769</v>
      </c>
      <c r="U35" s="2"/>
      <c r="V35" s="6">
        <f t="shared" si="17"/>
        <v>3.5044716047284564E-3</v>
      </c>
      <c r="W35" s="2"/>
      <c r="X35" s="7">
        <f t="shared" si="18"/>
        <v>12287.142494769232</v>
      </c>
      <c r="Y35" s="2"/>
      <c r="Z35" s="6">
        <f t="shared" si="19"/>
        <v>0.78087588006380337</v>
      </c>
    </row>
    <row r="36" spans="1:26" s="24" customFormat="1" hidden="1" outlineLevel="2" x14ac:dyDescent="0.25">
      <c r="A36" s="26"/>
      <c r="B36" s="11" t="str">
        <f>CONCATENATE("          ", "6119", " - ", "SICK LEAVE")</f>
        <v xml:space="preserve">          6119 - SICK LEAVE</v>
      </c>
      <c r="C36" s="11"/>
      <c r="D36" s="7">
        <v>1608.53</v>
      </c>
      <c r="E36" s="2"/>
      <c r="F36" s="6">
        <f t="shared" si="12"/>
        <v>1.3123767094642259E-2</v>
      </c>
      <c r="G36" s="2"/>
      <c r="H36" s="7">
        <v>2638.5064587692304</v>
      </c>
      <c r="I36" s="2"/>
      <c r="J36" s="6">
        <f t="shared" si="13"/>
        <v>9.8000128466552653E-3</v>
      </c>
      <c r="K36" s="2"/>
      <c r="L36" s="7">
        <f t="shared" si="14"/>
        <v>-1029.9764587692305</v>
      </c>
      <c r="M36" s="2"/>
      <c r="N36" s="6">
        <f t="shared" si="15"/>
        <v>-0.39036344040244569</v>
      </c>
      <c r="O36" s="11"/>
      <c r="P36" s="7">
        <v>11631.64</v>
      </c>
      <c r="Q36" s="2"/>
      <c r="R36" s="6">
        <f t="shared" si="16"/>
        <v>3.0721500851350245E-3</v>
      </c>
      <c r="S36" s="2"/>
      <c r="T36" s="7">
        <v>29345.956005230768</v>
      </c>
      <c r="U36" s="2"/>
      <c r="V36" s="6">
        <f t="shared" si="17"/>
        <v>6.5358476626349148E-3</v>
      </c>
      <c r="W36" s="2"/>
      <c r="X36" s="7">
        <f t="shared" si="18"/>
        <v>-17714.316005230768</v>
      </c>
      <c r="Y36" s="2"/>
      <c r="Z36" s="6">
        <f t="shared" si="19"/>
        <v>-0.60363738029435066</v>
      </c>
    </row>
    <row r="37" spans="1:26" s="24" customFormat="1" hidden="1" outlineLevel="2" x14ac:dyDescent="0.25">
      <c r="A37" s="26"/>
      <c r="B37" s="11" t="str">
        <f>CONCATENATE("          ", "6156", " - ", "EMPLOYEE MEALS")</f>
        <v xml:space="preserve">          6156 - EMPLOYEE MEALS</v>
      </c>
      <c r="C37" s="11"/>
      <c r="D37" s="7">
        <v>665.2</v>
      </c>
      <c r="E37" s="2"/>
      <c r="F37" s="6">
        <f t="shared" si="12"/>
        <v>5.4272720256109807E-3</v>
      </c>
      <c r="G37" s="2"/>
      <c r="H37" s="7"/>
      <c r="I37" s="2"/>
      <c r="J37" s="6">
        <f t="shared" si="13"/>
        <v>0</v>
      </c>
      <c r="K37" s="2"/>
      <c r="L37" s="7">
        <f t="shared" si="14"/>
        <v>665.2</v>
      </c>
      <c r="M37" s="2"/>
      <c r="N37" s="6">
        <f t="shared" si="15"/>
        <v>0</v>
      </c>
      <c r="O37" s="11"/>
      <c r="P37" s="7">
        <v>11512.05</v>
      </c>
      <c r="Q37" s="2"/>
      <c r="R37" s="6">
        <f t="shared" si="16"/>
        <v>3.0405639606778286E-3</v>
      </c>
      <c r="S37" s="2"/>
      <c r="T37" s="7"/>
      <c r="U37" s="2"/>
      <c r="V37" s="6">
        <f t="shared" si="17"/>
        <v>0</v>
      </c>
      <c r="W37" s="2"/>
      <c r="X37" s="7">
        <f t="shared" si="18"/>
        <v>11512.05</v>
      </c>
      <c r="Y37" s="2"/>
      <c r="Z37" s="6">
        <f t="shared" si="19"/>
        <v>0</v>
      </c>
    </row>
    <row r="38" spans="1:26" s="27" customFormat="1" outlineLevel="1" collapsed="1" x14ac:dyDescent="0.25">
      <c r="A38" s="25"/>
      <c r="B38" s="12" t="str">
        <f>CONCATENATE("     ","*Payroll                                          ")</f>
        <v xml:space="preserve">     *Payroll                                          </v>
      </c>
      <c r="C38" s="12"/>
      <c r="D38" s="1">
        <f>SUM(OSRRefD22_1x_0)</f>
        <v>22571.379999999997</v>
      </c>
      <c r="E38" s="1"/>
      <c r="F38" s="5">
        <f t="shared" ref="F38:F48" si="20">IF(D$12=0,0,D38/D$12)</f>
        <v>0.18415667356198911</v>
      </c>
      <c r="G38" s="1"/>
      <c r="H38" s="1">
        <f>SUM(OSRRefH22_1x_0)</f>
        <v>92874.718374769203</v>
      </c>
      <c r="I38" s="1"/>
      <c r="J38" s="5">
        <f t="shared" ref="J38:J48" si="21">IF(H$12=0,0,H38/H$12)</f>
        <v>0.3449578189119884</v>
      </c>
      <c r="K38" s="1"/>
      <c r="L38" s="1">
        <f t="shared" ref="L38:L48" si="22">+D38-H38</f>
        <v>-70303.338374769199</v>
      </c>
      <c r="M38" s="1"/>
      <c r="N38" s="5">
        <f t="shared" ref="N38:N48" si="23">IF(H38=0,0,L38/H38)</f>
        <v>-0.75696959953170795</v>
      </c>
      <c r="O38" s="12"/>
      <c r="P38" s="1">
        <f>SUM(OSRRefP22_1x_0)</f>
        <v>858953.35</v>
      </c>
      <c r="Q38" s="1"/>
      <c r="R38" s="5">
        <f t="shared" ref="R38:R48" si="24">IF(P$12=0,0,P38/P$12)</f>
        <v>0.22686685689460082</v>
      </c>
      <c r="S38" s="1"/>
      <c r="T38" s="1">
        <f>SUM(OSRRefT22_1x_0)</f>
        <v>1038745.2824972305</v>
      </c>
      <c r="U38" s="1"/>
      <c r="V38" s="5">
        <f t="shared" ref="V38:V48" si="25">IF(T$12=0,0,T38/T$12)</f>
        <v>0.2313463880840157</v>
      </c>
      <c r="W38" s="1"/>
      <c r="X38" s="1">
        <f t="shared" ref="X38:X48" si="26">+P38-T38</f>
        <v>-179791.93249723047</v>
      </c>
      <c r="Y38" s="1"/>
      <c r="Z38" s="5">
        <f t="shared" ref="Z38:Z48" si="27">IF(T38=0,0,X38/T38)</f>
        <v>-0.17308567896933852</v>
      </c>
    </row>
    <row r="39" spans="1:26" s="24" customFormat="1" hidden="1" outlineLevel="2" x14ac:dyDescent="0.25">
      <c r="A39" s="26"/>
      <c r="B39" s="11" t="str">
        <f>CONCATENATE("          ", "6001", " - ", "ADMINISTRATIVE SALARIES")</f>
        <v xml:space="preserve">          6001 - ADMINISTRATIVE SALARIES</v>
      </c>
      <c r="C39" s="11"/>
      <c r="D39" s="7"/>
      <c r="E39" s="2"/>
      <c r="F39" s="6">
        <f t="shared" si="20"/>
        <v>0</v>
      </c>
      <c r="G39" s="2"/>
      <c r="H39" s="7">
        <v>0</v>
      </c>
      <c r="I39" s="2"/>
      <c r="J39" s="6">
        <f t="shared" si="21"/>
        <v>0</v>
      </c>
      <c r="K39" s="2"/>
      <c r="L39" s="7">
        <f t="shared" si="22"/>
        <v>0</v>
      </c>
      <c r="M39" s="2"/>
      <c r="N39" s="6">
        <f t="shared" si="23"/>
        <v>0</v>
      </c>
      <c r="O39" s="11"/>
      <c r="P39" s="7"/>
      <c r="Q39" s="2"/>
      <c r="R39" s="6">
        <f t="shared" si="24"/>
        <v>0</v>
      </c>
      <c r="S39" s="2"/>
      <c r="T39" s="7">
        <v>0</v>
      </c>
      <c r="U39" s="2"/>
      <c r="V39" s="6">
        <f t="shared" si="25"/>
        <v>0</v>
      </c>
      <c r="W39" s="2"/>
      <c r="X39" s="7">
        <f t="shared" si="26"/>
        <v>0</v>
      </c>
      <c r="Y39" s="2"/>
      <c r="Z39" s="6">
        <f t="shared" si="27"/>
        <v>0</v>
      </c>
    </row>
    <row r="40" spans="1:26" s="24" customFormat="1" hidden="1" outlineLevel="2" x14ac:dyDescent="0.25">
      <c r="A40" s="26"/>
      <c r="B40" s="11" t="str">
        <f>CONCATENATE("          ", "6002", " - ", "STAFF SALARIES")</f>
        <v xml:space="preserve">          6002 - STAFF SALARIES</v>
      </c>
      <c r="C40" s="11"/>
      <c r="D40" s="7">
        <v>6911.81</v>
      </c>
      <c r="E40" s="2"/>
      <c r="F40" s="6">
        <f t="shared" si="20"/>
        <v>5.6392473029672631E-2</v>
      </c>
      <c r="G40" s="2"/>
      <c r="H40" s="7">
        <v>13886.0703747692</v>
      </c>
      <c r="I40" s="2"/>
      <c r="J40" s="6">
        <f t="shared" si="21"/>
        <v>5.1576022340220254E-2</v>
      </c>
      <c r="K40" s="2"/>
      <c r="L40" s="7">
        <f t="shared" si="22"/>
        <v>-6974.2603747692001</v>
      </c>
      <c r="M40" s="2"/>
      <c r="N40" s="6">
        <f t="shared" si="23"/>
        <v>-0.50224866982104133</v>
      </c>
      <c r="O40" s="11"/>
      <c r="P40" s="7">
        <v>150099.07</v>
      </c>
      <c r="Q40" s="2"/>
      <c r="R40" s="6">
        <f t="shared" si="24"/>
        <v>3.9644183509736204E-2</v>
      </c>
      <c r="S40" s="2"/>
      <c r="T40" s="7">
        <v>166632.8444972304</v>
      </c>
      <c r="U40" s="2"/>
      <c r="V40" s="6">
        <f t="shared" si="25"/>
        <v>3.7111992092924366E-2</v>
      </c>
      <c r="W40" s="2"/>
      <c r="X40" s="7">
        <f t="shared" si="26"/>
        <v>-16533.774497230392</v>
      </c>
      <c r="Y40" s="2"/>
      <c r="Z40" s="6">
        <f t="shared" si="27"/>
        <v>-9.9222782561964845E-2</v>
      </c>
    </row>
    <row r="41" spans="1:26" s="24" customFormat="1" hidden="1" outlineLevel="2" x14ac:dyDescent="0.25">
      <c r="A41" s="26"/>
      <c r="B41" s="11" t="str">
        <f>CONCATENATE("          ", "6003", " - ", "STAFF HOURLY-9 MONTH")</f>
        <v xml:space="preserve">          6003 - STAFF HOURLY-9 MONTH</v>
      </c>
      <c r="C41" s="11"/>
      <c r="D41" s="7"/>
      <c r="E41" s="2"/>
      <c r="F41" s="6">
        <f t="shared" si="20"/>
        <v>0</v>
      </c>
      <c r="G41" s="2"/>
      <c r="H41" s="7">
        <v>0</v>
      </c>
      <c r="I41" s="2"/>
      <c r="J41" s="6">
        <f t="shared" si="21"/>
        <v>0</v>
      </c>
      <c r="K41" s="2"/>
      <c r="L41" s="7">
        <f t="shared" si="22"/>
        <v>0</v>
      </c>
      <c r="M41" s="2"/>
      <c r="N41" s="6">
        <f t="shared" si="23"/>
        <v>0</v>
      </c>
      <c r="O41" s="11"/>
      <c r="P41" s="7"/>
      <c r="Q41" s="2"/>
      <c r="R41" s="6">
        <f t="shared" si="24"/>
        <v>0</v>
      </c>
      <c r="S41" s="2"/>
      <c r="T41" s="7">
        <v>0</v>
      </c>
      <c r="U41" s="2"/>
      <c r="V41" s="6">
        <f t="shared" si="25"/>
        <v>0</v>
      </c>
      <c r="W41" s="2"/>
      <c r="X41" s="7">
        <f t="shared" si="26"/>
        <v>0</v>
      </c>
      <c r="Y41" s="2"/>
      <c r="Z41" s="6">
        <f t="shared" si="27"/>
        <v>0</v>
      </c>
    </row>
    <row r="42" spans="1:26" s="24" customFormat="1" hidden="1" outlineLevel="2" x14ac:dyDescent="0.25">
      <c r="A42" s="26"/>
      <c r="B42" s="11" t="str">
        <f>CONCATENATE("          ", "6004", " - ", "STAFF HOURLY")</f>
        <v xml:space="preserve">          6004 - STAFF HOURLY</v>
      </c>
      <c r="C42" s="11"/>
      <c r="D42" s="7">
        <v>15659.569999999998</v>
      </c>
      <c r="E42" s="2"/>
      <c r="F42" s="6">
        <f t="shared" si="20"/>
        <v>0.12776420053231649</v>
      </c>
      <c r="G42" s="2"/>
      <c r="H42" s="7">
        <v>36463.648000000001</v>
      </c>
      <c r="I42" s="2"/>
      <c r="J42" s="6">
        <f t="shared" si="21"/>
        <v>0.13543427860419335</v>
      </c>
      <c r="K42" s="2"/>
      <c r="L42" s="7">
        <f t="shared" si="22"/>
        <v>-20804.078000000001</v>
      </c>
      <c r="M42" s="2"/>
      <c r="N42" s="6">
        <f t="shared" si="23"/>
        <v>-0.57054296926078274</v>
      </c>
      <c r="O42" s="11"/>
      <c r="P42" s="7">
        <v>210565.79</v>
      </c>
      <c r="Q42" s="2"/>
      <c r="R42" s="6">
        <f t="shared" si="24"/>
        <v>5.561466050144466E-2</v>
      </c>
      <c r="S42" s="2"/>
      <c r="T42" s="7">
        <v>447503.68800000002</v>
      </c>
      <c r="U42" s="2"/>
      <c r="V42" s="6">
        <f t="shared" si="25"/>
        <v>9.9666745657015596E-2</v>
      </c>
      <c r="W42" s="2"/>
      <c r="X42" s="7">
        <f t="shared" si="26"/>
        <v>-236937.89800000002</v>
      </c>
      <c r="Y42" s="2"/>
      <c r="Z42" s="6">
        <f t="shared" si="27"/>
        <v>-0.52946579962040452</v>
      </c>
    </row>
    <row r="43" spans="1:26" s="24" customFormat="1" hidden="1" outlineLevel="2" x14ac:dyDescent="0.25">
      <c r="A43" s="26"/>
      <c r="B43" s="11" t="str">
        <f>CONCATENATE("          ", "6005", " - ", "TEMPORARY WAGES-HOURLY")</f>
        <v xml:space="preserve">          6005 - TEMPORARY WAGES-HOURLY</v>
      </c>
      <c r="C43" s="11"/>
      <c r="D43" s="7"/>
      <c r="E43" s="2"/>
      <c r="F43" s="6">
        <f t="shared" si="20"/>
        <v>0</v>
      </c>
      <c r="G43" s="2"/>
      <c r="H43" s="7">
        <v>0</v>
      </c>
      <c r="I43" s="2"/>
      <c r="J43" s="6">
        <f t="shared" si="21"/>
        <v>0</v>
      </c>
      <c r="K43" s="2"/>
      <c r="L43" s="7">
        <f t="shared" si="22"/>
        <v>0</v>
      </c>
      <c r="M43" s="2"/>
      <c r="N43" s="6">
        <f t="shared" si="23"/>
        <v>0</v>
      </c>
      <c r="O43" s="11"/>
      <c r="P43" s="7">
        <v>132250.51</v>
      </c>
      <c r="Q43" s="2"/>
      <c r="R43" s="6">
        <f t="shared" si="24"/>
        <v>3.4930019804227989E-2</v>
      </c>
      <c r="S43" s="2"/>
      <c r="T43" s="7">
        <v>0</v>
      </c>
      <c r="U43" s="2"/>
      <c r="V43" s="6">
        <f t="shared" si="25"/>
        <v>0</v>
      </c>
      <c r="W43" s="2"/>
      <c r="X43" s="7">
        <f t="shared" si="26"/>
        <v>132250.51</v>
      </c>
      <c r="Y43" s="2"/>
      <c r="Z43" s="6">
        <f t="shared" si="27"/>
        <v>0</v>
      </c>
    </row>
    <row r="44" spans="1:26" s="24" customFormat="1" hidden="1" outlineLevel="2" x14ac:dyDescent="0.25">
      <c r="A44" s="26"/>
      <c r="B44" s="11" t="str">
        <f>CONCATENATE("          ", "6006", " - ", "TEMPORARY PART TIME")</f>
        <v xml:space="preserve">          6006 - TEMPORARY PART TIME</v>
      </c>
      <c r="C44" s="11"/>
      <c r="D44" s="7"/>
      <c r="E44" s="2"/>
      <c r="F44" s="6">
        <f t="shared" si="20"/>
        <v>0</v>
      </c>
      <c r="G44" s="2"/>
      <c r="H44" s="7">
        <v>0</v>
      </c>
      <c r="I44" s="2"/>
      <c r="J44" s="6">
        <f t="shared" si="21"/>
        <v>0</v>
      </c>
      <c r="K44" s="2"/>
      <c r="L44" s="7">
        <f t="shared" si="22"/>
        <v>0</v>
      </c>
      <c r="M44" s="2"/>
      <c r="N44" s="6">
        <f t="shared" si="23"/>
        <v>0</v>
      </c>
      <c r="O44" s="11"/>
      <c r="P44" s="7">
        <v>10133.07</v>
      </c>
      <c r="Q44" s="2"/>
      <c r="R44" s="6">
        <f t="shared" si="24"/>
        <v>2.6763476055981067E-3</v>
      </c>
      <c r="S44" s="2"/>
      <c r="T44" s="7">
        <v>0</v>
      </c>
      <c r="U44" s="2"/>
      <c r="V44" s="6">
        <f t="shared" si="25"/>
        <v>0</v>
      </c>
      <c r="W44" s="2"/>
      <c r="X44" s="7">
        <f t="shared" si="26"/>
        <v>10133.07</v>
      </c>
      <c r="Y44" s="2"/>
      <c r="Z44" s="6">
        <f t="shared" si="27"/>
        <v>0</v>
      </c>
    </row>
    <row r="45" spans="1:26" s="24" customFormat="1" hidden="1" outlineLevel="2" x14ac:dyDescent="0.25">
      <c r="A45" s="26"/>
      <c r="B45" s="11" t="str">
        <f>CONCATENATE("          ", "6007", " - ", "STUDENT HOURLY")</f>
        <v xml:space="preserve">          6007 - STUDENT HOURLY</v>
      </c>
      <c r="C45" s="11"/>
      <c r="D45" s="7"/>
      <c r="E45" s="2"/>
      <c r="F45" s="6">
        <f t="shared" si="20"/>
        <v>0</v>
      </c>
      <c r="G45" s="2"/>
      <c r="H45" s="7">
        <v>0</v>
      </c>
      <c r="I45" s="2"/>
      <c r="J45" s="6">
        <f t="shared" si="21"/>
        <v>0</v>
      </c>
      <c r="K45" s="2"/>
      <c r="L45" s="7">
        <f t="shared" si="22"/>
        <v>0</v>
      </c>
      <c r="M45" s="2"/>
      <c r="N45" s="6">
        <f t="shared" si="23"/>
        <v>0</v>
      </c>
      <c r="O45" s="11"/>
      <c r="P45" s="7">
        <v>326051.69</v>
      </c>
      <c r="Q45" s="2"/>
      <c r="R45" s="6">
        <f t="shared" si="24"/>
        <v>8.6116809597951677E-2</v>
      </c>
      <c r="S45" s="2"/>
      <c r="T45" s="7">
        <v>47250</v>
      </c>
      <c r="U45" s="2"/>
      <c r="V45" s="6">
        <f t="shared" si="25"/>
        <v>1.0523385300668152E-2</v>
      </c>
      <c r="W45" s="2"/>
      <c r="X45" s="7">
        <f t="shared" si="26"/>
        <v>278801.69</v>
      </c>
      <c r="Y45" s="2"/>
      <c r="Z45" s="6">
        <f t="shared" si="27"/>
        <v>5.9005648677248681</v>
      </c>
    </row>
    <row r="46" spans="1:26" s="24" customFormat="1" hidden="1" outlineLevel="2" x14ac:dyDescent="0.25">
      <c r="A46" s="26"/>
      <c r="B46" s="11" t="str">
        <f>CONCATENATE("          ", "6008", " - ", "STUDENT HOURLY-FICA EXEMPT")</f>
        <v xml:space="preserve">          6008 - STUDENT HOURLY-FICA EXEMPT</v>
      </c>
      <c r="C46" s="11"/>
      <c r="D46" s="7"/>
      <c r="E46" s="2"/>
      <c r="F46" s="6">
        <f t="shared" si="20"/>
        <v>0</v>
      </c>
      <c r="G46" s="2"/>
      <c r="H46" s="7">
        <v>42525</v>
      </c>
      <c r="I46" s="2"/>
      <c r="J46" s="6">
        <f t="shared" si="21"/>
        <v>0.15794751796757481</v>
      </c>
      <c r="K46" s="2"/>
      <c r="L46" s="7">
        <f t="shared" si="22"/>
        <v>-42525</v>
      </c>
      <c r="M46" s="2"/>
      <c r="N46" s="6">
        <f t="shared" si="23"/>
        <v>-1</v>
      </c>
      <c r="O46" s="11"/>
      <c r="P46" s="7">
        <v>29853.219999999998</v>
      </c>
      <c r="Q46" s="2"/>
      <c r="R46" s="6">
        <f t="shared" si="24"/>
        <v>7.8848358756421801E-3</v>
      </c>
      <c r="S46" s="2"/>
      <c r="T46" s="7">
        <v>377358.75</v>
      </c>
      <c r="U46" s="2"/>
      <c r="V46" s="6">
        <f t="shared" si="25"/>
        <v>8.4044265033407575E-2</v>
      </c>
      <c r="W46" s="2"/>
      <c r="X46" s="7">
        <f t="shared" si="26"/>
        <v>-347505.53</v>
      </c>
      <c r="Y46" s="2"/>
      <c r="Z46" s="6">
        <f t="shared" si="27"/>
        <v>-0.92088902138879791</v>
      </c>
    </row>
    <row r="47" spans="1:26" s="24" customFormat="1" hidden="1" outlineLevel="2" x14ac:dyDescent="0.25">
      <c r="A47" s="26"/>
      <c r="B47" s="11" t="str">
        <f>CONCATENATE("          ", "6009", " - ", "TEMPORARY-SEASONAL")</f>
        <v xml:space="preserve">          6009 - TEMPORARY-SEASONAL</v>
      </c>
      <c r="C47" s="11"/>
      <c r="D47" s="7"/>
      <c r="E47" s="2"/>
      <c r="F47" s="6">
        <f t="shared" si="20"/>
        <v>0</v>
      </c>
      <c r="G47" s="2"/>
      <c r="H47" s="7">
        <v>0</v>
      </c>
      <c r="I47" s="2"/>
      <c r="J47" s="6">
        <f t="shared" si="21"/>
        <v>0</v>
      </c>
      <c r="K47" s="2"/>
      <c r="L47" s="7">
        <f t="shared" si="22"/>
        <v>0</v>
      </c>
      <c r="M47" s="2"/>
      <c r="N47" s="6">
        <f t="shared" si="23"/>
        <v>0</v>
      </c>
      <c r="O47" s="11"/>
      <c r="P47" s="7"/>
      <c r="Q47" s="2"/>
      <c r="R47" s="6">
        <f t="shared" si="24"/>
        <v>0</v>
      </c>
      <c r="S47" s="2"/>
      <c r="T47" s="7">
        <v>0</v>
      </c>
      <c r="U47" s="2"/>
      <c r="V47" s="6">
        <f t="shared" si="25"/>
        <v>0</v>
      </c>
      <c r="W47" s="2"/>
      <c r="X47" s="7">
        <f t="shared" si="26"/>
        <v>0</v>
      </c>
      <c r="Y47" s="2"/>
      <c r="Z47" s="6">
        <f t="shared" si="27"/>
        <v>0</v>
      </c>
    </row>
    <row r="48" spans="1:26" s="24" customFormat="1" hidden="1" outlineLevel="2" x14ac:dyDescent="0.25">
      <c r="A48" s="26"/>
      <c r="B48" s="11" t="str">
        <f>CONCATENATE("          ", "6010", " - ", "GRATUITY")</f>
        <v xml:space="preserve">          6010 - GRATUITY</v>
      </c>
      <c r="C48" s="11"/>
      <c r="D48" s="7"/>
      <c r="E48" s="2"/>
      <c r="F48" s="6">
        <f t="shared" si="20"/>
        <v>0</v>
      </c>
      <c r="G48" s="2"/>
      <c r="H48" s="7">
        <v>0</v>
      </c>
      <c r="I48" s="2"/>
      <c r="J48" s="6">
        <f t="shared" si="21"/>
        <v>0</v>
      </c>
      <c r="K48" s="2"/>
      <c r="L48" s="7">
        <f t="shared" si="22"/>
        <v>0</v>
      </c>
      <c r="M48" s="2"/>
      <c r="N48" s="6">
        <f t="shared" si="23"/>
        <v>0</v>
      </c>
      <c r="O48" s="11"/>
      <c r="P48" s="7"/>
      <c r="Q48" s="2"/>
      <c r="R48" s="6">
        <f t="shared" si="24"/>
        <v>0</v>
      </c>
      <c r="S48" s="2"/>
      <c r="T48" s="7">
        <v>0</v>
      </c>
      <c r="U48" s="2"/>
      <c r="V48" s="6">
        <f t="shared" si="25"/>
        <v>0</v>
      </c>
      <c r="W48" s="2"/>
      <c r="X48" s="7">
        <f t="shared" si="26"/>
        <v>0</v>
      </c>
      <c r="Y48" s="2"/>
      <c r="Z48" s="6">
        <f t="shared" si="27"/>
        <v>0</v>
      </c>
    </row>
    <row r="49" spans="1:26" s="27" customFormat="1" outlineLevel="1" collapsed="1" x14ac:dyDescent="0.25">
      <c r="A49" s="25"/>
      <c r="B49" s="12" t="str">
        <f>CONCATENATE("     ","Advertising/Promo                                 ")</f>
        <v xml:space="preserve">     Advertising/Promo                                 </v>
      </c>
      <c r="C49" s="12"/>
      <c r="D49" s="1">
        <f>SUM(OSRRefD22_2x_0)</f>
        <v>0</v>
      </c>
      <c r="E49" s="1"/>
      <c r="F49" s="5">
        <f t="shared" ref="F49:F68" si="28">IF(D$12=0,0,D49/D$12)</f>
        <v>0</v>
      </c>
      <c r="G49" s="1"/>
      <c r="H49" s="1">
        <f>SUM(OSRRefH22_2x_0)</f>
        <v>250</v>
      </c>
      <c r="I49" s="1"/>
      <c r="J49" s="5">
        <f t="shared" ref="J49:J68" si="29">IF(H$12=0,0,H49/H$12)</f>
        <v>9.285568369639906E-4</v>
      </c>
      <c r="K49" s="1"/>
      <c r="L49" s="1">
        <f t="shared" ref="L49:L68" si="30">+D49-H49</f>
        <v>-250</v>
      </c>
      <c r="M49" s="1"/>
      <c r="N49" s="5">
        <f t="shared" ref="N49:N68" si="31">IF(H49=0,0,L49/H49)</f>
        <v>-1</v>
      </c>
      <c r="O49" s="12"/>
      <c r="P49" s="1">
        <f>SUM(OSRRefP22_2x_0)</f>
        <v>2828.94</v>
      </c>
      <c r="Q49" s="1"/>
      <c r="R49" s="5">
        <f t="shared" ref="R49:R68" si="32">IF(P$12=0,0,P49/P$12)</f>
        <v>7.4717995586537041E-4</v>
      </c>
      <c r="S49" s="1"/>
      <c r="T49" s="1">
        <f>SUM(OSRRefT22_2x_0)</f>
        <v>4600</v>
      </c>
      <c r="U49" s="1"/>
      <c r="V49" s="5">
        <f t="shared" ref="V49:V68" si="33">IF(T$12=0,0,T49/T$12)</f>
        <v>1.0244988864142538E-3</v>
      </c>
      <c r="W49" s="1"/>
      <c r="X49" s="1">
        <f t="shared" ref="X49:X68" si="34">+P49-T49</f>
        <v>-1771.06</v>
      </c>
      <c r="Y49" s="1"/>
      <c r="Z49" s="5">
        <f t="shared" ref="Z49:Z68" si="35">IF(T49=0,0,X49/T49)</f>
        <v>-0.38501304347826087</v>
      </c>
    </row>
    <row r="50" spans="1:26" s="24" customFormat="1" hidden="1" outlineLevel="2" x14ac:dyDescent="0.25">
      <c r="A50" s="26"/>
      <c r="B50" s="11" t="str">
        <f>CONCATENATE("          ", "6362", " - ", "ADVERTISING EXPENSE")</f>
        <v xml:space="preserve">          6362 - ADVERTISING EXPENSE</v>
      </c>
      <c r="C50" s="11"/>
      <c r="D50" s="7"/>
      <c r="E50" s="2"/>
      <c r="F50" s="6">
        <f t="shared" si="28"/>
        <v>0</v>
      </c>
      <c r="G50" s="2"/>
      <c r="H50" s="7">
        <v>250</v>
      </c>
      <c r="I50" s="2"/>
      <c r="J50" s="6">
        <f t="shared" si="29"/>
        <v>9.285568369639906E-4</v>
      </c>
      <c r="K50" s="2"/>
      <c r="L50" s="7">
        <f t="shared" si="30"/>
        <v>-250</v>
      </c>
      <c r="M50" s="2"/>
      <c r="N50" s="6">
        <f t="shared" si="31"/>
        <v>-1</v>
      </c>
      <c r="O50" s="11"/>
      <c r="P50" s="7">
        <v>2828.94</v>
      </c>
      <c r="Q50" s="2"/>
      <c r="R50" s="6">
        <f t="shared" si="32"/>
        <v>7.4717995586537041E-4</v>
      </c>
      <c r="S50" s="2"/>
      <c r="T50" s="7">
        <v>4600</v>
      </c>
      <c r="U50" s="2"/>
      <c r="V50" s="6">
        <f t="shared" si="33"/>
        <v>1.0244988864142538E-3</v>
      </c>
      <c r="W50" s="2"/>
      <c r="X50" s="7">
        <f t="shared" si="34"/>
        <v>-1771.06</v>
      </c>
      <c r="Y50" s="2"/>
      <c r="Z50" s="6">
        <f t="shared" si="35"/>
        <v>-0.38501304347826087</v>
      </c>
    </row>
    <row r="51" spans="1:26" s="27" customFormat="1" outlineLevel="1" collapsed="1" x14ac:dyDescent="0.25">
      <c r="A51" s="25"/>
      <c r="B51" s="12" t="str">
        <f>CONCATENATE("     ","Bad Debts/Over/Short                              ")</f>
        <v xml:space="preserve">     Bad Debts/Over/Short                              </v>
      </c>
      <c r="C51" s="12"/>
      <c r="D51" s="1">
        <f>SUM(OSRRefD22_3x_0)</f>
        <v>0</v>
      </c>
      <c r="E51" s="1"/>
      <c r="F51" s="5">
        <f t="shared" si="28"/>
        <v>0</v>
      </c>
      <c r="G51" s="1"/>
      <c r="H51" s="1">
        <f>SUM(OSRRefH22_3x_0)</f>
        <v>10</v>
      </c>
      <c r="I51" s="1"/>
      <c r="J51" s="5">
        <f t="shared" si="29"/>
        <v>3.714227347855962E-5</v>
      </c>
      <c r="K51" s="1"/>
      <c r="L51" s="1">
        <f t="shared" si="30"/>
        <v>-10</v>
      </c>
      <c r="M51" s="1"/>
      <c r="N51" s="5">
        <f t="shared" si="31"/>
        <v>-1</v>
      </c>
      <c r="O51" s="12"/>
      <c r="P51" s="1">
        <f>SUM(OSRRefP22_3x_0)</f>
        <v>1.65</v>
      </c>
      <c r="Q51" s="1"/>
      <c r="R51" s="5">
        <f t="shared" si="32"/>
        <v>4.3579818843024633E-7</v>
      </c>
      <c r="S51" s="1"/>
      <c r="T51" s="1">
        <f>SUM(OSRRefT22_3x_0)</f>
        <v>112</v>
      </c>
      <c r="U51" s="1"/>
      <c r="V51" s="5">
        <f t="shared" si="33"/>
        <v>2.4944320712694876E-5</v>
      </c>
      <c r="W51" s="1"/>
      <c r="X51" s="1">
        <f t="shared" si="34"/>
        <v>-110.35</v>
      </c>
      <c r="Y51" s="1"/>
      <c r="Z51" s="5">
        <f t="shared" si="35"/>
        <v>-0.98526785714285714</v>
      </c>
    </row>
    <row r="52" spans="1:26" s="24" customFormat="1" hidden="1" outlineLevel="2" x14ac:dyDescent="0.25">
      <c r="A52" s="26"/>
      <c r="B52" s="11" t="str">
        <f>CONCATENATE("          ", "6272", " - ", "CASH (OVER/SHORT)")</f>
        <v xml:space="preserve">          6272 - CASH (OVER/SHORT)</v>
      </c>
      <c r="C52" s="11"/>
      <c r="D52" s="7"/>
      <c r="E52" s="2"/>
      <c r="F52" s="6">
        <f t="shared" si="28"/>
        <v>0</v>
      </c>
      <c r="G52" s="2"/>
      <c r="H52" s="7">
        <v>10</v>
      </c>
      <c r="I52" s="2"/>
      <c r="J52" s="6">
        <f t="shared" si="29"/>
        <v>3.714227347855962E-5</v>
      </c>
      <c r="K52" s="2"/>
      <c r="L52" s="7">
        <f t="shared" si="30"/>
        <v>-10</v>
      </c>
      <c r="M52" s="2"/>
      <c r="N52" s="6">
        <f t="shared" si="31"/>
        <v>-1</v>
      </c>
      <c r="O52" s="11"/>
      <c r="P52" s="7">
        <v>1.65</v>
      </c>
      <c r="Q52" s="2"/>
      <c r="R52" s="6">
        <f t="shared" si="32"/>
        <v>4.3579818843024633E-7</v>
      </c>
      <c r="S52" s="2"/>
      <c r="T52" s="7">
        <v>112</v>
      </c>
      <c r="U52" s="2"/>
      <c r="V52" s="6">
        <f t="shared" si="33"/>
        <v>2.4944320712694876E-5</v>
      </c>
      <c r="W52" s="2"/>
      <c r="X52" s="7">
        <f t="shared" si="34"/>
        <v>-110.35</v>
      </c>
      <c r="Y52" s="2"/>
      <c r="Z52" s="6">
        <f t="shared" si="35"/>
        <v>-0.98526785714285714</v>
      </c>
    </row>
    <row r="53" spans="1:26" s="27" customFormat="1" outlineLevel="1" collapsed="1" x14ac:dyDescent="0.25">
      <c r="A53" s="25"/>
      <c r="B53" s="12" t="str">
        <f>CONCATENATE("     ","Bank/card Fees                                    ")</f>
        <v xml:space="preserve">     Bank/card Fees                                    </v>
      </c>
      <c r="C53" s="12"/>
      <c r="D53" s="1">
        <f>SUM(OSRRefD22_4x_0)</f>
        <v>29.5</v>
      </c>
      <c r="E53" s="1"/>
      <c r="F53" s="5">
        <f t="shared" si="28"/>
        <v>2.4068629698665653E-4</v>
      </c>
      <c r="G53" s="1"/>
      <c r="H53" s="1">
        <f>SUM(OSRRefH22_4x_0)</f>
        <v>225</v>
      </c>
      <c r="I53" s="1"/>
      <c r="J53" s="5">
        <f t="shared" si="29"/>
        <v>8.3570115326759154E-4</v>
      </c>
      <c r="K53" s="1"/>
      <c r="L53" s="1">
        <f t="shared" si="30"/>
        <v>-195.5</v>
      </c>
      <c r="M53" s="1"/>
      <c r="N53" s="5">
        <f t="shared" si="31"/>
        <v>-0.86888888888888893</v>
      </c>
      <c r="O53" s="12"/>
      <c r="P53" s="1">
        <f>SUM(OSRRefP22_4x_0)</f>
        <v>1859.94</v>
      </c>
      <c r="Q53" s="1"/>
      <c r="R53" s="5">
        <f t="shared" si="32"/>
        <v>4.9124756520542575E-4</v>
      </c>
      <c r="S53" s="1"/>
      <c r="T53" s="1">
        <f>SUM(OSRRefT22_4x_0)</f>
        <v>2475</v>
      </c>
      <c r="U53" s="1"/>
      <c r="V53" s="5">
        <f t="shared" si="33"/>
        <v>5.5122494432071267E-4</v>
      </c>
      <c r="W53" s="1"/>
      <c r="X53" s="1">
        <f t="shared" si="34"/>
        <v>-615.05999999999995</v>
      </c>
      <c r="Y53" s="1"/>
      <c r="Z53" s="5">
        <f t="shared" si="35"/>
        <v>-0.24850909090909087</v>
      </c>
    </row>
    <row r="54" spans="1:26" s="24" customFormat="1" hidden="1" outlineLevel="2" x14ac:dyDescent="0.25">
      <c r="A54" s="26"/>
      <c r="B54" s="11" t="str">
        <f>CONCATENATE("          ", "6381", " - ", "BANK/CREDIT CARD FEES")</f>
        <v xml:space="preserve">          6381 - BANK/CREDIT CARD FEES</v>
      </c>
      <c r="C54" s="11"/>
      <c r="D54" s="7">
        <v>29.5</v>
      </c>
      <c r="E54" s="2"/>
      <c r="F54" s="6">
        <f t="shared" si="28"/>
        <v>2.4068629698665653E-4</v>
      </c>
      <c r="G54" s="2"/>
      <c r="H54" s="7">
        <v>225</v>
      </c>
      <c r="I54" s="2"/>
      <c r="J54" s="6">
        <f t="shared" si="29"/>
        <v>8.3570115326759154E-4</v>
      </c>
      <c r="K54" s="2"/>
      <c r="L54" s="7">
        <f t="shared" si="30"/>
        <v>-195.5</v>
      </c>
      <c r="M54" s="2"/>
      <c r="N54" s="6">
        <f t="shared" si="31"/>
        <v>-0.86888888888888893</v>
      </c>
      <c r="O54" s="11"/>
      <c r="P54" s="7">
        <v>1859.94</v>
      </c>
      <c r="Q54" s="2"/>
      <c r="R54" s="6">
        <f t="shared" si="32"/>
        <v>4.9124756520542575E-4</v>
      </c>
      <c r="S54" s="2"/>
      <c r="T54" s="7">
        <v>2475</v>
      </c>
      <c r="U54" s="2"/>
      <c r="V54" s="6">
        <f t="shared" si="33"/>
        <v>5.5122494432071267E-4</v>
      </c>
      <c r="W54" s="2"/>
      <c r="X54" s="7">
        <f t="shared" si="34"/>
        <v>-615.05999999999995</v>
      </c>
      <c r="Y54" s="2"/>
      <c r="Z54" s="6">
        <f t="shared" si="35"/>
        <v>-0.24850909090909087</v>
      </c>
    </row>
    <row r="55" spans="1:26" s="27" customFormat="1" outlineLevel="1" collapsed="1" x14ac:dyDescent="0.25">
      <c r="A55" s="25"/>
      <c r="B55" s="12" t="str">
        <f>CONCATENATE("     ","Donations                                         ")</f>
        <v xml:space="preserve">     Donations                                         </v>
      </c>
      <c r="C55" s="12"/>
      <c r="D55" s="1">
        <f>SUM(OSRRefD22_5x_0)</f>
        <v>17557.53</v>
      </c>
      <c r="E55" s="1"/>
      <c r="F55" s="5">
        <f t="shared" si="28"/>
        <v>0.14324938576041124</v>
      </c>
      <c r="G55" s="1"/>
      <c r="H55" s="1">
        <f>SUM(OSRRefH22_5x_0)</f>
        <v>5000</v>
      </c>
      <c r="I55" s="1"/>
      <c r="J55" s="5">
        <f t="shared" si="29"/>
        <v>1.8571136739279813E-2</v>
      </c>
      <c r="K55" s="1"/>
      <c r="L55" s="1">
        <f t="shared" si="30"/>
        <v>12557.529999999999</v>
      </c>
      <c r="M55" s="1"/>
      <c r="N55" s="5">
        <f t="shared" si="31"/>
        <v>2.5115059999999998</v>
      </c>
      <c r="O55" s="12"/>
      <c r="P55" s="1">
        <f>SUM(OSRRefP22_5x_0)</f>
        <v>89701.66</v>
      </c>
      <c r="Q55" s="1"/>
      <c r="R55" s="5">
        <f t="shared" si="32"/>
        <v>2.3692012683142964E-2</v>
      </c>
      <c r="S55" s="1"/>
      <c r="T55" s="1">
        <f>SUM(OSRRefT22_5x_0)</f>
        <v>80000</v>
      </c>
      <c r="U55" s="1"/>
      <c r="V55" s="5">
        <f t="shared" si="33"/>
        <v>1.7817371937639197E-2</v>
      </c>
      <c r="W55" s="1"/>
      <c r="X55" s="1">
        <f t="shared" si="34"/>
        <v>9701.6600000000035</v>
      </c>
      <c r="Y55" s="1"/>
      <c r="Z55" s="5">
        <f t="shared" si="35"/>
        <v>0.12127075000000004</v>
      </c>
    </row>
    <row r="56" spans="1:26" s="24" customFormat="1" hidden="1" outlineLevel="2" x14ac:dyDescent="0.25">
      <c r="A56" s="26"/>
      <c r="B56" s="11" t="str">
        <f>CONCATENATE("          ", "6399", " - ", "DONATION-ON CAMPUS")</f>
        <v xml:space="preserve">          6399 - DONATION-ON CAMPUS</v>
      </c>
      <c r="C56" s="11"/>
      <c r="D56" s="7">
        <v>17557.53</v>
      </c>
      <c r="E56" s="2"/>
      <c r="F56" s="6">
        <f t="shared" si="28"/>
        <v>0.14324938576041124</v>
      </c>
      <c r="G56" s="2"/>
      <c r="H56" s="7">
        <v>5000</v>
      </c>
      <c r="I56" s="2"/>
      <c r="J56" s="6">
        <f t="shared" si="29"/>
        <v>1.8571136739279813E-2</v>
      </c>
      <c r="K56" s="2"/>
      <c r="L56" s="7">
        <f t="shared" si="30"/>
        <v>12557.529999999999</v>
      </c>
      <c r="M56" s="2"/>
      <c r="N56" s="6">
        <f t="shared" si="31"/>
        <v>2.5115059999999998</v>
      </c>
      <c r="O56" s="11"/>
      <c r="P56" s="7">
        <v>89701.66</v>
      </c>
      <c r="Q56" s="2"/>
      <c r="R56" s="6">
        <f t="shared" si="32"/>
        <v>2.3692012683142964E-2</v>
      </c>
      <c r="S56" s="2"/>
      <c r="T56" s="7">
        <v>80000</v>
      </c>
      <c r="U56" s="2"/>
      <c r="V56" s="6">
        <f t="shared" si="33"/>
        <v>1.7817371937639197E-2</v>
      </c>
      <c r="W56" s="2"/>
      <c r="X56" s="7">
        <f t="shared" si="34"/>
        <v>9701.6600000000035</v>
      </c>
      <c r="Y56" s="2"/>
      <c r="Z56" s="6">
        <f t="shared" si="35"/>
        <v>0.12127075000000004</v>
      </c>
    </row>
    <row r="57" spans="1:26" s="27" customFormat="1" outlineLevel="1" collapsed="1" x14ac:dyDescent="0.25">
      <c r="A57" s="25"/>
      <c r="B57" s="12" t="str">
        <f>CONCATENATE("     ","Employees' Appreciation                           ")</f>
        <v xml:space="preserve">     Employees' Appreciation                           </v>
      </c>
      <c r="C57" s="12"/>
      <c r="D57" s="1">
        <f>SUM(OSRRefD22_6x_0)</f>
        <v>0</v>
      </c>
      <c r="E57" s="1"/>
      <c r="F57" s="5">
        <f t="shared" si="28"/>
        <v>0</v>
      </c>
      <c r="G57" s="1"/>
      <c r="H57" s="1">
        <f>SUM(OSRRefH22_6x_0)</f>
        <v>160</v>
      </c>
      <c r="I57" s="1"/>
      <c r="J57" s="5">
        <f t="shared" si="29"/>
        <v>5.9427637565695392E-4</v>
      </c>
      <c r="K57" s="1"/>
      <c r="L57" s="1">
        <f t="shared" si="30"/>
        <v>-160</v>
      </c>
      <c r="M57" s="1"/>
      <c r="N57" s="5">
        <f t="shared" si="31"/>
        <v>-1</v>
      </c>
      <c r="O57" s="12"/>
      <c r="P57" s="1">
        <f>SUM(OSRRefP22_6x_0)</f>
        <v>172.29</v>
      </c>
      <c r="Q57" s="1"/>
      <c r="R57" s="5">
        <f t="shared" si="32"/>
        <v>4.5505254475543724E-5</v>
      </c>
      <c r="S57" s="1"/>
      <c r="T57" s="1">
        <f>SUM(OSRRefT22_6x_0)</f>
        <v>1770</v>
      </c>
      <c r="U57" s="1"/>
      <c r="V57" s="5">
        <f t="shared" si="33"/>
        <v>3.9420935412026726E-4</v>
      </c>
      <c r="W57" s="1"/>
      <c r="X57" s="1">
        <f t="shared" si="34"/>
        <v>-1597.71</v>
      </c>
      <c r="Y57" s="1"/>
      <c r="Z57" s="5">
        <f t="shared" si="35"/>
        <v>-0.90266101694915257</v>
      </c>
    </row>
    <row r="58" spans="1:26" s="24" customFormat="1" hidden="1" outlineLevel="2" x14ac:dyDescent="0.25">
      <c r="A58" s="26"/>
      <c r="B58" s="11" t="str">
        <f>CONCATENATE("          ", "6277", " - ", "EMPLOYEE APPRECIATION")</f>
        <v xml:space="preserve">          6277 - EMPLOYEE APPRECIATION</v>
      </c>
      <c r="C58" s="11"/>
      <c r="D58" s="7"/>
      <c r="E58" s="2"/>
      <c r="F58" s="6">
        <f t="shared" si="28"/>
        <v>0</v>
      </c>
      <c r="G58" s="2"/>
      <c r="H58" s="7">
        <v>160</v>
      </c>
      <c r="I58" s="2"/>
      <c r="J58" s="6">
        <f t="shared" si="29"/>
        <v>5.9427637565695392E-4</v>
      </c>
      <c r="K58" s="2"/>
      <c r="L58" s="7">
        <f t="shared" si="30"/>
        <v>-160</v>
      </c>
      <c r="M58" s="2"/>
      <c r="N58" s="6">
        <f t="shared" si="31"/>
        <v>-1</v>
      </c>
      <c r="O58" s="11"/>
      <c r="P58" s="7">
        <v>172.29</v>
      </c>
      <c r="Q58" s="2"/>
      <c r="R58" s="6">
        <f t="shared" si="32"/>
        <v>4.5505254475543724E-5</v>
      </c>
      <c r="S58" s="2"/>
      <c r="T58" s="7">
        <v>1770</v>
      </c>
      <c r="U58" s="2"/>
      <c r="V58" s="6">
        <f t="shared" si="33"/>
        <v>3.9420935412026726E-4</v>
      </c>
      <c r="W58" s="2"/>
      <c r="X58" s="7">
        <f t="shared" si="34"/>
        <v>-1597.71</v>
      </c>
      <c r="Y58" s="2"/>
      <c r="Z58" s="6">
        <f t="shared" si="35"/>
        <v>-0.90266101694915257</v>
      </c>
    </row>
    <row r="59" spans="1:26" s="27" customFormat="1" outlineLevel="1" collapsed="1" x14ac:dyDescent="0.25">
      <c r="A59" s="25"/>
      <c r="B59" s="12" t="str">
        <f>CONCATENATE("     ","Equipment Rental                                  ")</f>
        <v xml:space="preserve">     Equipment Rental                                  </v>
      </c>
      <c r="C59" s="12"/>
      <c r="D59" s="1">
        <f>SUM(OSRRefD22_7x_0)</f>
        <v>0</v>
      </c>
      <c r="E59" s="1"/>
      <c r="F59" s="5">
        <f t="shared" si="28"/>
        <v>0</v>
      </c>
      <c r="G59" s="1"/>
      <c r="H59" s="1">
        <f>SUM(OSRRefH22_7x_0)</f>
        <v>400</v>
      </c>
      <c r="I59" s="1"/>
      <c r="J59" s="5">
        <f t="shared" si="29"/>
        <v>1.485690939142385E-3</v>
      </c>
      <c r="K59" s="1"/>
      <c r="L59" s="1">
        <f t="shared" si="30"/>
        <v>-400</v>
      </c>
      <c r="M59" s="1"/>
      <c r="N59" s="5">
        <f t="shared" si="31"/>
        <v>-1</v>
      </c>
      <c r="O59" s="12"/>
      <c r="P59" s="1">
        <f>SUM(OSRRefP22_7x_0)</f>
        <v>2193.62</v>
      </c>
      <c r="Q59" s="1"/>
      <c r="R59" s="5">
        <f t="shared" si="32"/>
        <v>5.793791649117315E-4</v>
      </c>
      <c r="S59" s="1"/>
      <c r="T59" s="1">
        <f>SUM(OSRRefT22_7x_0)</f>
        <v>4600</v>
      </c>
      <c r="U59" s="1"/>
      <c r="V59" s="5">
        <f t="shared" si="33"/>
        <v>1.0244988864142538E-3</v>
      </c>
      <c r="W59" s="1"/>
      <c r="X59" s="1">
        <f t="shared" si="34"/>
        <v>-2406.38</v>
      </c>
      <c r="Y59" s="1"/>
      <c r="Z59" s="5">
        <f t="shared" si="35"/>
        <v>-0.52312608695652174</v>
      </c>
    </row>
    <row r="60" spans="1:26" s="24" customFormat="1" hidden="1" outlineLevel="2" x14ac:dyDescent="0.25">
      <c r="A60" s="26"/>
      <c r="B60" s="11" t="str">
        <f>CONCATENATE("          ", "6351", " - ", "EQUIPMENT RENTAL")</f>
        <v xml:space="preserve">          6351 - EQUIPMENT RENTAL</v>
      </c>
      <c r="C60" s="11"/>
      <c r="D60" s="7"/>
      <c r="E60" s="2"/>
      <c r="F60" s="6">
        <f t="shared" si="28"/>
        <v>0</v>
      </c>
      <c r="G60" s="2"/>
      <c r="H60" s="7">
        <v>400</v>
      </c>
      <c r="I60" s="2"/>
      <c r="J60" s="6">
        <f t="shared" si="29"/>
        <v>1.485690939142385E-3</v>
      </c>
      <c r="K60" s="2"/>
      <c r="L60" s="7">
        <f t="shared" si="30"/>
        <v>-400</v>
      </c>
      <c r="M60" s="2"/>
      <c r="N60" s="6">
        <f t="shared" si="31"/>
        <v>-1</v>
      </c>
      <c r="O60" s="11"/>
      <c r="P60" s="7">
        <v>2193.62</v>
      </c>
      <c r="Q60" s="2"/>
      <c r="R60" s="6">
        <f t="shared" si="32"/>
        <v>5.793791649117315E-4</v>
      </c>
      <c r="S60" s="2"/>
      <c r="T60" s="7">
        <v>4600</v>
      </c>
      <c r="U60" s="2"/>
      <c r="V60" s="6">
        <f t="shared" si="33"/>
        <v>1.0244988864142538E-3</v>
      </c>
      <c r="W60" s="2"/>
      <c r="X60" s="7">
        <f t="shared" si="34"/>
        <v>-2406.38</v>
      </c>
      <c r="Y60" s="2"/>
      <c r="Z60" s="6">
        <f t="shared" si="35"/>
        <v>-0.52312608695652174</v>
      </c>
    </row>
    <row r="61" spans="1:26" s="27" customFormat="1" outlineLevel="1" collapsed="1" x14ac:dyDescent="0.25">
      <c r="A61" s="25"/>
      <c r="B61" s="12" t="str">
        <f>CONCATENATE("     ","General                                           ")</f>
        <v xml:space="preserve">     General                                           </v>
      </c>
      <c r="C61" s="12"/>
      <c r="D61" s="1">
        <f>SUM(OSRRefD22_8x_0)</f>
        <v>0</v>
      </c>
      <c r="E61" s="1"/>
      <c r="F61" s="5">
        <f t="shared" si="28"/>
        <v>0</v>
      </c>
      <c r="G61" s="1"/>
      <c r="H61" s="1">
        <f>SUM(OSRRefH22_8x_0)</f>
        <v>175</v>
      </c>
      <c r="I61" s="1"/>
      <c r="J61" s="5">
        <f t="shared" si="29"/>
        <v>6.4998978587479342E-4</v>
      </c>
      <c r="K61" s="1"/>
      <c r="L61" s="1">
        <f t="shared" si="30"/>
        <v>-175</v>
      </c>
      <c r="M61" s="1"/>
      <c r="N61" s="5">
        <f t="shared" si="31"/>
        <v>-1</v>
      </c>
      <c r="O61" s="12"/>
      <c r="P61" s="1">
        <f>SUM(OSRRefP22_8x_0)</f>
        <v>2391.19</v>
      </c>
      <c r="Q61" s="1"/>
      <c r="R61" s="5">
        <f t="shared" si="32"/>
        <v>6.31561375874255E-4</v>
      </c>
      <c r="S61" s="1"/>
      <c r="T61" s="1">
        <f>SUM(OSRRefT22_8x_0)</f>
        <v>3525</v>
      </c>
      <c r="U61" s="1"/>
      <c r="V61" s="5">
        <f t="shared" si="33"/>
        <v>7.8507795100222718E-4</v>
      </c>
      <c r="W61" s="1"/>
      <c r="X61" s="1">
        <f t="shared" si="34"/>
        <v>-1133.81</v>
      </c>
      <c r="Y61" s="1"/>
      <c r="Z61" s="5">
        <f t="shared" si="35"/>
        <v>-0.32164822695035461</v>
      </c>
    </row>
    <row r="62" spans="1:26" s="24" customFormat="1" hidden="1" outlineLevel="2" x14ac:dyDescent="0.25">
      <c r="A62" s="26"/>
      <c r="B62" s="11" t="str">
        <f>CONCATENATE("          ", "6279", " - ", "GENERAL EXPENSE")</f>
        <v xml:space="preserve">          6279 - GENERAL EXPENSE</v>
      </c>
      <c r="C62" s="11"/>
      <c r="D62" s="7"/>
      <c r="E62" s="2"/>
      <c r="F62" s="6">
        <f t="shared" si="28"/>
        <v>0</v>
      </c>
      <c r="G62" s="2"/>
      <c r="H62" s="7">
        <v>175</v>
      </c>
      <c r="I62" s="2"/>
      <c r="J62" s="6">
        <f t="shared" si="29"/>
        <v>6.4998978587479342E-4</v>
      </c>
      <c r="K62" s="2"/>
      <c r="L62" s="7">
        <f t="shared" si="30"/>
        <v>-175</v>
      </c>
      <c r="M62" s="2"/>
      <c r="N62" s="6">
        <f t="shared" si="31"/>
        <v>-1</v>
      </c>
      <c r="O62" s="11"/>
      <c r="P62" s="7">
        <v>2391.19</v>
      </c>
      <c r="Q62" s="2"/>
      <c r="R62" s="6">
        <f t="shared" si="32"/>
        <v>6.31561375874255E-4</v>
      </c>
      <c r="S62" s="2"/>
      <c r="T62" s="7">
        <v>3525</v>
      </c>
      <c r="U62" s="2"/>
      <c r="V62" s="6">
        <f t="shared" si="33"/>
        <v>7.8507795100222718E-4</v>
      </c>
      <c r="W62" s="2"/>
      <c r="X62" s="7">
        <f t="shared" si="34"/>
        <v>-1133.81</v>
      </c>
      <c r="Y62" s="2"/>
      <c r="Z62" s="6">
        <f t="shared" si="35"/>
        <v>-0.32164822695035461</v>
      </c>
    </row>
    <row r="63" spans="1:26" s="27" customFormat="1" outlineLevel="1" collapsed="1" x14ac:dyDescent="0.25">
      <c r="A63" s="25"/>
      <c r="B63" s="12" t="str">
        <f>CONCATENATE("     ","R/H Commissions                                   ")</f>
        <v xml:space="preserve">     R/H Commissions                                   </v>
      </c>
      <c r="C63" s="12"/>
      <c r="D63" s="1">
        <f>SUM(OSRRefD22_9x_0)</f>
        <v>8698.56</v>
      </c>
      <c r="E63" s="1"/>
      <c r="F63" s="5">
        <f t="shared" si="28"/>
        <v>7.0970311712415288E-2</v>
      </c>
      <c r="G63" s="1"/>
      <c r="H63" s="1">
        <f>SUM(OSRRefH22_9x_0)</f>
        <v>21539</v>
      </c>
      <c r="I63" s="1"/>
      <c r="J63" s="5">
        <f t="shared" si="29"/>
        <v>8.0000742845469569E-2</v>
      </c>
      <c r="K63" s="1"/>
      <c r="L63" s="1">
        <f t="shared" si="30"/>
        <v>-12840.44</v>
      </c>
      <c r="M63" s="1"/>
      <c r="N63" s="5">
        <f t="shared" si="31"/>
        <v>-0.59614838200473563</v>
      </c>
      <c r="O63" s="12"/>
      <c r="P63" s="1">
        <f>SUM(OSRRefP22_9x_0)</f>
        <v>292399.23</v>
      </c>
      <c r="Q63" s="1"/>
      <c r="R63" s="5">
        <f t="shared" si="32"/>
        <v>7.722851801963572E-2</v>
      </c>
      <c r="S63" s="1"/>
      <c r="T63" s="1">
        <f>SUM(OSRRefT22_9x_0)</f>
        <v>359201</v>
      </c>
      <c r="U63" s="1"/>
      <c r="V63" s="5">
        <f t="shared" si="33"/>
        <v>8.0000222717149225E-2</v>
      </c>
      <c r="W63" s="1"/>
      <c r="X63" s="1">
        <f t="shared" si="34"/>
        <v>-66801.770000000019</v>
      </c>
      <c r="Y63" s="1"/>
      <c r="Z63" s="5">
        <f t="shared" si="35"/>
        <v>-0.18597322947319195</v>
      </c>
    </row>
    <row r="64" spans="1:26" s="24" customFormat="1" hidden="1" outlineLevel="2" x14ac:dyDescent="0.25">
      <c r="A64" s="26"/>
      <c r="B64" s="11" t="str">
        <f>CONCATENATE("          ", "6387", " - ", "COMMISSION DUE HOUSING")</f>
        <v xml:space="preserve">          6387 - COMMISSION DUE HOUSING</v>
      </c>
      <c r="C64" s="11"/>
      <c r="D64" s="7">
        <v>8698.56</v>
      </c>
      <c r="E64" s="2"/>
      <c r="F64" s="6">
        <f t="shared" si="28"/>
        <v>7.0970311712415288E-2</v>
      </c>
      <c r="G64" s="2"/>
      <c r="H64" s="7">
        <v>21539</v>
      </c>
      <c r="I64" s="2"/>
      <c r="J64" s="6">
        <f t="shared" si="29"/>
        <v>8.0000742845469569E-2</v>
      </c>
      <c r="K64" s="2"/>
      <c r="L64" s="7">
        <f t="shared" si="30"/>
        <v>-12840.44</v>
      </c>
      <c r="M64" s="2"/>
      <c r="N64" s="6">
        <f t="shared" si="31"/>
        <v>-0.59614838200473563</v>
      </c>
      <c r="O64" s="11"/>
      <c r="P64" s="7">
        <v>292399.23</v>
      </c>
      <c r="Q64" s="2"/>
      <c r="R64" s="6">
        <f t="shared" si="32"/>
        <v>7.722851801963572E-2</v>
      </c>
      <c r="S64" s="2"/>
      <c r="T64" s="7">
        <v>359201</v>
      </c>
      <c r="U64" s="2"/>
      <c r="V64" s="6">
        <f t="shared" si="33"/>
        <v>8.0000222717149225E-2</v>
      </c>
      <c r="W64" s="2"/>
      <c r="X64" s="7">
        <f t="shared" si="34"/>
        <v>-66801.770000000019</v>
      </c>
      <c r="Y64" s="2"/>
      <c r="Z64" s="6">
        <f t="shared" si="35"/>
        <v>-0.18597322947319195</v>
      </c>
    </row>
    <row r="65" spans="1:26" s="27" customFormat="1" outlineLevel="1" collapsed="1" x14ac:dyDescent="0.25">
      <c r="A65" s="25"/>
      <c r="B65" s="12" t="str">
        <f>CONCATENATE("     ","Repair and Maintenance                            ")</f>
        <v xml:space="preserve">     Repair and Maintenance                            </v>
      </c>
      <c r="C65" s="12"/>
      <c r="D65" s="1">
        <f>SUM(OSRRefD22_10x_0)</f>
        <v>0</v>
      </c>
      <c r="E65" s="1"/>
      <c r="F65" s="5">
        <f t="shared" si="28"/>
        <v>0</v>
      </c>
      <c r="G65" s="1"/>
      <c r="H65" s="1">
        <f>SUM(OSRRefH22_10x_0)</f>
        <v>1950</v>
      </c>
      <c r="I65" s="1"/>
      <c r="J65" s="5">
        <f t="shared" si="29"/>
        <v>7.2427433283191265E-3</v>
      </c>
      <c r="K65" s="1"/>
      <c r="L65" s="1">
        <f t="shared" si="30"/>
        <v>-1950</v>
      </c>
      <c r="M65" s="1"/>
      <c r="N65" s="5">
        <f t="shared" si="31"/>
        <v>-1</v>
      </c>
      <c r="O65" s="12"/>
      <c r="P65" s="1">
        <f>SUM(OSRRefP22_10x_0)</f>
        <v>8602.7200000000012</v>
      </c>
      <c r="Q65" s="1"/>
      <c r="R65" s="5">
        <f t="shared" si="32"/>
        <v>2.2721513888319085E-3</v>
      </c>
      <c r="S65" s="1"/>
      <c r="T65" s="1">
        <f>SUM(OSRRefT22_10x_0)</f>
        <v>18750</v>
      </c>
      <c r="U65" s="1"/>
      <c r="V65" s="5">
        <f t="shared" si="33"/>
        <v>4.1759465478841875E-3</v>
      </c>
      <c r="W65" s="1"/>
      <c r="X65" s="1">
        <f t="shared" si="34"/>
        <v>-10147.279999999999</v>
      </c>
      <c r="Y65" s="1"/>
      <c r="Z65" s="5">
        <f t="shared" si="35"/>
        <v>-0.54118826666666664</v>
      </c>
    </row>
    <row r="66" spans="1:26" s="24" customFormat="1" hidden="1" outlineLevel="2" x14ac:dyDescent="0.25">
      <c r="A66" s="26"/>
      <c r="B66" s="11" t="str">
        <f>CONCATENATE("          ", "6371", " - ", "COMPUTER SOFTWARE MAINTENANCE")</f>
        <v xml:space="preserve">          6371 - COMPUTER SOFTWARE MAINTENANCE</v>
      </c>
      <c r="C66" s="11"/>
      <c r="D66" s="7"/>
      <c r="E66" s="2"/>
      <c r="F66" s="6">
        <f t="shared" si="28"/>
        <v>0</v>
      </c>
      <c r="G66" s="2"/>
      <c r="H66" s="7"/>
      <c r="I66" s="2"/>
      <c r="J66" s="6">
        <f t="shared" si="29"/>
        <v>0</v>
      </c>
      <c r="K66" s="2"/>
      <c r="L66" s="7">
        <f t="shared" si="30"/>
        <v>0</v>
      </c>
      <c r="M66" s="2"/>
      <c r="N66" s="6">
        <f t="shared" si="31"/>
        <v>0</v>
      </c>
      <c r="O66" s="11"/>
      <c r="P66" s="7">
        <v>8238.75</v>
      </c>
      <c r="Q66" s="2"/>
      <c r="R66" s="6">
        <f t="shared" si="32"/>
        <v>2.1760195908664803E-3</v>
      </c>
      <c r="S66" s="2"/>
      <c r="T66" s="7">
        <v>9000</v>
      </c>
      <c r="U66" s="2"/>
      <c r="V66" s="6">
        <f t="shared" si="33"/>
        <v>2.0044543429844097E-3</v>
      </c>
      <c r="W66" s="2"/>
      <c r="X66" s="7">
        <f t="shared" si="34"/>
        <v>-761.25</v>
      </c>
      <c r="Y66" s="2"/>
      <c r="Z66" s="6">
        <f t="shared" si="35"/>
        <v>-8.458333333333333E-2</v>
      </c>
    </row>
    <row r="67" spans="1:26" s="24" customFormat="1" hidden="1" outlineLevel="2" x14ac:dyDescent="0.25">
      <c r="A67" s="26"/>
      <c r="B67" s="11" t="str">
        <f>CONCATENATE("          ", "6373", " - ", "MAINTENANCE CONTRACTS")</f>
        <v xml:space="preserve">          6373 - MAINTENANCE CONTRACTS</v>
      </c>
      <c r="C67" s="11"/>
      <c r="D67" s="7"/>
      <c r="E67" s="2"/>
      <c r="F67" s="6">
        <f t="shared" si="28"/>
        <v>0</v>
      </c>
      <c r="G67" s="2"/>
      <c r="H67" s="7">
        <v>1700</v>
      </c>
      <c r="I67" s="2"/>
      <c r="J67" s="6">
        <f t="shared" si="29"/>
        <v>6.3141864913551357E-3</v>
      </c>
      <c r="K67" s="2"/>
      <c r="L67" s="7">
        <f t="shared" si="30"/>
        <v>-1700</v>
      </c>
      <c r="M67" s="2"/>
      <c r="N67" s="6">
        <f t="shared" si="31"/>
        <v>-1</v>
      </c>
      <c r="O67" s="11"/>
      <c r="P67" s="7">
        <v>212.19</v>
      </c>
      <c r="Q67" s="2"/>
      <c r="R67" s="6">
        <f t="shared" si="32"/>
        <v>5.6043647032129683E-5</v>
      </c>
      <c r="S67" s="2"/>
      <c r="T67" s="7">
        <v>7000</v>
      </c>
      <c r="U67" s="2"/>
      <c r="V67" s="6">
        <f t="shared" si="33"/>
        <v>1.5590200445434299E-3</v>
      </c>
      <c r="W67" s="2"/>
      <c r="X67" s="7">
        <f t="shared" si="34"/>
        <v>-6787.81</v>
      </c>
      <c r="Y67" s="2"/>
      <c r="Z67" s="6">
        <f t="shared" si="35"/>
        <v>-0.96968714285714297</v>
      </c>
    </row>
    <row r="68" spans="1:26" s="24" customFormat="1" hidden="1" outlineLevel="2" x14ac:dyDescent="0.25">
      <c r="A68" s="26"/>
      <c r="B68" s="11" t="str">
        <f>CONCATENATE("          ", "6375", " - ", "OUTSIDE REPAIRS &amp; MAINTENANCE")</f>
        <v xml:space="preserve">          6375 - OUTSIDE REPAIRS &amp; MAINTENANCE</v>
      </c>
      <c r="C68" s="11"/>
      <c r="D68" s="7"/>
      <c r="E68" s="2"/>
      <c r="F68" s="6">
        <f t="shared" si="28"/>
        <v>0</v>
      </c>
      <c r="G68" s="2"/>
      <c r="H68" s="7">
        <v>250</v>
      </c>
      <c r="I68" s="2"/>
      <c r="J68" s="6">
        <f t="shared" si="29"/>
        <v>9.285568369639906E-4</v>
      </c>
      <c r="K68" s="2"/>
      <c r="L68" s="7">
        <f t="shared" si="30"/>
        <v>-250</v>
      </c>
      <c r="M68" s="2"/>
      <c r="N68" s="6">
        <f t="shared" si="31"/>
        <v>-1</v>
      </c>
      <c r="O68" s="11"/>
      <c r="P68" s="7">
        <v>151.78</v>
      </c>
      <c r="Q68" s="2"/>
      <c r="R68" s="6">
        <f t="shared" si="32"/>
        <v>4.0088150933298662E-5</v>
      </c>
      <c r="S68" s="2"/>
      <c r="T68" s="7">
        <v>2750</v>
      </c>
      <c r="U68" s="2"/>
      <c r="V68" s="6">
        <f t="shared" si="33"/>
        <v>6.1247216035634742E-4</v>
      </c>
      <c r="W68" s="2"/>
      <c r="X68" s="7">
        <f t="shared" si="34"/>
        <v>-2598.2199999999998</v>
      </c>
      <c r="Y68" s="2"/>
      <c r="Z68" s="6">
        <f t="shared" si="35"/>
        <v>-0.94480727272727261</v>
      </c>
    </row>
    <row r="69" spans="1:26" s="27" customFormat="1" outlineLevel="1" collapsed="1" x14ac:dyDescent="0.25">
      <c r="A69" s="25"/>
      <c r="B69" s="12" t="str">
        <f>CONCATENATE("     ","Services                                          ")</f>
        <v xml:space="preserve">     Services                                          </v>
      </c>
      <c r="C69" s="12"/>
      <c r="D69" s="1">
        <f>SUM(OSRRefD22_11x_0)</f>
        <v>6149.37</v>
      </c>
      <c r="E69" s="1"/>
      <c r="F69" s="5">
        <f t="shared" ref="F69:F73" si="36">IF(D$12=0,0,D69/D$12)</f>
        <v>5.0171833698333425E-2</v>
      </c>
      <c r="G69" s="1"/>
      <c r="H69" s="1">
        <f>SUM(OSRRefH22_11x_0)</f>
        <v>6758</v>
      </c>
      <c r="I69" s="1"/>
      <c r="J69" s="5">
        <f t="shared" ref="J69:J73" si="37">IF(H$12=0,0,H69/H$12)</f>
        <v>2.5100748416810592E-2</v>
      </c>
      <c r="K69" s="1"/>
      <c r="L69" s="1">
        <f t="shared" ref="L69:L73" si="38">+D69-H69</f>
        <v>-608.63000000000011</v>
      </c>
      <c r="M69" s="1"/>
      <c r="N69" s="5">
        <f t="shared" ref="N69:N73" si="39">IF(H69=0,0,L69/H69)</f>
        <v>-9.0060668836934019E-2</v>
      </c>
      <c r="O69" s="12"/>
      <c r="P69" s="1">
        <f>SUM(OSRRefP22_11x_0)</f>
        <v>70846.14</v>
      </c>
      <c r="Q69" s="1"/>
      <c r="R69" s="5">
        <f t="shared" ref="R69:R73" si="40">IF(P$12=0,0,P69/P$12)</f>
        <v>1.8711890587439765E-2</v>
      </c>
      <c r="S69" s="1"/>
      <c r="T69" s="1">
        <f>SUM(OSRRefT22_11x_0)</f>
        <v>73242</v>
      </c>
      <c r="U69" s="1"/>
      <c r="V69" s="5">
        <f t="shared" ref="V69:V73" si="41">IF(T$12=0,0,T69/T$12)</f>
        <v>1.6312249443207128E-2</v>
      </c>
      <c r="W69" s="1"/>
      <c r="X69" s="1">
        <f t="shared" ref="X69:X73" si="42">+P69-T69</f>
        <v>-2395.8600000000006</v>
      </c>
      <c r="Y69" s="1"/>
      <c r="Z69" s="5">
        <f t="shared" ref="Z69:Z73" si="43">IF(T69=0,0,X69/T69)</f>
        <v>-3.2711558941590897E-2</v>
      </c>
    </row>
    <row r="70" spans="1:26" s="24" customFormat="1" hidden="1" outlineLevel="2" x14ac:dyDescent="0.25">
      <c r="A70" s="26"/>
      <c r="B70" s="11" t="str">
        <f>CONCATENATE("          ", "6282", " - ", "JANITORIAL/EXTERMINATOR EXPENS")</f>
        <v xml:space="preserve">          6282 - JANITORIAL/EXTERMINATOR EXPENS</v>
      </c>
      <c r="C70" s="11"/>
      <c r="D70" s="7">
        <v>417.32</v>
      </c>
      <c r="E70" s="2"/>
      <c r="F70" s="6">
        <f t="shared" si="36"/>
        <v>3.404854422321068E-3</v>
      </c>
      <c r="G70" s="2"/>
      <c r="H70" s="7">
        <v>450</v>
      </c>
      <c r="I70" s="2"/>
      <c r="J70" s="6">
        <f t="shared" si="37"/>
        <v>1.6714023065351831E-3</v>
      </c>
      <c r="K70" s="2"/>
      <c r="L70" s="7">
        <f t="shared" si="38"/>
        <v>-32.680000000000007</v>
      </c>
      <c r="M70" s="2"/>
      <c r="N70" s="6">
        <f t="shared" si="39"/>
        <v>-7.2622222222222241E-2</v>
      </c>
      <c r="O70" s="11"/>
      <c r="P70" s="7">
        <v>5127.84</v>
      </c>
      <c r="Q70" s="2"/>
      <c r="R70" s="6">
        <f t="shared" si="40"/>
        <v>1.3543656864000936E-3</v>
      </c>
      <c r="S70" s="2"/>
      <c r="T70" s="7">
        <v>4950</v>
      </c>
      <c r="U70" s="2"/>
      <c r="V70" s="6">
        <f t="shared" si="41"/>
        <v>1.1024498886414253E-3</v>
      </c>
      <c r="W70" s="2"/>
      <c r="X70" s="7">
        <f t="shared" si="42"/>
        <v>177.84000000000015</v>
      </c>
      <c r="Y70" s="2"/>
      <c r="Z70" s="6">
        <f t="shared" si="43"/>
        <v>3.5927272727272759E-2</v>
      </c>
    </row>
    <row r="71" spans="1:26" s="24" customFormat="1" hidden="1" outlineLevel="2" x14ac:dyDescent="0.25">
      <c r="A71" s="26"/>
      <c r="B71" s="11" t="str">
        <f>CONCATENATE("          ", "6284", " - ", "TRASH REMOVAL EXPENSE")</f>
        <v xml:space="preserve">          6284 - TRASH REMOVAL EXPENSE</v>
      </c>
      <c r="C71" s="11"/>
      <c r="D71" s="7"/>
      <c r="E71" s="2"/>
      <c r="F71" s="6">
        <f t="shared" si="36"/>
        <v>0</v>
      </c>
      <c r="G71" s="2"/>
      <c r="H71" s="7">
        <v>550</v>
      </c>
      <c r="I71" s="2"/>
      <c r="J71" s="6">
        <f t="shared" si="37"/>
        <v>2.0428250413207791E-3</v>
      </c>
      <c r="K71" s="2"/>
      <c r="L71" s="7">
        <f t="shared" si="38"/>
        <v>-550</v>
      </c>
      <c r="M71" s="2"/>
      <c r="N71" s="6">
        <f t="shared" si="39"/>
        <v>-1</v>
      </c>
      <c r="O71" s="11"/>
      <c r="P71" s="7"/>
      <c r="Q71" s="2"/>
      <c r="R71" s="6">
        <f t="shared" si="40"/>
        <v>0</v>
      </c>
      <c r="S71" s="2"/>
      <c r="T71" s="7">
        <v>6000</v>
      </c>
      <c r="U71" s="2"/>
      <c r="V71" s="6">
        <f t="shared" si="41"/>
        <v>1.3363028953229399E-3</v>
      </c>
      <c r="W71" s="2"/>
      <c r="X71" s="7">
        <f t="shared" si="42"/>
        <v>-6000</v>
      </c>
      <c r="Y71" s="2"/>
      <c r="Z71" s="6">
        <f t="shared" si="43"/>
        <v>-1</v>
      </c>
    </row>
    <row r="72" spans="1:26" s="24" customFormat="1" hidden="1" outlineLevel="2" x14ac:dyDescent="0.25">
      <c r="A72" s="26"/>
      <c r="B72" s="11" t="str">
        <f>CONCATENATE("          ", "6285", " - ", "JANITORIAL SERVICES")</f>
        <v xml:space="preserve">          6285 - JANITORIAL SERVICES</v>
      </c>
      <c r="C72" s="11"/>
      <c r="D72" s="7">
        <v>5732.05</v>
      </c>
      <c r="E72" s="2"/>
      <c r="F72" s="6">
        <f t="shared" si="36"/>
        <v>4.6766979276012359E-2</v>
      </c>
      <c r="G72" s="2"/>
      <c r="H72" s="7">
        <v>4158</v>
      </c>
      <c r="I72" s="2"/>
      <c r="J72" s="6">
        <f t="shared" si="37"/>
        <v>1.5443757312385091E-2</v>
      </c>
      <c r="K72" s="2"/>
      <c r="L72" s="7">
        <f t="shared" si="38"/>
        <v>1574.0500000000002</v>
      </c>
      <c r="M72" s="2"/>
      <c r="N72" s="6">
        <f t="shared" si="39"/>
        <v>0.3785594035594036</v>
      </c>
      <c r="O72" s="11"/>
      <c r="P72" s="7">
        <v>48799.03</v>
      </c>
      <c r="Q72" s="2"/>
      <c r="R72" s="6">
        <f t="shared" si="40"/>
        <v>1.2888805376456512E-2</v>
      </c>
      <c r="S72" s="2"/>
      <c r="T72" s="7">
        <v>44692</v>
      </c>
      <c r="U72" s="2"/>
      <c r="V72" s="6">
        <f t="shared" si="41"/>
        <v>9.9536748329621377E-3</v>
      </c>
      <c r="W72" s="2"/>
      <c r="X72" s="7">
        <f t="shared" si="42"/>
        <v>4107.0299999999988</v>
      </c>
      <c r="Y72" s="2"/>
      <c r="Z72" s="6">
        <f t="shared" si="43"/>
        <v>9.1896312539156866E-2</v>
      </c>
    </row>
    <row r="73" spans="1:26" s="24" customFormat="1" hidden="1" outlineLevel="2" x14ac:dyDescent="0.25">
      <c r="A73" s="26"/>
      <c r="B73" s="11" t="str">
        <f>CONCATENATE("          ", "6286", " - ", "LAUNDRY EXPENSE")</f>
        <v xml:space="preserve">          6286 - LAUNDRY EXPENSE</v>
      </c>
      <c r="C73" s="11"/>
      <c r="D73" s="7"/>
      <c r="E73" s="2"/>
      <c r="F73" s="6">
        <f t="shared" si="36"/>
        <v>0</v>
      </c>
      <c r="G73" s="2"/>
      <c r="H73" s="7">
        <v>1600</v>
      </c>
      <c r="I73" s="2"/>
      <c r="J73" s="6">
        <f t="shared" si="37"/>
        <v>5.9427637565695399E-3</v>
      </c>
      <c r="K73" s="2"/>
      <c r="L73" s="7">
        <f t="shared" si="38"/>
        <v>-1600</v>
      </c>
      <c r="M73" s="2"/>
      <c r="N73" s="6">
        <f t="shared" si="39"/>
        <v>-1</v>
      </c>
      <c r="O73" s="11"/>
      <c r="P73" s="7">
        <v>16919.27</v>
      </c>
      <c r="Q73" s="2"/>
      <c r="R73" s="6">
        <f t="shared" si="40"/>
        <v>4.4687195245831602E-3</v>
      </c>
      <c r="S73" s="2"/>
      <c r="T73" s="7">
        <v>17600</v>
      </c>
      <c r="U73" s="2"/>
      <c r="V73" s="6">
        <f t="shared" si="41"/>
        <v>3.9198218262806233E-3</v>
      </c>
      <c r="W73" s="2"/>
      <c r="X73" s="7">
        <f t="shared" si="42"/>
        <v>-680.72999999999956</v>
      </c>
      <c r="Y73" s="2"/>
      <c r="Z73" s="6">
        <f t="shared" si="43"/>
        <v>-3.8677840909090884E-2</v>
      </c>
    </row>
    <row r="74" spans="1:26" s="27" customFormat="1" outlineLevel="1" collapsed="1" x14ac:dyDescent="0.25">
      <c r="A74" s="25"/>
      <c r="B74" s="12" t="str">
        <f>CONCATENATE("     ","Supplies                                          ")</f>
        <v xml:space="preserve">     Supplies                                          </v>
      </c>
      <c r="C74" s="12"/>
      <c r="D74" s="1">
        <f>SUM(OSRRefD22_12x_0)</f>
        <v>2874.1499999999996</v>
      </c>
      <c r="E74" s="1"/>
      <c r="F74" s="5">
        <f t="shared" ref="F74:F83" si="44">IF(D$12=0,0,D74/D$12)</f>
        <v>2.344978035539657E-2</v>
      </c>
      <c r="G74" s="1"/>
      <c r="H74" s="1">
        <f>SUM(OSRRefH22_12x_0)</f>
        <v>8235</v>
      </c>
      <c r="I74" s="1"/>
      <c r="J74" s="5">
        <f t="shared" ref="J74:J83" si="45">IF(H$12=0,0,H74/H$12)</f>
        <v>3.058666220959385E-2</v>
      </c>
      <c r="K74" s="1"/>
      <c r="L74" s="1">
        <f t="shared" ref="L74:L83" si="46">+D74-H74</f>
        <v>-5360.85</v>
      </c>
      <c r="M74" s="1"/>
      <c r="N74" s="5">
        <f t="shared" ref="N74:N83" si="47">IF(H74=0,0,L74/H74)</f>
        <v>-0.65098360655737708</v>
      </c>
      <c r="O74" s="12"/>
      <c r="P74" s="1">
        <f>SUM(OSRRefP22_12x_0)</f>
        <v>66339.86</v>
      </c>
      <c r="Q74" s="1"/>
      <c r="R74" s="5">
        <f t="shared" ref="R74:R83" si="48">IF(P$12=0,0,P74/P$12)</f>
        <v>1.7521691399221918E-2</v>
      </c>
      <c r="S74" s="1"/>
      <c r="T74" s="1">
        <f>SUM(OSRRefT22_12x_0)</f>
        <v>98575</v>
      </c>
      <c r="U74" s="1"/>
      <c r="V74" s="5">
        <f t="shared" ref="V74:V83" si="49">IF(T$12=0,0,T74/T$12)</f>
        <v>2.1954342984409798E-2</v>
      </c>
      <c r="W74" s="1"/>
      <c r="X74" s="1">
        <f t="shared" ref="X74:X83" si="50">+P74-T74</f>
        <v>-32235.14</v>
      </c>
      <c r="Y74" s="1"/>
      <c r="Z74" s="5">
        <f t="shared" ref="Z74:Z83" si="51">IF(T74=0,0,X74/T74)</f>
        <v>-0.32701131118437737</v>
      </c>
    </row>
    <row r="75" spans="1:26" s="24" customFormat="1" hidden="1" outlineLevel="2" x14ac:dyDescent="0.25">
      <c r="A75" s="26"/>
      <c r="B75" s="11" t="str">
        <f>CONCATENATE("          ", "6235", " - ", "COVID-19 EXPENSES")</f>
        <v xml:space="preserve">          6235 - COVID-19 EXPENSES</v>
      </c>
      <c r="C75" s="11"/>
      <c r="D75" s="7">
        <v>326.83</v>
      </c>
      <c r="E75" s="2"/>
      <c r="F75" s="6">
        <f t="shared" si="44"/>
        <v>2.666559404886405E-3</v>
      </c>
      <c r="G75" s="2"/>
      <c r="H75" s="7"/>
      <c r="I75" s="2"/>
      <c r="J75" s="6">
        <f t="shared" si="45"/>
        <v>0</v>
      </c>
      <c r="K75" s="2"/>
      <c r="L75" s="7">
        <f t="shared" si="46"/>
        <v>326.83</v>
      </c>
      <c r="M75" s="2"/>
      <c r="N75" s="6">
        <f t="shared" si="47"/>
        <v>0</v>
      </c>
      <c r="O75" s="11"/>
      <c r="P75" s="7">
        <v>326.83</v>
      </c>
      <c r="Q75" s="2"/>
      <c r="R75" s="6">
        <f t="shared" si="48"/>
        <v>8.6322376924034795E-5</v>
      </c>
      <c r="S75" s="2"/>
      <c r="T75" s="7"/>
      <c r="U75" s="2"/>
      <c r="V75" s="6">
        <f t="shared" si="49"/>
        <v>0</v>
      </c>
      <c r="W75" s="2"/>
      <c r="X75" s="7">
        <f t="shared" si="50"/>
        <v>326.83</v>
      </c>
      <c r="Y75" s="2"/>
      <c r="Z75" s="6">
        <f t="shared" si="51"/>
        <v>0</v>
      </c>
    </row>
    <row r="76" spans="1:26" s="24" customFormat="1" hidden="1" outlineLevel="2" x14ac:dyDescent="0.25">
      <c r="A76" s="26"/>
      <c r="B76" s="11" t="str">
        <f>CONCATENATE("          ", "6237", " - ", "JANITORIAL SUPPLIES")</f>
        <v xml:space="preserve">          6237 - JANITORIAL SUPPLIES</v>
      </c>
      <c r="C76" s="11"/>
      <c r="D76" s="7">
        <v>1075.9100000000001</v>
      </c>
      <c r="E76" s="2"/>
      <c r="F76" s="6">
        <f t="shared" si="44"/>
        <v>8.7781963996919881E-3</v>
      </c>
      <c r="G76" s="2"/>
      <c r="H76" s="7">
        <v>3850</v>
      </c>
      <c r="I76" s="2"/>
      <c r="J76" s="6">
        <f t="shared" si="45"/>
        <v>1.4299775289245455E-2</v>
      </c>
      <c r="K76" s="2"/>
      <c r="L76" s="7">
        <f t="shared" si="46"/>
        <v>-2774.09</v>
      </c>
      <c r="M76" s="2"/>
      <c r="N76" s="6">
        <f t="shared" si="47"/>
        <v>-0.72054285714285715</v>
      </c>
      <c r="O76" s="11"/>
      <c r="P76" s="7">
        <v>27485.5</v>
      </c>
      <c r="Q76" s="2"/>
      <c r="R76" s="6">
        <f t="shared" si="48"/>
        <v>7.2594733988482034E-3</v>
      </c>
      <c r="S76" s="2"/>
      <c r="T76" s="7">
        <v>43200</v>
      </c>
      <c r="U76" s="2"/>
      <c r="V76" s="6">
        <f t="shared" si="49"/>
        <v>9.6213808463251668E-3</v>
      </c>
      <c r="W76" s="2"/>
      <c r="X76" s="7">
        <f t="shared" si="50"/>
        <v>-15714.5</v>
      </c>
      <c r="Y76" s="2"/>
      <c r="Z76" s="6">
        <f t="shared" si="51"/>
        <v>-0.36376157407407406</v>
      </c>
    </row>
    <row r="77" spans="1:26" s="24" customFormat="1" hidden="1" outlineLevel="2" x14ac:dyDescent="0.25">
      <c r="A77" s="26"/>
      <c r="B77" s="11" t="str">
        <f>CONCATENATE("          ", "6239", " - ", "KITCHEN SUPPLIES")</f>
        <v xml:space="preserve">          6239 - KITCHEN SUPPLIES</v>
      </c>
      <c r="C77" s="11"/>
      <c r="D77" s="7">
        <v>50</v>
      </c>
      <c r="E77" s="2"/>
      <c r="F77" s="6">
        <f t="shared" si="44"/>
        <v>4.079428762485704E-4</v>
      </c>
      <c r="G77" s="2"/>
      <c r="H77" s="7">
        <v>1800</v>
      </c>
      <c r="I77" s="2"/>
      <c r="J77" s="6">
        <f t="shared" si="45"/>
        <v>6.6856092261407324E-3</v>
      </c>
      <c r="K77" s="2"/>
      <c r="L77" s="7">
        <f t="shared" si="46"/>
        <v>-1750</v>
      </c>
      <c r="M77" s="2"/>
      <c r="N77" s="6">
        <f t="shared" si="47"/>
        <v>-0.97222222222222221</v>
      </c>
      <c r="O77" s="11"/>
      <c r="P77" s="7">
        <v>5725.04</v>
      </c>
      <c r="Q77" s="2"/>
      <c r="R77" s="6">
        <f t="shared" si="48"/>
        <v>1.5120982186004228E-3</v>
      </c>
      <c r="S77" s="2"/>
      <c r="T77" s="7">
        <v>20250</v>
      </c>
      <c r="U77" s="2"/>
      <c r="V77" s="6">
        <f t="shared" si="49"/>
        <v>4.5100222717149221E-3</v>
      </c>
      <c r="W77" s="2"/>
      <c r="X77" s="7">
        <f t="shared" si="50"/>
        <v>-14524.96</v>
      </c>
      <c r="Y77" s="2"/>
      <c r="Z77" s="6">
        <f t="shared" si="51"/>
        <v>-0.71728197530864191</v>
      </c>
    </row>
    <row r="78" spans="1:26" s="24" customFormat="1" hidden="1" outlineLevel="2" x14ac:dyDescent="0.25">
      <c r="A78" s="26"/>
      <c r="B78" s="11" t="str">
        <f>CONCATENATE("          ", "6241", " - ", "OFFICE EXPENSE")</f>
        <v xml:space="preserve">          6241 - OFFICE EXPENSE</v>
      </c>
      <c r="C78" s="11"/>
      <c r="D78" s="7">
        <v>159.30000000000001</v>
      </c>
      <c r="E78" s="2"/>
      <c r="F78" s="6">
        <f t="shared" si="44"/>
        <v>1.2997060037279453E-3</v>
      </c>
      <c r="G78" s="2"/>
      <c r="H78" s="7">
        <v>450</v>
      </c>
      <c r="I78" s="2"/>
      <c r="J78" s="6">
        <f t="shared" si="45"/>
        <v>1.6714023065351831E-3</v>
      </c>
      <c r="K78" s="2"/>
      <c r="L78" s="7">
        <f t="shared" si="46"/>
        <v>-290.7</v>
      </c>
      <c r="M78" s="2"/>
      <c r="N78" s="6">
        <f t="shared" si="47"/>
        <v>-0.64600000000000002</v>
      </c>
      <c r="O78" s="11"/>
      <c r="P78" s="7">
        <v>2608.59</v>
      </c>
      <c r="Q78" s="2"/>
      <c r="R78" s="6">
        <f t="shared" si="48"/>
        <v>6.8898108870136751E-4</v>
      </c>
      <c r="S78" s="2"/>
      <c r="T78" s="7">
        <v>5150</v>
      </c>
      <c r="U78" s="2"/>
      <c r="V78" s="6">
        <f t="shared" si="49"/>
        <v>1.1469933184855233E-3</v>
      </c>
      <c r="W78" s="2"/>
      <c r="X78" s="7">
        <f t="shared" si="50"/>
        <v>-2541.41</v>
      </c>
      <c r="Y78" s="2"/>
      <c r="Z78" s="6">
        <f t="shared" si="51"/>
        <v>-0.49347766990291259</v>
      </c>
    </row>
    <row r="79" spans="1:26" s="24" customFormat="1" hidden="1" outlineLevel="2" x14ac:dyDescent="0.25">
      <c r="A79" s="26"/>
      <c r="B79" s="11" t="str">
        <f>CONCATENATE("          ", "6243", " - ", "PAPER SUPPLIES")</f>
        <v xml:space="preserve">          6243 - PAPER SUPPLIES</v>
      </c>
      <c r="C79" s="11"/>
      <c r="D79" s="7">
        <v>1262.1099999999999</v>
      </c>
      <c r="E79" s="2"/>
      <c r="F79" s="6">
        <f t="shared" si="44"/>
        <v>1.0297375670841663E-2</v>
      </c>
      <c r="G79" s="2"/>
      <c r="H79" s="7">
        <v>1850</v>
      </c>
      <c r="I79" s="2"/>
      <c r="J79" s="6">
        <f t="shared" si="45"/>
        <v>6.8713205935335298E-3</v>
      </c>
      <c r="K79" s="2"/>
      <c r="L79" s="7">
        <f t="shared" si="46"/>
        <v>-587.8900000000001</v>
      </c>
      <c r="M79" s="2"/>
      <c r="N79" s="6">
        <f t="shared" si="47"/>
        <v>-0.31777837837837841</v>
      </c>
      <c r="O79" s="11"/>
      <c r="P79" s="7">
        <v>26148.769999999997</v>
      </c>
      <c r="Q79" s="2"/>
      <c r="R79" s="6">
        <f t="shared" si="48"/>
        <v>6.9064161185934374E-3</v>
      </c>
      <c r="S79" s="2"/>
      <c r="T79" s="7">
        <v>20350</v>
      </c>
      <c r="U79" s="2"/>
      <c r="V79" s="6">
        <f t="shared" si="49"/>
        <v>4.5322939866369706E-3</v>
      </c>
      <c r="W79" s="2"/>
      <c r="X79" s="7">
        <f t="shared" si="50"/>
        <v>5798.7699999999968</v>
      </c>
      <c r="Y79" s="2"/>
      <c r="Z79" s="6">
        <f t="shared" si="51"/>
        <v>0.2849518427518426</v>
      </c>
    </row>
    <row r="80" spans="1:26" s="24" customFormat="1" hidden="1" outlineLevel="2" x14ac:dyDescent="0.25">
      <c r="A80" s="26"/>
      <c r="B80" s="11" t="str">
        <f>CONCATENATE("          ", "6244", " - ", "SAFETY SUPPLY EXPENSE")</f>
        <v xml:space="preserve">          6244 - SAFETY SUPPLY EXPENSE</v>
      </c>
      <c r="C80" s="11"/>
      <c r="D80" s="7"/>
      <c r="E80" s="2"/>
      <c r="F80" s="6">
        <f t="shared" si="44"/>
        <v>0</v>
      </c>
      <c r="G80" s="2"/>
      <c r="H80" s="7">
        <v>125</v>
      </c>
      <c r="I80" s="2"/>
      <c r="J80" s="6">
        <f t="shared" si="45"/>
        <v>4.642784184819953E-4</v>
      </c>
      <c r="K80" s="2"/>
      <c r="L80" s="7">
        <f t="shared" si="46"/>
        <v>-125</v>
      </c>
      <c r="M80" s="2"/>
      <c r="N80" s="6">
        <f t="shared" si="47"/>
        <v>-1</v>
      </c>
      <c r="O80" s="11"/>
      <c r="P80" s="7"/>
      <c r="Q80" s="2"/>
      <c r="R80" s="6">
        <f t="shared" si="48"/>
        <v>0</v>
      </c>
      <c r="S80" s="2"/>
      <c r="T80" s="7">
        <v>1375</v>
      </c>
      <c r="U80" s="2"/>
      <c r="V80" s="6">
        <f t="shared" si="49"/>
        <v>3.0623608017817371E-4</v>
      </c>
      <c r="W80" s="2"/>
      <c r="X80" s="7">
        <f t="shared" si="50"/>
        <v>-1375</v>
      </c>
      <c r="Y80" s="2"/>
      <c r="Z80" s="6">
        <f t="shared" si="51"/>
        <v>-1</v>
      </c>
    </row>
    <row r="81" spans="1:26" s="24" customFormat="1" hidden="1" outlineLevel="2" x14ac:dyDescent="0.25">
      <c r="A81" s="26"/>
      <c r="B81" s="11" t="str">
        <f>CONCATENATE("          ", "6245", " - ", "PRINTING")</f>
        <v xml:space="preserve">          6245 - PRINTING</v>
      </c>
      <c r="C81" s="11"/>
      <c r="D81" s="7"/>
      <c r="E81" s="2"/>
      <c r="F81" s="6">
        <f t="shared" si="44"/>
        <v>0</v>
      </c>
      <c r="G81" s="2"/>
      <c r="H81" s="7">
        <v>160</v>
      </c>
      <c r="I81" s="2"/>
      <c r="J81" s="6">
        <f t="shared" si="45"/>
        <v>5.9427637565695392E-4</v>
      </c>
      <c r="K81" s="2"/>
      <c r="L81" s="7">
        <f t="shared" si="46"/>
        <v>-160</v>
      </c>
      <c r="M81" s="2"/>
      <c r="N81" s="6">
        <f t="shared" si="47"/>
        <v>-1</v>
      </c>
      <c r="O81" s="11"/>
      <c r="P81" s="7">
        <v>441</v>
      </c>
      <c r="Q81" s="2"/>
      <c r="R81" s="6">
        <f t="shared" si="48"/>
        <v>1.1647697036226584E-4</v>
      </c>
      <c r="S81" s="2"/>
      <c r="T81" s="7">
        <v>1750</v>
      </c>
      <c r="U81" s="2"/>
      <c r="V81" s="6">
        <f t="shared" si="49"/>
        <v>3.8975501113585747E-4</v>
      </c>
      <c r="W81" s="2"/>
      <c r="X81" s="7">
        <f t="shared" si="50"/>
        <v>-1309</v>
      </c>
      <c r="Y81" s="2"/>
      <c r="Z81" s="6">
        <f t="shared" si="51"/>
        <v>-0.748</v>
      </c>
    </row>
    <row r="82" spans="1:26" s="24" customFormat="1" hidden="1" outlineLevel="2" x14ac:dyDescent="0.25">
      <c r="A82" s="26"/>
      <c r="B82" s="11" t="str">
        <f>CONCATENATE("          ", "6247", " - ", "STORE SUPPLIES")</f>
        <v xml:space="preserve">          6247 - STORE SUPPLIES</v>
      </c>
      <c r="C82" s="11"/>
      <c r="D82" s="7"/>
      <c r="E82" s="2"/>
      <c r="F82" s="6">
        <f t="shared" si="44"/>
        <v>0</v>
      </c>
      <c r="G82" s="2"/>
      <c r="H82" s="7"/>
      <c r="I82" s="2"/>
      <c r="J82" s="6">
        <f t="shared" si="45"/>
        <v>0</v>
      </c>
      <c r="K82" s="2"/>
      <c r="L82" s="7">
        <f t="shared" si="46"/>
        <v>0</v>
      </c>
      <c r="M82" s="2"/>
      <c r="N82" s="6">
        <f t="shared" si="47"/>
        <v>0</v>
      </c>
      <c r="O82" s="11"/>
      <c r="P82" s="7">
        <v>82.5</v>
      </c>
      <c r="Q82" s="2"/>
      <c r="R82" s="6">
        <f t="shared" si="48"/>
        <v>2.1789909421512317E-5</v>
      </c>
      <c r="S82" s="2"/>
      <c r="T82" s="7"/>
      <c r="U82" s="2"/>
      <c r="V82" s="6">
        <f t="shared" si="49"/>
        <v>0</v>
      </c>
      <c r="W82" s="2"/>
      <c r="X82" s="7">
        <f t="shared" si="50"/>
        <v>82.5</v>
      </c>
      <c r="Y82" s="2"/>
      <c r="Z82" s="6">
        <f t="shared" si="51"/>
        <v>0</v>
      </c>
    </row>
    <row r="83" spans="1:26" s="24" customFormat="1" hidden="1" outlineLevel="2" x14ac:dyDescent="0.25">
      <c r="A83" s="26"/>
      <c r="B83" s="11" t="str">
        <f>CONCATENATE("          ", "6248", " - ", "UNIFORMS")</f>
        <v xml:space="preserve">          6248 - UNIFORMS</v>
      </c>
      <c r="C83" s="11"/>
      <c r="D83" s="7"/>
      <c r="E83" s="2"/>
      <c r="F83" s="6">
        <f t="shared" si="44"/>
        <v>0</v>
      </c>
      <c r="G83" s="2"/>
      <c r="H83" s="7"/>
      <c r="I83" s="2"/>
      <c r="J83" s="6">
        <f t="shared" si="45"/>
        <v>0</v>
      </c>
      <c r="K83" s="2"/>
      <c r="L83" s="7">
        <f t="shared" si="46"/>
        <v>0</v>
      </c>
      <c r="M83" s="2"/>
      <c r="N83" s="6">
        <f t="shared" si="47"/>
        <v>0</v>
      </c>
      <c r="O83" s="11"/>
      <c r="P83" s="7">
        <v>3521.63</v>
      </c>
      <c r="Q83" s="2"/>
      <c r="R83" s="6">
        <f t="shared" si="48"/>
        <v>9.3013331777067184E-4</v>
      </c>
      <c r="S83" s="2"/>
      <c r="T83" s="7">
        <v>6500</v>
      </c>
      <c r="U83" s="2"/>
      <c r="V83" s="6">
        <f t="shared" si="49"/>
        <v>1.4476614699331849E-3</v>
      </c>
      <c r="W83" s="2"/>
      <c r="X83" s="7">
        <f t="shared" si="50"/>
        <v>-2978.37</v>
      </c>
      <c r="Y83" s="2"/>
      <c r="Z83" s="6">
        <f t="shared" si="51"/>
        <v>-0.4582107692307692</v>
      </c>
    </row>
    <row r="84" spans="1:26" s="27" customFormat="1" outlineLevel="1" collapsed="1" x14ac:dyDescent="0.25">
      <c r="A84" s="25"/>
      <c r="B84" s="12" t="str">
        <f>CONCATENATE("     ","Telephone/Data Lines                              ")</f>
        <v xml:space="preserve">     Telephone/Data Lines                              </v>
      </c>
      <c r="C84" s="12"/>
      <c r="D84" s="1">
        <f>SUM(OSRRefD22_13x_0)</f>
        <v>134</v>
      </c>
      <c r="E84" s="1"/>
      <c r="F84" s="5">
        <f t="shared" ref="F84:F90" si="52">IF(D$12=0,0,D84/D$12)</f>
        <v>1.0932869083461686E-3</v>
      </c>
      <c r="G84" s="1"/>
      <c r="H84" s="1">
        <f>SUM(OSRRefH22_13x_0)</f>
        <v>185</v>
      </c>
      <c r="I84" s="1"/>
      <c r="J84" s="5">
        <f t="shared" ref="J84:J90" si="53">IF(H$12=0,0,H84/H$12)</f>
        <v>6.8713205935335298E-4</v>
      </c>
      <c r="K84" s="1"/>
      <c r="L84" s="1">
        <f t="shared" ref="L84:L90" si="54">+D84-H84</f>
        <v>-51</v>
      </c>
      <c r="M84" s="1"/>
      <c r="N84" s="5">
        <f t="shared" ref="N84:N90" si="55">IF(H84=0,0,L84/H84)</f>
        <v>-0.27567567567567569</v>
      </c>
      <c r="O84" s="12"/>
      <c r="P84" s="1">
        <f>SUM(OSRRefP22_13x_0)</f>
        <v>1972.85</v>
      </c>
      <c r="Q84" s="1"/>
      <c r="R84" s="5">
        <f t="shared" ref="R84:R90" si="56">IF(P$12=0,0,P84/P$12)</f>
        <v>5.2106936729976448E-4</v>
      </c>
      <c r="S84" s="1"/>
      <c r="T84" s="1">
        <f>SUM(OSRRefT22_13x_0)</f>
        <v>2040</v>
      </c>
      <c r="U84" s="1"/>
      <c r="V84" s="5">
        <f t="shared" ref="V84:V90" si="57">IF(T$12=0,0,T84/T$12)</f>
        <v>4.5434298440979955E-4</v>
      </c>
      <c r="W84" s="1"/>
      <c r="X84" s="1">
        <f t="shared" ref="X84:X90" si="58">+P84-T84</f>
        <v>-67.150000000000091</v>
      </c>
      <c r="Y84" s="1"/>
      <c r="Z84" s="5">
        <f t="shared" ref="Z84:Z90" si="59">IF(T84=0,0,X84/T84)</f>
        <v>-3.2916666666666712E-2</v>
      </c>
    </row>
    <row r="85" spans="1:26" s="24" customFormat="1" hidden="1" outlineLevel="2" x14ac:dyDescent="0.25">
      <c r="A85" s="26"/>
      <c r="B85" s="11" t="str">
        <f>CONCATENATE("          ", "6309", " - ", "TELEPHONE")</f>
        <v xml:space="preserve">          6309 - TELEPHONE</v>
      </c>
      <c r="C85" s="11"/>
      <c r="D85" s="7">
        <v>134</v>
      </c>
      <c r="E85" s="2"/>
      <c r="F85" s="6">
        <f t="shared" si="52"/>
        <v>1.0932869083461686E-3</v>
      </c>
      <c r="G85" s="2"/>
      <c r="H85" s="7">
        <v>185</v>
      </c>
      <c r="I85" s="2"/>
      <c r="J85" s="6">
        <f t="shared" si="53"/>
        <v>6.8713205935335298E-4</v>
      </c>
      <c r="K85" s="2"/>
      <c r="L85" s="7">
        <f t="shared" si="54"/>
        <v>-51</v>
      </c>
      <c r="M85" s="2"/>
      <c r="N85" s="6">
        <f t="shared" si="55"/>
        <v>-0.27567567567567569</v>
      </c>
      <c r="O85" s="11"/>
      <c r="P85" s="7">
        <v>1972.85</v>
      </c>
      <c r="Q85" s="2"/>
      <c r="R85" s="6">
        <f t="shared" si="56"/>
        <v>5.2106936729976448E-4</v>
      </c>
      <c r="S85" s="2"/>
      <c r="T85" s="7">
        <v>2040</v>
      </c>
      <c r="U85" s="2"/>
      <c r="V85" s="6">
        <f t="shared" si="57"/>
        <v>4.5434298440979955E-4</v>
      </c>
      <c r="W85" s="2"/>
      <c r="X85" s="7">
        <f t="shared" si="58"/>
        <v>-67.150000000000091</v>
      </c>
      <c r="Y85" s="2"/>
      <c r="Z85" s="6">
        <f t="shared" si="59"/>
        <v>-3.2916666666666712E-2</v>
      </c>
    </row>
    <row r="86" spans="1:26" s="27" customFormat="1" outlineLevel="1" collapsed="1" x14ac:dyDescent="0.25">
      <c r="A86" s="25"/>
      <c r="B86" s="12" t="str">
        <f>CONCATENATE("     ","Training                                          ")</f>
        <v xml:space="preserve">     Training                                          </v>
      </c>
      <c r="C86" s="12"/>
      <c r="D86" s="1">
        <f>SUM(OSRRefD22_14x_0)</f>
        <v>0</v>
      </c>
      <c r="E86" s="1"/>
      <c r="F86" s="5">
        <f t="shared" si="52"/>
        <v>0</v>
      </c>
      <c r="G86" s="1"/>
      <c r="H86" s="1">
        <f>SUM(OSRRefH22_14x_0)</f>
        <v>0</v>
      </c>
      <c r="I86" s="1"/>
      <c r="J86" s="5">
        <f t="shared" si="53"/>
        <v>0</v>
      </c>
      <c r="K86" s="1"/>
      <c r="L86" s="1">
        <f t="shared" si="54"/>
        <v>0</v>
      </c>
      <c r="M86" s="1"/>
      <c r="N86" s="5">
        <f t="shared" si="55"/>
        <v>0</v>
      </c>
      <c r="O86" s="12"/>
      <c r="P86" s="1">
        <f>SUM(OSRRefP22_14x_0)</f>
        <v>678.48</v>
      </c>
      <c r="Q86" s="1"/>
      <c r="R86" s="5">
        <f t="shared" si="56"/>
        <v>1.792002150825173E-4</v>
      </c>
      <c r="S86" s="1"/>
      <c r="T86" s="1">
        <f>SUM(OSRRefT22_14x_0)</f>
        <v>2000</v>
      </c>
      <c r="U86" s="1"/>
      <c r="V86" s="5">
        <f t="shared" si="57"/>
        <v>4.4543429844097997E-4</v>
      </c>
      <c r="W86" s="1"/>
      <c r="X86" s="1">
        <f t="shared" si="58"/>
        <v>-1321.52</v>
      </c>
      <c r="Y86" s="1"/>
      <c r="Z86" s="5">
        <f t="shared" si="59"/>
        <v>-0.66076000000000001</v>
      </c>
    </row>
    <row r="87" spans="1:26" s="24" customFormat="1" hidden="1" outlineLevel="2" x14ac:dyDescent="0.25">
      <c r="A87" s="26"/>
      <c r="B87" s="11" t="str">
        <f>CONCATENATE("          ", "6376", " - ", "TRAINING")</f>
        <v xml:space="preserve">          6376 - TRAINING</v>
      </c>
      <c r="C87" s="11"/>
      <c r="D87" s="7"/>
      <c r="E87" s="2"/>
      <c r="F87" s="6">
        <f t="shared" si="52"/>
        <v>0</v>
      </c>
      <c r="G87" s="2"/>
      <c r="H87" s="7"/>
      <c r="I87" s="2"/>
      <c r="J87" s="6">
        <f t="shared" si="53"/>
        <v>0</v>
      </c>
      <c r="K87" s="2"/>
      <c r="L87" s="7">
        <f t="shared" si="54"/>
        <v>0</v>
      </c>
      <c r="M87" s="2"/>
      <c r="N87" s="6">
        <f t="shared" si="55"/>
        <v>0</v>
      </c>
      <c r="O87" s="11"/>
      <c r="P87" s="7">
        <v>678.48</v>
      </c>
      <c r="Q87" s="2"/>
      <c r="R87" s="6">
        <f t="shared" si="56"/>
        <v>1.792002150825173E-4</v>
      </c>
      <c r="S87" s="2"/>
      <c r="T87" s="7">
        <v>2000</v>
      </c>
      <c r="U87" s="2"/>
      <c r="V87" s="6">
        <f t="shared" si="57"/>
        <v>4.4543429844097997E-4</v>
      </c>
      <c r="W87" s="2"/>
      <c r="X87" s="7">
        <f t="shared" si="58"/>
        <v>-1321.52</v>
      </c>
      <c r="Y87" s="2"/>
      <c r="Z87" s="6">
        <f t="shared" si="59"/>
        <v>-0.66076000000000001</v>
      </c>
    </row>
    <row r="88" spans="1:26" s="27" customFormat="1" outlineLevel="1" collapsed="1" x14ac:dyDescent="0.25">
      <c r="A88" s="25"/>
      <c r="B88" s="12" t="str">
        <f>CONCATENATE("     ","Travel                                            ")</f>
        <v xml:space="preserve">     Travel                                            </v>
      </c>
      <c r="C88" s="12"/>
      <c r="D88" s="1">
        <f>SUM(OSRRefD22_15x_0)</f>
        <v>0</v>
      </c>
      <c r="E88" s="1"/>
      <c r="F88" s="5">
        <f t="shared" si="52"/>
        <v>0</v>
      </c>
      <c r="G88" s="1"/>
      <c r="H88" s="1">
        <f>SUM(OSRRefH22_15x_0)</f>
        <v>60</v>
      </c>
      <c r="I88" s="1"/>
      <c r="J88" s="5">
        <f t="shared" si="53"/>
        <v>2.2285364087135773E-4</v>
      </c>
      <c r="K88" s="1"/>
      <c r="L88" s="1">
        <f t="shared" si="54"/>
        <v>-60</v>
      </c>
      <c r="M88" s="1"/>
      <c r="N88" s="5">
        <f t="shared" si="55"/>
        <v>-1</v>
      </c>
      <c r="O88" s="12"/>
      <c r="P88" s="1">
        <f>SUM(OSRRefP22_15x_0)</f>
        <v>1429.86</v>
      </c>
      <c r="Q88" s="1"/>
      <c r="R88" s="5">
        <f t="shared" si="56"/>
        <v>3.7765478649022543E-4</v>
      </c>
      <c r="S88" s="1"/>
      <c r="T88" s="1">
        <f>SUM(OSRRefT22_15x_0)</f>
        <v>660</v>
      </c>
      <c r="U88" s="1"/>
      <c r="V88" s="5">
        <f t="shared" si="57"/>
        <v>1.4699331848552337E-4</v>
      </c>
      <c r="W88" s="1"/>
      <c r="X88" s="1">
        <f t="shared" si="58"/>
        <v>769.8599999999999</v>
      </c>
      <c r="Y88" s="1"/>
      <c r="Z88" s="5">
        <f t="shared" si="59"/>
        <v>1.1664545454545454</v>
      </c>
    </row>
    <row r="89" spans="1:26" s="24" customFormat="1" hidden="1" outlineLevel="2" x14ac:dyDescent="0.25">
      <c r="A89" s="26"/>
      <c r="B89" s="11" t="str">
        <f>CONCATENATE("          ", "6292", " - ", "TRAVEL/CONFERENCE")</f>
        <v xml:space="preserve">          6292 - TRAVEL/CONFERENCE</v>
      </c>
      <c r="C89" s="11"/>
      <c r="D89" s="7"/>
      <c r="E89" s="2"/>
      <c r="F89" s="6">
        <f t="shared" si="52"/>
        <v>0</v>
      </c>
      <c r="G89" s="2"/>
      <c r="H89" s="7"/>
      <c r="I89" s="2"/>
      <c r="J89" s="6">
        <f t="shared" si="53"/>
        <v>0</v>
      </c>
      <c r="K89" s="2"/>
      <c r="L89" s="7">
        <f t="shared" si="54"/>
        <v>0</v>
      </c>
      <c r="M89" s="2"/>
      <c r="N89" s="6">
        <f t="shared" si="55"/>
        <v>0</v>
      </c>
      <c r="O89" s="11"/>
      <c r="P89" s="7">
        <v>1429.86</v>
      </c>
      <c r="Q89" s="2"/>
      <c r="R89" s="6">
        <f t="shared" si="56"/>
        <v>3.7765478649022543E-4</v>
      </c>
      <c r="S89" s="2"/>
      <c r="T89" s="7"/>
      <c r="U89" s="2"/>
      <c r="V89" s="6">
        <f t="shared" si="57"/>
        <v>0</v>
      </c>
      <c r="W89" s="2"/>
      <c r="X89" s="7">
        <f t="shared" si="58"/>
        <v>1429.86</v>
      </c>
      <c r="Y89" s="2"/>
      <c r="Z89" s="6">
        <f t="shared" si="59"/>
        <v>0</v>
      </c>
    </row>
    <row r="90" spans="1:26" s="24" customFormat="1" hidden="1" outlineLevel="2" x14ac:dyDescent="0.25">
      <c r="A90" s="26"/>
      <c r="B90" s="11" t="str">
        <f>CONCATENATE("          ", "6298", " - ", "VEHICLE MILEAGE")</f>
        <v xml:space="preserve">          6298 - VEHICLE MILEAGE</v>
      </c>
      <c r="C90" s="11"/>
      <c r="D90" s="7"/>
      <c r="E90" s="2"/>
      <c r="F90" s="6">
        <f t="shared" si="52"/>
        <v>0</v>
      </c>
      <c r="G90" s="2"/>
      <c r="H90" s="7">
        <v>60</v>
      </c>
      <c r="I90" s="2"/>
      <c r="J90" s="6">
        <f t="shared" si="53"/>
        <v>2.2285364087135773E-4</v>
      </c>
      <c r="K90" s="2"/>
      <c r="L90" s="7">
        <f t="shared" si="54"/>
        <v>-60</v>
      </c>
      <c r="M90" s="2"/>
      <c r="N90" s="6">
        <f t="shared" si="55"/>
        <v>-1</v>
      </c>
      <c r="O90" s="11"/>
      <c r="P90" s="7"/>
      <c r="Q90" s="2"/>
      <c r="R90" s="6">
        <f t="shared" si="56"/>
        <v>0</v>
      </c>
      <c r="S90" s="2"/>
      <c r="T90" s="7">
        <v>660</v>
      </c>
      <c r="U90" s="2"/>
      <c r="V90" s="6">
        <f t="shared" si="57"/>
        <v>1.4699331848552337E-4</v>
      </c>
      <c r="W90" s="2"/>
      <c r="X90" s="7">
        <f t="shared" si="58"/>
        <v>-660</v>
      </c>
      <c r="Y90" s="2"/>
      <c r="Z90" s="6">
        <f t="shared" si="59"/>
        <v>-1</v>
      </c>
    </row>
    <row r="91" spans="1:26" s="62" customFormat="1" x14ac:dyDescent="0.25">
      <c r="A91" s="36"/>
      <c r="B91" s="36"/>
      <c r="C91" s="36"/>
      <c r="D91" s="1"/>
      <c r="E91" s="1"/>
      <c r="F91" s="5"/>
      <c r="G91" s="1"/>
      <c r="H91" s="1"/>
      <c r="I91" s="1"/>
      <c r="J91" s="5"/>
      <c r="K91" s="1"/>
      <c r="L91" s="1"/>
      <c r="M91" s="1"/>
      <c r="N91" s="5"/>
      <c r="O91" s="36"/>
      <c r="P91" s="1"/>
      <c r="Q91" s="1"/>
      <c r="R91" s="5"/>
      <c r="S91" s="1"/>
      <c r="T91" s="1"/>
      <c r="U91" s="1"/>
      <c r="V91" s="5"/>
      <c r="W91" s="1"/>
      <c r="X91" s="1"/>
      <c r="Y91" s="1"/>
      <c r="Z91" s="5"/>
    </row>
    <row r="92" spans="1:26" s="23" customFormat="1" x14ac:dyDescent="0.25">
      <c r="A92" s="10"/>
      <c r="B92" s="28" t="s">
        <v>0</v>
      </c>
      <c r="C92" s="10"/>
      <c r="D92" s="4">
        <f>SUM(0)</f>
        <v>0</v>
      </c>
      <c r="E92" s="4"/>
      <c r="F92" s="13">
        <f>IF(D$12=0,0,D92/D$12)</f>
        <v>0</v>
      </c>
      <c r="G92" s="4"/>
      <c r="H92" s="4">
        <f>SUM(0)</f>
        <v>0</v>
      </c>
      <c r="I92" s="4"/>
      <c r="J92" s="13">
        <f>IF(H$12=0,0,H92/H$12)</f>
        <v>0</v>
      </c>
      <c r="K92" s="4"/>
      <c r="L92" s="4">
        <f>+D92-H92</f>
        <v>0</v>
      </c>
      <c r="M92" s="4"/>
      <c r="N92" s="13">
        <f>IF(H92=0,0,L92/H92)</f>
        <v>0</v>
      </c>
      <c r="O92" s="10"/>
      <c r="P92" s="4">
        <f>SUM(0)</f>
        <v>0</v>
      </c>
      <c r="Q92" s="4"/>
      <c r="R92" s="13">
        <f>IF(P$12=0,0,P92/P$12)</f>
        <v>0</v>
      </c>
      <c r="S92" s="4"/>
      <c r="T92" s="4">
        <f>SUM(0)</f>
        <v>0</v>
      </c>
      <c r="U92" s="4"/>
      <c r="V92" s="13">
        <f>IF(T$12=0,0,T92/T$12)</f>
        <v>0</v>
      </c>
      <c r="W92" s="4"/>
      <c r="X92" s="4">
        <f>+P92-T92</f>
        <v>0</v>
      </c>
      <c r="Y92" s="4"/>
      <c r="Z92" s="13">
        <f>IF(T92=0,0,X92/T92)</f>
        <v>0</v>
      </c>
    </row>
    <row r="93" spans="1:26" x14ac:dyDescent="0.25">
      <c r="A93" s="9"/>
      <c r="B93" s="10"/>
      <c r="C93" s="10"/>
      <c r="D93" s="3"/>
      <c r="E93" s="3"/>
      <c r="F93" s="8"/>
      <c r="G93" s="3"/>
      <c r="H93" s="3"/>
      <c r="I93" s="3"/>
      <c r="J93" s="8"/>
      <c r="K93" s="3"/>
      <c r="L93" s="3"/>
      <c r="M93" s="3"/>
      <c r="N93" s="8"/>
      <c r="O93" s="10"/>
      <c r="P93" s="3"/>
      <c r="Q93" s="3"/>
      <c r="R93" s="8"/>
      <c r="S93" s="3"/>
      <c r="T93" s="3"/>
      <c r="U93" s="3"/>
      <c r="V93" s="8"/>
      <c r="W93" s="3"/>
      <c r="X93" s="3"/>
      <c r="Y93" s="3"/>
      <c r="Z93" s="8"/>
    </row>
    <row r="94" spans="1:26" s="23" customFormat="1" x14ac:dyDescent="0.25">
      <c r="A94" s="10"/>
      <c r="B94" s="29" t="s">
        <v>3</v>
      </c>
      <c r="C94" s="29"/>
      <c r="D94" s="20">
        <f>+D24-D26+D92</f>
        <v>24979.839999999982</v>
      </c>
      <c r="E94" s="14"/>
      <c r="F94" s="22">
        <f>IF(D$12=0,0,D94/D$12)</f>
        <v>0.20380695555658163</v>
      </c>
      <c r="G94" s="14"/>
      <c r="H94" s="20">
        <f>+H24-H26+H92</f>
        <v>30597.961816516618</v>
      </c>
      <c r="I94" s="14"/>
      <c r="J94" s="22">
        <f>IF(H$12=0,0,H94/H$12)</f>
        <v>0.11364778656755851</v>
      </c>
      <c r="K94" s="16"/>
      <c r="L94" s="20">
        <f>+D94-H94</f>
        <v>-5618.1218165166356</v>
      </c>
      <c r="M94" s="16"/>
      <c r="N94" s="22">
        <f>IF(H94=0,0,L94/H94)</f>
        <v>-0.18361098200612838</v>
      </c>
      <c r="O94" s="28"/>
      <c r="P94" s="20">
        <f>+P24-P26+P92</f>
        <v>1203892.6600000001</v>
      </c>
      <c r="Q94" s="14"/>
      <c r="R94" s="22">
        <f>IF(P$12=0,0,P94/P$12)</f>
        <v>0.31797226684392155</v>
      </c>
      <c r="S94" s="14"/>
      <c r="T94" s="20">
        <f>+T24-T26+T92</f>
        <v>1270826.010418046</v>
      </c>
      <c r="U94" s="14"/>
      <c r="V94" s="22">
        <f>IF(T$12=0,0,T94/T$12)</f>
        <v>0.28303474619555591</v>
      </c>
      <c r="W94" s="16"/>
      <c r="X94" s="20">
        <f>+P94-T94</f>
        <v>-66933.350418045884</v>
      </c>
      <c r="Y94" s="16"/>
      <c r="Z94" s="22">
        <f>IF(T94=0,0,X94/T94)</f>
        <v>-5.2669169397963254E-2</v>
      </c>
    </row>
    <row r="95" spans="1:26" x14ac:dyDescent="0.25">
      <c r="A95" s="9"/>
      <c r="B95" s="10"/>
      <c r="C95" s="9"/>
      <c r="D95" s="3"/>
      <c r="E95" s="3"/>
      <c r="F95" s="8"/>
      <c r="G95" s="3"/>
      <c r="H95" s="3"/>
      <c r="I95" s="3"/>
      <c r="J95" s="8"/>
      <c r="K95" s="3"/>
      <c r="L95" s="3"/>
      <c r="M95" s="3"/>
      <c r="N95" s="8"/>
      <c r="P95" s="3"/>
      <c r="Q95" s="3"/>
      <c r="R95" s="8"/>
      <c r="S95" s="3"/>
      <c r="T95" s="3"/>
      <c r="U95" s="3"/>
      <c r="V95" s="8"/>
      <c r="W95" s="3"/>
      <c r="X95" s="3"/>
      <c r="Y95" s="3"/>
      <c r="Z95" s="8"/>
    </row>
    <row r="96" spans="1:26" s="23" customFormat="1" x14ac:dyDescent="0.25">
      <c r="A96" s="52"/>
      <c r="B96" s="10" t="s">
        <v>14</v>
      </c>
      <c r="C96" s="10"/>
      <c r="D96" s="4">
        <v>32365.599999999999</v>
      </c>
      <c r="E96" s="4"/>
      <c r="F96" s="13">
        <f>IF(D$12=0,0,D96/D$12)</f>
        <v>0.26406631911021461</v>
      </c>
      <c r="G96" s="4"/>
      <c r="H96" s="4">
        <v>26895</v>
      </c>
      <c r="I96" s="4"/>
      <c r="J96" s="13">
        <f>IF(H$12=0,0,H96/H$12)</f>
        <v>9.9894144520586106E-2</v>
      </c>
      <c r="K96" s="4"/>
      <c r="L96" s="4">
        <f>+D96-H96</f>
        <v>5470.5999999999985</v>
      </c>
      <c r="M96" s="4"/>
      <c r="N96" s="13">
        <f>IF(H96=0,0,L96/H96)</f>
        <v>0.2034058375162669</v>
      </c>
      <c r="O96" s="10"/>
      <c r="P96" s="4">
        <v>448340.02</v>
      </c>
      <c r="Q96" s="4"/>
      <c r="R96" s="13">
        <f>IF(P$12=0,0,P96/P$12)</f>
        <v>0.11841561728289722</v>
      </c>
      <c r="S96" s="4"/>
      <c r="T96" s="4">
        <v>520057.00000000006</v>
      </c>
      <c r="U96" s="4"/>
      <c r="V96" s="13">
        <f>IF(T$12=0,0,T96/T$12)</f>
        <v>0.11582561247216037</v>
      </c>
      <c r="W96" s="4"/>
      <c r="X96" s="4">
        <f>+P96-T96</f>
        <v>-71716.98000000004</v>
      </c>
      <c r="Y96" s="4"/>
      <c r="Z96" s="13">
        <f>IF(T96=0,0,X96/T96)</f>
        <v>-0.13790215303322526</v>
      </c>
    </row>
    <row r="97" spans="1:26" x14ac:dyDescent="0.25">
      <c r="A97" s="9"/>
      <c r="B97" s="10"/>
      <c r="C97" s="10"/>
      <c r="D97" s="3"/>
      <c r="E97" s="3"/>
      <c r="F97" s="8"/>
      <c r="G97" s="3"/>
      <c r="H97" s="3"/>
      <c r="I97" s="3"/>
      <c r="J97" s="8"/>
      <c r="K97" s="3"/>
      <c r="L97" s="3"/>
      <c r="M97" s="3"/>
      <c r="N97" s="8"/>
      <c r="O97" s="10"/>
      <c r="P97" s="3"/>
      <c r="Q97" s="3"/>
      <c r="R97" s="8"/>
      <c r="S97" s="3"/>
      <c r="T97" s="3"/>
      <c r="U97" s="3"/>
      <c r="V97" s="8"/>
      <c r="W97" s="3"/>
      <c r="X97" s="3"/>
      <c r="Y97" s="3"/>
      <c r="Z97" s="8"/>
    </row>
    <row r="98" spans="1:26" s="23" customFormat="1" ht="15.75" thickBot="1" x14ac:dyDescent="0.3">
      <c r="A98" s="10"/>
      <c r="B98" s="29" t="s">
        <v>4</v>
      </c>
      <c r="C98" s="29"/>
      <c r="D98" s="35">
        <f>+D94-D96</f>
        <v>-7385.7600000000166</v>
      </c>
      <c r="E98" s="14"/>
      <c r="F98" s="32">
        <f>IF(D$12=0,0,D98/D$12)</f>
        <v>-6.0259363553632962E-2</v>
      </c>
      <c r="G98" s="14"/>
      <c r="H98" s="35">
        <f>+H94-H96</f>
        <v>3702.9618165166175</v>
      </c>
      <c r="I98" s="14"/>
      <c r="J98" s="32">
        <f>IF(H$12=0,0,H98/H$12)</f>
        <v>1.3753642046972412E-2</v>
      </c>
      <c r="K98" s="16"/>
      <c r="L98" s="35">
        <f>D98-H98</f>
        <v>-11088.721816516634</v>
      </c>
      <c r="M98" s="16"/>
      <c r="N98" s="32">
        <f>IF(H98=0,0,L98/H98)</f>
        <v>-2.9945547283411669</v>
      </c>
      <c r="O98" s="28"/>
      <c r="P98" s="35">
        <f>+P94-P96</f>
        <v>755552.64000000013</v>
      </c>
      <c r="Q98" s="14"/>
      <c r="R98" s="32">
        <f>IF(P$12=0,0,P98/P$12)</f>
        <v>0.19955664956102434</v>
      </c>
      <c r="S98" s="14"/>
      <c r="T98" s="35">
        <f>+T94-T96</f>
        <v>750769.01041804603</v>
      </c>
      <c r="U98" s="14"/>
      <c r="V98" s="32">
        <f>IF(T$12=0,0,T98/T$12)</f>
        <v>0.16720913372339555</v>
      </c>
      <c r="W98" s="16"/>
      <c r="X98" s="35">
        <f>P98-T98</f>
        <v>4783.6295819540974</v>
      </c>
      <c r="Y98" s="16"/>
      <c r="Z98" s="32">
        <f>IF(T98=0,0,X98/T98)</f>
        <v>6.3716396329284537E-3</v>
      </c>
    </row>
    <row r="99" spans="1:26" ht="15.75" thickTop="1" x14ac:dyDescent="0.25">
      <c r="A99" s="9"/>
      <c r="B99" s="9"/>
      <c r="C99" s="9"/>
      <c r="D99" s="3"/>
      <c r="E99" s="3"/>
      <c r="F99" s="8"/>
      <c r="G99" s="3"/>
      <c r="H99" s="3"/>
      <c r="I99" s="3"/>
      <c r="J99" s="8"/>
      <c r="K99" s="3"/>
      <c r="L99" s="3"/>
      <c r="M99" s="3"/>
      <c r="N99" s="8"/>
      <c r="P99" s="3"/>
      <c r="Q99" s="3"/>
      <c r="R99" s="8"/>
      <c r="S99" s="3"/>
      <c r="T99" s="3"/>
      <c r="U99" s="3"/>
      <c r="V99" s="8"/>
      <c r="W99" s="3"/>
      <c r="X99" s="3"/>
      <c r="Y99" s="3"/>
      <c r="Z99" s="8"/>
    </row>
    <row r="100" spans="1:26" x14ac:dyDescent="0.25">
      <c r="A100" s="9"/>
      <c r="B100" s="9"/>
      <c r="C100" s="9"/>
      <c r="D100" s="3"/>
      <c r="E100" s="3"/>
      <c r="F100" s="8"/>
      <c r="G100" s="3"/>
      <c r="H100" s="3"/>
      <c r="I100" s="3"/>
      <c r="J100" s="8"/>
      <c r="K100" s="3"/>
      <c r="L100" s="3"/>
      <c r="M100" s="3"/>
      <c r="N100" s="8"/>
      <c r="P100" s="3"/>
      <c r="Q100" s="3"/>
      <c r="R100" s="8"/>
      <c r="S100" s="3"/>
      <c r="T100" s="3"/>
      <c r="U100" s="3"/>
      <c r="V100" s="8"/>
      <c r="W100" s="3"/>
      <c r="X100" s="3"/>
      <c r="Y100" s="3"/>
      <c r="Z100" s="8"/>
    </row>
    <row r="101" spans="1:26" s="23" customFormat="1" ht="15.75" thickBot="1" x14ac:dyDescent="0.3">
      <c r="A101" s="10"/>
      <c r="B101" s="29" t="s">
        <v>5</v>
      </c>
      <c r="C101" s="29"/>
      <c r="D101" s="34">
        <f>SUM(D98:D100)</f>
        <v>-7385.7600000000166</v>
      </c>
      <c r="E101" s="14"/>
      <c r="F101" s="31">
        <f>IF(D$12=0,0,D101/D$12)</f>
        <v>-6.0259363553632962E-2</v>
      </c>
      <c r="G101" s="14"/>
      <c r="H101" s="34">
        <f>SUM(H98:H100)</f>
        <v>3702.9618165166175</v>
      </c>
      <c r="I101" s="14"/>
      <c r="J101" s="31">
        <f>IF(H$12=0,0,H101/H$12)</f>
        <v>1.3753642046972412E-2</v>
      </c>
      <c r="K101" s="16"/>
      <c r="L101" s="34">
        <f>+D101-H101</f>
        <v>-11088.721816516634</v>
      </c>
      <c r="M101" s="16"/>
      <c r="N101" s="31">
        <f>IF(H101=0,0,L101/H101)</f>
        <v>-2.9945547283411669</v>
      </c>
      <c r="O101" s="28"/>
      <c r="P101" s="34">
        <f>SUM(P98:P100)</f>
        <v>755552.64000000013</v>
      </c>
      <c r="Q101" s="14"/>
      <c r="R101" s="31">
        <f>IF(P$12=0,0,P101/P$12)</f>
        <v>0.19955664956102434</v>
      </c>
      <c r="S101" s="14"/>
      <c r="T101" s="34">
        <f>SUM(T98:T100)</f>
        <v>750769.01041804603</v>
      </c>
      <c r="U101" s="14"/>
      <c r="V101" s="31">
        <f>IF(T$12=0,0,T101/T$12)</f>
        <v>0.16720913372339555</v>
      </c>
      <c r="W101" s="16"/>
      <c r="X101" s="34">
        <f>+P101-T101</f>
        <v>4783.6295819540974</v>
      </c>
      <c r="Y101" s="16"/>
      <c r="Z101" s="31">
        <f>IF(T101=0,0,X101/T101)</f>
        <v>6.3716396329284537E-3</v>
      </c>
    </row>
    <row r="102" spans="1:26" ht="15.75" thickTop="1" x14ac:dyDescent="0.25">
      <c r="A102" s="9"/>
      <c r="C102" s="9"/>
      <c r="D102" s="18"/>
      <c r="E102" s="18"/>
      <c r="G102" s="18"/>
      <c r="H102" s="18"/>
      <c r="I102" s="18"/>
      <c r="J102" s="42"/>
      <c r="K102" s="18"/>
      <c r="L102" s="18"/>
      <c r="M102" s="18"/>
      <c r="P102" s="18"/>
      <c r="Q102" s="18"/>
      <c r="R102" s="42"/>
      <c r="S102" s="18"/>
      <c r="T102" s="18"/>
      <c r="U102" s="18"/>
      <c r="V102" s="42"/>
      <c r="W102" s="18"/>
      <c r="X102" s="18"/>
    </row>
    <row r="103" spans="1:26" x14ac:dyDescent="0.25">
      <c r="A103" s="9"/>
      <c r="B103" s="59">
        <v>43992.372251817127</v>
      </c>
      <c r="D103" s="18"/>
      <c r="E103" s="18"/>
      <c r="G103" s="18"/>
      <c r="H103" s="18"/>
      <c r="I103" s="18"/>
      <c r="J103" s="42"/>
      <c r="K103" s="18"/>
      <c r="L103" s="18"/>
      <c r="M103" s="18"/>
      <c r="P103" s="18"/>
      <c r="Q103" s="18"/>
      <c r="R103" s="42"/>
      <c r="S103" s="18"/>
      <c r="T103" s="18"/>
      <c r="U103" s="18"/>
      <c r="V103" s="42"/>
      <c r="W103" s="18"/>
      <c r="X103" s="18"/>
    </row>
    <row r="104" spans="1:26" x14ac:dyDescent="0.25">
      <c r="A104" s="9"/>
      <c r="B104" s="56" t="s">
        <v>314</v>
      </c>
      <c r="D104" s="18"/>
      <c r="E104" s="18"/>
      <c r="G104" s="18"/>
      <c r="H104" s="18"/>
      <c r="I104" s="18"/>
      <c r="J104" s="42"/>
      <c r="K104" s="18"/>
      <c r="L104" s="18"/>
      <c r="M104" s="18"/>
      <c r="P104" s="18"/>
      <c r="Q104" s="18"/>
      <c r="R104" s="42"/>
      <c r="S104" s="18"/>
      <c r="T104" s="18"/>
      <c r="U104" s="18"/>
      <c r="V104" s="42"/>
      <c r="W104" s="18"/>
      <c r="X104" s="18"/>
    </row>
    <row r="105" spans="1:26" x14ac:dyDescent="0.25">
      <c r="A105" s="9"/>
      <c r="B105" s="54"/>
      <c r="D105" s="18"/>
      <c r="E105" s="18"/>
      <c r="G105" s="18"/>
      <c r="H105" s="18"/>
      <c r="I105" s="18"/>
      <c r="J105" s="42"/>
      <c r="K105" s="18"/>
      <c r="L105" s="18"/>
      <c r="M105" s="18"/>
      <c r="P105" s="18"/>
      <c r="Q105" s="18"/>
      <c r="R105" s="42"/>
      <c r="S105" s="18"/>
      <c r="T105" s="18"/>
      <c r="U105" s="18"/>
      <c r="V105" s="42"/>
      <c r="W105" s="18"/>
      <c r="X105" s="18"/>
    </row>
    <row r="106" spans="1:26" x14ac:dyDescent="0.25">
      <c r="D106" s="18"/>
      <c r="E106" s="18"/>
      <c r="G106" s="18"/>
      <c r="H106" s="18"/>
      <c r="I106" s="18"/>
      <c r="J106" s="42"/>
      <c r="K106" s="18"/>
      <c r="L106" s="18"/>
      <c r="M106" s="18"/>
      <c r="P106" s="18"/>
      <c r="Q106" s="18"/>
      <c r="R106" s="42"/>
      <c r="S106" s="18"/>
      <c r="T106" s="18"/>
      <c r="U106" s="18"/>
      <c r="V106" s="42"/>
      <c r="W106" s="18"/>
      <c r="X106" s="18"/>
    </row>
  </sheetData>
  <pageMargins left="0.25" right="0.25" top="0.75" bottom="0.75" header="0.3" footer="0.3"/>
  <pageSetup scale="55" fitToWidth="2" orientation="landscape"/>
  <drawing r:id="rId1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77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63" t="s">
        <v>13</v>
      </c>
    </row>
    <row r="3" spans="1:26" x14ac:dyDescent="0.25">
      <c r="D3" s="63" t="s">
        <v>296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61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63" t="str">
        <f>CONCATENATE("Period ",RIGHT(202011,2),", ",2020)</f>
        <v>Period 11, 2020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61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4">
        <v>43981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61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51"/>
      <c r="C6" s="51"/>
      <c r="D6" s="23" t="str">
        <f>CONCATENATE("Department ","435", " - ", "Ground Floor Coffee House")</f>
        <v>Department 435 - Ground Floor Coffee House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57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5" t="s">
        <v>294</v>
      </c>
      <c r="E9" s="15"/>
      <c r="F9" s="38"/>
      <c r="G9" s="15"/>
      <c r="H9" s="15"/>
      <c r="I9" s="15"/>
      <c r="J9" s="46"/>
      <c r="K9" s="15"/>
      <c r="L9" s="15"/>
      <c r="M9" s="15"/>
      <c r="N9" s="38"/>
      <c r="P9" s="15" t="s">
        <v>295</v>
      </c>
      <c r="Q9" s="15"/>
      <c r="R9" s="38"/>
      <c r="S9" s="15"/>
      <c r="T9" s="15"/>
      <c r="U9" s="15"/>
      <c r="V9" s="46"/>
      <c r="W9" s="15"/>
      <c r="X9" s="15"/>
      <c r="Y9" s="15"/>
      <c r="Z9" s="38"/>
    </row>
    <row r="10" spans="1:26" x14ac:dyDescent="0.25">
      <c r="A10" s="10"/>
      <c r="B10" s="55"/>
      <c r="C10" s="10"/>
      <c r="D10" s="43" t="s">
        <v>10</v>
      </c>
      <c r="E10" s="33"/>
      <c r="F10" s="40" t="s">
        <v>15</v>
      </c>
      <c r="G10" s="33"/>
      <c r="H10" s="47" t="s">
        <v>11</v>
      </c>
      <c r="I10" s="33"/>
      <c r="J10" s="45" t="s">
        <v>16</v>
      </c>
      <c r="K10" s="10"/>
      <c r="L10" s="43" t="s">
        <v>12</v>
      </c>
      <c r="M10" s="10"/>
      <c r="N10" s="40" t="s">
        <v>17</v>
      </c>
      <c r="O10" s="10"/>
      <c r="P10" s="53" t="s">
        <v>10</v>
      </c>
      <c r="Q10" s="33"/>
      <c r="R10" s="40" t="s">
        <v>15</v>
      </c>
      <c r="S10" s="33"/>
      <c r="T10" s="47" t="s">
        <v>11</v>
      </c>
      <c r="U10" s="33"/>
      <c r="V10" s="45" t="s">
        <v>16</v>
      </c>
      <c r="W10" s="10"/>
      <c r="X10" s="43" t="s">
        <v>12</v>
      </c>
      <c r="Y10" s="10"/>
      <c r="Z10" s="40" t="s">
        <v>17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0</v>
      </c>
      <c r="E12" s="4"/>
      <c r="F12" s="13"/>
      <c r="G12" s="4"/>
      <c r="H12" s="4">
        <f>SUM(OSRRefH13x_0)</f>
        <v>751</v>
      </c>
      <c r="I12" s="4"/>
      <c r="J12" s="13"/>
      <c r="K12" s="4"/>
      <c r="L12" s="4">
        <f t="shared" ref="L12:L16" si="0">+D12-H12</f>
        <v>-751</v>
      </c>
      <c r="M12" s="4"/>
      <c r="N12" s="13">
        <f t="shared" ref="N12:N16" si="1">IF(H12=0,0,L12/H12)</f>
        <v>-1</v>
      </c>
      <c r="O12" s="10"/>
      <c r="P12" s="4">
        <f>SUM(OSRRefP13x_0)</f>
        <v>5179.0200000000004</v>
      </c>
      <c r="Q12" s="4"/>
      <c r="R12" s="13"/>
      <c r="S12" s="4"/>
      <c r="T12" s="4">
        <f>SUM(OSRRefT13x_0)</f>
        <v>11257</v>
      </c>
      <c r="U12" s="4"/>
      <c r="V12" s="13"/>
      <c r="W12" s="4"/>
      <c r="X12" s="4">
        <f t="shared" ref="X12:X16" si="2">+P12-T12</f>
        <v>-6077.98</v>
      </c>
      <c r="Y12" s="4"/>
      <c r="Z12" s="13">
        <f t="shared" ref="Z12:Z16" si="3">IF(T12=0,0,X12/T12)</f>
        <v>-0.53992893310828816</v>
      </c>
    </row>
    <row r="13" spans="1:26" s="24" customFormat="1" hidden="1" outlineLevel="1" x14ac:dyDescent="0.25">
      <c r="A13" s="44"/>
      <c r="B13" s="11" t="str">
        <f>CONCATENATE("          ", "4055", " - ", "TAXABLE SALES-FOOD")</f>
        <v xml:space="preserve">          4055 - TAXABLE SALES-FOOD</v>
      </c>
      <c r="C13" s="11"/>
      <c r="D13" s="2">
        <f t="shared" ref="D13:D16" si="4">0</f>
        <v>0</v>
      </c>
      <c r="E13" s="2"/>
      <c r="F13" s="19"/>
      <c r="G13" s="2"/>
      <c r="H13" s="2"/>
      <c r="I13" s="2"/>
      <c r="J13" s="19"/>
      <c r="K13" s="2"/>
      <c r="L13" s="2">
        <f t="shared" si="0"/>
        <v>0</v>
      </c>
      <c r="M13" s="2"/>
      <c r="N13" s="19">
        <f t="shared" si="1"/>
        <v>0</v>
      </c>
      <c r="O13" s="11"/>
      <c r="P13" s="2">
        <f>--973.49</f>
        <v>973.49</v>
      </c>
      <c r="Q13" s="2"/>
      <c r="R13" s="19"/>
      <c r="S13" s="2"/>
      <c r="T13" s="2"/>
      <c r="U13" s="2"/>
      <c r="V13" s="19"/>
      <c r="W13" s="2"/>
      <c r="X13" s="2">
        <f t="shared" si="2"/>
        <v>973.49</v>
      </c>
      <c r="Y13" s="2"/>
      <c r="Z13" s="19">
        <f t="shared" si="3"/>
        <v>0</v>
      </c>
    </row>
    <row r="14" spans="1:26" s="24" customFormat="1" hidden="1" outlineLevel="1" x14ac:dyDescent="0.25">
      <c r="A14" s="44"/>
      <c r="B14" s="11" t="str">
        <f>CONCATENATE("          ", "4100", " - ", "NON-TAXABLE SALES")</f>
        <v xml:space="preserve">          4100 - NON-TAXABLE SALES</v>
      </c>
      <c r="C14" s="11"/>
      <c r="D14" s="2">
        <f t="shared" si="4"/>
        <v>0</v>
      </c>
      <c r="E14" s="2"/>
      <c r="F14" s="19"/>
      <c r="G14" s="2"/>
      <c r="H14" s="2">
        <v>751</v>
      </c>
      <c r="I14" s="2"/>
      <c r="J14" s="19"/>
      <c r="K14" s="2"/>
      <c r="L14" s="2">
        <f t="shared" si="0"/>
        <v>-751</v>
      </c>
      <c r="M14" s="2"/>
      <c r="N14" s="19">
        <f t="shared" si="1"/>
        <v>-1</v>
      </c>
      <c r="O14" s="11"/>
      <c r="P14" s="2">
        <f>0</f>
        <v>0</v>
      </c>
      <c r="Q14" s="2"/>
      <c r="R14" s="19"/>
      <c r="S14" s="2"/>
      <c r="T14" s="2">
        <v>11257</v>
      </c>
      <c r="U14" s="2"/>
      <c r="V14" s="19"/>
      <c r="W14" s="2"/>
      <c r="X14" s="2">
        <f t="shared" si="2"/>
        <v>-11257</v>
      </c>
      <c r="Y14" s="2"/>
      <c r="Z14" s="19">
        <f t="shared" si="3"/>
        <v>-1</v>
      </c>
    </row>
    <row r="15" spans="1:26" s="24" customFormat="1" hidden="1" outlineLevel="1" x14ac:dyDescent="0.25">
      <c r="A15" s="44"/>
      <c r="B15" s="11" t="str">
        <f>CONCATENATE("          ", "4153", " - ", "NON-TAXABLE SALES-FOOD")</f>
        <v xml:space="preserve">          4153 - NON-TAXABLE SALES-FOOD</v>
      </c>
      <c r="C15" s="11"/>
      <c r="D15" s="2">
        <f t="shared" si="4"/>
        <v>0</v>
      </c>
      <c r="E15" s="2"/>
      <c r="F15" s="19"/>
      <c r="G15" s="2"/>
      <c r="H15" s="2"/>
      <c r="I15" s="2"/>
      <c r="J15" s="19"/>
      <c r="K15" s="2"/>
      <c r="L15" s="2">
        <f t="shared" si="0"/>
        <v>0</v>
      </c>
      <c r="M15" s="2"/>
      <c r="N15" s="19">
        <f t="shared" si="1"/>
        <v>0</v>
      </c>
      <c r="O15" s="11"/>
      <c r="P15" s="2">
        <f>--471.63</f>
        <v>471.63</v>
      </c>
      <c r="Q15" s="2"/>
      <c r="R15" s="19"/>
      <c r="S15" s="2"/>
      <c r="T15" s="2"/>
      <c r="U15" s="2"/>
      <c r="V15" s="19"/>
      <c r="W15" s="2"/>
      <c r="X15" s="2">
        <f t="shared" si="2"/>
        <v>471.63</v>
      </c>
      <c r="Y15" s="2"/>
      <c r="Z15" s="19">
        <f t="shared" si="3"/>
        <v>0</v>
      </c>
    </row>
    <row r="16" spans="1:26" s="24" customFormat="1" hidden="1" outlineLevel="1" x14ac:dyDescent="0.25">
      <c r="A16" s="44"/>
      <c r="B16" s="11" t="str">
        <f>CONCATENATE("          ", "4155", " - ", "NON-TAXABLE SALES-FOOD")</f>
        <v xml:space="preserve">          4155 - NON-TAXABLE SALES-FOOD</v>
      </c>
      <c r="C16" s="11"/>
      <c r="D16" s="2">
        <f t="shared" si="4"/>
        <v>0</v>
      </c>
      <c r="E16" s="2"/>
      <c r="F16" s="19"/>
      <c r="G16" s="2"/>
      <c r="H16" s="2"/>
      <c r="I16" s="2"/>
      <c r="J16" s="19"/>
      <c r="K16" s="2"/>
      <c r="L16" s="2">
        <f t="shared" si="0"/>
        <v>0</v>
      </c>
      <c r="M16" s="2"/>
      <c r="N16" s="19">
        <f t="shared" si="1"/>
        <v>0</v>
      </c>
      <c r="O16" s="11"/>
      <c r="P16" s="2">
        <f>--3733.9</f>
        <v>3733.9</v>
      </c>
      <c r="Q16" s="2"/>
      <c r="R16" s="19"/>
      <c r="S16" s="2"/>
      <c r="T16" s="2"/>
      <c r="U16" s="2"/>
      <c r="V16" s="19"/>
      <c r="W16" s="2"/>
      <c r="X16" s="2">
        <f t="shared" si="2"/>
        <v>3733.9</v>
      </c>
      <c r="Y16" s="2"/>
      <c r="Z16" s="19">
        <f t="shared" si="3"/>
        <v>0</v>
      </c>
    </row>
    <row r="17" spans="1:26" x14ac:dyDescent="0.25">
      <c r="A17" s="9"/>
      <c r="B17" s="10"/>
      <c r="C17" s="9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collapsed="1" x14ac:dyDescent="0.25">
      <c r="A18" s="10"/>
      <c r="B18" s="28" t="s">
        <v>8</v>
      </c>
      <c r="C18" s="10"/>
      <c r="D18" s="4">
        <f>SUM(OSRRefD16x_0)</f>
        <v>0</v>
      </c>
      <c r="E18" s="4"/>
      <c r="F18" s="13">
        <f t="shared" ref="F18:F21" si="5">IF(D$12=0,0,D18/D$12)</f>
        <v>0</v>
      </c>
      <c r="G18" s="4"/>
      <c r="H18" s="4">
        <f>SUM(OSRRefH16x_0)</f>
        <v>400.08</v>
      </c>
      <c r="I18" s="4"/>
      <c r="J18" s="13">
        <f t="shared" ref="J18:J21" si="6">IF(H$12=0,0,H18/H$12)</f>
        <v>0.53272969374167778</v>
      </c>
      <c r="K18" s="4"/>
      <c r="L18" s="4">
        <f t="shared" ref="L18:L21" si="7">+D18-H18</f>
        <v>-400.08</v>
      </c>
      <c r="M18" s="4"/>
      <c r="N18" s="13">
        <f t="shared" ref="N18:N21" si="8">IF(H18=0,0,L18/H18)</f>
        <v>-1</v>
      </c>
      <c r="O18" s="10"/>
      <c r="P18" s="4">
        <f>SUM(OSRRefP16x_0)</f>
        <v>6466.4699999999993</v>
      </c>
      <c r="Q18" s="4"/>
      <c r="R18" s="13">
        <f t="shared" ref="R18:R21" si="9">IF(P$12=0,0,P18/P$12)</f>
        <v>1.2485895014886983</v>
      </c>
      <c r="S18" s="4"/>
      <c r="T18" s="4">
        <f>SUM(OSRRefT16x_0)</f>
        <v>6000.64</v>
      </c>
      <c r="U18" s="4"/>
      <c r="V18" s="13">
        <f t="shared" ref="V18:V21" si="10">IF(T$12=0,0,T18/T$12)</f>
        <v>0.53305854135204767</v>
      </c>
      <c r="W18" s="4"/>
      <c r="X18" s="4">
        <f t="shared" ref="X18:X21" si="11">+P18-T18</f>
        <v>465.82999999999902</v>
      </c>
      <c r="Y18" s="4"/>
      <c r="Z18" s="13">
        <f t="shared" ref="Z18:Z21" si="12">IF(T18=0,0,X18/T18)</f>
        <v>7.7630052794368437E-2</v>
      </c>
    </row>
    <row r="19" spans="1:26" s="24" customFormat="1" hidden="1" outlineLevel="1" x14ac:dyDescent="0.25">
      <c r="A19" s="44"/>
      <c r="B19" s="11" t="str">
        <f>CONCATENATE("          ", "5000", " - ", "PURCHASES @ COST")</f>
        <v xml:space="preserve">          5000 - PURCHASES @ COST</v>
      </c>
      <c r="C19" s="11"/>
      <c r="D19" s="2"/>
      <c r="E19" s="2"/>
      <c r="F19" s="19">
        <f t="shared" si="5"/>
        <v>0</v>
      </c>
      <c r="G19" s="2"/>
      <c r="H19" s="2">
        <v>400.08</v>
      </c>
      <c r="I19" s="2"/>
      <c r="J19" s="19">
        <f t="shared" si="6"/>
        <v>0.53272969374167778</v>
      </c>
      <c r="K19" s="2"/>
      <c r="L19" s="2">
        <f t="shared" si="7"/>
        <v>-400.08</v>
      </c>
      <c r="M19" s="2"/>
      <c r="N19" s="19">
        <f t="shared" si="8"/>
        <v>-1</v>
      </c>
      <c r="O19" s="11"/>
      <c r="P19" s="2"/>
      <c r="Q19" s="2"/>
      <c r="R19" s="19">
        <f t="shared" si="9"/>
        <v>0</v>
      </c>
      <c r="S19" s="2"/>
      <c r="T19" s="2">
        <v>6000.64</v>
      </c>
      <c r="U19" s="2"/>
      <c r="V19" s="19">
        <f t="shared" si="10"/>
        <v>0.53305854135204767</v>
      </c>
      <c r="W19" s="2"/>
      <c r="X19" s="2">
        <f t="shared" si="11"/>
        <v>-6000.64</v>
      </c>
      <c r="Y19" s="2"/>
      <c r="Z19" s="19">
        <f t="shared" si="12"/>
        <v>-1</v>
      </c>
    </row>
    <row r="20" spans="1:26" s="24" customFormat="1" hidden="1" outlineLevel="1" x14ac:dyDescent="0.25">
      <c r="A20" s="44"/>
      <c r="B20" s="11" t="str">
        <f>CONCATENATE("          ", "5053", " - ", "PURCHASES @ COST-FOOD")</f>
        <v xml:space="preserve">          5053 - PURCHASES @ COST-FOOD</v>
      </c>
      <c r="C20" s="11"/>
      <c r="D20" s="2"/>
      <c r="E20" s="2"/>
      <c r="F20" s="19">
        <f t="shared" si="5"/>
        <v>0</v>
      </c>
      <c r="G20" s="2"/>
      <c r="H20" s="2"/>
      <c r="I20" s="2"/>
      <c r="J20" s="19">
        <f t="shared" si="6"/>
        <v>0</v>
      </c>
      <c r="K20" s="2"/>
      <c r="L20" s="2">
        <f t="shared" si="7"/>
        <v>0</v>
      </c>
      <c r="M20" s="2"/>
      <c r="N20" s="19">
        <f t="shared" si="8"/>
        <v>0</v>
      </c>
      <c r="O20" s="11"/>
      <c r="P20" s="2">
        <v>3948.48</v>
      </c>
      <c r="Q20" s="2"/>
      <c r="R20" s="19">
        <f t="shared" si="9"/>
        <v>0.762399063915567</v>
      </c>
      <c r="S20" s="2"/>
      <c r="T20" s="2"/>
      <c r="U20" s="2"/>
      <c r="V20" s="19">
        <f t="shared" si="10"/>
        <v>0</v>
      </c>
      <c r="W20" s="2"/>
      <c r="X20" s="2">
        <f t="shared" si="11"/>
        <v>3948.48</v>
      </c>
      <c r="Y20" s="2"/>
      <c r="Z20" s="19">
        <f t="shared" si="12"/>
        <v>0</v>
      </c>
    </row>
    <row r="21" spans="1:26" s="24" customFormat="1" hidden="1" outlineLevel="1" x14ac:dyDescent="0.25">
      <c r="A21" s="44"/>
      <c r="B21" s="11" t="str">
        <f>CONCATENATE("          ", "5059", " - ", "PURCHASES @ COST-FOOD")</f>
        <v xml:space="preserve">          5059 - PURCHASES @ COST-FOOD</v>
      </c>
      <c r="C21" s="11"/>
      <c r="D21" s="2"/>
      <c r="E21" s="2"/>
      <c r="F21" s="19">
        <f t="shared" si="5"/>
        <v>0</v>
      </c>
      <c r="G21" s="2"/>
      <c r="H21" s="2"/>
      <c r="I21" s="2"/>
      <c r="J21" s="19">
        <f t="shared" si="6"/>
        <v>0</v>
      </c>
      <c r="K21" s="2"/>
      <c r="L21" s="2">
        <f t="shared" si="7"/>
        <v>0</v>
      </c>
      <c r="M21" s="2"/>
      <c r="N21" s="19">
        <f t="shared" si="8"/>
        <v>0</v>
      </c>
      <c r="O21" s="11"/>
      <c r="P21" s="2">
        <v>2517.9899999999998</v>
      </c>
      <c r="Q21" s="2"/>
      <c r="R21" s="19">
        <f t="shared" si="9"/>
        <v>0.48619043757313152</v>
      </c>
      <c r="S21" s="2"/>
      <c r="T21" s="2"/>
      <c r="U21" s="2"/>
      <c r="V21" s="19">
        <f t="shared" si="10"/>
        <v>0</v>
      </c>
      <c r="W21" s="2"/>
      <c r="X21" s="2">
        <f t="shared" si="11"/>
        <v>2517.9899999999998</v>
      </c>
      <c r="Y21" s="2"/>
      <c r="Z21" s="19">
        <f t="shared" si="12"/>
        <v>0</v>
      </c>
    </row>
    <row r="22" spans="1:26" x14ac:dyDescent="0.25">
      <c r="A22" s="9"/>
      <c r="B22" s="10"/>
      <c r="C22" s="10"/>
      <c r="D22" s="3"/>
      <c r="E22" s="3"/>
      <c r="F22" s="8"/>
      <c r="G22" s="3"/>
      <c r="H22" s="3"/>
      <c r="I22" s="3"/>
      <c r="J22" s="8"/>
      <c r="K22" s="3"/>
      <c r="L22" s="3"/>
      <c r="M22" s="3"/>
      <c r="N22" s="8"/>
      <c r="O22" s="10"/>
      <c r="P22" s="3"/>
      <c r="Q22" s="3"/>
      <c r="R22" s="8"/>
      <c r="S22" s="3"/>
      <c r="T22" s="3"/>
      <c r="U22" s="3"/>
      <c r="V22" s="8"/>
      <c r="W22" s="3"/>
      <c r="X22" s="3"/>
      <c r="Y22" s="3"/>
      <c r="Z22" s="8"/>
    </row>
    <row r="23" spans="1:26" s="23" customFormat="1" x14ac:dyDescent="0.25">
      <c r="A23" s="10"/>
      <c r="B23" s="29" t="s">
        <v>6</v>
      </c>
      <c r="C23" s="29"/>
      <c r="D23" s="20">
        <f>D12-D18</f>
        <v>0</v>
      </c>
      <c r="E23" s="14"/>
      <c r="F23" s="22">
        <f>IF(D$12=0,0,D23/D$12)</f>
        <v>0</v>
      </c>
      <c r="G23" s="14"/>
      <c r="H23" s="20">
        <f>H12-H18</f>
        <v>350.92</v>
      </c>
      <c r="I23" s="14"/>
      <c r="J23" s="22">
        <f>IF(H$12=0,0,H23/H$12)</f>
        <v>0.46727030625832228</v>
      </c>
      <c r="K23" s="16"/>
      <c r="L23" s="20">
        <f>+D23-H23</f>
        <v>-350.92</v>
      </c>
      <c r="M23" s="16"/>
      <c r="N23" s="22">
        <f>IF(H23=0,0,L23/H23)</f>
        <v>-1</v>
      </c>
      <c r="O23" s="28"/>
      <c r="P23" s="20">
        <f>P12-P18</f>
        <v>-1287.4499999999989</v>
      </c>
      <c r="Q23" s="14"/>
      <c r="R23" s="22">
        <f>IF(P$12=0,0,P23/P$12)</f>
        <v>-0.24858950148869841</v>
      </c>
      <c r="S23" s="14"/>
      <c r="T23" s="20">
        <f>T12-T18</f>
        <v>5256.36</v>
      </c>
      <c r="U23" s="14"/>
      <c r="V23" s="22">
        <f>IF(T$12=0,0,T23/T$12)</f>
        <v>0.46694145864795233</v>
      </c>
      <c r="W23" s="16"/>
      <c r="X23" s="20">
        <f>+P23-T23</f>
        <v>-6543.8099999999986</v>
      </c>
      <c r="Y23" s="16"/>
      <c r="Z23" s="22">
        <f>IF(T23=0,0,X23/T23)</f>
        <v>-1.2449318539826038</v>
      </c>
    </row>
    <row r="24" spans="1:26" x14ac:dyDescent="0.25">
      <c r="A24" s="9"/>
      <c r="B24" s="10"/>
      <c r="C24" s="9"/>
      <c r="D24" s="1"/>
      <c r="E24" s="1"/>
      <c r="F24" s="5"/>
      <c r="G24" s="1"/>
      <c r="H24" s="1"/>
      <c r="I24" s="1"/>
      <c r="J24" s="5"/>
      <c r="K24" s="1"/>
      <c r="L24" s="1"/>
      <c r="M24" s="1"/>
      <c r="N24" s="5"/>
      <c r="O24" s="36"/>
      <c r="P24" s="1"/>
      <c r="Q24" s="1"/>
      <c r="R24" s="5"/>
      <c r="S24" s="1"/>
      <c r="T24" s="1"/>
      <c r="U24" s="1"/>
      <c r="V24" s="5"/>
      <c r="W24" s="1"/>
      <c r="X24" s="1"/>
      <c r="Y24" s="1"/>
      <c r="Z24" s="5"/>
    </row>
    <row r="25" spans="1:26" s="23" customFormat="1" x14ac:dyDescent="0.25">
      <c r="A25" s="10"/>
      <c r="B25" s="28" t="s">
        <v>9</v>
      </c>
      <c r="C25" s="10"/>
      <c r="D25" s="21">
        <f>SUM(OSRRefD22x_0)</f>
        <v>75.5</v>
      </c>
      <c r="E25" s="21"/>
      <c r="F25" s="30">
        <f t="shared" ref="F25:F34" si="13">IF(D$12=0,0,D25/D$12)</f>
        <v>0</v>
      </c>
      <c r="G25" s="21"/>
      <c r="H25" s="21">
        <f>SUM(OSRRefH22x_0)</f>
        <v>1455.144832</v>
      </c>
      <c r="I25" s="21"/>
      <c r="J25" s="30">
        <f t="shared" ref="J25:J34" si="14">IF(H$12=0,0,H25/H$12)</f>
        <v>1.9376096298268974</v>
      </c>
      <c r="K25" s="4"/>
      <c r="L25" s="21">
        <f t="shared" ref="L25:L34" si="15">+D25-H25</f>
        <v>-1379.644832</v>
      </c>
      <c r="M25" s="4"/>
      <c r="N25" s="30">
        <f t="shared" ref="N25:N34" si="16">IF(H25=0,0,L25/H25)</f>
        <v>-0.94811513030202621</v>
      </c>
      <c r="O25" s="10"/>
      <c r="P25" s="21">
        <f>SUM(OSRRefP22x_0)</f>
        <v>15889.219999999998</v>
      </c>
      <c r="Q25" s="21"/>
      <c r="R25" s="30">
        <f t="shared" ref="R25:R34" si="17">IF(P$12=0,0,P25/P$12)</f>
        <v>3.0679974203613805</v>
      </c>
      <c r="S25" s="21"/>
      <c r="T25" s="21">
        <f>SUM(OSRRefT22x_0)</f>
        <v>23379.047055999999</v>
      </c>
      <c r="U25" s="21"/>
      <c r="V25" s="30">
        <f t="shared" ref="V25:V34" si="18">IF(T$12=0,0,T25/T$12)</f>
        <v>2.0768452568179798</v>
      </c>
      <c r="W25" s="4"/>
      <c r="X25" s="21">
        <f t="shared" ref="X25:X34" si="19">+P25-T25</f>
        <v>-7489.8270560000019</v>
      </c>
      <c r="Y25" s="4"/>
      <c r="Z25" s="30">
        <f t="shared" ref="Z25:Z34" si="20">IF(T25=0,0,X25/T25)</f>
        <v>-0.32036494208081129</v>
      </c>
    </row>
    <row r="26" spans="1:26" s="27" customFormat="1" outlineLevel="1" collapsed="1" x14ac:dyDescent="0.25">
      <c r="A26" s="25"/>
      <c r="B26" s="12" t="str">
        <f>CONCATENATE("     ","*Benefits                                         ")</f>
        <v xml:space="preserve">     *Benefits                                         </v>
      </c>
      <c r="C26" s="12"/>
      <c r="D26" s="1">
        <f>SUM(OSRRefD22_0x_0)</f>
        <v>0</v>
      </c>
      <c r="E26" s="1"/>
      <c r="F26" s="5">
        <f t="shared" si="13"/>
        <v>0</v>
      </c>
      <c r="G26" s="1"/>
      <c r="H26" s="1">
        <f>SUM(OSRRefH22_0x_0)</f>
        <v>59.624831999999998</v>
      </c>
      <c r="I26" s="1"/>
      <c r="J26" s="5">
        <f t="shared" si="14"/>
        <v>7.939391744340879E-2</v>
      </c>
      <c r="K26" s="1"/>
      <c r="L26" s="1">
        <f t="shared" si="15"/>
        <v>-59.624831999999998</v>
      </c>
      <c r="M26" s="1"/>
      <c r="N26" s="5">
        <f t="shared" si="16"/>
        <v>-1</v>
      </c>
      <c r="O26" s="12"/>
      <c r="P26" s="1">
        <f>SUM(OSRRefP22_0x_0)</f>
        <v>858.58</v>
      </c>
      <c r="Q26" s="1"/>
      <c r="R26" s="5">
        <f t="shared" si="17"/>
        <v>0.16578039860823091</v>
      </c>
      <c r="S26" s="1"/>
      <c r="T26" s="1">
        <f>SUM(OSRRefT22_0x_0)</f>
        <v>974.88705600000003</v>
      </c>
      <c r="U26" s="1"/>
      <c r="V26" s="5">
        <f t="shared" si="18"/>
        <v>8.6602741050013324E-2</v>
      </c>
      <c r="W26" s="1"/>
      <c r="X26" s="1">
        <f t="shared" si="19"/>
        <v>-116.30705599999999</v>
      </c>
      <c r="Y26" s="1"/>
      <c r="Z26" s="5">
        <f t="shared" si="20"/>
        <v>-0.11930310827719103</v>
      </c>
    </row>
    <row r="27" spans="1:26" s="24" customFormat="1" hidden="1" outlineLevel="2" x14ac:dyDescent="0.25">
      <c r="A27" s="26"/>
      <c r="B27" s="11" t="str">
        <f>CONCATENATE("          ", "6111", " - ", "F.I.C.A.")</f>
        <v xml:space="preserve">          6111 - F.I.C.A.</v>
      </c>
      <c r="C27" s="11"/>
      <c r="D27" s="7"/>
      <c r="E27" s="2"/>
      <c r="F27" s="6">
        <f t="shared" si="13"/>
        <v>0</v>
      </c>
      <c r="G27" s="2"/>
      <c r="H27" s="7">
        <v>0</v>
      </c>
      <c r="I27" s="2"/>
      <c r="J27" s="6">
        <f t="shared" si="14"/>
        <v>0</v>
      </c>
      <c r="K27" s="2"/>
      <c r="L27" s="7">
        <f t="shared" si="15"/>
        <v>0</v>
      </c>
      <c r="M27" s="2"/>
      <c r="N27" s="6">
        <f t="shared" si="16"/>
        <v>0</v>
      </c>
      <c r="O27" s="11"/>
      <c r="P27" s="7">
        <v>602.38</v>
      </c>
      <c r="Q27" s="2"/>
      <c r="R27" s="6">
        <f t="shared" si="17"/>
        <v>0.11631158018312343</v>
      </c>
      <c r="S27" s="2"/>
      <c r="T27" s="7">
        <v>0</v>
      </c>
      <c r="U27" s="2"/>
      <c r="V27" s="6">
        <f t="shared" si="18"/>
        <v>0</v>
      </c>
      <c r="W27" s="2"/>
      <c r="X27" s="7">
        <f t="shared" si="19"/>
        <v>602.38</v>
      </c>
      <c r="Y27" s="2"/>
      <c r="Z27" s="6">
        <f t="shared" si="20"/>
        <v>0</v>
      </c>
    </row>
    <row r="28" spans="1:26" s="24" customFormat="1" hidden="1" outlineLevel="2" x14ac:dyDescent="0.25">
      <c r="A28" s="26"/>
      <c r="B28" s="11" t="str">
        <f>CONCATENATE("          ", "6112", " - ", "COMPENSATION INSURANCE")</f>
        <v xml:space="preserve">          6112 - COMPENSATION INSURANCE</v>
      </c>
      <c r="C28" s="11"/>
      <c r="D28" s="7"/>
      <c r="E28" s="2"/>
      <c r="F28" s="6">
        <f t="shared" si="13"/>
        <v>0</v>
      </c>
      <c r="G28" s="2"/>
      <c r="H28" s="7">
        <v>21.954879999999999</v>
      </c>
      <c r="I28" s="2"/>
      <c r="J28" s="6">
        <f t="shared" si="14"/>
        <v>2.9234194407456723E-2</v>
      </c>
      <c r="K28" s="2"/>
      <c r="L28" s="7">
        <f t="shared" si="15"/>
        <v>-21.954879999999999</v>
      </c>
      <c r="M28" s="2"/>
      <c r="N28" s="6">
        <f t="shared" si="16"/>
        <v>-1</v>
      </c>
      <c r="O28" s="11"/>
      <c r="P28" s="7">
        <v>221.3</v>
      </c>
      <c r="Q28" s="2"/>
      <c r="R28" s="6">
        <f t="shared" si="17"/>
        <v>4.2730091793428099E-2</v>
      </c>
      <c r="S28" s="2"/>
      <c r="T28" s="7">
        <v>358.97003999999998</v>
      </c>
      <c r="U28" s="2"/>
      <c r="V28" s="6">
        <f t="shared" si="18"/>
        <v>3.1888606200586297E-2</v>
      </c>
      <c r="W28" s="2"/>
      <c r="X28" s="7">
        <f t="shared" si="19"/>
        <v>-137.67003999999997</v>
      </c>
      <c r="Y28" s="2"/>
      <c r="Z28" s="6">
        <f t="shared" si="20"/>
        <v>-0.38351401136429097</v>
      </c>
    </row>
    <row r="29" spans="1:26" s="24" customFormat="1" hidden="1" outlineLevel="2" x14ac:dyDescent="0.25">
      <c r="A29" s="26"/>
      <c r="B29" s="11" t="str">
        <f>CONCATENATE("          ", "6113", " - ", "GROUP INSURANCE")</f>
        <v xml:space="preserve">          6113 - GROUP INSURANCE</v>
      </c>
      <c r="C29" s="11"/>
      <c r="D29" s="7"/>
      <c r="E29" s="2"/>
      <c r="F29" s="6">
        <f t="shared" si="13"/>
        <v>0</v>
      </c>
      <c r="G29" s="2"/>
      <c r="H29" s="7">
        <v>0</v>
      </c>
      <c r="I29" s="2"/>
      <c r="J29" s="6">
        <f t="shared" si="14"/>
        <v>0</v>
      </c>
      <c r="K29" s="2"/>
      <c r="L29" s="7">
        <f t="shared" si="15"/>
        <v>0</v>
      </c>
      <c r="M29" s="2"/>
      <c r="N29" s="6">
        <f t="shared" si="16"/>
        <v>0</v>
      </c>
      <c r="O29" s="11"/>
      <c r="P29" s="7"/>
      <c r="Q29" s="2"/>
      <c r="R29" s="6">
        <f t="shared" si="17"/>
        <v>0</v>
      </c>
      <c r="S29" s="2"/>
      <c r="T29" s="7">
        <v>0</v>
      </c>
      <c r="U29" s="2"/>
      <c r="V29" s="6">
        <f t="shared" si="18"/>
        <v>0</v>
      </c>
      <c r="W29" s="2"/>
      <c r="X29" s="7">
        <f t="shared" si="19"/>
        <v>0</v>
      </c>
      <c r="Y29" s="2"/>
      <c r="Z29" s="6">
        <f t="shared" si="20"/>
        <v>0</v>
      </c>
    </row>
    <row r="30" spans="1:26" s="24" customFormat="1" hidden="1" outlineLevel="2" x14ac:dyDescent="0.25">
      <c r="A30" s="26"/>
      <c r="B30" s="11" t="str">
        <f>CONCATENATE("          ", "6114", " - ", "STATE UNEMPLOYMENT INSURANCE")</f>
        <v xml:space="preserve">          6114 - STATE UNEMPLOYMENT INSURANCE</v>
      </c>
      <c r="C30" s="11"/>
      <c r="D30" s="7"/>
      <c r="E30" s="2"/>
      <c r="F30" s="6">
        <f t="shared" si="13"/>
        <v>0</v>
      </c>
      <c r="G30" s="2"/>
      <c r="H30" s="7">
        <v>3.0043519999999999</v>
      </c>
      <c r="I30" s="2"/>
      <c r="J30" s="6">
        <f t="shared" si="14"/>
        <v>4.0004687083888147E-3</v>
      </c>
      <c r="K30" s="2"/>
      <c r="L30" s="7">
        <f t="shared" si="15"/>
        <v>-3.0043519999999999</v>
      </c>
      <c r="M30" s="2"/>
      <c r="N30" s="6">
        <f t="shared" si="16"/>
        <v>-1</v>
      </c>
      <c r="O30" s="11"/>
      <c r="P30" s="7">
        <v>34.9</v>
      </c>
      <c r="Q30" s="2"/>
      <c r="R30" s="6">
        <f t="shared" si="17"/>
        <v>6.7387266316793516E-3</v>
      </c>
      <c r="S30" s="2"/>
      <c r="T30" s="7">
        <v>49.122216000000002</v>
      </c>
      <c r="U30" s="2"/>
      <c r="V30" s="6">
        <f t="shared" si="18"/>
        <v>4.3637040063960204E-3</v>
      </c>
      <c r="W30" s="2"/>
      <c r="X30" s="7">
        <f t="shared" si="19"/>
        <v>-14.222216000000003</v>
      </c>
      <c r="Y30" s="2"/>
      <c r="Z30" s="6">
        <f t="shared" si="20"/>
        <v>-0.28952716628256353</v>
      </c>
    </row>
    <row r="31" spans="1:26" s="24" customFormat="1" hidden="1" outlineLevel="2" x14ac:dyDescent="0.25">
      <c r="A31" s="26"/>
      <c r="B31" s="11" t="str">
        <f>CONCATENATE("          ", "6115", " - ", "P.E.R.S.")</f>
        <v xml:space="preserve">          6115 - P.E.R.S.</v>
      </c>
      <c r="C31" s="11"/>
      <c r="D31" s="7"/>
      <c r="E31" s="2"/>
      <c r="F31" s="6">
        <f t="shared" si="13"/>
        <v>0</v>
      </c>
      <c r="G31" s="2"/>
      <c r="H31" s="7">
        <v>0</v>
      </c>
      <c r="I31" s="2"/>
      <c r="J31" s="6">
        <f t="shared" si="14"/>
        <v>0</v>
      </c>
      <c r="K31" s="2"/>
      <c r="L31" s="7">
        <f t="shared" si="15"/>
        <v>0</v>
      </c>
      <c r="M31" s="2"/>
      <c r="N31" s="6">
        <f t="shared" si="16"/>
        <v>0</v>
      </c>
      <c r="O31" s="11"/>
      <c r="P31" s="7"/>
      <c r="Q31" s="2"/>
      <c r="R31" s="6">
        <f t="shared" si="17"/>
        <v>0</v>
      </c>
      <c r="S31" s="2"/>
      <c r="T31" s="7">
        <v>0</v>
      </c>
      <c r="U31" s="2"/>
      <c r="V31" s="6">
        <f t="shared" si="18"/>
        <v>0</v>
      </c>
      <c r="W31" s="2"/>
      <c r="X31" s="7">
        <f t="shared" si="19"/>
        <v>0</v>
      </c>
      <c r="Y31" s="2"/>
      <c r="Z31" s="6">
        <f t="shared" si="20"/>
        <v>0</v>
      </c>
    </row>
    <row r="32" spans="1:26" s="24" customFormat="1" hidden="1" outlineLevel="2" x14ac:dyDescent="0.25">
      <c r="A32" s="26"/>
      <c r="B32" s="11" t="str">
        <f>CONCATENATE("          ", "6116", " - ", "EDUCATIONAL BENEFITS")</f>
        <v xml:space="preserve">          6116 - EDUCATIONAL BENEFITS</v>
      </c>
      <c r="C32" s="11"/>
      <c r="D32" s="7"/>
      <c r="E32" s="2"/>
      <c r="F32" s="6">
        <f t="shared" si="13"/>
        <v>0</v>
      </c>
      <c r="G32" s="2"/>
      <c r="H32" s="7">
        <v>0</v>
      </c>
      <c r="I32" s="2"/>
      <c r="J32" s="6">
        <f t="shared" si="14"/>
        <v>0</v>
      </c>
      <c r="K32" s="2"/>
      <c r="L32" s="7">
        <f t="shared" si="15"/>
        <v>0</v>
      </c>
      <c r="M32" s="2"/>
      <c r="N32" s="6">
        <f t="shared" si="16"/>
        <v>0</v>
      </c>
      <c r="O32" s="11"/>
      <c r="P32" s="7"/>
      <c r="Q32" s="2"/>
      <c r="R32" s="6">
        <f t="shared" si="17"/>
        <v>0</v>
      </c>
      <c r="S32" s="2"/>
      <c r="T32" s="7">
        <v>0</v>
      </c>
      <c r="U32" s="2"/>
      <c r="V32" s="6">
        <f t="shared" si="18"/>
        <v>0</v>
      </c>
      <c r="W32" s="2"/>
      <c r="X32" s="7">
        <f t="shared" si="19"/>
        <v>0</v>
      </c>
      <c r="Y32" s="2"/>
      <c r="Z32" s="6">
        <f t="shared" si="20"/>
        <v>0</v>
      </c>
    </row>
    <row r="33" spans="1:26" s="24" customFormat="1" hidden="1" outlineLevel="2" x14ac:dyDescent="0.25">
      <c r="A33" s="26"/>
      <c r="B33" s="11" t="str">
        <f>CONCATENATE("          ", "6118", " - ", "VACATION")</f>
        <v xml:space="preserve">          6118 - VACATION</v>
      </c>
      <c r="C33" s="11"/>
      <c r="D33" s="7"/>
      <c r="E33" s="2"/>
      <c r="F33" s="6">
        <f t="shared" si="13"/>
        <v>0</v>
      </c>
      <c r="G33" s="2"/>
      <c r="H33" s="7">
        <v>0</v>
      </c>
      <c r="I33" s="2"/>
      <c r="J33" s="6">
        <f t="shared" si="14"/>
        <v>0</v>
      </c>
      <c r="K33" s="2"/>
      <c r="L33" s="7">
        <f t="shared" si="15"/>
        <v>0</v>
      </c>
      <c r="M33" s="2"/>
      <c r="N33" s="6">
        <f t="shared" si="16"/>
        <v>0</v>
      </c>
      <c r="O33" s="11"/>
      <c r="P33" s="7"/>
      <c r="Q33" s="2"/>
      <c r="R33" s="6">
        <f t="shared" si="17"/>
        <v>0</v>
      </c>
      <c r="S33" s="2"/>
      <c r="T33" s="7">
        <v>0</v>
      </c>
      <c r="U33" s="2"/>
      <c r="V33" s="6">
        <f t="shared" si="18"/>
        <v>0</v>
      </c>
      <c r="W33" s="2"/>
      <c r="X33" s="7">
        <f t="shared" si="19"/>
        <v>0</v>
      </c>
      <c r="Y33" s="2"/>
      <c r="Z33" s="6">
        <f t="shared" si="20"/>
        <v>0</v>
      </c>
    </row>
    <row r="34" spans="1:26" s="24" customFormat="1" hidden="1" outlineLevel="2" x14ac:dyDescent="0.25">
      <c r="A34" s="26"/>
      <c r="B34" s="11" t="str">
        <f>CONCATENATE("          ", "6119", " - ", "SICK LEAVE")</f>
        <v xml:space="preserve">          6119 - SICK LEAVE</v>
      </c>
      <c r="C34" s="11"/>
      <c r="D34" s="7"/>
      <c r="E34" s="2"/>
      <c r="F34" s="6">
        <f t="shared" si="13"/>
        <v>0</v>
      </c>
      <c r="G34" s="2"/>
      <c r="H34" s="7">
        <v>34.665599999999998</v>
      </c>
      <c r="I34" s="2"/>
      <c r="J34" s="6">
        <f t="shared" si="14"/>
        <v>4.6159254327563244E-2</v>
      </c>
      <c r="K34" s="2"/>
      <c r="L34" s="7">
        <f t="shared" si="15"/>
        <v>-34.665599999999998</v>
      </c>
      <c r="M34" s="2"/>
      <c r="N34" s="6">
        <f t="shared" si="16"/>
        <v>-1</v>
      </c>
      <c r="O34" s="11"/>
      <c r="P34" s="7"/>
      <c r="Q34" s="2"/>
      <c r="R34" s="6">
        <f t="shared" si="17"/>
        <v>0</v>
      </c>
      <c r="S34" s="2"/>
      <c r="T34" s="7">
        <v>566.79480000000001</v>
      </c>
      <c r="U34" s="2"/>
      <c r="V34" s="6">
        <f t="shared" si="18"/>
        <v>5.0350430843031001E-2</v>
      </c>
      <c r="W34" s="2"/>
      <c r="X34" s="7">
        <f t="shared" si="19"/>
        <v>-566.79480000000001</v>
      </c>
      <c r="Y34" s="2"/>
      <c r="Z34" s="6">
        <f t="shared" si="20"/>
        <v>-1</v>
      </c>
    </row>
    <row r="35" spans="1:26" s="27" customFormat="1" outlineLevel="1" collapsed="1" x14ac:dyDescent="0.25">
      <c r="A35" s="25"/>
      <c r="B35" s="12" t="str">
        <f>CONCATENATE("     ","*Payroll                                          ")</f>
        <v xml:space="preserve">     *Payroll                                          </v>
      </c>
      <c r="C35" s="12"/>
      <c r="D35" s="1">
        <f>SUM(OSRRefD22_1x_0)</f>
        <v>0</v>
      </c>
      <c r="E35" s="1"/>
      <c r="F35" s="5">
        <f t="shared" ref="F35:F45" si="21">IF(D$12=0,0,D35/D$12)</f>
        <v>0</v>
      </c>
      <c r="G35" s="1"/>
      <c r="H35" s="1">
        <f>SUM(OSRRefH22_1x_0)</f>
        <v>1155.52</v>
      </c>
      <c r="I35" s="1"/>
      <c r="J35" s="5">
        <f t="shared" ref="J35:J45" si="22">IF(H$12=0,0,H35/H$12)</f>
        <v>1.5386418109187749</v>
      </c>
      <c r="K35" s="1"/>
      <c r="L35" s="1">
        <f t="shared" ref="L35:L45" si="23">+D35-H35</f>
        <v>-1155.52</v>
      </c>
      <c r="M35" s="1"/>
      <c r="N35" s="5">
        <f t="shared" ref="N35:N45" si="24">IF(H35=0,0,L35/H35)</f>
        <v>-1</v>
      </c>
      <c r="O35" s="12"/>
      <c r="P35" s="1">
        <f>SUM(OSRRefP22_1x_0)</f>
        <v>10914.98</v>
      </c>
      <c r="Q35" s="1"/>
      <c r="R35" s="5">
        <f t="shared" ref="R35:R45" si="25">IF(P$12=0,0,P35/P$12)</f>
        <v>2.1075377194913321</v>
      </c>
      <c r="S35" s="1"/>
      <c r="T35" s="1">
        <f>SUM(OSRRefT22_1x_0)</f>
        <v>18893.16</v>
      </c>
      <c r="U35" s="1"/>
      <c r="V35" s="5">
        <f t="shared" ref="V35:V45" si="26">IF(T$12=0,0,T35/T$12)</f>
        <v>1.6783476947677001</v>
      </c>
      <c r="W35" s="1"/>
      <c r="X35" s="1">
        <f t="shared" ref="X35:X45" si="27">+P35-T35</f>
        <v>-7978.18</v>
      </c>
      <c r="Y35" s="1"/>
      <c r="Z35" s="5">
        <f t="shared" ref="Z35:Z45" si="28">IF(T35=0,0,X35/T35)</f>
        <v>-0.42227875061662529</v>
      </c>
    </row>
    <row r="36" spans="1:26" s="24" customFormat="1" hidden="1" outlineLevel="2" x14ac:dyDescent="0.25">
      <c r="A36" s="26"/>
      <c r="B36" s="11" t="str">
        <f>CONCATENATE("          ", "6001", " - ", "ADMINISTRATIVE SALARIES")</f>
        <v xml:space="preserve">          6001 - ADMINISTRATIVE SALARIES</v>
      </c>
      <c r="C36" s="11"/>
      <c r="D36" s="7"/>
      <c r="E36" s="2"/>
      <c r="F36" s="6">
        <f t="shared" si="21"/>
        <v>0</v>
      </c>
      <c r="G36" s="2"/>
      <c r="H36" s="7">
        <v>0</v>
      </c>
      <c r="I36" s="2"/>
      <c r="J36" s="6">
        <f t="shared" si="22"/>
        <v>0</v>
      </c>
      <c r="K36" s="2"/>
      <c r="L36" s="7">
        <f t="shared" si="23"/>
        <v>0</v>
      </c>
      <c r="M36" s="2"/>
      <c r="N36" s="6">
        <f t="shared" si="24"/>
        <v>0</v>
      </c>
      <c r="O36" s="11"/>
      <c r="P36" s="7"/>
      <c r="Q36" s="2"/>
      <c r="R36" s="6">
        <f t="shared" si="25"/>
        <v>0</v>
      </c>
      <c r="S36" s="2"/>
      <c r="T36" s="7">
        <v>0</v>
      </c>
      <c r="U36" s="2"/>
      <c r="V36" s="6">
        <f t="shared" si="26"/>
        <v>0</v>
      </c>
      <c r="W36" s="2"/>
      <c r="X36" s="7">
        <f t="shared" si="27"/>
        <v>0</v>
      </c>
      <c r="Y36" s="2"/>
      <c r="Z36" s="6">
        <f t="shared" si="28"/>
        <v>0</v>
      </c>
    </row>
    <row r="37" spans="1:26" s="24" customFormat="1" hidden="1" outlineLevel="2" x14ac:dyDescent="0.25">
      <c r="A37" s="26"/>
      <c r="B37" s="11" t="str">
        <f>CONCATENATE("          ", "6002", " - ", "STAFF SALARIES")</f>
        <v xml:space="preserve">          6002 - STAFF SALARIES</v>
      </c>
      <c r="C37" s="11"/>
      <c r="D37" s="7"/>
      <c r="E37" s="2"/>
      <c r="F37" s="6">
        <f t="shared" si="21"/>
        <v>0</v>
      </c>
      <c r="G37" s="2"/>
      <c r="H37" s="7">
        <v>0</v>
      </c>
      <c r="I37" s="2"/>
      <c r="J37" s="6">
        <f t="shared" si="22"/>
        <v>0</v>
      </c>
      <c r="K37" s="2"/>
      <c r="L37" s="7">
        <f t="shared" si="23"/>
        <v>0</v>
      </c>
      <c r="M37" s="2"/>
      <c r="N37" s="6">
        <f t="shared" si="24"/>
        <v>0</v>
      </c>
      <c r="O37" s="11"/>
      <c r="P37" s="7"/>
      <c r="Q37" s="2"/>
      <c r="R37" s="6">
        <f t="shared" si="25"/>
        <v>0</v>
      </c>
      <c r="S37" s="2"/>
      <c r="T37" s="7">
        <v>0</v>
      </c>
      <c r="U37" s="2"/>
      <c r="V37" s="6">
        <f t="shared" si="26"/>
        <v>0</v>
      </c>
      <c r="W37" s="2"/>
      <c r="X37" s="7">
        <f t="shared" si="27"/>
        <v>0</v>
      </c>
      <c r="Y37" s="2"/>
      <c r="Z37" s="6">
        <f t="shared" si="28"/>
        <v>0</v>
      </c>
    </row>
    <row r="38" spans="1:26" s="24" customFormat="1" hidden="1" outlineLevel="2" x14ac:dyDescent="0.25">
      <c r="A38" s="26"/>
      <c r="B38" s="11" t="str">
        <f>CONCATENATE("          ", "6003", " - ", "STAFF HOURLY-9 MONTH")</f>
        <v xml:space="preserve">          6003 - STAFF HOURLY-9 MONTH</v>
      </c>
      <c r="C38" s="11"/>
      <c r="D38" s="7"/>
      <c r="E38" s="2"/>
      <c r="F38" s="6">
        <f t="shared" si="21"/>
        <v>0</v>
      </c>
      <c r="G38" s="2"/>
      <c r="H38" s="7">
        <v>0</v>
      </c>
      <c r="I38" s="2"/>
      <c r="J38" s="6">
        <f t="shared" si="22"/>
        <v>0</v>
      </c>
      <c r="K38" s="2"/>
      <c r="L38" s="7">
        <f t="shared" si="23"/>
        <v>0</v>
      </c>
      <c r="M38" s="2"/>
      <c r="N38" s="6">
        <f t="shared" si="24"/>
        <v>0</v>
      </c>
      <c r="O38" s="11"/>
      <c r="P38" s="7"/>
      <c r="Q38" s="2"/>
      <c r="R38" s="6">
        <f t="shared" si="25"/>
        <v>0</v>
      </c>
      <c r="S38" s="2"/>
      <c r="T38" s="7">
        <v>0</v>
      </c>
      <c r="U38" s="2"/>
      <c r="V38" s="6">
        <f t="shared" si="26"/>
        <v>0</v>
      </c>
      <c r="W38" s="2"/>
      <c r="X38" s="7">
        <f t="shared" si="27"/>
        <v>0</v>
      </c>
      <c r="Y38" s="2"/>
      <c r="Z38" s="6">
        <f t="shared" si="28"/>
        <v>0</v>
      </c>
    </row>
    <row r="39" spans="1:26" s="24" customFormat="1" hidden="1" outlineLevel="2" x14ac:dyDescent="0.25">
      <c r="A39" s="26"/>
      <c r="B39" s="11" t="str">
        <f>CONCATENATE("          ", "6004", " - ", "STAFF HOURLY")</f>
        <v xml:space="preserve">          6004 - STAFF HOURLY</v>
      </c>
      <c r="C39" s="11"/>
      <c r="D39" s="7"/>
      <c r="E39" s="2"/>
      <c r="F39" s="6">
        <f t="shared" si="21"/>
        <v>0</v>
      </c>
      <c r="G39" s="2"/>
      <c r="H39" s="7">
        <v>0</v>
      </c>
      <c r="I39" s="2"/>
      <c r="J39" s="6">
        <f t="shared" si="22"/>
        <v>0</v>
      </c>
      <c r="K39" s="2"/>
      <c r="L39" s="7">
        <f t="shared" si="23"/>
        <v>0</v>
      </c>
      <c r="M39" s="2"/>
      <c r="N39" s="6">
        <f t="shared" si="24"/>
        <v>0</v>
      </c>
      <c r="O39" s="11"/>
      <c r="P39" s="7"/>
      <c r="Q39" s="2"/>
      <c r="R39" s="6">
        <f t="shared" si="25"/>
        <v>0</v>
      </c>
      <c r="S39" s="2"/>
      <c r="T39" s="7">
        <v>0</v>
      </c>
      <c r="U39" s="2"/>
      <c r="V39" s="6">
        <f t="shared" si="26"/>
        <v>0</v>
      </c>
      <c r="W39" s="2"/>
      <c r="X39" s="7">
        <f t="shared" si="27"/>
        <v>0</v>
      </c>
      <c r="Y39" s="2"/>
      <c r="Z39" s="6">
        <f t="shared" si="28"/>
        <v>0</v>
      </c>
    </row>
    <row r="40" spans="1:26" s="24" customFormat="1" hidden="1" outlineLevel="2" x14ac:dyDescent="0.25">
      <c r="A40" s="26"/>
      <c r="B40" s="11" t="str">
        <f>CONCATENATE("          ", "6005", " - ", "TEMPORARY WAGES-HOURLY")</f>
        <v xml:space="preserve">          6005 - TEMPORARY WAGES-HOURLY</v>
      </c>
      <c r="C40" s="11"/>
      <c r="D40" s="7"/>
      <c r="E40" s="2"/>
      <c r="F40" s="6">
        <f t="shared" si="21"/>
        <v>0</v>
      </c>
      <c r="G40" s="2"/>
      <c r="H40" s="7">
        <v>0</v>
      </c>
      <c r="I40" s="2"/>
      <c r="J40" s="6">
        <f t="shared" si="22"/>
        <v>0</v>
      </c>
      <c r="K40" s="2"/>
      <c r="L40" s="7">
        <f t="shared" si="23"/>
        <v>0</v>
      </c>
      <c r="M40" s="2"/>
      <c r="N40" s="6">
        <f t="shared" si="24"/>
        <v>0</v>
      </c>
      <c r="O40" s="11"/>
      <c r="P40" s="7">
        <v>7765.17</v>
      </c>
      <c r="Q40" s="2"/>
      <c r="R40" s="6">
        <f t="shared" si="25"/>
        <v>1.4993512286108182</v>
      </c>
      <c r="S40" s="2"/>
      <c r="T40" s="7">
        <v>0</v>
      </c>
      <c r="U40" s="2"/>
      <c r="V40" s="6">
        <f t="shared" si="26"/>
        <v>0</v>
      </c>
      <c r="W40" s="2"/>
      <c r="X40" s="7">
        <f t="shared" si="27"/>
        <v>7765.17</v>
      </c>
      <c r="Y40" s="2"/>
      <c r="Z40" s="6">
        <f t="shared" si="28"/>
        <v>0</v>
      </c>
    </row>
    <row r="41" spans="1:26" s="24" customFormat="1" hidden="1" outlineLevel="2" x14ac:dyDescent="0.25">
      <c r="A41" s="26"/>
      <c r="B41" s="11" t="str">
        <f>CONCATENATE("          ", "6006", " - ", "TEMPORARY PART TIME")</f>
        <v xml:space="preserve">          6006 - TEMPORARY PART TIME</v>
      </c>
      <c r="C41" s="11"/>
      <c r="D41" s="7"/>
      <c r="E41" s="2"/>
      <c r="F41" s="6">
        <f t="shared" si="21"/>
        <v>0</v>
      </c>
      <c r="G41" s="2"/>
      <c r="H41" s="7">
        <v>0</v>
      </c>
      <c r="I41" s="2"/>
      <c r="J41" s="6">
        <f t="shared" si="22"/>
        <v>0</v>
      </c>
      <c r="K41" s="2"/>
      <c r="L41" s="7">
        <f t="shared" si="23"/>
        <v>0</v>
      </c>
      <c r="M41" s="2"/>
      <c r="N41" s="6">
        <f t="shared" si="24"/>
        <v>0</v>
      </c>
      <c r="O41" s="11"/>
      <c r="P41" s="7">
        <v>73.31</v>
      </c>
      <c r="Q41" s="2"/>
      <c r="R41" s="6">
        <f t="shared" si="25"/>
        <v>1.4155187660986054E-2</v>
      </c>
      <c r="S41" s="2"/>
      <c r="T41" s="7">
        <v>0</v>
      </c>
      <c r="U41" s="2"/>
      <c r="V41" s="6">
        <f t="shared" si="26"/>
        <v>0</v>
      </c>
      <c r="W41" s="2"/>
      <c r="X41" s="7">
        <f t="shared" si="27"/>
        <v>73.31</v>
      </c>
      <c r="Y41" s="2"/>
      <c r="Z41" s="6">
        <f t="shared" si="28"/>
        <v>0</v>
      </c>
    </row>
    <row r="42" spans="1:26" s="24" customFormat="1" hidden="1" outlineLevel="2" x14ac:dyDescent="0.25">
      <c r="A42" s="26"/>
      <c r="B42" s="11" t="str">
        <f>CONCATENATE("          ", "6007", " - ", "STUDENT HOURLY")</f>
        <v xml:space="preserve">          6007 - STUDENT HOURLY</v>
      </c>
      <c r="C42" s="11"/>
      <c r="D42" s="7"/>
      <c r="E42" s="2"/>
      <c r="F42" s="6">
        <f t="shared" si="21"/>
        <v>0</v>
      </c>
      <c r="G42" s="2"/>
      <c r="H42" s="7">
        <v>0</v>
      </c>
      <c r="I42" s="2"/>
      <c r="J42" s="6">
        <f t="shared" si="22"/>
        <v>0</v>
      </c>
      <c r="K42" s="2"/>
      <c r="L42" s="7">
        <f t="shared" si="23"/>
        <v>0</v>
      </c>
      <c r="M42" s="2"/>
      <c r="N42" s="6">
        <f t="shared" si="24"/>
        <v>0</v>
      </c>
      <c r="O42" s="11"/>
      <c r="P42" s="7">
        <v>3076.5</v>
      </c>
      <c r="Q42" s="2"/>
      <c r="R42" s="6">
        <f t="shared" si="25"/>
        <v>0.59403130321952802</v>
      </c>
      <c r="S42" s="2"/>
      <c r="T42" s="7">
        <v>0</v>
      </c>
      <c r="U42" s="2"/>
      <c r="V42" s="6">
        <f t="shared" si="26"/>
        <v>0</v>
      </c>
      <c r="W42" s="2"/>
      <c r="X42" s="7">
        <f t="shared" si="27"/>
        <v>3076.5</v>
      </c>
      <c r="Y42" s="2"/>
      <c r="Z42" s="6">
        <f t="shared" si="28"/>
        <v>0</v>
      </c>
    </row>
    <row r="43" spans="1:26" s="24" customFormat="1" hidden="1" outlineLevel="2" x14ac:dyDescent="0.25">
      <c r="A43" s="26"/>
      <c r="B43" s="11" t="str">
        <f>CONCATENATE("          ", "6008", " - ", "STUDENT HOURLY-FICA EXEMPT")</f>
        <v xml:space="preserve">          6008 - STUDENT HOURLY-FICA EXEMPT</v>
      </c>
      <c r="C43" s="11"/>
      <c r="D43" s="7"/>
      <c r="E43" s="2"/>
      <c r="F43" s="6">
        <f t="shared" si="21"/>
        <v>0</v>
      </c>
      <c r="G43" s="2"/>
      <c r="H43" s="7">
        <v>1155.52</v>
      </c>
      <c r="I43" s="2"/>
      <c r="J43" s="6">
        <f t="shared" si="22"/>
        <v>1.5386418109187749</v>
      </c>
      <c r="K43" s="2"/>
      <c r="L43" s="7">
        <f t="shared" si="23"/>
        <v>-1155.52</v>
      </c>
      <c r="M43" s="2"/>
      <c r="N43" s="6">
        <f t="shared" si="24"/>
        <v>-1</v>
      </c>
      <c r="O43" s="11"/>
      <c r="P43" s="7"/>
      <c r="Q43" s="2"/>
      <c r="R43" s="6">
        <f t="shared" si="25"/>
        <v>0</v>
      </c>
      <c r="S43" s="2"/>
      <c r="T43" s="7">
        <v>18893.16</v>
      </c>
      <c r="U43" s="2"/>
      <c r="V43" s="6">
        <f t="shared" si="26"/>
        <v>1.6783476947677001</v>
      </c>
      <c r="W43" s="2"/>
      <c r="X43" s="7">
        <f t="shared" si="27"/>
        <v>-18893.16</v>
      </c>
      <c r="Y43" s="2"/>
      <c r="Z43" s="6">
        <f t="shared" si="28"/>
        <v>-1</v>
      </c>
    </row>
    <row r="44" spans="1:26" s="24" customFormat="1" hidden="1" outlineLevel="2" x14ac:dyDescent="0.25">
      <c r="A44" s="26"/>
      <c r="B44" s="11" t="str">
        <f>CONCATENATE("          ", "6009", " - ", "TEMPORARY-SEASONAL")</f>
        <v xml:space="preserve">          6009 - TEMPORARY-SEASONAL</v>
      </c>
      <c r="C44" s="11"/>
      <c r="D44" s="7"/>
      <c r="E44" s="2"/>
      <c r="F44" s="6">
        <f t="shared" si="21"/>
        <v>0</v>
      </c>
      <c r="G44" s="2"/>
      <c r="H44" s="7">
        <v>0</v>
      </c>
      <c r="I44" s="2"/>
      <c r="J44" s="6">
        <f t="shared" si="22"/>
        <v>0</v>
      </c>
      <c r="K44" s="2"/>
      <c r="L44" s="7">
        <f t="shared" si="23"/>
        <v>0</v>
      </c>
      <c r="M44" s="2"/>
      <c r="N44" s="6">
        <f t="shared" si="24"/>
        <v>0</v>
      </c>
      <c r="O44" s="11"/>
      <c r="P44" s="7"/>
      <c r="Q44" s="2"/>
      <c r="R44" s="6">
        <f t="shared" si="25"/>
        <v>0</v>
      </c>
      <c r="S44" s="2"/>
      <c r="T44" s="7">
        <v>0</v>
      </c>
      <c r="U44" s="2"/>
      <c r="V44" s="6">
        <f t="shared" si="26"/>
        <v>0</v>
      </c>
      <c r="W44" s="2"/>
      <c r="X44" s="7">
        <f t="shared" si="27"/>
        <v>0</v>
      </c>
      <c r="Y44" s="2"/>
      <c r="Z44" s="6">
        <f t="shared" si="28"/>
        <v>0</v>
      </c>
    </row>
    <row r="45" spans="1:26" s="24" customFormat="1" hidden="1" outlineLevel="2" x14ac:dyDescent="0.25">
      <c r="A45" s="26"/>
      <c r="B45" s="11" t="str">
        <f>CONCATENATE("          ", "6010", " - ", "GRATUITY")</f>
        <v xml:space="preserve">          6010 - GRATUITY</v>
      </c>
      <c r="C45" s="11"/>
      <c r="D45" s="7"/>
      <c r="E45" s="2"/>
      <c r="F45" s="6">
        <f t="shared" si="21"/>
        <v>0</v>
      </c>
      <c r="G45" s="2"/>
      <c r="H45" s="7">
        <v>0</v>
      </c>
      <c r="I45" s="2"/>
      <c r="J45" s="6">
        <f t="shared" si="22"/>
        <v>0</v>
      </c>
      <c r="K45" s="2"/>
      <c r="L45" s="7">
        <f t="shared" si="23"/>
        <v>0</v>
      </c>
      <c r="M45" s="2"/>
      <c r="N45" s="6">
        <f t="shared" si="24"/>
        <v>0</v>
      </c>
      <c r="O45" s="11"/>
      <c r="P45" s="7"/>
      <c r="Q45" s="2"/>
      <c r="R45" s="6">
        <f t="shared" si="25"/>
        <v>0</v>
      </c>
      <c r="S45" s="2"/>
      <c r="T45" s="7">
        <v>0</v>
      </c>
      <c r="U45" s="2"/>
      <c r="V45" s="6">
        <f t="shared" si="26"/>
        <v>0</v>
      </c>
      <c r="W45" s="2"/>
      <c r="X45" s="7">
        <f t="shared" si="27"/>
        <v>0</v>
      </c>
      <c r="Y45" s="2"/>
      <c r="Z45" s="6">
        <f t="shared" si="28"/>
        <v>0</v>
      </c>
    </row>
    <row r="46" spans="1:26" s="27" customFormat="1" outlineLevel="1" collapsed="1" x14ac:dyDescent="0.25">
      <c r="A46" s="25"/>
      <c r="B46" s="12" t="str">
        <f>CONCATENATE("     ","Bad Debts/Over/Short                              ")</f>
        <v xml:space="preserve">     Bad Debts/Over/Short                              </v>
      </c>
      <c r="C46" s="12"/>
      <c r="D46" s="1">
        <f>SUM(OSRRefD22_2x_0)</f>
        <v>0</v>
      </c>
      <c r="E46" s="1"/>
      <c r="F46" s="5">
        <f t="shared" ref="F46:F59" si="29">IF(D$12=0,0,D46/D$12)</f>
        <v>0</v>
      </c>
      <c r="G46" s="1"/>
      <c r="H46" s="1">
        <f>SUM(OSRRefH22_2x_0)</f>
        <v>25</v>
      </c>
      <c r="I46" s="1"/>
      <c r="J46" s="5">
        <f t="shared" ref="J46:J59" si="30">IF(H$12=0,0,H46/H$12)</f>
        <v>3.3288948069241014E-2</v>
      </c>
      <c r="K46" s="1"/>
      <c r="L46" s="1">
        <f t="shared" ref="L46:L59" si="31">+D46-H46</f>
        <v>-25</v>
      </c>
      <c r="M46" s="1"/>
      <c r="N46" s="5">
        <f t="shared" ref="N46:N59" si="32">IF(H46=0,0,L46/H46)</f>
        <v>-1</v>
      </c>
      <c r="O46" s="12"/>
      <c r="P46" s="1">
        <f>SUM(OSRRefP22_2x_0)</f>
        <v>-1.41</v>
      </c>
      <c r="Q46" s="1"/>
      <c r="R46" s="5">
        <f t="shared" ref="R46:R59" si="33">IF(P$12=0,0,P46/P$12)</f>
        <v>-2.7225227938876463E-4</v>
      </c>
      <c r="S46" s="1"/>
      <c r="T46" s="1">
        <f>SUM(OSRRefT22_2x_0)</f>
        <v>275</v>
      </c>
      <c r="U46" s="1"/>
      <c r="V46" s="5">
        <f t="shared" ref="V46:V59" si="34">IF(T$12=0,0,T46/T$12)</f>
        <v>2.4429244025939417E-2</v>
      </c>
      <c r="W46" s="1"/>
      <c r="X46" s="1">
        <f t="shared" ref="X46:X59" si="35">+P46-T46</f>
        <v>-276.41000000000003</v>
      </c>
      <c r="Y46" s="1"/>
      <c r="Z46" s="5">
        <f t="shared" ref="Z46:Z59" si="36">IF(T46=0,0,X46/T46)</f>
        <v>-1.0051272727272729</v>
      </c>
    </row>
    <row r="47" spans="1:26" s="24" customFormat="1" hidden="1" outlineLevel="2" x14ac:dyDescent="0.25">
      <c r="A47" s="26"/>
      <c r="B47" s="11" t="str">
        <f>CONCATENATE("          ", "6272", " - ", "CASH (OVER/SHORT)")</f>
        <v xml:space="preserve">          6272 - CASH (OVER/SHORT)</v>
      </c>
      <c r="C47" s="11"/>
      <c r="D47" s="7"/>
      <c r="E47" s="2"/>
      <c r="F47" s="6">
        <f t="shared" si="29"/>
        <v>0</v>
      </c>
      <c r="G47" s="2"/>
      <c r="H47" s="7">
        <v>25</v>
      </c>
      <c r="I47" s="2"/>
      <c r="J47" s="6">
        <f t="shared" si="30"/>
        <v>3.3288948069241014E-2</v>
      </c>
      <c r="K47" s="2"/>
      <c r="L47" s="7">
        <f t="shared" si="31"/>
        <v>-25</v>
      </c>
      <c r="M47" s="2"/>
      <c r="N47" s="6">
        <f t="shared" si="32"/>
        <v>-1</v>
      </c>
      <c r="O47" s="11"/>
      <c r="P47" s="7">
        <v>-1.41</v>
      </c>
      <c r="Q47" s="2"/>
      <c r="R47" s="6">
        <f t="shared" si="33"/>
        <v>-2.7225227938876463E-4</v>
      </c>
      <c r="S47" s="2"/>
      <c r="T47" s="7">
        <v>275</v>
      </c>
      <c r="U47" s="2"/>
      <c r="V47" s="6">
        <f t="shared" si="34"/>
        <v>2.4429244025939417E-2</v>
      </c>
      <c r="W47" s="2"/>
      <c r="X47" s="7">
        <f t="shared" si="35"/>
        <v>-276.41000000000003</v>
      </c>
      <c r="Y47" s="2"/>
      <c r="Z47" s="6">
        <f t="shared" si="36"/>
        <v>-1.0051272727272729</v>
      </c>
    </row>
    <row r="48" spans="1:26" s="27" customFormat="1" outlineLevel="1" collapsed="1" x14ac:dyDescent="0.25">
      <c r="A48" s="25"/>
      <c r="B48" s="12" t="str">
        <f>CONCATENATE("     ","Bank/card Fees                                    ")</f>
        <v xml:space="preserve">     Bank/card Fees                                    </v>
      </c>
      <c r="C48" s="12"/>
      <c r="D48" s="1">
        <f>SUM(OSRRefD22_3x_0)</f>
        <v>0</v>
      </c>
      <c r="E48" s="1"/>
      <c r="F48" s="5">
        <f t="shared" si="29"/>
        <v>0</v>
      </c>
      <c r="G48" s="1"/>
      <c r="H48" s="1">
        <f>SUM(OSRRefH22_3x_0)</f>
        <v>16</v>
      </c>
      <c r="I48" s="1"/>
      <c r="J48" s="5">
        <f t="shared" si="30"/>
        <v>2.1304926764314249E-2</v>
      </c>
      <c r="K48" s="1"/>
      <c r="L48" s="1">
        <f t="shared" si="31"/>
        <v>-16</v>
      </c>
      <c r="M48" s="1"/>
      <c r="N48" s="5">
        <f t="shared" si="32"/>
        <v>-1</v>
      </c>
      <c r="O48" s="12"/>
      <c r="P48" s="1">
        <f>SUM(OSRRefP22_3x_0)</f>
        <v>125.26</v>
      </c>
      <c r="Q48" s="1"/>
      <c r="R48" s="5">
        <f t="shared" si="33"/>
        <v>2.418604291931678E-2</v>
      </c>
      <c r="S48" s="1"/>
      <c r="T48" s="1">
        <f>SUM(OSRRefT22_3x_0)</f>
        <v>239</v>
      </c>
      <c r="U48" s="1"/>
      <c r="V48" s="5">
        <f t="shared" si="34"/>
        <v>2.1231233898907347E-2</v>
      </c>
      <c r="W48" s="1"/>
      <c r="X48" s="1">
        <f t="shared" si="35"/>
        <v>-113.74</v>
      </c>
      <c r="Y48" s="1"/>
      <c r="Z48" s="5">
        <f t="shared" si="36"/>
        <v>-0.47589958158995815</v>
      </c>
    </row>
    <row r="49" spans="1:26" s="24" customFormat="1" hidden="1" outlineLevel="2" x14ac:dyDescent="0.25">
      <c r="A49" s="26"/>
      <c r="B49" s="11" t="str">
        <f>CONCATENATE("          ", "6381", " - ", "BANK/CREDIT CARD FEES")</f>
        <v xml:space="preserve">          6381 - BANK/CREDIT CARD FEES</v>
      </c>
      <c r="C49" s="11"/>
      <c r="D49" s="7"/>
      <c r="E49" s="2"/>
      <c r="F49" s="6">
        <f t="shared" si="29"/>
        <v>0</v>
      </c>
      <c r="G49" s="2"/>
      <c r="H49" s="7">
        <v>16</v>
      </c>
      <c r="I49" s="2"/>
      <c r="J49" s="6">
        <f t="shared" si="30"/>
        <v>2.1304926764314249E-2</v>
      </c>
      <c r="K49" s="2"/>
      <c r="L49" s="7">
        <f t="shared" si="31"/>
        <v>-16</v>
      </c>
      <c r="M49" s="2"/>
      <c r="N49" s="6">
        <f t="shared" si="32"/>
        <v>-1</v>
      </c>
      <c r="O49" s="11"/>
      <c r="P49" s="7">
        <v>125.26</v>
      </c>
      <c r="Q49" s="2"/>
      <c r="R49" s="6">
        <f t="shared" si="33"/>
        <v>2.418604291931678E-2</v>
      </c>
      <c r="S49" s="2"/>
      <c r="T49" s="7">
        <v>239</v>
      </c>
      <c r="U49" s="2"/>
      <c r="V49" s="6">
        <f t="shared" si="34"/>
        <v>2.1231233898907347E-2</v>
      </c>
      <c r="W49" s="2"/>
      <c r="X49" s="7">
        <f t="shared" si="35"/>
        <v>-113.74</v>
      </c>
      <c r="Y49" s="2"/>
      <c r="Z49" s="6">
        <f t="shared" si="36"/>
        <v>-0.47589958158995815</v>
      </c>
    </row>
    <row r="50" spans="1:26" s="27" customFormat="1" outlineLevel="1" collapsed="1" x14ac:dyDescent="0.25">
      <c r="A50" s="25"/>
      <c r="B50" s="12" t="str">
        <f>CONCATENATE("     ","Employees' Appreciation                           ")</f>
        <v xml:space="preserve">     Employees' Appreciation                           </v>
      </c>
      <c r="C50" s="12"/>
      <c r="D50" s="1">
        <f>SUM(OSRRefD22_4x_0)</f>
        <v>0</v>
      </c>
      <c r="E50" s="1"/>
      <c r="F50" s="5">
        <f t="shared" si="29"/>
        <v>0</v>
      </c>
      <c r="G50" s="1"/>
      <c r="H50" s="1">
        <f>SUM(OSRRefH22_4x_0)</f>
        <v>0</v>
      </c>
      <c r="I50" s="1"/>
      <c r="J50" s="5">
        <f t="shared" si="30"/>
        <v>0</v>
      </c>
      <c r="K50" s="1"/>
      <c r="L50" s="1">
        <f t="shared" si="31"/>
        <v>0</v>
      </c>
      <c r="M50" s="1"/>
      <c r="N50" s="5">
        <f t="shared" si="32"/>
        <v>0</v>
      </c>
      <c r="O50" s="12"/>
      <c r="P50" s="1">
        <f>SUM(OSRRefP22_4x_0)</f>
        <v>40.799999999999997</v>
      </c>
      <c r="Q50" s="1"/>
      <c r="R50" s="5">
        <f t="shared" si="33"/>
        <v>7.877938297206807E-3</v>
      </c>
      <c r="S50" s="1"/>
      <c r="T50" s="1">
        <f>SUM(OSRRefT22_4x_0)</f>
        <v>0</v>
      </c>
      <c r="U50" s="1"/>
      <c r="V50" s="5">
        <f t="shared" si="34"/>
        <v>0</v>
      </c>
      <c r="W50" s="1"/>
      <c r="X50" s="1">
        <f t="shared" si="35"/>
        <v>40.799999999999997</v>
      </c>
      <c r="Y50" s="1"/>
      <c r="Z50" s="5">
        <f t="shared" si="36"/>
        <v>0</v>
      </c>
    </row>
    <row r="51" spans="1:26" s="24" customFormat="1" hidden="1" outlineLevel="2" x14ac:dyDescent="0.25">
      <c r="A51" s="26"/>
      <c r="B51" s="11" t="str">
        <f>CONCATENATE("          ", "6277", " - ", "EMPLOYEE APPRECIATION")</f>
        <v xml:space="preserve">          6277 - EMPLOYEE APPRECIATION</v>
      </c>
      <c r="C51" s="11"/>
      <c r="D51" s="7"/>
      <c r="E51" s="2"/>
      <c r="F51" s="6">
        <f t="shared" si="29"/>
        <v>0</v>
      </c>
      <c r="G51" s="2"/>
      <c r="H51" s="7"/>
      <c r="I51" s="2"/>
      <c r="J51" s="6">
        <f t="shared" si="30"/>
        <v>0</v>
      </c>
      <c r="K51" s="2"/>
      <c r="L51" s="7">
        <f t="shared" si="31"/>
        <v>0</v>
      </c>
      <c r="M51" s="2"/>
      <c r="N51" s="6">
        <f t="shared" si="32"/>
        <v>0</v>
      </c>
      <c r="O51" s="11"/>
      <c r="P51" s="7">
        <v>40.799999999999997</v>
      </c>
      <c r="Q51" s="2"/>
      <c r="R51" s="6">
        <f t="shared" si="33"/>
        <v>7.877938297206807E-3</v>
      </c>
      <c r="S51" s="2"/>
      <c r="T51" s="7"/>
      <c r="U51" s="2"/>
      <c r="V51" s="6">
        <f t="shared" si="34"/>
        <v>0</v>
      </c>
      <c r="W51" s="2"/>
      <c r="X51" s="7">
        <f t="shared" si="35"/>
        <v>40.799999999999997</v>
      </c>
      <c r="Y51" s="2"/>
      <c r="Z51" s="6">
        <f t="shared" si="36"/>
        <v>0</v>
      </c>
    </row>
    <row r="52" spans="1:26" s="27" customFormat="1" outlineLevel="1" collapsed="1" x14ac:dyDescent="0.25">
      <c r="A52" s="25"/>
      <c r="B52" s="12" t="str">
        <f>CONCATENATE("     ","General                                           ")</f>
        <v xml:space="preserve">     General                                           </v>
      </c>
      <c r="C52" s="12"/>
      <c r="D52" s="1">
        <f>SUM(OSRRefD22_5x_0)</f>
        <v>0</v>
      </c>
      <c r="E52" s="1"/>
      <c r="F52" s="5">
        <f t="shared" si="29"/>
        <v>0</v>
      </c>
      <c r="G52" s="1"/>
      <c r="H52" s="1">
        <f>SUM(OSRRefH22_5x_0)</f>
        <v>137</v>
      </c>
      <c r="I52" s="1"/>
      <c r="J52" s="5">
        <f t="shared" si="30"/>
        <v>0.18242343541944075</v>
      </c>
      <c r="K52" s="1"/>
      <c r="L52" s="1">
        <f t="shared" si="31"/>
        <v>-137</v>
      </c>
      <c r="M52" s="1"/>
      <c r="N52" s="5">
        <f t="shared" si="32"/>
        <v>-1</v>
      </c>
      <c r="O52" s="12"/>
      <c r="P52" s="1">
        <f>SUM(OSRRefP22_5x_0)</f>
        <v>1154.05</v>
      </c>
      <c r="Q52" s="1"/>
      <c r="R52" s="5">
        <f t="shared" si="33"/>
        <v>0.22283173264439987</v>
      </c>
      <c r="S52" s="1"/>
      <c r="T52" s="1">
        <f>SUM(OSRRefT22_5x_0)</f>
        <v>2061</v>
      </c>
      <c r="U52" s="1"/>
      <c r="V52" s="5">
        <f t="shared" si="34"/>
        <v>0.18308607977258595</v>
      </c>
      <c r="W52" s="1"/>
      <c r="X52" s="1">
        <f t="shared" si="35"/>
        <v>-906.95</v>
      </c>
      <c r="Y52" s="1"/>
      <c r="Z52" s="5">
        <f t="shared" si="36"/>
        <v>-0.44005337214944207</v>
      </c>
    </row>
    <row r="53" spans="1:26" s="24" customFormat="1" hidden="1" outlineLevel="2" x14ac:dyDescent="0.25">
      <c r="A53" s="26"/>
      <c r="B53" s="11" t="str">
        <f>CONCATENATE("          ", "6279", " - ", "GENERAL EXPENSE")</f>
        <v xml:space="preserve">          6279 - GENERAL EXPENSE</v>
      </c>
      <c r="C53" s="11"/>
      <c r="D53" s="7"/>
      <c r="E53" s="2"/>
      <c r="F53" s="6">
        <f t="shared" si="29"/>
        <v>0</v>
      </c>
      <c r="G53" s="2"/>
      <c r="H53" s="7">
        <v>137</v>
      </c>
      <c r="I53" s="2"/>
      <c r="J53" s="6">
        <f t="shared" si="30"/>
        <v>0.18242343541944075</v>
      </c>
      <c r="K53" s="2"/>
      <c r="L53" s="7">
        <f t="shared" si="31"/>
        <v>-137</v>
      </c>
      <c r="M53" s="2"/>
      <c r="N53" s="6">
        <f t="shared" si="32"/>
        <v>-1</v>
      </c>
      <c r="O53" s="11"/>
      <c r="P53" s="7">
        <v>1154.05</v>
      </c>
      <c r="Q53" s="2"/>
      <c r="R53" s="6">
        <f t="shared" si="33"/>
        <v>0.22283173264439987</v>
      </c>
      <c r="S53" s="2"/>
      <c r="T53" s="7">
        <v>2061</v>
      </c>
      <c r="U53" s="2"/>
      <c r="V53" s="6">
        <f t="shared" si="34"/>
        <v>0.18308607977258595</v>
      </c>
      <c r="W53" s="2"/>
      <c r="X53" s="7">
        <f t="shared" si="35"/>
        <v>-906.95</v>
      </c>
      <c r="Y53" s="2"/>
      <c r="Z53" s="6">
        <f t="shared" si="36"/>
        <v>-0.44005337214944207</v>
      </c>
    </row>
    <row r="54" spans="1:26" s="27" customFormat="1" outlineLevel="1" collapsed="1" x14ac:dyDescent="0.25">
      <c r="A54" s="25"/>
      <c r="B54" s="12" t="str">
        <f>CONCATENATE("     ","R/H Commissions                                   ")</f>
        <v xml:space="preserve">     R/H Commissions                                   </v>
      </c>
      <c r="C54" s="12"/>
      <c r="D54" s="1">
        <f>SUM(OSRRefD22_6x_0)</f>
        <v>0</v>
      </c>
      <c r="E54" s="1"/>
      <c r="F54" s="5">
        <f t="shared" si="29"/>
        <v>0</v>
      </c>
      <c r="G54" s="1"/>
      <c r="H54" s="1">
        <f>SUM(OSRRefH22_6x_0)</f>
        <v>47</v>
      </c>
      <c r="I54" s="1"/>
      <c r="J54" s="5">
        <f t="shared" si="30"/>
        <v>6.2583222370173108E-2</v>
      </c>
      <c r="K54" s="1"/>
      <c r="L54" s="1">
        <f t="shared" si="31"/>
        <v>-47</v>
      </c>
      <c r="M54" s="1"/>
      <c r="N54" s="5">
        <f t="shared" si="32"/>
        <v>-1</v>
      </c>
      <c r="O54" s="12"/>
      <c r="P54" s="1">
        <f>SUM(OSRRefP22_6x_0)</f>
        <v>414.32</v>
      </c>
      <c r="Q54" s="1"/>
      <c r="R54" s="5">
        <f t="shared" si="33"/>
        <v>7.9999691061243244E-2</v>
      </c>
      <c r="S54" s="1"/>
      <c r="T54" s="1">
        <f>SUM(OSRRefT22_6x_0)</f>
        <v>710</v>
      </c>
      <c r="U54" s="1"/>
      <c r="V54" s="5">
        <f t="shared" si="34"/>
        <v>6.3071866394243586E-2</v>
      </c>
      <c r="W54" s="1"/>
      <c r="X54" s="1">
        <f t="shared" si="35"/>
        <v>-295.68</v>
      </c>
      <c r="Y54" s="1"/>
      <c r="Z54" s="5">
        <f t="shared" si="36"/>
        <v>-0.41645070422535213</v>
      </c>
    </row>
    <row r="55" spans="1:26" s="24" customFormat="1" hidden="1" outlineLevel="2" x14ac:dyDescent="0.25">
      <c r="A55" s="26"/>
      <c r="B55" s="11" t="str">
        <f>CONCATENATE("          ", "6387", " - ", "COMMISSION DUE HOUSING")</f>
        <v xml:space="preserve">          6387 - COMMISSION DUE HOUSING</v>
      </c>
      <c r="C55" s="11"/>
      <c r="D55" s="7"/>
      <c r="E55" s="2"/>
      <c r="F55" s="6">
        <f t="shared" si="29"/>
        <v>0</v>
      </c>
      <c r="G55" s="2"/>
      <c r="H55" s="7">
        <v>47</v>
      </c>
      <c r="I55" s="2"/>
      <c r="J55" s="6">
        <f t="shared" si="30"/>
        <v>6.2583222370173108E-2</v>
      </c>
      <c r="K55" s="2"/>
      <c r="L55" s="7">
        <f t="shared" si="31"/>
        <v>-47</v>
      </c>
      <c r="M55" s="2"/>
      <c r="N55" s="6">
        <f t="shared" si="32"/>
        <v>-1</v>
      </c>
      <c r="O55" s="11"/>
      <c r="P55" s="7">
        <v>414.32</v>
      </c>
      <c r="Q55" s="2"/>
      <c r="R55" s="6">
        <f t="shared" si="33"/>
        <v>7.9999691061243244E-2</v>
      </c>
      <c r="S55" s="2"/>
      <c r="T55" s="7">
        <v>710</v>
      </c>
      <c r="U55" s="2"/>
      <c r="V55" s="6">
        <f t="shared" si="34"/>
        <v>6.3071866394243586E-2</v>
      </c>
      <c r="W55" s="2"/>
      <c r="X55" s="7">
        <f t="shared" si="35"/>
        <v>-295.68</v>
      </c>
      <c r="Y55" s="2"/>
      <c r="Z55" s="6">
        <f t="shared" si="36"/>
        <v>-0.41645070422535213</v>
      </c>
    </row>
    <row r="56" spans="1:26" s="27" customFormat="1" outlineLevel="1" collapsed="1" x14ac:dyDescent="0.25">
      <c r="A56" s="25"/>
      <c r="B56" s="12" t="str">
        <f>CONCATENATE("     ","Supplies                                          ")</f>
        <v xml:space="preserve">     Supplies                                          </v>
      </c>
      <c r="C56" s="12"/>
      <c r="D56" s="1">
        <f>SUM(OSRRefD22_7x_0)</f>
        <v>0</v>
      </c>
      <c r="E56" s="1"/>
      <c r="F56" s="5">
        <f t="shared" si="29"/>
        <v>0</v>
      </c>
      <c r="G56" s="1"/>
      <c r="H56" s="1">
        <f>SUM(OSRRefH22_7x_0)</f>
        <v>15</v>
      </c>
      <c r="I56" s="1"/>
      <c r="J56" s="5">
        <f t="shared" si="30"/>
        <v>1.9973368841544607E-2</v>
      </c>
      <c r="K56" s="1"/>
      <c r="L56" s="1">
        <f t="shared" si="31"/>
        <v>-15</v>
      </c>
      <c r="M56" s="1"/>
      <c r="N56" s="5">
        <f t="shared" si="32"/>
        <v>-1</v>
      </c>
      <c r="O56" s="12"/>
      <c r="P56" s="1">
        <f>SUM(OSRRefP22_7x_0)</f>
        <v>1592.1399999999999</v>
      </c>
      <c r="Q56" s="1"/>
      <c r="R56" s="5">
        <f t="shared" si="33"/>
        <v>0.30742109511065796</v>
      </c>
      <c r="S56" s="1"/>
      <c r="T56" s="1">
        <f>SUM(OSRRefT22_7x_0)</f>
        <v>226</v>
      </c>
      <c r="U56" s="1"/>
      <c r="V56" s="5">
        <f t="shared" si="34"/>
        <v>2.007639690859021E-2</v>
      </c>
      <c r="W56" s="1"/>
      <c r="X56" s="1">
        <f t="shared" si="35"/>
        <v>1366.1399999999999</v>
      </c>
      <c r="Y56" s="1"/>
      <c r="Z56" s="5">
        <f t="shared" si="36"/>
        <v>6.0448672566371675</v>
      </c>
    </row>
    <row r="57" spans="1:26" s="24" customFormat="1" hidden="1" outlineLevel="2" x14ac:dyDescent="0.25">
      <c r="A57" s="26"/>
      <c r="B57" s="11" t="str">
        <f>CONCATENATE("          ", "6237", " - ", "JANITORIAL SUPPLIES")</f>
        <v xml:space="preserve">          6237 - JANITORIAL SUPPLIES</v>
      </c>
      <c r="C57" s="11"/>
      <c r="D57" s="7"/>
      <c r="E57" s="2"/>
      <c r="F57" s="6">
        <f t="shared" si="29"/>
        <v>0</v>
      </c>
      <c r="G57" s="2"/>
      <c r="H57" s="7"/>
      <c r="I57" s="2"/>
      <c r="J57" s="6">
        <f t="shared" si="30"/>
        <v>0</v>
      </c>
      <c r="K57" s="2"/>
      <c r="L57" s="7">
        <f t="shared" si="31"/>
        <v>0</v>
      </c>
      <c r="M57" s="2"/>
      <c r="N57" s="6">
        <f t="shared" si="32"/>
        <v>0</v>
      </c>
      <c r="O57" s="11"/>
      <c r="P57" s="7">
        <v>47.13</v>
      </c>
      <c r="Q57" s="2"/>
      <c r="R57" s="6">
        <f t="shared" si="33"/>
        <v>9.1001772536116864E-3</v>
      </c>
      <c r="S57" s="2"/>
      <c r="T57" s="7"/>
      <c r="U57" s="2"/>
      <c r="V57" s="6">
        <f t="shared" si="34"/>
        <v>0</v>
      </c>
      <c r="W57" s="2"/>
      <c r="X57" s="7">
        <f t="shared" si="35"/>
        <v>47.13</v>
      </c>
      <c r="Y57" s="2"/>
      <c r="Z57" s="6">
        <f t="shared" si="36"/>
        <v>0</v>
      </c>
    </row>
    <row r="58" spans="1:26" s="24" customFormat="1" hidden="1" outlineLevel="2" x14ac:dyDescent="0.25">
      <c r="A58" s="26"/>
      <c r="B58" s="11" t="str">
        <f>CONCATENATE("          ", "6247", " - ", "STORE SUPPLIES")</f>
        <v xml:space="preserve">          6247 - STORE SUPPLIES</v>
      </c>
      <c r="C58" s="11"/>
      <c r="D58" s="7"/>
      <c r="E58" s="2"/>
      <c r="F58" s="6">
        <f t="shared" si="29"/>
        <v>0</v>
      </c>
      <c r="G58" s="2"/>
      <c r="H58" s="7">
        <v>15</v>
      </c>
      <c r="I58" s="2"/>
      <c r="J58" s="6">
        <f t="shared" si="30"/>
        <v>1.9973368841544607E-2</v>
      </c>
      <c r="K58" s="2"/>
      <c r="L58" s="7">
        <f t="shared" si="31"/>
        <v>-15</v>
      </c>
      <c r="M58" s="2"/>
      <c r="N58" s="6">
        <f t="shared" si="32"/>
        <v>-1</v>
      </c>
      <c r="O58" s="11"/>
      <c r="P58" s="7">
        <v>431.41</v>
      </c>
      <c r="Q58" s="2"/>
      <c r="R58" s="6">
        <f t="shared" si="33"/>
        <v>8.3299543156813455E-2</v>
      </c>
      <c r="S58" s="2"/>
      <c r="T58" s="7">
        <v>226</v>
      </c>
      <c r="U58" s="2"/>
      <c r="V58" s="6">
        <f t="shared" si="34"/>
        <v>2.007639690859021E-2</v>
      </c>
      <c r="W58" s="2"/>
      <c r="X58" s="7">
        <f t="shared" si="35"/>
        <v>205.41000000000003</v>
      </c>
      <c r="Y58" s="2"/>
      <c r="Z58" s="6">
        <f t="shared" si="36"/>
        <v>0.90889380530973463</v>
      </c>
    </row>
    <row r="59" spans="1:26" s="24" customFormat="1" hidden="1" outlineLevel="2" x14ac:dyDescent="0.25">
      <c r="A59" s="26"/>
      <c r="B59" s="11" t="str">
        <f>CONCATENATE("          ", "6248", " - ", "UNIFORMS")</f>
        <v xml:space="preserve">          6248 - UNIFORMS</v>
      </c>
      <c r="C59" s="11"/>
      <c r="D59" s="7"/>
      <c r="E59" s="2"/>
      <c r="F59" s="6">
        <f t="shared" si="29"/>
        <v>0</v>
      </c>
      <c r="G59" s="2"/>
      <c r="H59" s="7"/>
      <c r="I59" s="2"/>
      <c r="J59" s="6">
        <f t="shared" si="30"/>
        <v>0</v>
      </c>
      <c r="K59" s="2"/>
      <c r="L59" s="7">
        <f t="shared" si="31"/>
        <v>0</v>
      </c>
      <c r="M59" s="2"/>
      <c r="N59" s="6">
        <f t="shared" si="32"/>
        <v>0</v>
      </c>
      <c r="O59" s="11"/>
      <c r="P59" s="7">
        <v>1113.5999999999999</v>
      </c>
      <c r="Q59" s="2"/>
      <c r="R59" s="6">
        <f t="shared" si="33"/>
        <v>0.21502137470023283</v>
      </c>
      <c r="S59" s="2"/>
      <c r="T59" s="7"/>
      <c r="U59" s="2"/>
      <c r="V59" s="6">
        <f t="shared" si="34"/>
        <v>0</v>
      </c>
      <c r="W59" s="2"/>
      <c r="X59" s="7">
        <f t="shared" si="35"/>
        <v>1113.5999999999999</v>
      </c>
      <c r="Y59" s="2"/>
      <c r="Z59" s="6">
        <f t="shared" si="36"/>
        <v>0</v>
      </c>
    </row>
    <row r="60" spans="1:26" s="27" customFormat="1" outlineLevel="1" collapsed="1" x14ac:dyDescent="0.25">
      <c r="A60" s="25"/>
      <c r="B60" s="12" t="str">
        <f>CONCATENATE("     ","Telephone/Data Lines                              ")</f>
        <v xml:space="preserve">     Telephone/Data Lines                              </v>
      </c>
      <c r="C60" s="12"/>
      <c r="D60" s="1">
        <f>SUM(OSRRefD22_8x_0)</f>
        <v>75.5</v>
      </c>
      <c r="E60" s="1"/>
      <c r="F60" s="5">
        <f t="shared" ref="F60:F61" si="37">IF(D$12=0,0,D60/D$12)</f>
        <v>0</v>
      </c>
      <c r="G60" s="1"/>
      <c r="H60" s="1">
        <f>SUM(OSRRefH22_8x_0)</f>
        <v>0</v>
      </c>
      <c r="I60" s="1"/>
      <c r="J60" s="5">
        <f t="shared" ref="J60:J61" si="38">IF(H$12=0,0,H60/H$12)</f>
        <v>0</v>
      </c>
      <c r="K60" s="1"/>
      <c r="L60" s="1">
        <f t="shared" ref="L60:L61" si="39">+D60-H60</f>
        <v>75.5</v>
      </c>
      <c r="M60" s="1"/>
      <c r="N60" s="5">
        <f t="shared" ref="N60:N61" si="40">IF(H60=0,0,L60/H60)</f>
        <v>0</v>
      </c>
      <c r="O60" s="12"/>
      <c r="P60" s="1">
        <f>SUM(OSRRefP22_8x_0)</f>
        <v>790.5</v>
      </c>
      <c r="Q60" s="1"/>
      <c r="R60" s="5">
        <f t="shared" ref="R60:R61" si="41">IF(P$12=0,0,P60/P$12)</f>
        <v>0.15263505450838188</v>
      </c>
      <c r="S60" s="1"/>
      <c r="T60" s="1">
        <f>SUM(OSRRefT22_8x_0)</f>
        <v>0</v>
      </c>
      <c r="U60" s="1"/>
      <c r="V60" s="5">
        <f t="shared" ref="V60:V61" si="42">IF(T$12=0,0,T60/T$12)</f>
        <v>0</v>
      </c>
      <c r="W60" s="1"/>
      <c r="X60" s="1">
        <f t="shared" ref="X60:X61" si="43">+P60-T60</f>
        <v>790.5</v>
      </c>
      <c r="Y60" s="1"/>
      <c r="Z60" s="5">
        <f t="shared" ref="Z60:Z61" si="44">IF(T60=0,0,X60/T60)</f>
        <v>0</v>
      </c>
    </row>
    <row r="61" spans="1:26" s="24" customFormat="1" hidden="1" outlineLevel="2" x14ac:dyDescent="0.25">
      <c r="A61" s="26"/>
      <c r="B61" s="11" t="str">
        <f>CONCATENATE("          ", "6309", " - ", "TELEPHONE")</f>
        <v xml:space="preserve">          6309 - TELEPHONE</v>
      </c>
      <c r="C61" s="11"/>
      <c r="D61" s="7">
        <v>75.5</v>
      </c>
      <c r="E61" s="2"/>
      <c r="F61" s="6">
        <f t="shared" si="37"/>
        <v>0</v>
      </c>
      <c r="G61" s="2"/>
      <c r="H61" s="7"/>
      <c r="I61" s="2"/>
      <c r="J61" s="6">
        <f t="shared" si="38"/>
        <v>0</v>
      </c>
      <c r="K61" s="2"/>
      <c r="L61" s="7">
        <f t="shared" si="39"/>
        <v>75.5</v>
      </c>
      <c r="M61" s="2"/>
      <c r="N61" s="6">
        <f t="shared" si="40"/>
        <v>0</v>
      </c>
      <c r="O61" s="11"/>
      <c r="P61" s="7">
        <v>790.5</v>
      </c>
      <c r="Q61" s="2"/>
      <c r="R61" s="6">
        <f t="shared" si="41"/>
        <v>0.15263505450838188</v>
      </c>
      <c r="S61" s="2"/>
      <c r="T61" s="7"/>
      <c r="U61" s="2"/>
      <c r="V61" s="6">
        <f t="shared" si="42"/>
        <v>0</v>
      </c>
      <c r="W61" s="2"/>
      <c r="X61" s="7">
        <f t="shared" si="43"/>
        <v>790.5</v>
      </c>
      <c r="Y61" s="2"/>
      <c r="Z61" s="6">
        <f t="shared" si="44"/>
        <v>0</v>
      </c>
    </row>
    <row r="62" spans="1:26" s="62" customFormat="1" x14ac:dyDescent="0.25">
      <c r="A62" s="36"/>
      <c r="B62" s="36"/>
      <c r="C62" s="36"/>
      <c r="D62" s="1"/>
      <c r="E62" s="1"/>
      <c r="F62" s="5"/>
      <c r="G62" s="1"/>
      <c r="H62" s="1"/>
      <c r="I62" s="1"/>
      <c r="J62" s="5"/>
      <c r="K62" s="1"/>
      <c r="L62" s="1"/>
      <c r="M62" s="1"/>
      <c r="N62" s="5"/>
      <c r="O62" s="36"/>
      <c r="P62" s="1"/>
      <c r="Q62" s="1"/>
      <c r="R62" s="5"/>
      <c r="S62" s="1"/>
      <c r="T62" s="1"/>
      <c r="U62" s="1"/>
      <c r="V62" s="5"/>
      <c r="W62" s="1"/>
      <c r="X62" s="1"/>
      <c r="Y62" s="1"/>
      <c r="Z62" s="5"/>
    </row>
    <row r="63" spans="1:26" s="23" customFormat="1" x14ac:dyDescent="0.25">
      <c r="A63" s="10"/>
      <c r="B63" s="28" t="s">
        <v>0</v>
      </c>
      <c r="C63" s="10"/>
      <c r="D63" s="4">
        <f>SUM(0)</f>
        <v>0</v>
      </c>
      <c r="E63" s="4"/>
      <c r="F63" s="13">
        <f>IF(D$12=0,0,D63/D$12)</f>
        <v>0</v>
      </c>
      <c r="G63" s="4"/>
      <c r="H63" s="4">
        <f>SUM(0)</f>
        <v>0</v>
      </c>
      <c r="I63" s="4"/>
      <c r="J63" s="13">
        <f>IF(H$12=0,0,H63/H$12)</f>
        <v>0</v>
      </c>
      <c r="K63" s="4"/>
      <c r="L63" s="4">
        <f>+D63-H63</f>
        <v>0</v>
      </c>
      <c r="M63" s="4"/>
      <c r="N63" s="13">
        <f>IF(H63=0,0,L63/H63)</f>
        <v>0</v>
      </c>
      <c r="O63" s="10"/>
      <c r="P63" s="4">
        <f>SUM(0)</f>
        <v>0</v>
      </c>
      <c r="Q63" s="4"/>
      <c r="R63" s="13">
        <f>IF(P$12=0,0,P63/P$12)</f>
        <v>0</v>
      </c>
      <c r="S63" s="4"/>
      <c r="T63" s="4">
        <f>SUM(0)</f>
        <v>0</v>
      </c>
      <c r="U63" s="4"/>
      <c r="V63" s="13">
        <f>IF(T$12=0,0,T63/T$12)</f>
        <v>0</v>
      </c>
      <c r="W63" s="4"/>
      <c r="X63" s="4">
        <f>+P63-T63</f>
        <v>0</v>
      </c>
      <c r="Y63" s="4"/>
      <c r="Z63" s="13">
        <f>IF(T63=0,0,X63/T63)</f>
        <v>0</v>
      </c>
    </row>
    <row r="64" spans="1:26" x14ac:dyDescent="0.25">
      <c r="A64" s="9"/>
      <c r="B64" s="10"/>
      <c r="C64" s="10"/>
      <c r="D64" s="3"/>
      <c r="E64" s="3"/>
      <c r="F64" s="8"/>
      <c r="G64" s="3"/>
      <c r="H64" s="3"/>
      <c r="I64" s="3"/>
      <c r="J64" s="8"/>
      <c r="K64" s="3"/>
      <c r="L64" s="3"/>
      <c r="M64" s="3"/>
      <c r="N64" s="8"/>
      <c r="O64" s="10"/>
      <c r="P64" s="3"/>
      <c r="Q64" s="3"/>
      <c r="R64" s="8"/>
      <c r="S64" s="3"/>
      <c r="T64" s="3"/>
      <c r="U64" s="3"/>
      <c r="V64" s="8"/>
      <c r="W64" s="3"/>
      <c r="X64" s="3"/>
      <c r="Y64" s="3"/>
      <c r="Z64" s="8"/>
    </row>
    <row r="65" spans="1:26" s="23" customFormat="1" x14ac:dyDescent="0.25">
      <c r="A65" s="10"/>
      <c r="B65" s="29" t="s">
        <v>3</v>
      </c>
      <c r="C65" s="29"/>
      <c r="D65" s="20">
        <f>+D23-D25+D63</f>
        <v>-75.5</v>
      </c>
      <c r="E65" s="14"/>
      <c r="F65" s="22">
        <f>IF(D$12=0,0,D65/D$12)</f>
        <v>0</v>
      </c>
      <c r="G65" s="14"/>
      <c r="H65" s="20">
        <f>+H23-H25+H63</f>
        <v>-1104.2248319999999</v>
      </c>
      <c r="I65" s="14"/>
      <c r="J65" s="22">
        <f>IF(H$12=0,0,H65/H$12)</f>
        <v>-1.4703393235685751</v>
      </c>
      <c r="K65" s="16"/>
      <c r="L65" s="20">
        <f>+D65-H65</f>
        <v>1028.7248319999999</v>
      </c>
      <c r="M65" s="16"/>
      <c r="N65" s="22">
        <f>IF(H65=0,0,L65/H65)</f>
        <v>-0.93162624330476929</v>
      </c>
      <c r="O65" s="28"/>
      <c r="P65" s="20">
        <f>+P23-P25+P63</f>
        <v>-17176.669999999998</v>
      </c>
      <c r="Q65" s="14"/>
      <c r="R65" s="22">
        <f>IF(P$12=0,0,P65/P$12)</f>
        <v>-3.316586921850079</v>
      </c>
      <c r="S65" s="14"/>
      <c r="T65" s="20">
        <f>+T23-T25+T63</f>
        <v>-18122.687055999999</v>
      </c>
      <c r="U65" s="14"/>
      <c r="V65" s="22">
        <f>IF(T$12=0,0,T65/T$12)</f>
        <v>-1.6099037981700275</v>
      </c>
      <c r="W65" s="16"/>
      <c r="X65" s="20">
        <f>+P65-T65</f>
        <v>946.01705600000059</v>
      </c>
      <c r="Y65" s="16"/>
      <c r="Z65" s="22">
        <f>IF(T65=0,0,X65/T65)</f>
        <v>-5.2200705837758009E-2</v>
      </c>
    </row>
    <row r="66" spans="1:26" x14ac:dyDescent="0.25">
      <c r="A66" s="9"/>
      <c r="B66" s="10"/>
      <c r="C66" s="9"/>
      <c r="D66" s="3"/>
      <c r="E66" s="3"/>
      <c r="F66" s="8"/>
      <c r="G66" s="3"/>
      <c r="H66" s="3"/>
      <c r="I66" s="3"/>
      <c r="J66" s="8"/>
      <c r="K66" s="3"/>
      <c r="L66" s="3"/>
      <c r="M66" s="3"/>
      <c r="N66" s="8"/>
      <c r="P66" s="3"/>
      <c r="Q66" s="3"/>
      <c r="R66" s="8"/>
      <c r="S66" s="3"/>
      <c r="T66" s="3"/>
      <c r="U66" s="3"/>
      <c r="V66" s="8"/>
      <c r="W66" s="3"/>
      <c r="X66" s="3"/>
      <c r="Y66" s="3"/>
      <c r="Z66" s="8"/>
    </row>
    <row r="67" spans="1:26" s="23" customFormat="1" x14ac:dyDescent="0.25">
      <c r="A67" s="52"/>
      <c r="B67" s="10" t="s">
        <v>14</v>
      </c>
      <c r="C67" s="10"/>
      <c r="D67" s="4">
        <v>25.24</v>
      </c>
      <c r="E67" s="4"/>
      <c r="F67" s="13">
        <f>IF(D$12=0,0,D67/D$12)</f>
        <v>0</v>
      </c>
      <c r="G67" s="4"/>
      <c r="H67" s="4">
        <v>76</v>
      </c>
      <c r="I67" s="4"/>
      <c r="J67" s="13">
        <f>IF(H$12=0,0,H67/H$12)</f>
        <v>0.10119840213049268</v>
      </c>
      <c r="K67" s="4"/>
      <c r="L67" s="4">
        <f>+D67-H67</f>
        <v>-50.760000000000005</v>
      </c>
      <c r="M67" s="4"/>
      <c r="N67" s="13">
        <f>IF(H67=0,0,L67/H67)</f>
        <v>-0.66789473684210532</v>
      </c>
      <c r="O67" s="10"/>
      <c r="P67" s="4">
        <v>613.28</v>
      </c>
      <c r="Q67" s="4"/>
      <c r="R67" s="13">
        <f>IF(P$12=0,0,P67/P$12)</f>
        <v>0.11841622546350467</v>
      </c>
      <c r="S67" s="4"/>
      <c r="T67" s="4">
        <v>1303</v>
      </c>
      <c r="U67" s="4"/>
      <c r="V67" s="13">
        <f>IF(T$12=0,0,T67/T$12)</f>
        <v>0.11575019987563294</v>
      </c>
      <c r="W67" s="4"/>
      <c r="X67" s="4">
        <f>+P67-T67</f>
        <v>-689.72</v>
      </c>
      <c r="Y67" s="4"/>
      <c r="Z67" s="13">
        <f>IF(T67=0,0,X67/T67)</f>
        <v>-0.52933231005372217</v>
      </c>
    </row>
    <row r="68" spans="1:26" x14ac:dyDescent="0.25">
      <c r="A68" s="9"/>
      <c r="B68" s="10"/>
      <c r="C68" s="10"/>
      <c r="D68" s="3"/>
      <c r="E68" s="3"/>
      <c r="F68" s="8"/>
      <c r="G68" s="3"/>
      <c r="H68" s="3"/>
      <c r="I68" s="3"/>
      <c r="J68" s="8"/>
      <c r="K68" s="3"/>
      <c r="L68" s="3"/>
      <c r="M68" s="3"/>
      <c r="N68" s="8"/>
      <c r="O68" s="10"/>
      <c r="P68" s="3"/>
      <c r="Q68" s="3"/>
      <c r="R68" s="8"/>
      <c r="S68" s="3"/>
      <c r="T68" s="3"/>
      <c r="U68" s="3"/>
      <c r="V68" s="8"/>
      <c r="W68" s="3"/>
      <c r="X68" s="3"/>
      <c r="Y68" s="3"/>
      <c r="Z68" s="8"/>
    </row>
    <row r="69" spans="1:26" s="23" customFormat="1" ht="15.75" thickBot="1" x14ac:dyDescent="0.3">
      <c r="A69" s="10"/>
      <c r="B69" s="29" t="s">
        <v>4</v>
      </c>
      <c r="C69" s="29"/>
      <c r="D69" s="35">
        <f>+D65-D67</f>
        <v>-100.74</v>
      </c>
      <c r="E69" s="14"/>
      <c r="F69" s="32">
        <f>IF(D$12=0,0,D69/D$12)</f>
        <v>0</v>
      </c>
      <c r="G69" s="14"/>
      <c r="H69" s="35">
        <f>+H65-H67</f>
        <v>-1180.2248319999999</v>
      </c>
      <c r="I69" s="14"/>
      <c r="J69" s="32">
        <f>IF(H$12=0,0,H69/H$12)</f>
        <v>-1.5715377256990677</v>
      </c>
      <c r="K69" s="16"/>
      <c r="L69" s="35">
        <f>D69-H69</f>
        <v>1079.4848319999999</v>
      </c>
      <c r="M69" s="16"/>
      <c r="N69" s="32">
        <f>IF(H69=0,0,L69/H69)</f>
        <v>-0.9146433821178912</v>
      </c>
      <c r="O69" s="28"/>
      <c r="P69" s="35">
        <f>+P65-P67</f>
        <v>-17789.949999999997</v>
      </c>
      <c r="Q69" s="14"/>
      <c r="R69" s="32">
        <f>IF(P$12=0,0,P69/P$12)</f>
        <v>-3.4350031473135836</v>
      </c>
      <c r="S69" s="14"/>
      <c r="T69" s="35">
        <f>+T65-T67</f>
        <v>-19425.687055999999</v>
      </c>
      <c r="U69" s="14"/>
      <c r="V69" s="32">
        <f>IF(T$12=0,0,T69/T$12)</f>
        <v>-1.7256539980456604</v>
      </c>
      <c r="W69" s="16"/>
      <c r="X69" s="35">
        <f>P69-T69</f>
        <v>1635.7370560000018</v>
      </c>
      <c r="Y69" s="16"/>
      <c r="Z69" s="32">
        <f>IF(T69=0,0,X69/T69)</f>
        <v>-8.4204849552272226E-2</v>
      </c>
    </row>
    <row r="70" spans="1:26" ht="15.75" thickTop="1" x14ac:dyDescent="0.25">
      <c r="A70" s="9"/>
      <c r="B70" s="9"/>
      <c r="C70" s="9"/>
      <c r="D70" s="3"/>
      <c r="E70" s="3"/>
      <c r="F70" s="8"/>
      <c r="G70" s="3"/>
      <c r="H70" s="3"/>
      <c r="I70" s="3"/>
      <c r="J70" s="8"/>
      <c r="K70" s="3"/>
      <c r="L70" s="3"/>
      <c r="M70" s="3"/>
      <c r="N70" s="8"/>
      <c r="P70" s="3"/>
      <c r="Q70" s="3"/>
      <c r="R70" s="8"/>
      <c r="S70" s="3"/>
      <c r="T70" s="3"/>
      <c r="U70" s="3"/>
      <c r="V70" s="8"/>
      <c r="W70" s="3"/>
      <c r="X70" s="3"/>
      <c r="Y70" s="3"/>
      <c r="Z70" s="8"/>
    </row>
    <row r="71" spans="1:26" x14ac:dyDescent="0.25">
      <c r="A71" s="9"/>
      <c r="B71" s="9"/>
      <c r="C71" s="9"/>
      <c r="D71" s="3"/>
      <c r="E71" s="3"/>
      <c r="F71" s="8"/>
      <c r="G71" s="3"/>
      <c r="H71" s="3"/>
      <c r="I71" s="3"/>
      <c r="J71" s="8"/>
      <c r="K71" s="3"/>
      <c r="L71" s="3"/>
      <c r="M71" s="3"/>
      <c r="N71" s="8"/>
      <c r="P71" s="3"/>
      <c r="Q71" s="3"/>
      <c r="R71" s="8"/>
      <c r="S71" s="3"/>
      <c r="T71" s="3"/>
      <c r="U71" s="3"/>
      <c r="V71" s="8"/>
      <c r="W71" s="3"/>
      <c r="X71" s="3"/>
      <c r="Y71" s="3"/>
      <c r="Z71" s="8"/>
    </row>
    <row r="72" spans="1:26" s="23" customFormat="1" ht="15.75" thickBot="1" x14ac:dyDescent="0.3">
      <c r="A72" s="10"/>
      <c r="B72" s="29" t="s">
        <v>5</v>
      </c>
      <c r="C72" s="29"/>
      <c r="D72" s="34">
        <f>SUM(D69:D71)</f>
        <v>-100.74</v>
      </c>
      <c r="E72" s="14"/>
      <c r="F72" s="31">
        <f>IF(D$12=0,0,D72/D$12)</f>
        <v>0</v>
      </c>
      <c r="G72" s="14"/>
      <c r="H72" s="34">
        <f>SUM(H69:H71)</f>
        <v>-1180.2248319999999</v>
      </c>
      <c r="I72" s="14"/>
      <c r="J72" s="31">
        <f>IF(H$12=0,0,H72/H$12)</f>
        <v>-1.5715377256990677</v>
      </c>
      <c r="K72" s="16"/>
      <c r="L72" s="34">
        <f>+D72-H72</f>
        <v>1079.4848319999999</v>
      </c>
      <c r="M72" s="16"/>
      <c r="N72" s="31">
        <f>IF(H72=0,0,L72/H72)</f>
        <v>-0.9146433821178912</v>
      </c>
      <c r="O72" s="28"/>
      <c r="P72" s="34">
        <f>SUM(P69:P71)</f>
        <v>-17789.949999999997</v>
      </c>
      <c r="Q72" s="14"/>
      <c r="R72" s="31">
        <f>IF(P$12=0,0,P72/P$12)</f>
        <v>-3.4350031473135836</v>
      </c>
      <c r="S72" s="14"/>
      <c r="T72" s="34">
        <f>SUM(T69:T71)</f>
        <v>-19425.687055999999</v>
      </c>
      <c r="U72" s="14"/>
      <c r="V72" s="31">
        <f>IF(T$12=0,0,T72/T$12)</f>
        <v>-1.7256539980456604</v>
      </c>
      <c r="W72" s="16"/>
      <c r="X72" s="34">
        <f>+P72-T72</f>
        <v>1635.7370560000018</v>
      </c>
      <c r="Y72" s="16"/>
      <c r="Z72" s="31">
        <f>IF(T72=0,0,X72/T72)</f>
        <v>-8.4204849552272226E-2</v>
      </c>
    </row>
    <row r="73" spans="1:26" ht="15.75" thickTop="1" x14ac:dyDescent="0.25">
      <c r="A73" s="9"/>
      <c r="C73" s="9"/>
      <c r="D73" s="18"/>
      <c r="E73" s="18"/>
      <c r="G73" s="18"/>
      <c r="H73" s="18"/>
      <c r="I73" s="18"/>
      <c r="J73" s="42"/>
      <c r="K73" s="18"/>
      <c r="L73" s="18"/>
      <c r="M73" s="18"/>
      <c r="P73" s="18"/>
      <c r="Q73" s="18"/>
      <c r="R73" s="42"/>
      <c r="S73" s="18"/>
      <c r="T73" s="18"/>
      <c r="U73" s="18"/>
      <c r="V73" s="42"/>
      <c r="W73" s="18"/>
      <c r="X73" s="18"/>
    </row>
    <row r="74" spans="1:26" x14ac:dyDescent="0.25">
      <c r="A74" s="9"/>
      <c r="B74" s="59">
        <v>43992.372268715277</v>
      </c>
      <c r="D74" s="18"/>
      <c r="E74" s="18"/>
      <c r="G74" s="18"/>
      <c r="H74" s="18"/>
      <c r="I74" s="18"/>
      <c r="J74" s="42"/>
      <c r="K74" s="18"/>
      <c r="L74" s="18"/>
      <c r="M74" s="18"/>
      <c r="P74" s="18"/>
      <c r="Q74" s="18"/>
      <c r="R74" s="42"/>
      <c r="S74" s="18"/>
      <c r="T74" s="18"/>
      <c r="U74" s="18"/>
      <c r="V74" s="42"/>
      <c r="W74" s="18"/>
      <c r="X74" s="18"/>
    </row>
    <row r="75" spans="1:26" x14ac:dyDescent="0.25">
      <c r="A75" s="9"/>
      <c r="B75" s="56" t="s">
        <v>314</v>
      </c>
      <c r="D75" s="18"/>
      <c r="E75" s="18"/>
      <c r="G75" s="18"/>
      <c r="H75" s="18"/>
      <c r="I75" s="18"/>
      <c r="J75" s="42"/>
      <c r="K75" s="18"/>
      <c r="L75" s="18"/>
      <c r="M75" s="18"/>
      <c r="P75" s="18"/>
      <c r="Q75" s="18"/>
      <c r="R75" s="42"/>
      <c r="S75" s="18"/>
      <c r="T75" s="18"/>
      <c r="U75" s="18"/>
      <c r="V75" s="42"/>
      <c r="W75" s="18"/>
      <c r="X75" s="18"/>
    </row>
    <row r="76" spans="1:26" x14ac:dyDescent="0.25">
      <c r="A76" s="9"/>
      <c r="B76" s="54"/>
      <c r="D76" s="18"/>
      <c r="E76" s="18"/>
      <c r="G76" s="18"/>
      <c r="H76" s="18"/>
      <c r="I76" s="18"/>
      <c r="J76" s="42"/>
      <c r="K76" s="18"/>
      <c r="L76" s="18"/>
      <c r="M76" s="18"/>
      <c r="P76" s="18"/>
      <c r="Q76" s="18"/>
      <c r="R76" s="42"/>
      <c r="S76" s="18"/>
      <c r="T76" s="18"/>
      <c r="U76" s="18"/>
      <c r="V76" s="42"/>
      <c r="W76" s="18"/>
      <c r="X76" s="18"/>
    </row>
    <row r="77" spans="1:26" x14ac:dyDescent="0.25">
      <c r="D77" s="18"/>
      <c r="E77" s="18"/>
      <c r="G77" s="18"/>
      <c r="H77" s="18"/>
      <c r="I77" s="18"/>
      <c r="J77" s="42"/>
      <c r="K77" s="18"/>
      <c r="L77" s="18"/>
      <c r="M77" s="18"/>
      <c r="P77" s="18"/>
      <c r="Q77" s="18"/>
      <c r="R77" s="42"/>
      <c r="S77" s="18"/>
      <c r="T77" s="18"/>
      <c r="U77" s="18"/>
      <c r="V77" s="42"/>
      <c r="W77" s="18"/>
      <c r="X77" s="18"/>
    </row>
  </sheetData>
  <pageMargins left="0.25" right="0.25" top="0.75" bottom="0.75" header="0.3" footer="0.3"/>
  <pageSetup scale="55" fitToWidth="2" orientation="landscape"/>
  <drawing r:id="rId1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105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63" t="s">
        <v>13</v>
      </c>
    </row>
    <row r="3" spans="1:26" x14ac:dyDescent="0.25">
      <c r="D3" s="63" t="s">
        <v>296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61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63" t="str">
        <f>CONCATENATE("Period ",RIGHT(202011,2),", ",2020)</f>
        <v>Period 11, 2020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61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4">
        <v>43981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61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51"/>
      <c r="C6" s="51"/>
      <c r="D6" s="23" t="str">
        <f>CONCATENATE("Department ","444", " - ", "Parkside Dining Hall")</f>
        <v>Department 444 - Parkside Dining Hall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57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5" t="s">
        <v>294</v>
      </c>
      <c r="E9" s="15"/>
      <c r="F9" s="38"/>
      <c r="G9" s="15"/>
      <c r="H9" s="15"/>
      <c r="I9" s="15"/>
      <c r="J9" s="46"/>
      <c r="K9" s="15"/>
      <c r="L9" s="15"/>
      <c r="M9" s="15"/>
      <c r="N9" s="38"/>
      <c r="P9" s="15" t="s">
        <v>295</v>
      </c>
      <c r="Q9" s="15"/>
      <c r="R9" s="38"/>
      <c r="S9" s="15"/>
      <c r="T9" s="15"/>
      <c r="U9" s="15"/>
      <c r="V9" s="46"/>
      <c r="W9" s="15"/>
      <c r="X9" s="15"/>
      <c r="Y9" s="15"/>
      <c r="Z9" s="38"/>
    </row>
    <row r="10" spans="1:26" x14ac:dyDescent="0.25">
      <c r="A10" s="10"/>
      <c r="B10" s="55"/>
      <c r="C10" s="10"/>
      <c r="D10" s="43" t="s">
        <v>10</v>
      </c>
      <c r="E10" s="33"/>
      <c r="F10" s="40" t="s">
        <v>15</v>
      </c>
      <c r="G10" s="33"/>
      <c r="H10" s="47" t="s">
        <v>11</v>
      </c>
      <c r="I10" s="33"/>
      <c r="J10" s="45" t="s">
        <v>16</v>
      </c>
      <c r="K10" s="10"/>
      <c r="L10" s="43" t="s">
        <v>12</v>
      </c>
      <c r="M10" s="10"/>
      <c r="N10" s="40" t="s">
        <v>17</v>
      </c>
      <c r="O10" s="10"/>
      <c r="P10" s="53" t="s">
        <v>10</v>
      </c>
      <c r="Q10" s="33"/>
      <c r="R10" s="40" t="s">
        <v>15</v>
      </c>
      <c r="S10" s="33"/>
      <c r="T10" s="47" t="s">
        <v>11</v>
      </c>
      <c r="U10" s="33"/>
      <c r="V10" s="45" t="s">
        <v>16</v>
      </c>
      <c r="W10" s="10"/>
      <c r="X10" s="43" t="s">
        <v>12</v>
      </c>
      <c r="Y10" s="10"/>
      <c r="Z10" s="40" t="s">
        <v>17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0</v>
      </c>
      <c r="E12" s="4"/>
      <c r="F12" s="13"/>
      <c r="G12" s="4"/>
      <c r="H12" s="4">
        <f>SUM(OSRRefH13x_0)</f>
        <v>237665</v>
      </c>
      <c r="I12" s="4"/>
      <c r="J12" s="13"/>
      <c r="K12" s="4"/>
      <c r="L12" s="4">
        <f t="shared" ref="L12:L16" si="0">+D12-H12</f>
        <v>-237665</v>
      </c>
      <c r="M12" s="4"/>
      <c r="N12" s="13">
        <f t="shared" ref="N12:N16" si="1">IF(H12=0,0,L12/H12)</f>
        <v>-1</v>
      </c>
      <c r="O12" s="10"/>
      <c r="P12" s="4">
        <f>SUM(OSRRefP13x_0)</f>
        <v>3384443.28</v>
      </c>
      <c r="Q12" s="4"/>
      <c r="R12" s="13"/>
      <c r="S12" s="4"/>
      <c r="T12" s="4">
        <f>SUM(OSRRefT13x_0)</f>
        <v>4145396.9999999995</v>
      </c>
      <c r="U12" s="4"/>
      <c r="V12" s="13"/>
      <c r="W12" s="4"/>
      <c r="X12" s="4">
        <f t="shared" ref="X12:X16" si="2">+P12-T12</f>
        <v>-760953.71999999974</v>
      </c>
      <c r="Y12" s="4"/>
      <c r="Z12" s="13">
        <f t="shared" ref="Z12:Z16" si="3">IF(T12=0,0,X12/T12)</f>
        <v>-0.18356594555358627</v>
      </c>
    </row>
    <row r="13" spans="1:26" s="24" customFormat="1" hidden="1" outlineLevel="1" x14ac:dyDescent="0.25">
      <c r="A13" s="44"/>
      <c r="B13" s="11" t="str">
        <f>CONCATENATE("          ", "4053", " - ", "TAXABLE SALES-FOOD")</f>
        <v xml:space="preserve">          4053 - TAXABLE SALES-FOOD</v>
      </c>
      <c r="C13" s="11"/>
      <c r="D13" s="2">
        <f t="shared" ref="D13:D16" si="4">0</f>
        <v>0</v>
      </c>
      <c r="E13" s="2"/>
      <c r="F13" s="19"/>
      <c r="G13" s="2"/>
      <c r="H13" s="2"/>
      <c r="I13" s="2"/>
      <c r="J13" s="19"/>
      <c r="K13" s="2"/>
      <c r="L13" s="2">
        <f t="shared" si="0"/>
        <v>0</v>
      </c>
      <c r="M13" s="2"/>
      <c r="N13" s="19">
        <f t="shared" si="1"/>
        <v>0</v>
      </c>
      <c r="O13" s="11"/>
      <c r="P13" s="2">
        <f>--4314.79</f>
        <v>4314.79</v>
      </c>
      <c r="Q13" s="2"/>
      <c r="R13" s="19"/>
      <c r="S13" s="2"/>
      <c r="T13" s="2"/>
      <c r="U13" s="2"/>
      <c r="V13" s="19"/>
      <c r="W13" s="2"/>
      <c r="X13" s="2">
        <f t="shared" si="2"/>
        <v>4314.79</v>
      </c>
      <c r="Y13" s="2"/>
      <c r="Z13" s="19">
        <f t="shared" si="3"/>
        <v>0</v>
      </c>
    </row>
    <row r="14" spans="1:26" s="24" customFormat="1" hidden="1" outlineLevel="1" x14ac:dyDescent="0.25">
      <c r="A14" s="44"/>
      <c r="B14" s="11" t="str">
        <f>CONCATENATE("          ", "4100", " - ", "NON-TAXABLE SALES")</f>
        <v xml:space="preserve">          4100 - NON-TAXABLE SALES</v>
      </c>
      <c r="C14" s="11"/>
      <c r="D14" s="2">
        <f t="shared" si="4"/>
        <v>0</v>
      </c>
      <c r="E14" s="2"/>
      <c r="F14" s="19"/>
      <c r="G14" s="2"/>
      <c r="H14" s="2">
        <v>237665</v>
      </c>
      <c r="I14" s="2"/>
      <c r="J14" s="19"/>
      <c r="K14" s="2"/>
      <c r="L14" s="2">
        <f t="shared" si="0"/>
        <v>-237665</v>
      </c>
      <c r="M14" s="2"/>
      <c r="N14" s="19">
        <f t="shared" si="1"/>
        <v>-1</v>
      </c>
      <c r="O14" s="11"/>
      <c r="P14" s="2">
        <f>0</f>
        <v>0</v>
      </c>
      <c r="Q14" s="2"/>
      <c r="R14" s="19"/>
      <c r="S14" s="2"/>
      <c r="T14" s="2">
        <v>4145396.9999999995</v>
      </c>
      <c r="U14" s="2"/>
      <c r="V14" s="19"/>
      <c r="W14" s="2"/>
      <c r="X14" s="2">
        <f t="shared" si="2"/>
        <v>-4145396.9999999995</v>
      </c>
      <c r="Y14" s="2"/>
      <c r="Z14" s="19">
        <f t="shared" si="3"/>
        <v>-1</v>
      </c>
    </row>
    <row r="15" spans="1:26" s="24" customFormat="1" hidden="1" outlineLevel="1" x14ac:dyDescent="0.25">
      <c r="A15" s="44"/>
      <c r="B15" s="11" t="str">
        <f>CONCATENATE("          ", "4151", " - ", "NON-TAXABLE SALES-FOOD")</f>
        <v xml:space="preserve">          4151 - NON-TAXABLE SALES-FOOD</v>
      </c>
      <c r="C15" s="11"/>
      <c r="D15" s="2">
        <f t="shared" si="4"/>
        <v>0</v>
      </c>
      <c r="E15" s="2"/>
      <c r="F15" s="19"/>
      <c r="G15" s="2"/>
      <c r="H15" s="2"/>
      <c r="I15" s="2"/>
      <c r="J15" s="19"/>
      <c r="K15" s="2"/>
      <c r="L15" s="2">
        <f t="shared" si="0"/>
        <v>0</v>
      </c>
      <c r="M15" s="2"/>
      <c r="N15" s="19">
        <f t="shared" si="1"/>
        <v>0</v>
      </c>
      <c r="O15" s="11"/>
      <c r="P15" s="2">
        <f>--3334016.05</f>
        <v>3334016.05</v>
      </c>
      <c r="Q15" s="2"/>
      <c r="R15" s="19"/>
      <c r="S15" s="2"/>
      <c r="T15" s="2"/>
      <c r="U15" s="2"/>
      <c r="V15" s="19"/>
      <c r="W15" s="2"/>
      <c r="X15" s="2">
        <f t="shared" si="2"/>
        <v>3334016.05</v>
      </c>
      <c r="Y15" s="2"/>
      <c r="Z15" s="19">
        <f t="shared" si="3"/>
        <v>0</v>
      </c>
    </row>
    <row r="16" spans="1:26" s="24" customFormat="1" hidden="1" outlineLevel="1" x14ac:dyDescent="0.25">
      <c r="A16" s="44"/>
      <c r="B16" s="11" t="str">
        <f>CONCATENATE("          ", "4153", " - ", "NON-TAXABLE SALES-FOOD")</f>
        <v xml:space="preserve">          4153 - NON-TAXABLE SALES-FOOD</v>
      </c>
      <c r="C16" s="11"/>
      <c r="D16" s="2">
        <f t="shared" si="4"/>
        <v>0</v>
      </c>
      <c r="E16" s="2"/>
      <c r="F16" s="19"/>
      <c r="G16" s="2"/>
      <c r="H16" s="2"/>
      <c r="I16" s="2"/>
      <c r="J16" s="19"/>
      <c r="K16" s="2"/>
      <c r="L16" s="2">
        <f t="shared" si="0"/>
        <v>0</v>
      </c>
      <c r="M16" s="2"/>
      <c r="N16" s="19">
        <f t="shared" si="1"/>
        <v>0</v>
      </c>
      <c r="O16" s="11"/>
      <c r="P16" s="2">
        <f>--46112.44</f>
        <v>46112.44</v>
      </c>
      <c r="Q16" s="2"/>
      <c r="R16" s="19"/>
      <c r="S16" s="2"/>
      <c r="T16" s="2"/>
      <c r="U16" s="2"/>
      <c r="V16" s="19"/>
      <c r="W16" s="2"/>
      <c r="X16" s="2">
        <f t="shared" si="2"/>
        <v>46112.44</v>
      </c>
      <c r="Y16" s="2"/>
      <c r="Z16" s="19">
        <f t="shared" si="3"/>
        <v>0</v>
      </c>
    </row>
    <row r="17" spans="1:26" x14ac:dyDescent="0.25">
      <c r="A17" s="9"/>
      <c r="B17" s="10"/>
      <c r="C17" s="9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collapsed="1" x14ac:dyDescent="0.25">
      <c r="A18" s="10"/>
      <c r="B18" s="28" t="s">
        <v>8</v>
      </c>
      <c r="C18" s="10"/>
      <c r="D18" s="4">
        <f>SUM(OSRRefD16x_0)</f>
        <v>4911</v>
      </c>
      <c r="E18" s="4"/>
      <c r="F18" s="13">
        <f t="shared" ref="F18:F21" si="5">IF(D$12=0,0,D18/D$12)</f>
        <v>0</v>
      </c>
      <c r="G18" s="4"/>
      <c r="H18" s="4">
        <f>SUM(OSRRefH16x_0)</f>
        <v>66546</v>
      </c>
      <c r="I18" s="4"/>
      <c r="J18" s="13">
        <f t="shared" ref="J18:J21" si="6">IF(H$12=0,0,H18/H$12)</f>
        <v>0.27999915847937223</v>
      </c>
      <c r="K18" s="4"/>
      <c r="L18" s="4">
        <f t="shared" ref="L18:L21" si="7">+D18-H18</f>
        <v>-61635</v>
      </c>
      <c r="M18" s="4"/>
      <c r="N18" s="13">
        <f t="shared" ref="N18:N21" si="8">IF(H18=0,0,L18/H18)</f>
        <v>-0.92620142457848709</v>
      </c>
      <c r="O18" s="10"/>
      <c r="P18" s="4">
        <f>SUM(OSRRefP16x_0)</f>
        <v>846259.54999999993</v>
      </c>
      <c r="Q18" s="4"/>
      <c r="R18" s="13">
        <f t="shared" ref="R18:R21" si="9">IF(P$12=0,0,P18/P$12)</f>
        <v>0.25004394518911838</v>
      </c>
      <c r="S18" s="4"/>
      <c r="T18" s="4">
        <f>SUM(OSRRefT16x_0)</f>
        <v>1134454</v>
      </c>
      <c r="U18" s="4"/>
      <c r="V18" s="13">
        <f t="shared" ref="V18:V21" si="10">IF(T$12=0,0,T18/T$12)</f>
        <v>0.27366594803826993</v>
      </c>
      <c r="W18" s="4"/>
      <c r="X18" s="4">
        <f t="shared" ref="X18:X21" si="11">+P18-T18</f>
        <v>-288194.45000000007</v>
      </c>
      <c r="Y18" s="4"/>
      <c r="Z18" s="13">
        <f t="shared" ref="Z18:Z21" si="12">IF(T18=0,0,X18/T18)</f>
        <v>-0.25403802181489954</v>
      </c>
    </row>
    <row r="19" spans="1:26" s="24" customFormat="1" hidden="1" outlineLevel="1" x14ac:dyDescent="0.25">
      <c r="A19" s="44"/>
      <c r="B19" s="11" t="str">
        <f>CONCATENATE("          ", "5000", " - ", "PURCHASES @ COST")</f>
        <v xml:space="preserve">          5000 - PURCHASES @ COST</v>
      </c>
      <c r="C19" s="11"/>
      <c r="D19" s="2"/>
      <c r="E19" s="2"/>
      <c r="F19" s="19">
        <f t="shared" si="5"/>
        <v>0</v>
      </c>
      <c r="G19" s="2"/>
      <c r="H19" s="2">
        <v>66546</v>
      </c>
      <c r="I19" s="2"/>
      <c r="J19" s="19">
        <f t="shared" si="6"/>
        <v>0.27999915847937223</v>
      </c>
      <c r="K19" s="2"/>
      <c r="L19" s="2">
        <f t="shared" si="7"/>
        <v>-66546</v>
      </c>
      <c r="M19" s="2"/>
      <c r="N19" s="19">
        <f t="shared" si="8"/>
        <v>-1</v>
      </c>
      <c r="O19" s="11"/>
      <c r="P19" s="2"/>
      <c r="Q19" s="2"/>
      <c r="R19" s="19">
        <f t="shared" si="9"/>
        <v>0</v>
      </c>
      <c r="S19" s="2"/>
      <c r="T19" s="2">
        <v>1134454</v>
      </c>
      <c r="U19" s="2"/>
      <c r="V19" s="19">
        <f t="shared" si="10"/>
        <v>0.27366594803826993</v>
      </c>
      <c r="W19" s="2"/>
      <c r="X19" s="2">
        <f t="shared" si="11"/>
        <v>-1134454</v>
      </c>
      <c r="Y19" s="2"/>
      <c r="Z19" s="19">
        <f t="shared" si="12"/>
        <v>-1</v>
      </c>
    </row>
    <row r="20" spans="1:26" s="24" customFormat="1" hidden="1" outlineLevel="1" x14ac:dyDescent="0.25">
      <c r="A20" s="44"/>
      <c r="B20" s="11" t="str">
        <f>CONCATENATE("          ", "5053", " - ", "PURCHASES @ COST-FOOD")</f>
        <v xml:space="preserve">          5053 - PURCHASES @ COST-FOOD</v>
      </c>
      <c r="C20" s="11"/>
      <c r="D20" s="2"/>
      <c r="E20" s="2"/>
      <c r="F20" s="19">
        <f t="shared" si="5"/>
        <v>0</v>
      </c>
      <c r="G20" s="2"/>
      <c r="H20" s="2"/>
      <c r="I20" s="2"/>
      <c r="J20" s="19">
        <f t="shared" si="6"/>
        <v>0</v>
      </c>
      <c r="K20" s="2"/>
      <c r="L20" s="2">
        <f t="shared" si="7"/>
        <v>0</v>
      </c>
      <c r="M20" s="2"/>
      <c r="N20" s="19">
        <f t="shared" si="8"/>
        <v>0</v>
      </c>
      <c r="O20" s="11"/>
      <c r="P20" s="2">
        <v>830847.79999999993</v>
      </c>
      <c r="Q20" s="2"/>
      <c r="R20" s="19">
        <f t="shared" si="9"/>
        <v>0.24549024204654421</v>
      </c>
      <c r="S20" s="2"/>
      <c r="T20" s="2"/>
      <c r="U20" s="2"/>
      <c r="V20" s="19">
        <f t="shared" si="10"/>
        <v>0</v>
      </c>
      <c r="W20" s="2"/>
      <c r="X20" s="2">
        <f t="shared" si="11"/>
        <v>830847.79999999993</v>
      </c>
      <c r="Y20" s="2"/>
      <c r="Z20" s="19">
        <f t="shared" si="12"/>
        <v>0</v>
      </c>
    </row>
    <row r="21" spans="1:26" s="24" customFormat="1" hidden="1" outlineLevel="1" x14ac:dyDescent="0.25">
      <c r="A21" s="44"/>
      <c r="B21" s="11" t="str">
        <f>CONCATENATE("          ", "5059", " - ", "PURCHASES @ COST-FOOD")</f>
        <v xml:space="preserve">          5059 - PURCHASES @ COST-FOOD</v>
      </c>
      <c r="C21" s="11"/>
      <c r="D21" s="2">
        <v>4911</v>
      </c>
      <c r="E21" s="2"/>
      <c r="F21" s="19">
        <f t="shared" si="5"/>
        <v>0</v>
      </c>
      <c r="G21" s="2"/>
      <c r="H21" s="2"/>
      <c r="I21" s="2"/>
      <c r="J21" s="19">
        <f t="shared" si="6"/>
        <v>0</v>
      </c>
      <c r="K21" s="2"/>
      <c r="L21" s="2">
        <f t="shared" si="7"/>
        <v>4911</v>
      </c>
      <c r="M21" s="2"/>
      <c r="N21" s="19">
        <f t="shared" si="8"/>
        <v>0</v>
      </c>
      <c r="O21" s="11"/>
      <c r="P21" s="2">
        <v>15411.750000000002</v>
      </c>
      <c r="Q21" s="2"/>
      <c r="R21" s="19">
        <f t="shared" si="9"/>
        <v>4.5537031425741618E-3</v>
      </c>
      <c r="S21" s="2"/>
      <c r="T21" s="2"/>
      <c r="U21" s="2"/>
      <c r="V21" s="19">
        <f t="shared" si="10"/>
        <v>0</v>
      </c>
      <c r="W21" s="2"/>
      <c r="X21" s="2">
        <f t="shared" si="11"/>
        <v>15411.750000000002</v>
      </c>
      <c r="Y21" s="2"/>
      <c r="Z21" s="19">
        <f t="shared" si="12"/>
        <v>0</v>
      </c>
    </row>
    <row r="22" spans="1:26" x14ac:dyDescent="0.25">
      <c r="A22" s="9"/>
      <c r="B22" s="10"/>
      <c r="C22" s="10"/>
      <c r="D22" s="3"/>
      <c r="E22" s="3"/>
      <c r="F22" s="8"/>
      <c r="G22" s="3"/>
      <c r="H22" s="3"/>
      <c r="I22" s="3"/>
      <c r="J22" s="8"/>
      <c r="K22" s="3"/>
      <c r="L22" s="3"/>
      <c r="M22" s="3"/>
      <c r="N22" s="8"/>
      <c r="O22" s="10"/>
      <c r="P22" s="3"/>
      <c r="Q22" s="3"/>
      <c r="R22" s="8"/>
      <c r="S22" s="3"/>
      <c r="T22" s="3"/>
      <c r="U22" s="3"/>
      <c r="V22" s="8"/>
      <c r="W22" s="3"/>
      <c r="X22" s="3"/>
      <c r="Y22" s="3"/>
      <c r="Z22" s="8"/>
    </row>
    <row r="23" spans="1:26" s="23" customFormat="1" x14ac:dyDescent="0.25">
      <c r="A23" s="10"/>
      <c r="B23" s="29" t="s">
        <v>6</v>
      </c>
      <c r="C23" s="29"/>
      <c r="D23" s="20">
        <f>D12-D18</f>
        <v>-4911</v>
      </c>
      <c r="E23" s="14"/>
      <c r="F23" s="22">
        <f>IF(D$12=0,0,D23/D$12)</f>
        <v>0</v>
      </c>
      <c r="G23" s="14"/>
      <c r="H23" s="20">
        <f>H12-H18</f>
        <v>171119</v>
      </c>
      <c r="I23" s="14"/>
      <c r="J23" s="22">
        <f>IF(H$12=0,0,H23/H$12)</f>
        <v>0.72000084152062782</v>
      </c>
      <c r="K23" s="16"/>
      <c r="L23" s="20">
        <f>+D23-H23</f>
        <v>-176030</v>
      </c>
      <c r="M23" s="16"/>
      <c r="N23" s="22">
        <f>IF(H23=0,0,L23/H23)</f>
        <v>-1.028699326199896</v>
      </c>
      <c r="O23" s="28"/>
      <c r="P23" s="20">
        <f>P12-P18</f>
        <v>2538183.73</v>
      </c>
      <c r="Q23" s="14"/>
      <c r="R23" s="22">
        <f>IF(P$12=0,0,P23/P$12)</f>
        <v>0.74995605481088168</v>
      </c>
      <c r="S23" s="14"/>
      <c r="T23" s="20">
        <f>T12-T18</f>
        <v>3010942.9999999995</v>
      </c>
      <c r="U23" s="14"/>
      <c r="V23" s="22">
        <f>IF(T$12=0,0,T23/T$12)</f>
        <v>0.72633405196173007</v>
      </c>
      <c r="W23" s="16"/>
      <c r="X23" s="20">
        <f>+P23-T23</f>
        <v>-472759.26999999955</v>
      </c>
      <c r="Y23" s="16"/>
      <c r="Z23" s="22">
        <f>IF(T23=0,0,X23/T23)</f>
        <v>-0.15701368973109076</v>
      </c>
    </row>
    <row r="24" spans="1:26" x14ac:dyDescent="0.25">
      <c r="A24" s="9"/>
      <c r="B24" s="10"/>
      <c r="C24" s="9"/>
      <c r="D24" s="1"/>
      <c r="E24" s="1"/>
      <c r="F24" s="5"/>
      <c r="G24" s="1"/>
      <c r="H24" s="1"/>
      <c r="I24" s="1"/>
      <c r="J24" s="5"/>
      <c r="K24" s="1"/>
      <c r="L24" s="1"/>
      <c r="M24" s="1"/>
      <c r="N24" s="5"/>
      <c r="O24" s="36"/>
      <c r="P24" s="1"/>
      <c r="Q24" s="1"/>
      <c r="R24" s="5"/>
      <c r="S24" s="1"/>
      <c r="T24" s="1"/>
      <c r="U24" s="1"/>
      <c r="V24" s="5"/>
      <c r="W24" s="1"/>
      <c r="X24" s="1"/>
      <c r="Y24" s="1"/>
      <c r="Z24" s="5"/>
    </row>
    <row r="25" spans="1:26" s="23" customFormat="1" x14ac:dyDescent="0.25">
      <c r="A25" s="10"/>
      <c r="B25" s="28" t="s">
        <v>9</v>
      </c>
      <c r="C25" s="10"/>
      <c r="D25" s="21">
        <f>SUM(OSRRefD22x_0)</f>
        <v>49654.649999999994</v>
      </c>
      <c r="E25" s="21"/>
      <c r="F25" s="30">
        <f t="shared" ref="F25:F36" si="13">IF(D$12=0,0,D25/D$12)</f>
        <v>0</v>
      </c>
      <c r="G25" s="21"/>
      <c r="H25" s="21">
        <f>SUM(OSRRefH22x_0)</f>
        <v>145038.14398470463</v>
      </c>
      <c r="I25" s="21"/>
      <c r="J25" s="30">
        <f t="shared" ref="J25:J36" si="14">IF(H$12=0,0,H25/H$12)</f>
        <v>0.61026294988620378</v>
      </c>
      <c r="K25" s="4"/>
      <c r="L25" s="21">
        <f t="shared" ref="L25:L36" si="15">+D25-H25</f>
        <v>-95383.493984704633</v>
      </c>
      <c r="M25" s="4"/>
      <c r="N25" s="30">
        <f t="shared" ref="N25:N36" si="16">IF(H25=0,0,L25/H25)</f>
        <v>-0.65764419872032798</v>
      </c>
      <c r="O25" s="10"/>
      <c r="P25" s="21">
        <f>SUM(OSRRefP22x_0)</f>
        <v>1710412.01</v>
      </c>
      <c r="Q25" s="21"/>
      <c r="R25" s="30">
        <f t="shared" ref="R25:R36" si="17">IF(P$12=0,0,P25/P$12)</f>
        <v>0.50537470079864955</v>
      </c>
      <c r="S25" s="21"/>
      <c r="T25" s="21">
        <f>SUM(OSRRefT22x_0)</f>
        <v>2018249.2484891354</v>
      </c>
      <c r="U25" s="21"/>
      <c r="V25" s="30">
        <f t="shared" ref="V25:V36" si="18">IF(T$12=0,0,T25/T$12)</f>
        <v>0.4868651298027995</v>
      </c>
      <c r="W25" s="4"/>
      <c r="X25" s="21">
        <f t="shared" ref="X25:X36" si="19">+P25-T25</f>
        <v>-307837.2384891354</v>
      </c>
      <c r="Y25" s="4"/>
      <c r="Z25" s="30">
        <f t="shared" ref="Z25:Z36" si="20">IF(T25=0,0,X25/T25)</f>
        <v>-0.15252686887884775</v>
      </c>
    </row>
    <row r="26" spans="1:26" s="27" customFormat="1" outlineLevel="1" collapsed="1" x14ac:dyDescent="0.25">
      <c r="A26" s="25"/>
      <c r="B26" s="12" t="str">
        <f>CONCATENATE("     ","*Benefits                                         ")</f>
        <v xml:space="preserve">     *Benefits                                         </v>
      </c>
      <c r="C26" s="12"/>
      <c r="D26" s="1">
        <f>SUM(OSRRefD22_0x_0)</f>
        <v>27618.579999999998</v>
      </c>
      <c r="E26" s="1"/>
      <c r="F26" s="5">
        <f t="shared" si="13"/>
        <v>0</v>
      </c>
      <c r="G26" s="1"/>
      <c r="H26" s="1">
        <f>SUM(OSRRefH22_0x_0)</f>
        <v>28758.357503781539</v>
      </c>
      <c r="I26" s="1"/>
      <c r="J26" s="5">
        <f t="shared" si="14"/>
        <v>0.12100375530171266</v>
      </c>
      <c r="K26" s="1"/>
      <c r="L26" s="1">
        <f t="shared" si="15"/>
        <v>-1139.7775037815409</v>
      </c>
      <c r="M26" s="1"/>
      <c r="N26" s="5">
        <f t="shared" si="16"/>
        <v>-3.9632913793204896E-2</v>
      </c>
      <c r="O26" s="12"/>
      <c r="P26" s="1">
        <f>SUM(OSRRefP22_0x_0)</f>
        <v>347717.6</v>
      </c>
      <c r="Q26" s="1"/>
      <c r="R26" s="5">
        <f t="shared" si="17"/>
        <v>0.10273996968860415</v>
      </c>
      <c r="S26" s="1"/>
      <c r="T26" s="1">
        <f>SUM(OSRRefT22_0x_0)</f>
        <v>358187.73390405852</v>
      </c>
      <c r="U26" s="1"/>
      <c r="V26" s="5">
        <f t="shared" si="18"/>
        <v>8.6406135263777772E-2</v>
      </c>
      <c r="W26" s="1"/>
      <c r="X26" s="1">
        <f t="shared" si="19"/>
        <v>-10470.133904058544</v>
      </c>
      <c r="Y26" s="1"/>
      <c r="Z26" s="5">
        <f t="shared" si="20"/>
        <v>-2.9230855534720785E-2</v>
      </c>
    </row>
    <row r="27" spans="1:26" s="24" customFormat="1" hidden="1" outlineLevel="2" x14ac:dyDescent="0.25">
      <c r="A27" s="26"/>
      <c r="B27" s="11" t="str">
        <f>CONCATENATE("          ", "6111", " - ", "F.I.C.A.")</f>
        <v xml:space="preserve">          6111 - F.I.C.A.</v>
      </c>
      <c r="C27" s="11"/>
      <c r="D27" s="7">
        <v>2485.88</v>
      </c>
      <c r="E27" s="2"/>
      <c r="F27" s="6">
        <f t="shared" si="13"/>
        <v>0</v>
      </c>
      <c r="G27" s="2"/>
      <c r="H27" s="7">
        <v>2868.6248765630799</v>
      </c>
      <c r="I27" s="2"/>
      <c r="J27" s="6">
        <f t="shared" si="14"/>
        <v>1.2070035034872952E-2</v>
      </c>
      <c r="K27" s="2"/>
      <c r="L27" s="7">
        <f t="shared" si="15"/>
        <v>-382.74487656307974</v>
      </c>
      <c r="M27" s="2"/>
      <c r="N27" s="6">
        <f t="shared" si="16"/>
        <v>-0.13342451280058937</v>
      </c>
      <c r="O27" s="11"/>
      <c r="P27" s="7">
        <v>48695.96</v>
      </c>
      <c r="Q27" s="2"/>
      <c r="R27" s="6">
        <f t="shared" si="17"/>
        <v>1.4388174352858413E-2</v>
      </c>
      <c r="S27" s="2"/>
      <c r="T27" s="7">
        <v>39659.987238756963</v>
      </c>
      <c r="U27" s="2"/>
      <c r="V27" s="6">
        <f t="shared" si="18"/>
        <v>9.5672349931157294E-3</v>
      </c>
      <c r="W27" s="2"/>
      <c r="X27" s="7">
        <f t="shared" si="19"/>
        <v>9035.9727612430361</v>
      </c>
      <c r="Y27" s="2"/>
      <c r="Z27" s="6">
        <f t="shared" si="20"/>
        <v>0.22783599769827473</v>
      </c>
    </row>
    <row r="28" spans="1:26" s="24" customFormat="1" hidden="1" outlineLevel="2" x14ac:dyDescent="0.25">
      <c r="A28" s="26"/>
      <c r="B28" s="11" t="str">
        <f>CONCATENATE("          ", "6112", " - ", "COMPENSATION INSURANCE")</f>
        <v xml:space="preserve">          6112 - COMPENSATION INSURANCE</v>
      </c>
      <c r="C28" s="11"/>
      <c r="D28" s="7">
        <v>1891.21</v>
      </c>
      <c r="E28" s="2"/>
      <c r="F28" s="6">
        <f t="shared" si="13"/>
        <v>0</v>
      </c>
      <c r="G28" s="2"/>
      <c r="H28" s="7">
        <v>2942.0983911753901</v>
      </c>
      <c r="I28" s="2"/>
      <c r="J28" s="6">
        <f t="shared" si="14"/>
        <v>1.2379182425579661E-2</v>
      </c>
      <c r="K28" s="2"/>
      <c r="L28" s="7">
        <f t="shared" si="15"/>
        <v>-1050.8883911753901</v>
      </c>
      <c r="M28" s="2"/>
      <c r="N28" s="6">
        <f t="shared" si="16"/>
        <v>-0.35719009069426544</v>
      </c>
      <c r="O28" s="11"/>
      <c r="P28" s="7">
        <v>32193.43</v>
      </c>
      <c r="Q28" s="2"/>
      <c r="R28" s="6">
        <f t="shared" si="17"/>
        <v>9.5121789129230146E-3</v>
      </c>
      <c r="S28" s="2"/>
      <c r="T28" s="7">
        <v>43285.783766664594</v>
      </c>
      <c r="U28" s="2"/>
      <c r="V28" s="6">
        <f t="shared" si="18"/>
        <v>1.0441891033998577E-2</v>
      </c>
      <c r="W28" s="2"/>
      <c r="X28" s="7">
        <f t="shared" si="19"/>
        <v>-11092.353766664593</v>
      </c>
      <c r="Y28" s="2"/>
      <c r="Z28" s="6">
        <f t="shared" si="20"/>
        <v>-0.25625858657102746</v>
      </c>
    </row>
    <row r="29" spans="1:26" s="24" customFormat="1" hidden="1" outlineLevel="2" x14ac:dyDescent="0.25">
      <c r="A29" s="26"/>
      <c r="B29" s="11" t="str">
        <f>CONCATENATE("          ", "6113", " - ", "GROUP INSURANCE")</f>
        <v xml:space="preserve">          6113 - GROUP INSURANCE</v>
      </c>
      <c r="C29" s="11"/>
      <c r="D29" s="7">
        <v>16509.649999999998</v>
      </c>
      <c r="E29" s="2"/>
      <c r="F29" s="6">
        <f t="shared" si="13"/>
        <v>0</v>
      </c>
      <c r="G29" s="2"/>
      <c r="H29" s="7">
        <v>16958.384615384599</v>
      </c>
      <c r="I29" s="2"/>
      <c r="J29" s="6">
        <f t="shared" si="14"/>
        <v>7.1354152337889887E-2</v>
      </c>
      <c r="K29" s="2"/>
      <c r="L29" s="7">
        <f t="shared" si="15"/>
        <v>-448.73461538460106</v>
      </c>
      <c r="M29" s="2"/>
      <c r="N29" s="6">
        <f t="shared" si="16"/>
        <v>-2.6460929243078392E-2</v>
      </c>
      <c r="O29" s="11"/>
      <c r="P29" s="7">
        <v>193625.05</v>
      </c>
      <c r="Q29" s="2"/>
      <c r="R29" s="6">
        <f t="shared" si="17"/>
        <v>5.7210310228629387E-2</v>
      </c>
      <c r="S29" s="2"/>
      <c r="T29" s="7">
        <v>198165.6153846154</v>
      </c>
      <c r="U29" s="2"/>
      <c r="V29" s="6">
        <f t="shared" si="18"/>
        <v>4.7803772566201844E-2</v>
      </c>
      <c r="W29" s="2"/>
      <c r="X29" s="7">
        <f t="shared" si="19"/>
        <v>-4540.5653846154164</v>
      </c>
      <c r="Y29" s="2"/>
      <c r="Z29" s="6">
        <f t="shared" si="20"/>
        <v>-2.2912983040991899E-2</v>
      </c>
    </row>
    <row r="30" spans="1:26" s="24" customFormat="1" hidden="1" outlineLevel="2" x14ac:dyDescent="0.25">
      <c r="A30" s="26"/>
      <c r="B30" s="11" t="str">
        <f>CONCATENATE("          ", "6114", " - ", "STATE UNEMPLOYMENT INSURANCE")</f>
        <v xml:space="preserve">          6114 - STATE UNEMPLOYMENT INSURANCE</v>
      </c>
      <c r="C30" s="11"/>
      <c r="D30" s="7">
        <v>126.77</v>
      </c>
      <c r="E30" s="2"/>
      <c r="F30" s="6">
        <f t="shared" si="13"/>
        <v>0</v>
      </c>
      <c r="G30" s="2"/>
      <c r="H30" s="7">
        <v>197.15092311999999</v>
      </c>
      <c r="I30" s="2"/>
      <c r="J30" s="6">
        <f t="shared" si="14"/>
        <v>8.2953284295121275E-4</v>
      </c>
      <c r="K30" s="2"/>
      <c r="L30" s="7">
        <f t="shared" si="15"/>
        <v>-70.380923119999991</v>
      </c>
      <c r="M30" s="2"/>
      <c r="N30" s="6">
        <f t="shared" si="16"/>
        <v>-0.35699007646624709</v>
      </c>
      <c r="O30" s="11"/>
      <c r="P30" s="7">
        <v>2535.62</v>
      </c>
      <c r="Q30" s="2"/>
      <c r="R30" s="6">
        <f t="shared" si="17"/>
        <v>7.4919855061066347E-4</v>
      </c>
      <c r="S30" s="2"/>
      <c r="T30" s="7">
        <v>2900.5937575600001</v>
      </c>
      <c r="U30" s="2"/>
      <c r="V30" s="6">
        <f t="shared" si="18"/>
        <v>6.9971434763908022E-4</v>
      </c>
      <c r="W30" s="2"/>
      <c r="X30" s="7">
        <f t="shared" si="19"/>
        <v>-364.97375756000019</v>
      </c>
      <c r="Y30" s="2"/>
      <c r="Z30" s="6">
        <f t="shared" si="20"/>
        <v>-0.12582725747400722</v>
      </c>
    </row>
    <row r="31" spans="1:26" s="24" customFormat="1" hidden="1" outlineLevel="2" x14ac:dyDescent="0.25">
      <c r="A31" s="26"/>
      <c r="B31" s="11" t="str">
        <f>CONCATENATE("          ", "6115", " - ", "P.E.R.S.")</f>
        <v xml:space="preserve">          6115 - P.E.R.S.</v>
      </c>
      <c r="C31" s="11"/>
      <c r="D31" s="7">
        <v>1334.66</v>
      </c>
      <c r="E31" s="2"/>
      <c r="F31" s="6">
        <f t="shared" si="13"/>
        <v>0</v>
      </c>
      <c r="G31" s="2"/>
      <c r="H31" s="7">
        <v>1267.60705538462</v>
      </c>
      <c r="I31" s="2"/>
      <c r="J31" s="6">
        <f t="shared" si="14"/>
        <v>5.3335874250925461E-3</v>
      </c>
      <c r="K31" s="2"/>
      <c r="L31" s="7">
        <f t="shared" si="15"/>
        <v>67.052944615380056</v>
      </c>
      <c r="M31" s="2"/>
      <c r="N31" s="6">
        <f t="shared" si="16"/>
        <v>5.2897263651656395E-2</v>
      </c>
      <c r="O31" s="11"/>
      <c r="P31" s="7">
        <v>15119.48</v>
      </c>
      <c r="Q31" s="2"/>
      <c r="R31" s="6">
        <f t="shared" si="17"/>
        <v>4.4673462514047508E-3</v>
      </c>
      <c r="S31" s="2"/>
      <c r="T31" s="7">
        <v>15211.284664615419</v>
      </c>
      <c r="U31" s="2"/>
      <c r="V31" s="6">
        <f t="shared" si="18"/>
        <v>3.6694397821524505E-3</v>
      </c>
      <c r="W31" s="2"/>
      <c r="X31" s="7">
        <f t="shared" si="19"/>
        <v>-91.804664615419824</v>
      </c>
      <c r="Y31" s="2"/>
      <c r="Z31" s="6">
        <f t="shared" si="20"/>
        <v>-6.0352998868646764E-3</v>
      </c>
    </row>
    <row r="32" spans="1:26" s="24" customFormat="1" hidden="1" outlineLevel="2" x14ac:dyDescent="0.25">
      <c r="A32" s="26"/>
      <c r="B32" s="11" t="str">
        <f>CONCATENATE("          ", "6116", " - ", "EDUCATIONAL BENEFITS")</f>
        <v xml:space="preserve">          6116 - EDUCATIONAL BENEFITS</v>
      </c>
      <c r="C32" s="11"/>
      <c r="D32" s="7"/>
      <c r="E32" s="2"/>
      <c r="F32" s="6">
        <f t="shared" si="13"/>
        <v>0</v>
      </c>
      <c r="G32" s="2"/>
      <c r="H32" s="7">
        <v>0</v>
      </c>
      <c r="I32" s="2"/>
      <c r="J32" s="6">
        <f t="shared" si="14"/>
        <v>0</v>
      </c>
      <c r="K32" s="2"/>
      <c r="L32" s="7">
        <f t="shared" si="15"/>
        <v>0</v>
      </c>
      <c r="M32" s="2"/>
      <c r="N32" s="6">
        <f t="shared" si="16"/>
        <v>0</v>
      </c>
      <c r="O32" s="11"/>
      <c r="P32" s="7"/>
      <c r="Q32" s="2"/>
      <c r="R32" s="6">
        <f t="shared" si="17"/>
        <v>0</v>
      </c>
      <c r="S32" s="2"/>
      <c r="T32" s="7">
        <v>0</v>
      </c>
      <c r="U32" s="2"/>
      <c r="V32" s="6">
        <f t="shared" si="18"/>
        <v>0</v>
      </c>
      <c r="W32" s="2"/>
      <c r="X32" s="7">
        <f t="shared" si="19"/>
        <v>0</v>
      </c>
      <c r="Y32" s="2"/>
      <c r="Z32" s="6">
        <f t="shared" si="20"/>
        <v>0</v>
      </c>
    </row>
    <row r="33" spans="1:26" s="24" customFormat="1" hidden="1" outlineLevel="2" x14ac:dyDescent="0.25">
      <c r="A33" s="26"/>
      <c r="B33" s="11" t="str">
        <f>CONCATENATE("          ", "6117", " - ", "RETIREMENT STAFF HOURLY")</f>
        <v xml:space="preserve">          6117 - RETIREMENT STAFF HOURLY</v>
      </c>
      <c r="C33" s="11"/>
      <c r="D33" s="7">
        <v>547.91999999999996</v>
      </c>
      <c r="E33" s="2"/>
      <c r="F33" s="6">
        <f t="shared" si="13"/>
        <v>0</v>
      </c>
      <c r="G33" s="2"/>
      <c r="H33" s="7"/>
      <c r="I33" s="2"/>
      <c r="J33" s="6">
        <f t="shared" si="14"/>
        <v>0</v>
      </c>
      <c r="K33" s="2"/>
      <c r="L33" s="7">
        <f t="shared" si="15"/>
        <v>547.91999999999996</v>
      </c>
      <c r="M33" s="2"/>
      <c r="N33" s="6">
        <f t="shared" si="16"/>
        <v>0</v>
      </c>
      <c r="O33" s="11"/>
      <c r="P33" s="7">
        <v>7870.23</v>
      </c>
      <c r="Q33" s="2"/>
      <c r="R33" s="6">
        <f t="shared" si="17"/>
        <v>2.3254134724337884E-3</v>
      </c>
      <c r="S33" s="2"/>
      <c r="T33" s="7"/>
      <c r="U33" s="2"/>
      <c r="V33" s="6">
        <f t="shared" si="18"/>
        <v>0</v>
      </c>
      <c r="W33" s="2"/>
      <c r="X33" s="7">
        <f t="shared" si="19"/>
        <v>7870.23</v>
      </c>
      <c r="Y33" s="2"/>
      <c r="Z33" s="6">
        <f t="shared" si="20"/>
        <v>0</v>
      </c>
    </row>
    <row r="34" spans="1:26" s="24" customFormat="1" hidden="1" outlineLevel="2" x14ac:dyDescent="0.25">
      <c r="A34" s="26"/>
      <c r="B34" s="11" t="str">
        <f>CONCATENATE("          ", "6118", " - ", "VACATION")</f>
        <v xml:space="preserve">          6118 - VACATION</v>
      </c>
      <c r="C34" s="11"/>
      <c r="D34" s="7">
        <v>2366.1799999999998</v>
      </c>
      <c r="E34" s="2"/>
      <c r="F34" s="6">
        <f t="shared" si="13"/>
        <v>0</v>
      </c>
      <c r="G34" s="2"/>
      <c r="H34" s="7">
        <v>1124.5099476923101</v>
      </c>
      <c r="I34" s="2"/>
      <c r="J34" s="6">
        <f t="shared" si="14"/>
        <v>4.7314915856028865E-3</v>
      </c>
      <c r="K34" s="2"/>
      <c r="L34" s="7">
        <f t="shared" si="15"/>
        <v>1241.6700523076897</v>
      </c>
      <c r="M34" s="2"/>
      <c r="N34" s="6">
        <f t="shared" si="16"/>
        <v>1.1041876995893301</v>
      </c>
      <c r="O34" s="11"/>
      <c r="P34" s="7">
        <v>32176.52</v>
      </c>
      <c r="Q34" s="2"/>
      <c r="R34" s="6">
        <f t="shared" si="17"/>
        <v>9.5071825224974666E-3</v>
      </c>
      <c r="S34" s="2"/>
      <c r="T34" s="7">
        <v>13494.11937230769</v>
      </c>
      <c r="U34" s="2"/>
      <c r="V34" s="6">
        <f t="shared" si="18"/>
        <v>3.2552055622917884E-3</v>
      </c>
      <c r="W34" s="2"/>
      <c r="X34" s="7">
        <f t="shared" si="19"/>
        <v>18682.40062769231</v>
      </c>
      <c r="Y34" s="2"/>
      <c r="Z34" s="6">
        <f t="shared" si="20"/>
        <v>1.3844846123143009</v>
      </c>
    </row>
    <row r="35" spans="1:26" s="24" customFormat="1" hidden="1" outlineLevel="2" x14ac:dyDescent="0.25">
      <c r="A35" s="26"/>
      <c r="B35" s="11" t="str">
        <f>CONCATENATE("          ", "6119", " - ", "SICK LEAVE")</f>
        <v xml:space="preserve">          6119 - SICK LEAVE</v>
      </c>
      <c r="C35" s="11"/>
      <c r="D35" s="7">
        <v>1504</v>
      </c>
      <c r="E35" s="2"/>
      <c r="F35" s="6">
        <f t="shared" si="13"/>
        <v>0</v>
      </c>
      <c r="G35" s="2"/>
      <c r="H35" s="7">
        <v>1899.98169446154</v>
      </c>
      <c r="I35" s="2"/>
      <c r="J35" s="6">
        <f t="shared" si="14"/>
        <v>7.9943689414156052E-3</v>
      </c>
      <c r="K35" s="2"/>
      <c r="L35" s="7">
        <f t="shared" si="15"/>
        <v>-395.98169446153997</v>
      </c>
      <c r="M35" s="2"/>
      <c r="N35" s="6">
        <f t="shared" si="16"/>
        <v>-0.2084134260955405</v>
      </c>
      <c r="O35" s="11"/>
      <c r="P35" s="7">
        <v>1798.8</v>
      </c>
      <c r="Q35" s="2"/>
      <c r="R35" s="6">
        <f t="shared" si="17"/>
        <v>5.3149066218063489E-4</v>
      </c>
      <c r="S35" s="2"/>
      <c r="T35" s="7">
        <v>28970.349719538459</v>
      </c>
      <c r="U35" s="2"/>
      <c r="V35" s="6">
        <f t="shared" si="18"/>
        <v>6.988558567379303E-3</v>
      </c>
      <c r="W35" s="2"/>
      <c r="X35" s="7">
        <f t="shared" si="19"/>
        <v>-27171.54971953846</v>
      </c>
      <c r="Y35" s="2"/>
      <c r="Z35" s="6">
        <f t="shared" si="20"/>
        <v>-0.93790893042665502</v>
      </c>
    </row>
    <row r="36" spans="1:26" s="24" customFormat="1" hidden="1" outlineLevel="2" x14ac:dyDescent="0.25">
      <c r="A36" s="26"/>
      <c r="B36" s="11" t="str">
        <f>CONCATENATE("          ", "6156", " - ", "EMPLOYEE MEALS")</f>
        <v xml:space="preserve">          6156 - EMPLOYEE MEALS</v>
      </c>
      <c r="C36" s="11"/>
      <c r="D36" s="7">
        <v>852.31</v>
      </c>
      <c r="E36" s="2"/>
      <c r="F36" s="6">
        <f t="shared" si="13"/>
        <v>0</v>
      </c>
      <c r="G36" s="2"/>
      <c r="H36" s="7">
        <v>1500</v>
      </c>
      <c r="I36" s="2"/>
      <c r="J36" s="6">
        <f t="shared" si="14"/>
        <v>6.3114047083079128E-3</v>
      </c>
      <c r="K36" s="2"/>
      <c r="L36" s="7">
        <f t="shared" si="15"/>
        <v>-647.69000000000005</v>
      </c>
      <c r="M36" s="2"/>
      <c r="N36" s="6">
        <f t="shared" si="16"/>
        <v>-0.43179333333333336</v>
      </c>
      <c r="O36" s="11"/>
      <c r="P36" s="7">
        <v>13702.51</v>
      </c>
      <c r="Q36" s="2"/>
      <c r="R36" s="6">
        <f t="shared" si="17"/>
        <v>4.0486747350660284E-3</v>
      </c>
      <c r="S36" s="2"/>
      <c r="T36" s="7">
        <v>16500</v>
      </c>
      <c r="U36" s="2"/>
      <c r="V36" s="6">
        <f t="shared" si="18"/>
        <v>3.9803184109989953E-3</v>
      </c>
      <c r="W36" s="2"/>
      <c r="X36" s="7">
        <f t="shared" si="19"/>
        <v>-2797.49</v>
      </c>
      <c r="Y36" s="2"/>
      <c r="Z36" s="6">
        <f t="shared" si="20"/>
        <v>-0.16954484848484846</v>
      </c>
    </row>
    <row r="37" spans="1:26" s="27" customFormat="1" outlineLevel="1" collapsed="1" x14ac:dyDescent="0.25">
      <c r="A37" s="25"/>
      <c r="B37" s="12" t="str">
        <f>CONCATENATE("     ","*Payroll                                          ")</f>
        <v xml:space="preserve">     *Payroll                                          </v>
      </c>
      <c r="C37" s="12"/>
      <c r="D37" s="1">
        <f>SUM(OSRRefD22_1x_0)</f>
        <v>21255.15</v>
      </c>
      <c r="E37" s="1"/>
      <c r="F37" s="5">
        <f t="shared" ref="F37:F47" si="21">IF(D$12=0,0,D37/D$12)</f>
        <v>0</v>
      </c>
      <c r="G37" s="1"/>
      <c r="H37" s="1">
        <f>SUM(OSRRefH22_1x_0)</f>
        <v>72802.786480923096</v>
      </c>
      <c r="I37" s="1"/>
      <c r="J37" s="5">
        <f t="shared" ref="J37:J47" si="22">IF(H$12=0,0,H37/H$12)</f>
        <v>0.30632523291575575</v>
      </c>
      <c r="K37" s="1"/>
      <c r="L37" s="1">
        <f t="shared" ref="L37:L47" si="23">+D37-H37</f>
        <v>-51547.636480923094</v>
      </c>
      <c r="M37" s="1"/>
      <c r="N37" s="5">
        <f t="shared" ref="N37:N47" si="24">IF(H37=0,0,L37/H37)</f>
        <v>-0.70804482867466068</v>
      </c>
      <c r="O37" s="12"/>
      <c r="P37" s="1">
        <f>SUM(OSRRefP22_1x_0)</f>
        <v>913205.75</v>
      </c>
      <c r="Q37" s="1"/>
      <c r="R37" s="5">
        <f t="shared" ref="R37:R47" si="25">IF(P$12=0,0,P37/P$12)</f>
        <v>0.26982451010377106</v>
      </c>
      <c r="S37" s="1"/>
      <c r="T37" s="1">
        <f>SUM(OSRRefT22_1x_0)</f>
        <v>1073148.5145850771</v>
      </c>
      <c r="U37" s="1"/>
      <c r="V37" s="5">
        <f t="shared" ref="V37:V47" si="26">IF(T$12=0,0,T37/T$12)</f>
        <v>0.25887713880843671</v>
      </c>
      <c r="W37" s="1"/>
      <c r="X37" s="1">
        <f t="shared" ref="X37:X47" si="27">+P37-T37</f>
        <v>-159942.76458507706</v>
      </c>
      <c r="Y37" s="1"/>
      <c r="Z37" s="5">
        <f t="shared" ref="Z37:Z47" si="28">IF(T37=0,0,X37/T37)</f>
        <v>-0.14904066157787813</v>
      </c>
    </row>
    <row r="38" spans="1:26" s="24" customFormat="1" hidden="1" outlineLevel="2" x14ac:dyDescent="0.25">
      <c r="A38" s="26"/>
      <c r="B38" s="11" t="str">
        <f>CONCATENATE("          ", "6001", " - ", "ADMINISTRATIVE SALARIES")</f>
        <v xml:space="preserve">          6001 - ADMINISTRATIVE SALARIES</v>
      </c>
      <c r="C38" s="11"/>
      <c r="D38" s="7"/>
      <c r="E38" s="2"/>
      <c r="F38" s="6">
        <f t="shared" si="21"/>
        <v>0</v>
      </c>
      <c r="G38" s="2"/>
      <c r="H38" s="7">
        <v>0</v>
      </c>
      <c r="I38" s="2"/>
      <c r="J38" s="6">
        <f t="shared" si="22"/>
        <v>0</v>
      </c>
      <c r="K38" s="2"/>
      <c r="L38" s="7">
        <f t="shared" si="23"/>
        <v>0</v>
      </c>
      <c r="M38" s="2"/>
      <c r="N38" s="6">
        <f t="shared" si="24"/>
        <v>0</v>
      </c>
      <c r="O38" s="11"/>
      <c r="P38" s="7"/>
      <c r="Q38" s="2"/>
      <c r="R38" s="6">
        <f t="shared" si="25"/>
        <v>0</v>
      </c>
      <c r="S38" s="2"/>
      <c r="T38" s="7">
        <v>0</v>
      </c>
      <c r="U38" s="2"/>
      <c r="V38" s="6">
        <f t="shared" si="26"/>
        <v>0</v>
      </c>
      <c r="W38" s="2"/>
      <c r="X38" s="7">
        <f t="shared" si="27"/>
        <v>0</v>
      </c>
      <c r="Y38" s="2"/>
      <c r="Z38" s="6">
        <f t="shared" si="28"/>
        <v>0</v>
      </c>
    </row>
    <row r="39" spans="1:26" s="24" customFormat="1" hidden="1" outlineLevel="2" x14ac:dyDescent="0.25">
      <c r="A39" s="26"/>
      <c r="B39" s="11" t="str">
        <f>CONCATENATE("          ", "6002", " - ", "STAFF SALARIES")</f>
        <v xml:space="preserve">          6002 - STAFF SALARIES</v>
      </c>
      <c r="C39" s="11"/>
      <c r="D39" s="7">
        <v>4528.75</v>
      </c>
      <c r="E39" s="2"/>
      <c r="F39" s="6">
        <f t="shared" si="21"/>
        <v>0</v>
      </c>
      <c r="G39" s="2"/>
      <c r="H39" s="7">
        <v>14002.6360769231</v>
      </c>
      <c r="I39" s="2"/>
      <c r="J39" s="6">
        <f t="shared" si="22"/>
        <v>5.8917535509743123E-2</v>
      </c>
      <c r="K39" s="2"/>
      <c r="L39" s="7">
        <f t="shared" si="23"/>
        <v>-9473.8860769230996</v>
      </c>
      <c r="M39" s="2"/>
      <c r="N39" s="6">
        <f t="shared" si="24"/>
        <v>-0.67657875452011784</v>
      </c>
      <c r="O39" s="11"/>
      <c r="P39" s="7">
        <v>160238.99</v>
      </c>
      <c r="Q39" s="2"/>
      <c r="R39" s="6">
        <f t="shared" si="25"/>
        <v>4.7345745442659626E-2</v>
      </c>
      <c r="S39" s="2"/>
      <c r="T39" s="7">
        <v>168031.63292307692</v>
      </c>
      <c r="U39" s="2"/>
      <c r="V39" s="6">
        <f t="shared" si="26"/>
        <v>4.0534509221451395E-2</v>
      </c>
      <c r="W39" s="2"/>
      <c r="X39" s="7">
        <f t="shared" si="27"/>
        <v>-7792.6429230769281</v>
      </c>
      <c r="Y39" s="2"/>
      <c r="Z39" s="6">
        <f t="shared" si="28"/>
        <v>-4.6376047102061529E-2</v>
      </c>
    </row>
    <row r="40" spans="1:26" s="24" customFormat="1" hidden="1" outlineLevel="2" x14ac:dyDescent="0.25">
      <c r="A40" s="26"/>
      <c r="B40" s="11" t="str">
        <f>CONCATENATE("          ", "6003", " - ", "STAFF HOURLY-9 MONTH")</f>
        <v xml:space="preserve">          6003 - STAFF HOURLY-9 MONTH</v>
      </c>
      <c r="C40" s="11"/>
      <c r="D40" s="7"/>
      <c r="E40" s="2"/>
      <c r="F40" s="6">
        <f t="shared" si="21"/>
        <v>0</v>
      </c>
      <c r="G40" s="2"/>
      <c r="H40" s="7">
        <v>0</v>
      </c>
      <c r="I40" s="2"/>
      <c r="J40" s="6">
        <f t="shared" si="22"/>
        <v>0</v>
      </c>
      <c r="K40" s="2"/>
      <c r="L40" s="7">
        <f t="shared" si="23"/>
        <v>0</v>
      </c>
      <c r="M40" s="2"/>
      <c r="N40" s="6">
        <f t="shared" si="24"/>
        <v>0</v>
      </c>
      <c r="O40" s="11"/>
      <c r="P40" s="7"/>
      <c r="Q40" s="2"/>
      <c r="R40" s="6">
        <f t="shared" si="25"/>
        <v>0</v>
      </c>
      <c r="S40" s="2"/>
      <c r="T40" s="7">
        <v>0</v>
      </c>
      <c r="U40" s="2"/>
      <c r="V40" s="6">
        <f t="shared" si="26"/>
        <v>0</v>
      </c>
      <c r="W40" s="2"/>
      <c r="X40" s="7">
        <f t="shared" si="27"/>
        <v>0</v>
      </c>
      <c r="Y40" s="2"/>
      <c r="Z40" s="6">
        <f t="shared" si="28"/>
        <v>0</v>
      </c>
    </row>
    <row r="41" spans="1:26" s="24" customFormat="1" hidden="1" outlineLevel="2" x14ac:dyDescent="0.25">
      <c r="A41" s="26"/>
      <c r="B41" s="11" t="str">
        <f>CONCATENATE("          ", "6004", " - ", "STAFF HOURLY")</f>
        <v xml:space="preserve">          6004 - STAFF HOURLY</v>
      </c>
      <c r="C41" s="11"/>
      <c r="D41" s="7">
        <v>16726.400000000001</v>
      </c>
      <c r="E41" s="2"/>
      <c r="F41" s="6">
        <f t="shared" si="21"/>
        <v>0</v>
      </c>
      <c r="G41" s="2"/>
      <c r="H41" s="7">
        <v>21606.845600000001</v>
      </c>
      <c r="I41" s="2"/>
      <c r="J41" s="6">
        <f t="shared" si="22"/>
        <v>9.0913031367681404E-2</v>
      </c>
      <c r="K41" s="2"/>
      <c r="L41" s="7">
        <f t="shared" si="23"/>
        <v>-4880.4455999999991</v>
      </c>
      <c r="M41" s="2"/>
      <c r="N41" s="6">
        <f t="shared" si="24"/>
        <v>-0.22587496992156963</v>
      </c>
      <c r="O41" s="11"/>
      <c r="P41" s="7">
        <v>221506.80000000002</v>
      </c>
      <c r="Q41" s="2"/>
      <c r="R41" s="6">
        <f t="shared" si="25"/>
        <v>6.5448518906778677E-2</v>
      </c>
      <c r="S41" s="2"/>
      <c r="T41" s="7">
        <v>259282.14720000001</v>
      </c>
      <c r="U41" s="2"/>
      <c r="V41" s="6">
        <f t="shared" si="26"/>
        <v>6.254700025112192E-2</v>
      </c>
      <c r="W41" s="2"/>
      <c r="X41" s="7">
        <f t="shared" si="27"/>
        <v>-37775.347199999989</v>
      </c>
      <c r="Y41" s="2"/>
      <c r="Z41" s="6">
        <f t="shared" si="28"/>
        <v>-0.14569204863480856</v>
      </c>
    </row>
    <row r="42" spans="1:26" s="24" customFormat="1" hidden="1" outlineLevel="2" x14ac:dyDescent="0.25">
      <c r="A42" s="26"/>
      <c r="B42" s="11" t="str">
        <f>CONCATENATE("          ", "6005", " - ", "TEMPORARY WAGES-HOURLY")</f>
        <v xml:space="preserve">          6005 - TEMPORARY WAGES-HOURLY</v>
      </c>
      <c r="C42" s="11"/>
      <c r="D42" s="7"/>
      <c r="E42" s="2"/>
      <c r="F42" s="6">
        <f t="shared" si="21"/>
        <v>0</v>
      </c>
      <c r="G42" s="2"/>
      <c r="H42" s="7">
        <v>12425.247203999999</v>
      </c>
      <c r="I42" s="2"/>
      <c r="J42" s="6">
        <f t="shared" si="22"/>
        <v>5.2280509136810212E-2</v>
      </c>
      <c r="K42" s="2"/>
      <c r="L42" s="7">
        <f t="shared" si="23"/>
        <v>-12425.247203999999</v>
      </c>
      <c r="M42" s="2"/>
      <c r="N42" s="6">
        <f t="shared" si="24"/>
        <v>-1</v>
      </c>
      <c r="O42" s="11"/>
      <c r="P42" s="7">
        <v>146126.22999999998</v>
      </c>
      <c r="Q42" s="2"/>
      <c r="R42" s="6">
        <f t="shared" si="25"/>
        <v>4.3175854316577583E-2</v>
      </c>
      <c r="S42" s="2"/>
      <c r="T42" s="7">
        <v>211794.033662</v>
      </c>
      <c r="U42" s="2"/>
      <c r="V42" s="6">
        <f t="shared" si="26"/>
        <v>5.1091375243915126E-2</v>
      </c>
      <c r="W42" s="2"/>
      <c r="X42" s="7">
        <f t="shared" si="27"/>
        <v>-65667.80366200002</v>
      </c>
      <c r="Y42" s="2"/>
      <c r="Z42" s="6">
        <f t="shared" si="28"/>
        <v>-0.31005502150640663</v>
      </c>
    </row>
    <row r="43" spans="1:26" s="24" customFormat="1" hidden="1" outlineLevel="2" x14ac:dyDescent="0.25">
      <c r="A43" s="26"/>
      <c r="B43" s="11" t="str">
        <f>CONCATENATE("          ", "6006", " - ", "TEMPORARY PART TIME")</f>
        <v xml:space="preserve">          6006 - TEMPORARY PART TIME</v>
      </c>
      <c r="C43" s="11"/>
      <c r="D43" s="7"/>
      <c r="E43" s="2"/>
      <c r="F43" s="6">
        <f t="shared" si="21"/>
        <v>0</v>
      </c>
      <c r="G43" s="2"/>
      <c r="H43" s="7">
        <v>0</v>
      </c>
      <c r="I43" s="2"/>
      <c r="J43" s="6">
        <f t="shared" si="22"/>
        <v>0</v>
      </c>
      <c r="K43" s="2"/>
      <c r="L43" s="7">
        <f t="shared" si="23"/>
        <v>0</v>
      </c>
      <c r="M43" s="2"/>
      <c r="N43" s="6">
        <f t="shared" si="24"/>
        <v>0</v>
      </c>
      <c r="O43" s="11"/>
      <c r="P43" s="7">
        <v>13546.1</v>
      </c>
      <c r="Q43" s="2"/>
      <c r="R43" s="6">
        <f t="shared" si="25"/>
        <v>4.0024603396514894E-3</v>
      </c>
      <c r="S43" s="2"/>
      <c r="T43" s="7">
        <v>0</v>
      </c>
      <c r="U43" s="2"/>
      <c r="V43" s="6">
        <f t="shared" si="26"/>
        <v>0</v>
      </c>
      <c r="W43" s="2"/>
      <c r="X43" s="7">
        <f t="shared" si="27"/>
        <v>13546.1</v>
      </c>
      <c r="Y43" s="2"/>
      <c r="Z43" s="6">
        <f t="shared" si="28"/>
        <v>0</v>
      </c>
    </row>
    <row r="44" spans="1:26" s="24" customFormat="1" hidden="1" outlineLevel="2" x14ac:dyDescent="0.25">
      <c r="A44" s="26"/>
      <c r="B44" s="11" t="str">
        <f>CONCATENATE("          ", "6007", " - ", "STUDENT HOURLY")</f>
        <v xml:space="preserve">          6007 - STUDENT HOURLY</v>
      </c>
      <c r="C44" s="11"/>
      <c r="D44" s="7"/>
      <c r="E44" s="2"/>
      <c r="F44" s="6">
        <f t="shared" si="21"/>
        <v>0</v>
      </c>
      <c r="G44" s="2"/>
      <c r="H44" s="7">
        <v>0</v>
      </c>
      <c r="I44" s="2"/>
      <c r="J44" s="6">
        <f t="shared" si="22"/>
        <v>0</v>
      </c>
      <c r="K44" s="2"/>
      <c r="L44" s="7">
        <f t="shared" si="23"/>
        <v>0</v>
      </c>
      <c r="M44" s="2"/>
      <c r="N44" s="6">
        <f t="shared" si="24"/>
        <v>0</v>
      </c>
      <c r="O44" s="11"/>
      <c r="P44" s="7">
        <v>291246.51</v>
      </c>
      <c r="Q44" s="2"/>
      <c r="R44" s="6">
        <f t="shared" si="25"/>
        <v>8.6054481019401219E-2</v>
      </c>
      <c r="S44" s="2"/>
      <c r="T44" s="7">
        <v>66371.28</v>
      </c>
      <c r="U44" s="2"/>
      <c r="V44" s="6">
        <f t="shared" si="26"/>
        <v>1.6010838045186025E-2</v>
      </c>
      <c r="W44" s="2"/>
      <c r="X44" s="7">
        <f t="shared" si="27"/>
        <v>224875.23</v>
      </c>
      <c r="Y44" s="2"/>
      <c r="Z44" s="6">
        <f t="shared" si="28"/>
        <v>3.3881406234744911</v>
      </c>
    </row>
    <row r="45" spans="1:26" s="24" customFormat="1" hidden="1" outlineLevel="2" x14ac:dyDescent="0.25">
      <c r="A45" s="26"/>
      <c r="B45" s="11" t="str">
        <f>CONCATENATE("          ", "6008", " - ", "STUDENT HOURLY-FICA EXEMPT")</f>
        <v xml:space="preserve">          6008 - STUDENT HOURLY-FICA EXEMPT</v>
      </c>
      <c r="C45" s="11"/>
      <c r="D45" s="7"/>
      <c r="E45" s="2"/>
      <c r="F45" s="6">
        <f t="shared" si="21"/>
        <v>0</v>
      </c>
      <c r="G45" s="2"/>
      <c r="H45" s="7">
        <v>24768.0576</v>
      </c>
      <c r="I45" s="2"/>
      <c r="J45" s="6">
        <f t="shared" si="22"/>
        <v>0.10421415690152105</v>
      </c>
      <c r="K45" s="2"/>
      <c r="L45" s="7">
        <f t="shared" si="23"/>
        <v>-24768.0576</v>
      </c>
      <c r="M45" s="2"/>
      <c r="N45" s="6">
        <f t="shared" si="24"/>
        <v>-1</v>
      </c>
      <c r="O45" s="11"/>
      <c r="P45" s="7">
        <v>80541.119999999995</v>
      </c>
      <c r="Q45" s="2"/>
      <c r="R45" s="6">
        <f t="shared" si="25"/>
        <v>2.3797450078702456E-2</v>
      </c>
      <c r="S45" s="2"/>
      <c r="T45" s="7">
        <v>367669.42080000002</v>
      </c>
      <c r="U45" s="2"/>
      <c r="V45" s="6">
        <f t="shared" si="26"/>
        <v>8.8693416046762244E-2</v>
      </c>
      <c r="W45" s="2"/>
      <c r="X45" s="7">
        <f t="shared" si="27"/>
        <v>-287128.30080000003</v>
      </c>
      <c r="Y45" s="2"/>
      <c r="Z45" s="6">
        <f t="shared" si="28"/>
        <v>-0.78094147774173561</v>
      </c>
    </row>
    <row r="46" spans="1:26" s="24" customFormat="1" hidden="1" outlineLevel="2" x14ac:dyDescent="0.25">
      <c r="A46" s="26"/>
      <c r="B46" s="11" t="str">
        <f>CONCATENATE("          ", "6009", " - ", "TEMPORARY-SEASONAL")</f>
        <v xml:space="preserve">          6009 - TEMPORARY-SEASONAL</v>
      </c>
      <c r="C46" s="11"/>
      <c r="D46" s="7"/>
      <c r="E46" s="2"/>
      <c r="F46" s="6">
        <f t="shared" si="21"/>
        <v>0</v>
      </c>
      <c r="G46" s="2"/>
      <c r="H46" s="7">
        <v>0</v>
      </c>
      <c r="I46" s="2"/>
      <c r="J46" s="6">
        <f t="shared" si="22"/>
        <v>0</v>
      </c>
      <c r="K46" s="2"/>
      <c r="L46" s="7">
        <f t="shared" si="23"/>
        <v>0</v>
      </c>
      <c r="M46" s="2"/>
      <c r="N46" s="6">
        <f t="shared" si="24"/>
        <v>0</v>
      </c>
      <c r="O46" s="11"/>
      <c r="P46" s="7"/>
      <c r="Q46" s="2"/>
      <c r="R46" s="6">
        <f t="shared" si="25"/>
        <v>0</v>
      </c>
      <c r="S46" s="2"/>
      <c r="T46" s="7">
        <v>0</v>
      </c>
      <c r="U46" s="2"/>
      <c r="V46" s="6">
        <f t="shared" si="26"/>
        <v>0</v>
      </c>
      <c r="W46" s="2"/>
      <c r="X46" s="7">
        <f t="shared" si="27"/>
        <v>0</v>
      </c>
      <c r="Y46" s="2"/>
      <c r="Z46" s="6">
        <f t="shared" si="28"/>
        <v>0</v>
      </c>
    </row>
    <row r="47" spans="1:26" s="24" customFormat="1" hidden="1" outlineLevel="2" x14ac:dyDescent="0.25">
      <c r="A47" s="26"/>
      <c r="B47" s="11" t="str">
        <f>CONCATENATE("          ", "6010", " - ", "GRATUITY")</f>
        <v xml:space="preserve">          6010 - GRATUITY</v>
      </c>
      <c r="C47" s="11"/>
      <c r="D47" s="7"/>
      <c r="E47" s="2"/>
      <c r="F47" s="6">
        <f t="shared" si="21"/>
        <v>0</v>
      </c>
      <c r="G47" s="2"/>
      <c r="H47" s="7">
        <v>0</v>
      </c>
      <c r="I47" s="2"/>
      <c r="J47" s="6">
        <f t="shared" si="22"/>
        <v>0</v>
      </c>
      <c r="K47" s="2"/>
      <c r="L47" s="7">
        <f t="shared" si="23"/>
        <v>0</v>
      </c>
      <c r="M47" s="2"/>
      <c r="N47" s="6">
        <f t="shared" si="24"/>
        <v>0</v>
      </c>
      <c r="O47" s="11"/>
      <c r="P47" s="7"/>
      <c r="Q47" s="2"/>
      <c r="R47" s="6">
        <f t="shared" si="25"/>
        <v>0</v>
      </c>
      <c r="S47" s="2"/>
      <c r="T47" s="7">
        <v>0</v>
      </c>
      <c r="U47" s="2"/>
      <c r="V47" s="6">
        <f t="shared" si="26"/>
        <v>0</v>
      </c>
      <c r="W47" s="2"/>
      <c r="X47" s="7">
        <f t="shared" si="27"/>
        <v>0</v>
      </c>
      <c r="Y47" s="2"/>
      <c r="Z47" s="6">
        <f t="shared" si="28"/>
        <v>0</v>
      </c>
    </row>
    <row r="48" spans="1:26" s="27" customFormat="1" outlineLevel="1" collapsed="1" x14ac:dyDescent="0.25">
      <c r="A48" s="25"/>
      <c r="B48" s="12" t="str">
        <f>CONCATENATE("     ","Advertising/Promo                                 ")</f>
        <v xml:space="preserve">     Advertising/Promo                                 </v>
      </c>
      <c r="C48" s="12"/>
      <c r="D48" s="1">
        <f>SUM(OSRRefD22_2x_0)</f>
        <v>0</v>
      </c>
      <c r="E48" s="1"/>
      <c r="F48" s="5">
        <f t="shared" ref="F48:F69" si="29">IF(D$12=0,0,D48/D$12)</f>
        <v>0</v>
      </c>
      <c r="G48" s="1"/>
      <c r="H48" s="1">
        <f>SUM(OSRRefH22_2x_0)</f>
        <v>100</v>
      </c>
      <c r="I48" s="1"/>
      <c r="J48" s="5">
        <f t="shared" ref="J48:J69" si="30">IF(H$12=0,0,H48/H$12)</f>
        <v>4.2076031388719418E-4</v>
      </c>
      <c r="K48" s="1"/>
      <c r="L48" s="1">
        <f t="shared" ref="L48:L69" si="31">+D48-H48</f>
        <v>-100</v>
      </c>
      <c r="M48" s="1"/>
      <c r="N48" s="5">
        <f t="shared" ref="N48:N69" si="32">IF(H48=0,0,L48/H48)</f>
        <v>-1</v>
      </c>
      <c r="O48" s="12"/>
      <c r="P48" s="1">
        <f>SUM(OSRRefP22_2x_0)</f>
        <v>2628.74</v>
      </c>
      <c r="Q48" s="1"/>
      <c r="R48" s="5">
        <f t="shared" ref="R48:R69" si="33">IF(P$12=0,0,P48/P$12)</f>
        <v>7.7671267695170231E-4</v>
      </c>
      <c r="S48" s="1"/>
      <c r="T48" s="1">
        <f>SUM(OSRRefT22_2x_0)</f>
        <v>3800</v>
      </c>
      <c r="U48" s="1"/>
      <c r="V48" s="5">
        <f t="shared" ref="V48:V69" si="34">IF(T$12=0,0,T48/T$12)</f>
        <v>9.1667939162401099E-4</v>
      </c>
      <c r="W48" s="1"/>
      <c r="X48" s="1">
        <f t="shared" ref="X48:X69" si="35">+P48-T48</f>
        <v>-1171.2600000000002</v>
      </c>
      <c r="Y48" s="1"/>
      <c r="Z48" s="5">
        <f t="shared" ref="Z48:Z69" si="36">IF(T48=0,0,X48/T48)</f>
        <v>-0.30822631578947374</v>
      </c>
    </row>
    <row r="49" spans="1:26" s="24" customFormat="1" hidden="1" outlineLevel="2" x14ac:dyDescent="0.25">
      <c r="A49" s="26"/>
      <c r="B49" s="11" t="str">
        <f>CONCATENATE("          ", "6362", " - ", "ADVERTISING EXPENSE")</f>
        <v xml:space="preserve">          6362 - ADVERTISING EXPENSE</v>
      </c>
      <c r="C49" s="11"/>
      <c r="D49" s="7"/>
      <c r="E49" s="2"/>
      <c r="F49" s="6">
        <f t="shared" si="29"/>
        <v>0</v>
      </c>
      <c r="G49" s="2"/>
      <c r="H49" s="7">
        <v>100</v>
      </c>
      <c r="I49" s="2"/>
      <c r="J49" s="6">
        <f t="shared" si="30"/>
        <v>4.2076031388719418E-4</v>
      </c>
      <c r="K49" s="2"/>
      <c r="L49" s="7">
        <f t="shared" si="31"/>
        <v>-100</v>
      </c>
      <c r="M49" s="2"/>
      <c r="N49" s="6">
        <f t="shared" si="32"/>
        <v>-1</v>
      </c>
      <c r="O49" s="11"/>
      <c r="P49" s="7">
        <v>2628.74</v>
      </c>
      <c r="Q49" s="2"/>
      <c r="R49" s="6">
        <f t="shared" si="33"/>
        <v>7.7671267695170231E-4</v>
      </c>
      <c r="S49" s="2"/>
      <c r="T49" s="7">
        <v>3800</v>
      </c>
      <c r="U49" s="2"/>
      <c r="V49" s="6">
        <f t="shared" si="34"/>
        <v>9.1667939162401099E-4</v>
      </c>
      <c r="W49" s="2"/>
      <c r="X49" s="7">
        <f t="shared" si="35"/>
        <v>-1171.2600000000002</v>
      </c>
      <c r="Y49" s="2"/>
      <c r="Z49" s="6">
        <f t="shared" si="36"/>
        <v>-0.30822631578947374</v>
      </c>
    </row>
    <row r="50" spans="1:26" s="27" customFormat="1" outlineLevel="1" collapsed="1" x14ac:dyDescent="0.25">
      <c r="A50" s="25"/>
      <c r="B50" s="12" t="str">
        <f>CONCATENATE("     ","Bad Debts/Over/Short                              ")</f>
        <v xml:space="preserve">     Bad Debts/Over/Short                              </v>
      </c>
      <c r="C50" s="12"/>
      <c r="D50" s="1">
        <f>SUM(OSRRefD22_3x_0)</f>
        <v>0</v>
      </c>
      <c r="E50" s="1"/>
      <c r="F50" s="5">
        <f t="shared" si="29"/>
        <v>0</v>
      </c>
      <c r="G50" s="1"/>
      <c r="H50" s="1">
        <f>SUM(OSRRefH22_3x_0)</f>
        <v>8</v>
      </c>
      <c r="I50" s="1"/>
      <c r="J50" s="5">
        <f t="shared" si="30"/>
        <v>3.3660825110975536E-5</v>
      </c>
      <c r="K50" s="1"/>
      <c r="L50" s="1">
        <f t="shared" si="31"/>
        <v>-8</v>
      </c>
      <c r="M50" s="1"/>
      <c r="N50" s="5">
        <f t="shared" si="32"/>
        <v>-1</v>
      </c>
      <c r="O50" s="12"/>
      <c r="P50" s="1">
        <f>SUM(OSRRefP22_3x_0)</f>
        <v>16.690000000000001</v>
      </c>
      <c r="Q50" s="1"/>
      <c r="R50" s="5">
        <f t="shared" si="33"/>
        <v>4.9313871201883469E-6</v>
      </c>
      <c r="S50" s="1"/>
      <c r="T50" s="1">
        <f>SUM(OSRRefT22_3x_0)</f>
        <v>88</v>
      </c>
      <c r="U50" s="1"/>
      <c r="V50" s="5">
        <f t="shared" si="34"/>
        <v>2.1228364858661307E-5</v>
      </c>
      <c r="W50" s="1"/>
      <c r="X50" s="1">
        <f t="shared" si="35"/>
        <v>-71.31</v>
      </c>
      <c r="Y50" s="1"/>
      <c r="Z50" s="5">
        <f t="shared" si="36"/>
        <v>-0.81034090909090917</v>
      </c>
    </row>
    <row r="51" spans="1:26" s="24" customFormat="1" hidden="1" outlineLevel="2" x14ac:dyDescent="0.25">
      <c r="A51" s="26"/>
      <c r="B51" s="11" t="str">
        <f>CONCATENATE("          ", "6272", " - ", "CASH (OVER/SHORT)")</f>
        <v xml:space="preserve">          6272 - CASH (OVER/SHORT)</v>
      </c>
      <c r="C51" s="11"/>
      <c r="D51" s="7"/>
      <c r="E51" s="2"/>
      <c r="F51" s="6">
        <f t="shared" si="29"/>
        <v>0</v>
      </c>
      <c r="G51" s="2"/>
      <c r="H51" s="7">
        <v>8</v>
      </c>
      <c r="I51" s="2"/>
      <c r="J51" s="6">
        <f t="shared" si="30"/>
        <v>3.3660825110975536E-5</v>
      </c>
      <c r="K51" s="2"/>
      <c r="L51" s="7">
        <f t="shared" si="31"/>
        <v>-8</v>
      </c>
      <c r="M51" s="2"/>
      <c r="N51" s="6">
        <f t="shared" si="32"/>
        <v>-1</v>
      </c>
      <c r="O51" s="11"/>
      <c r="P51" s="7">
        <v>16.690000000000001</v>
      </c>
      <c r="Q51" s="2"/>
      <c r="R51" s="6">
        <f t="shared" si="33"/>
        <v>4.9313871201883469E-6</v>
      </c>
      <c r="S51" s="2"/>
      <c r="T51" s="7">
        <v>88</v>
      </c>
      <c r="U51" s="2"/>
      <c r="V51" s="6">
        <f t="shared" si="34"/>
        <v>2.1228364858661307E-5</v>
      </c>
      <c r="W51" s="2"/>
      <c r="X51" s="7">
        <f t="shared" si="35"/>
        <v>-71.31</v>
      </c>
      <c r="Y51" s="2"/>
      <c r="Z51" s="6">
        <f t="shared" si="36"/>
        <v>-0.81034090909090917</v>
      </c>
    </row>
    <row r="52" spans="1:26" s="27" customFormat="1" outlineLevel="1" collapsed="1" x14ac:dyDescent="0.25">
      <c r="A52" s="25"/>
      <c r="B52" s="12" t="str">
        <f>CONCATENATE("     ","Bank/card Fees                                    ")</f>
        <v xml:space="preserve">     Bank/card Fees                                    </v>
      </c>
      <c r="C52" s="12"/>
      <c r="D52" s="1">
        <f>SUM(OSRRefD22_4x_0)</f>
        <v>0</v>
      </c>
      <c r="E52" s="1"/>
      <c r="F52" s="5">
        <f t="shared" si="29"/>
        <v>0</v>
      </c>
      <c r="G52" s="1"/>
      <c r="H52" s="1">
        <f>SUM(OSRRefH22_4x_0)</f>
        <v>170</v>
      </c>
      <c r="I52" s="1"/>
      <c r="J52" s="5">
        <f t="shared" si="30"/>
        <v>7.1529253360823005E-4</v>
      </c>
      <c r="K52" s="1"/>
      <c r="L52" s="1">
        <f t="shared" si="31"/>
        <v>-170</v>
      </c>
      <c r="M52" s="1"/>
      <c r="N52" s="5">
        <f t="shared" si="32"/>
        <v>-1</v>
      </c>
      <c r="O52" s="12"/>
      <c r="P52" s="1">
        <f>SUM(OSRRefP22_4x_0)</f>
        <v>1125.75</v>
      </c>
      <c r="Q52" s="1"/>
      <c r="R52" s="5">
        <f t="shared" si="33"/>
        <v>3.3262486821761716E-4</v>
      </c>
      <c r="S52" s="1"/>
      <c r="T52" s="1">
        <f>SUM(OSRRefT22_4x_0)</f>
        <v>1870</v>
      </c>
      <c r="U52" s="1"/>
      <c r="V52" s="5">
        <f t="shared" si="34"/>
        <v>4.511027532465528E-4</v>
      </c>
      <c r="W52" s="1"/>
      <c r="X52" s="1">
        <f t="shared" si="35"/>
        <v>-744.25</v>
      </c>
      <c r="Y52" s="1"/>
      <c r="Z52" s="5">
        <f t="shared" si="36"/>
        <v>-0.39799465240641713</v>
      </c>
    </row>
    <row r="53" spans="1:26" s="24" customFormat="1" hidden="1" outlineLevel="2" x14ac:dyDescent="0.25">
      <c r="A53" s="26"/>
      <c r="B53" s="11" t="str">
        <f>CONCATENATE("          ", "6381", " - ", "BANK/CREDIT CARD FEES")</f>
        <v xml:space="preserve">          6381 - BANK/CREDIT CARD FEES</v>
      </c>
      <c r="C53" s="11"/>
      <c r="D53" s="7"/>
      <c r="E53" s="2"/>
      <c r="F53" s="6">
        <f t="shared" si="29"/>
        <v>0</v>
      </c>
      <c r="G53" s="2"/>
      <c r="H53" s="7">
        <v>170</v>
      </c>
      <c r="I53" s="2"/>
      <c r="J53" s="6">
        <f t="shared" si="30"/>
        <v>7.1529253360823005E-4</v>
      </c>
      <c r="K53" s="2"/>
      <c r="L53" s="7">
        <f t="shared" si="31"/>
        <v>-170</v>
      </c>
      <c r="M53" s="2"/>
      <c r="N53" s="6">
        <f t="shared" si="32"/>
        <v>-1</v>
      </c>
      <c r="O53" s="11"/>
      <c r="P53" s="7">
        <v>1125.75</v>
      </c>
      <c r="Q53" s="2"/>
      <c r="R53" s="6">
        <f t="shared" si="33"/>
        <v>3.3262486821761716E-4</v>
      </c>
      <c r="S53" s="2"/>
      <c r="T53" s="7">
        <v>1870</v>
      </c>
      <c r="U53" s="2"/>
      <c r="V53" s="6">
        <f t="shared" si="34"/>
        <v>4.511027532465528E-4</v>
      </c>
      <c r="W53" s="2"/>
      <c r="X53" s="7">
        <f t="shared" si="35"/>
        <v>-744.25</v>
      </c>
      <c r="Y53" s="2"/>
      <c r="Z53" s="6">
        <f t="shared" si="36"/>
        <v>-0.39799465240641713</v>
      </c>
    </row>
    <row r="54" spans="1:26" s="27" customFormat="1" outlineLevel="1" collapsed="1" x14ac:dyDescent="0.25">
      <c r="A54" s="25"/>
      <c r="B54" s="12" t="str">
        <f>CONCATENATE("     ","Donations                                         ")</f>
        <v xml:space="preserve">     Donations                                         </v>
      </c>
      <c r="C54" s="12"/>
      <c r="D54" s="1">
        <f>SUM(OSRRefD22_5x_0)</f>
        <v>0</v>
      </c>
      <c r="E54" s="1"/>
      <c r="F54" s="5">
        <f t="shared" si="29"/>
        <v>0</v>
      </c>
      <c r="G54" s="1"/>
      <c r="H54" s="1">
        <f>SUM(OSRRefH22_5x_0)</f>
        <v>3100</v>
      </c>
      <c r="I54" s="1"/>
      <c r="J54" s="5">
        <f t="shared" si="30"/>
        <v>1.3043569730503019E-2</v>
      </c>
      <c r="K54" s="1"/>
      <c r="L54" s="1">
        <f t="shared" si="31"/>
        <v>-3100</v>
      </c>
      <c r="M54" s="1"/>
      <c r="N54" s="5">
        <f t="shared" si="32"/>
        <v>-1</v>
      </c>
      <c r="O54" s="12"/>
      <c r="P54" s="1">
        <f>SUM(OSRRefP22_5x_0)</f>
        <v>26858.9</v>
      </c>
      <c r="Q54" s="1"/>
      <c r="R54" s="5">
        <f t="shared" si="33"/>
        <v>7.9359876286654758E-3</v>
      </c>
      <c r="S54" s="1"/>
      <c r="T54" s="1">
        <f>SUM(OSRRefT22_5x_0)</f>
        <v>33000</v>
      </c>
      <c r="U54" s="1"/>
      <c r="V54" s="5">
        <f t="shared" si="34"/>
        <v>7.9606368219979906E-3</v>
      </c>
      <c r="W54" s="1"/>
      <c r="X54" s="1">
        <f t="shared" si="35"/>
        <v>-6141.0999999999985</v>
      </c>
      <c r="Y54" s="1"/>
      <c r="Z54" s="5">
        <f t="shared" si="36"/>
        <v>-0.18609393939393934</v>
      </c>
    </row>
    <row r="55" spans="1:26" s="24" customFormat="1" hidden="1" outlineLevel="2" x14ac:dyDescent="0.25">
      <c r="A55" s="26"/>
      <c r="B55" s="11" t="str">
        <f>CONCATENATE("          ", "6399", " - ", "DONATION-ON CAMPUS")</f>
        <v xml:space="preserve">          6399 - DONATION-ON CAMPUS</v>
      </c>
      <c r="C55" s="11"/>
      <c r="D55" s="7"/>
      <c r="E55" s="2"/>
      <c r="F55" s="6">
        <f t="shared" si="29"/>
        <v>0</v>
      </c>
      <c r="G55" s="2"/>
      <c r="H55" s="7">
        <v>3100</v>
      </c>
      <c r="I55" s="2"/>
      <c r="J55" s="6">
        <f t="shared" si="30"/>
        <v>1.3043569730503019E-2</v>
      </c>
      <c r="K55" s="2"/>
      <c r="L55" s="7">
        <f t="shared" si="31"/>
        <v>-3100</v>
      </c>
      <c r="M55" s="2"/>
      <c r="N55" s="6">
        <f t="shared" si="32"/>
        <v>-1</v>
      </c>
      <c r="O55" s="11"/>
      <c r="P55" s="7">
        <v>26858.9</v>
      </c>
      <c r="Q55" s="2"/>
      <c r="R55" s="6">
        <f t="shared" si="33"/>
        <v>7.9359876286654758E-3</v>
      </c>
      <c r="S55" s="2"/>
      <c r="T55" s="7">
        <v>33000</v>
      </c>
      <c r="U55" s="2"/>
      <c r="V55" s="6">
        <f t="shared" si="34"/>
        <v>7.9606368219979906E-3</v>
      </c>
      <c r="W55" s="2"/>
      <c r="X55" s="7">
        <f t="shared" si="35"/>
        <v>-6141.0999999999985</v>
      </c>
      <c r="Y55" s="2"/>
      <c r="Z55" s="6">
        <f t="shared" si="36"/>
        <v>-0.18609393939393934</v>
      </c>
    </row>
    <row r="56" spans="1:26" s="27" customFormat="1" outlineLevel="1" collapsed="1" x14ac:dyDescent="0.25">
      <c r="A56" s="25"/>
      <c r="B56" s="12" t="str">
        <f>CONCATENATE("     ","Employees' Appreciation                           ")</f>
        <v xml:space="preserve">     Employees' Appreciation                           </v>
      </c>
      <c r="C56" s="12"/>
      <c r="D56" s="1">
        <f>SUM(OSRRefD22_6x_0)</f>
        <v>0</v>
      </c>
      <c r="E56" s="1"/>
      <c r="F56" s="5">
        <f t="shared" si="29"/>
        <v>0</v>
      </c>
      <c r="G56" s="1"/>
      <c r="H56" s="1">
        <f>SUM(OSRRefH22_6x_0)</f>
        <v>145</v>
      </c>
      <c r="I56" s="1"/>
      <c r="J56" s="5">
        <f t="shared" si="30"/>
        <v>6.1010245513643153E-4</v>
      </c>
      <c r="K56" s="1"/>
      <c r="L56" s="1">
        <f t="shared" si="31"/>
        <v>-145</v>
      </c>
      <c r="M56" s="1"/>
      <c r="N56" s="5">
        <f t="shared" si="32"/>
        <v>-1</v>
      </c>
      <c r="O56" s="12"/>
      <c r="P56" s="1">
        <f>SUM(OSRRefP22_6x_0)</f>
        <v>1564</v>
      </c>
      <c r="Q56" s="1"/>
      <c r="R56" s="5">
        <f t="shared" si="33"/>
        <v>4.6211440718841066E-4</v>
      </c>
      <c r="S56" s="1"/>
      <c r="T56" s="1">
        <f>SUM(OSRRefT22_6x_0)</f>
        <v>1595</v>
      </c>
      <c r="U56" s="1"/>
      <c r="V56" s="5">
        <f t="shared" si="34"/>
        <v>3.8476411306323619E-4</v>
      </c>
      <c r="W56" s="1"/>
      <c r="X56" s="1">
        <f t="shared" si="35"/>
        <v>-31</v>
      </c>
      <c r="Y56" s="1"/>
      <c r="Z56" s="5">
        <f t="shared" si="36"/>
        <v>-1.9435736677115987E-2</v>
      </c>
    </row>
    <row r="57" spans="1:26" s="24" customFormat="1" hidden="1" outlineLevel="2" x14ac:dyDescent="0.25">
      <c r="A57" s="26"/>
      <c r="B57" s="11" t="str">
        <f>CONCATENATE("          ", "6277", " - ", "EMPLOYEE APPRECIATION")</f>
        <v xml:space="preserve">          6277 - EMPLOYEE APPRECIATION</v>
      </c>
      <c r="C57" s="11"/>
      <c r="D57" s="7"/>
      <c r="E57" s="2"/>
      <c r="F57" s="6">
        <f t="shared" si="29"/>
        <v>0</v>
      </c>
      <c r="G57" s="2"/>
      <c r="H57" s="7">
        <v>145</v>
      </c>
      <c r="I57" s="2"/>
      <c r="J57" s="6">
        <f t="shared" si="30"/>
        <v>6.1010245513643153E-4</v>
      </c>
      <c r="K57" s="2"/>
      <c r="L57" s="7">
        <f t="shared" si="31"/>
        <v>-145</v>
      </c>
      <c r="M57" s="2"/>
      <c r="N57" s="6">
        <f t="shared" si="32"/>
        <v>-1</v>
      </c>
      <c r="O57" s="11"/>
      <c r="P57" s="7">
        <v>1564</v>
      </c>
      <c r="Q57" s="2"/>
      <c r="R57" s="6">
        <f t="shared" si="33"/>
        <v>4.6211440718841066E-4</v>
      </c>
      <c r="S57" s="2"/>
      <c r="T57" s="7">
        <v>1595</v>
      </c>
      <c r="U57" s="2"/>
      <c r="V57" s="6">
        <f t="shared" si="34"/>
        <v>3.8476411306323619E-4</v>
      </c>
      <c r="W57" s="2"/>
      <c r="X57" s="7">
        <f t="shared" si="35"/>
        <v>-31</v>
      </c>
      <c r="Y57" s="2"/>
      <c r="Z57" s="6">
        <f t="shared" si="36"/>
        <v>-1.9435736677115987E-2</v>
      </c>
    </row>
    <row r="58" spans="1:26" s="27" customFormat="1" outlineLevel="1" collapsed="1" x14ac:dyDescent="0.25">
      <c r="A58" s="25"/>
      <c r="B58" s="12" t="str">
        <f>CONCATENATE("     ","Equipment Rental                                  ")</f>
        <v xml:space="preserve">     Equipment Rental                                  </v>
      </c>
      <c r="C58" s="12"/>
      <c r="D58" s="1">
        <f>SUM(OSRRefD22_7x_0)</f>
        <v>91.26</v>
      </c>
      <c r="E58" s="1"/>
      <c r="F58" s="5">
        <f t="shared" si="29"/>
        <v>0</v>
      </c>
      <c r="G58" s="1"/>
      <c r="H58" s="1">
        <f>SUM(OSRRefH22_7x_0)</f>
        <v>270</v>
      </c>
      <c r="I58" s="1"/>
      <c r="J58" s="5">
        <f t="shared" si="30"/>
        <v>1.1360528474954241E-3</v>
      </c>
      <c r="K58" s="1"/>
      <c r="L58" s="1">
        <f t="shared" si="31"/>
        <v>-178.74</v>
      </c>
      <c r="M58" s="1"/>
      <c r="N58" s="5">
        <f t="shared" si="32"/>
        <v>-0.66200000000000003</v>
      </c>
      <c r="O58" s="12"/>
      <c r="P58" s="1">
        <f>SUM(OSRRefP22_7x_0)</f>
        <v>2757.23</v>
      </c>
      <c r="Q58" s="1"/>
      <c r="R58" s="5">
        <f t="shared" si="33"/>
        <v>8.1467756197704702E-4</v>
      </c>
      <c r="S58" s="1"/>
      <c r="T58" s="1">
        <f>SUM(OSRRefT22_7x_0)</f>
        <v>2970</v>
      </c>
      <c r="U58" s="1"/>
      <c r="V58" s="5">
        <f t="shared" si="34"/>
        <v>7.1645731397981913E-4</v>
      </c>
      <c r="W58" s="1"/>
      <c r="X58" s="1">
        <f t="shared" si="35"/>
        <v>-212.76999999999998</v>
      </c>
      <c r="Y58" s="1"/>
      <c r="Z58" s="5">
        <f t="shared" si="36"/>
        <v>-7.1639730639730628E-2</v>
      </c>
    </row>
    <row r="59" spans="1:26" s="24" customFormat="1" hidden="1" outlineLevel="2" x14ac:dyDescent="0.25">
      <c r="A59" s="26"/>
      <c r="B59" s="11" t="str">
        <f>CONCATENATE("          ", "6351", " - ", "EQUIPMENT RENTAL")</f>
        <v xml:space="preserve">          6351 - EQUIPMENT RENTAL</v>
      </c>
      <c r="C59" s="11"/>
      <c r="D59" s="7">
        <v>91.26</v>
      </c>
      <c r="E59" s="2"/>
      <c r="F59" s="6">
        <f t="shared" si="29"/>
        <v>0</v>
      </c>
      <c r="G59" s="2"/>
      <c r="H59" s="7">
        <v>270</v>
      </c>
      <c r="I59" s="2"/>
      <c r="J59" s="6">
        <f t="shared" si="30"/>
        <v>1.1360528474954241E-3</v>
      </c>
      <c r="K59" s="2"/>
      <c r="L59" s="7">
        <f t="shared" si="31"/>
        <v>-178.74</v>
      </c>
      <c r="M59" s="2"/>
      <c r="N59" s="6">
        <f t="shared" si="32"/>
        <v>-0.66200000000000003</v>
      </c>
      <c r="O59" s="11"/>
      <c r="P59" s="7">
        <v>2757.23</v>
      </c>
      <c r="Q59" s="2"/>
      <c r="R59" s="6">
        <f t="shared" si="33"/>
        <v>8.1467756197704702E-4</v>
      </c>
      <c r="S59" s="2"/>
      <c r="T59" s="7">
        <v>2970</v>
      </c>
      <c r="U59" s="2"/>
      <c r="V59" s="6">
        <f t="shared" si="34"/>
        <v>7.1645731397981913E-4</v>
      </c>
      <c r="W59" s="2"/>
      <c r="X59" s="7">
        <f t="shared" si="35"/>
        <v>-212.76999999999998</v>
      </c>
      <c r="Y59" s="2"/>
      <c r="Z59" s="6">
        <f t="shared" si="36"/>
        <v>-7.1639730639730628E-2</v>
      </c>
    </row>
    <row r="60" spans="1:26" s="27" customFormat="1" outlineLevel="1" collapsed="1" x14ac:dyDescent="0.25">
      <c r="A60" s="25"/>
      <c r="B60" s="12" t="str">
        <f>CONCATENATE("     ","Freight out/Postage                               ")</f>
        <v xml:space="preserve">     Freight out/Postage                               </v>
      </c>
      <c r="C60" s="12"/>
      <c r="D60" s="1">
        <f>SUM(OSRRefD22_8x_0)</f>
        <v>0</v>
      </c>
      <c r="E60" s="1"/>
      <c r="F60" s="5">
        <f t="shared" si="29"/>
        <v>0</v>
      </c>
      <c r="G60" s="1"/>
      <c r="H60" s="1">
        <f>SUM(OSRRefH22_8x_0)</f>
        <v>1</v>
      </c>
      <c r="I60" s="1"/>
      <c r="J60" s="5">
        <f t="shared" si="30"/>
        <v>4.207603138871942E-6</v>
      </c>
      <c r="K60" s="1"/>
      <c r="L60" s="1">
        <f t="shared" si="31"/>
        <v>-1</v>
      </c>
      <c r="M60" s="1"/>
      <c r="N60" s="5">
        <f t="shared" si="32"/>
        <v>-1</v>
      </c>
      <c r="O60" s="12"/>
      <c r="P60" s="1">
        <f>SUM(OSRRefP22_8x_0)</f>
        <v>0</v>
      </c>
      <c r="Q60" s="1"/>
      <c r="R60" s="5">
        <f t="shared" si="33"/>
        <v>0</v>
      </c>
      <c r="S60" s="1"/>
      <c r="T60" s="1">
        <f>SUM(OSRRefT22_8x_0)</f>
        <v>11</v>
      </c>
      <c r="U60" s="1"/>
      <c r="V60" s="5">
        <f t="shared" si="34"/>
        <v>2.6535456073326633E-6</v>
      </c>
      <c r="W60" s="1"/>
      <c r="X60" s="1">
        <f t="shared" si="35"/>
        <v>-11</v>
      </c>
      <c r="Y60" s="1"/>
      <c r="Z60" s="5">
        <f t="shared" si="36"/>
        <v>-1</v>
      </c>
    </row>
    <row r="61" spans="1:26" s="24" customFormat="1" hidden="1" outlineLevel="2" x14ac:dyDescent="0.25">
      <c r="A61" s="26"/>
      <c r="B61" s="11" t="str">
        <f>CONCATENATE("          ", "6307", " - ", "POSTAGE")</f>
        <v xml:space="preserve">          6307 - POSTAGE</v>
      </c>
      <c r="C61" s="11"/>
      <c r="D61" s="7"/>
      <c r="E61" s="2"/>
      <c r="F61" s="6">
        <f t="shared" si="29"/>
        <v>0</v>
      </c>
      <c r="G61" s="2"/>
      <c r="H61" s="7">
        <v>1</v>
      </c>
      <c r="I61" s="2"/>
      <c r="J61" s="6">
        <f t="shared" si="30"/>
        <v>4.207603138871942E-6</v>
      </c>
      <c r="K61" s="2"/>
      <c r="L61" s="7">
        <f t="shared" si="31"/>
        <v>-1</v>
      </c>
      <c r="M61" s="2"/>
      <c r="N61" s="6">
        <f t="shared" si="32"/>
        <v>-1</v>
      </c>
      <c r="O61" s="11"/>
      <c r="P61" s="7"/>
      <c r="Q61" s="2"/>
      <c r="R61" s="6">
        <f t="shared" si="33"/>
        <v>0</v>
      </c>
      <c r="S61" s="2"/>
      <c r="T61" s="7">
        <v>11</v>
      </c>
      <c r="U61" s="2"/>
      <c r="V61" s="6">
        <f t="shared" si="34"/>
        <v>2.6535456073326633E-6</v>
      </c>
      <c r="W61" s="2"/>
      <c r="X61" s="7">
        <f t="shared" si="35"/>
        <v>-11</v>
      </c>
      <c r="Y61" s="2"/>
      <c r="Z61" s="6">
        <f t="shared" si="36"/>
        <v>-1</v>
      </c>
    </row>
    <row r="62" spans="1:26" s="27" customFormat="1" outlineLevel="1" collapsed="1" x14ac:dyDescent="0.25">
      <c r="A62" s="25"/>
      <c r="B62" s="12" t="str">
        <f>CONCATENATE("     ","General                                           ")</f>
        <v xml:space="preserve">     General                                           </v>
      </c>
      <c r="C62" s="12"/>
      <c r="D62" s="1">
        <f>SUM(OSRRefD22_9x_0)</f>
        <v>0</v>
      </c>
      <c r="E62" s="1"/>
      <c r="F62" s="5">
        <f t="shared" si="29"/>
        <v>0</v>
      </c>
      <c r="G62" s="1"/>
      <c r="H62" s="1">
        <f>SUM(OSRRefH22_9x_0)</f>
        <v>300</v>
      </c>
      <c r="I62" s="1"/>
      <c r="J62" s="5">
        <f t="shared" si="30"/>
        <v>1.2622809416615824E-3</v>
      </c>
      <c r="K62" s="1"/>
      <c r="L62" s="1">
        <f t="shared" si="31"/>
        <v>-300</v>
      </c>
      <c r="M62" s="1"/>
      <c r="N62" s="5">
        <f t="shared" si="32"/>
        <v>-1</v>
      </c>
      <c r="O62" s="12"/>
      <c r="P62" s="1">
        <f>SUM(OSRRefP22_9x_0)</f>
        <v>3224.62</v>
      </c>
      <c r="Q62" s="1"/>
      <c r="R62" s="5">
        <f t="shared" si="33"/>
        <v>9.5277708421220755E-4</v>
      </c>
      <c r="S62" s="1"/>
      <c r="T62" s="1">
        <f>SUM(OSRRefT22_9x_0)</f>
        <v>3750</v>
      </c>
      <c r="U62" s="1"/>
      <c r="V62" s="5">
        <f t="shared" si="34"/>
        <v>9.0461782068158977E-4</v>
      </c>
      <c r="W62" s="1"/>
      <c r="X62" s="1">
        <f t="shared" si="35"/>
        <v>-525.38000000000011</v>
      </c>
      <c r="Y62" s="1"/>
      <c r="Z62" s="5">
        <f t="shared" si="36"/>
        <v>-0.14010133333333336</v>
      </c>
    </row>
    <row r="63" spans="1:26" s="24" customFormat="1" hidden="1" outlineLevel="2" x14ac:dyDescent="0.25">
      <c r="A63" s="26"/>
      <c r="B63" s="11" t="str">
        <f>CONCATENATE("          ", "6279", " - ", "GENERAL EXPENSE")</f>
        <v xml:space="preserve">          6279 - GENERAL EXPENSE</v>
      </c>
      <c r="C63" s="11"/>
      <c r="D63" s="7"/>
      <c r="E63" s="2"/>
      <c r="F63" s="6">
        <f t="shared" si="29"/>
        <v>0</v>
      </c>
      <c r="G63" s="2"/>
      <c r="H63" s="7">
        <v>300</v>
      </c>
      <c r="I63" s="2"/>
      <c r="J63" s="6">
        <f t="shared" si="30"/>
        <v>1.2622809416615824E-3</v>
      </c>
      <c r="K63" s="2"/>
      <c r="L63" s="7">
        <f t="shared" si="31"/>
        <v>-300</v>
      </c>
      <c r="M63" s="2"/>
      <c r="N63" s="6">
        <f t="shared" si="32"/>
        <v>-1</v>
      </c>
      <c r="O63" s="11"/>
      <c r="P63" s="7">
        <v>3224.62</v>
      </c>
      <c r="Q63" s="2"/>
      <c r="R63" s="6">
        <f t="shared" si="33"/>
        <v>9.5277708421220755E-4</v>
      </c>
      <c r="S63" s="2"/>
      <c r="T63" s="7">
        <v>3750</v>
      </c>
      <c r="U63" s="2"/>
      <c r="V63" s="6">
        <f t="shared" si="34"/>
        <v>9.0461782068158977E-4</v>
      </c>
      <c r="W63" s="2"/>
      <c r="X63" s="7">
        <f t="shared" si="35"/>
        <v>-525.38000000000011</v>
      </c>
      <c r="Y63" s="2"/>
      <c r="Z63" s="6">
        <f t="shared" si="36"/>
        <v>-0.14010133333333336</v>
      </c>
    </row>
    <row r="64" spans="1:26" s="27" customFormat="1" outlineLevel="1" collapsed="1" x14ac:dyDescent="0.25">
      <c r="A64" s="25"/>
      <c r="B64" s="12" t="str">
        <f>CONCATENATE("     ","R/H Commissions                                   ")</f>
        <v xml:space="preserve">     R/H Commissions                                   </v>
      </c>
      <c r="C64" s="12"/>
      <c r="D64" s="1">
        <f>SUM(OSRRefD22_10x_0)</f>
        <v>0</v>
      </c>
      <c r="E64" s="1"/>
      <c r="F64" s="5">
        <f t="shared" si="29"/>
        <v>0</v>
      </c>
      <c r="G64" s="1"/>
      <c r="H64" s="1">
        <f>SUM(OSRRefH22_10x_0)</f>
        <v>19013</v>
      </c>
      <c r="I64" s="1"/>
      <c r="J64" s="5">
        <f t="shared" si="30"/>
        <v>7.9999158479372223E-2</v>
      </c>
      <c r="K64" s="1"/>
      <c r="L64" s="1">
        <f t="shared" si="31"/>
        <v>-19013</v>
      </c>
      <c r="M64" s="1"/>
      <c r="N64" s="5">
        <f t="shared" si="32"/>
        <v>-1</v>
      </c>
      <c r="O64" s="12"/>
      <c r="P64" s="1">
        <f>SUM(OSRRefP22_10x_0)</f>
        <v>265321.17</v>
      </c>
      <c r="Q64" s="1"/>
      <c r="R64" s="5">
        <f t="shared" si="33"/>
        <v>7.8394331962330893E-2</v>
      </c>
      <c r="S64" s="1"/>
      <c r="T64" s="1">
        <f>SUM(OSRRefT22_10x_0)</f>
        <v>331627</v>
      </c>
      <c r="U64" s="1"/>
      <c r="V64" s="5">
        <f t="shared" si="34"/>
        <v>7.9998851738446286E-2</v>
      </c>
      <c r="W64" s="1"/>
      <c r="X64" s="1">
        <f t="shared" si="35"/>
        <v>-66305.830000000016</v>
      </c>
      <c r="Y64" s="1"/>
      <c r="Z64" s="5">
        <f t="shared" si="36"/>
        <v>-0.19994098791714793</v>
      </c>
    </row>
    <row r="65" spans="1:26" s="24" customFormat="1" hidden="1" outlineLevel="2" x14ac:dyDescent="0.25">
      <c r="A65" s="26"/>
      <c r="B65" s="11" t="str">
        <f>CONCATENATE("          ", "6387", " - ", "COMMISSION DUE HOUSING")</f>
        <v xml:space="preserve">          6387 - COMMISSION DUE HOUSING</v>
      </c>
      <c r="C65" s="11"/>
      <c r="D65" s="7"/>
      <c r="E65" s="2"/>
      <c r="F65" s="6">
        <f t="shared" si="29"/>
        <v>0</v>
      </c>
      <c r="G65" s="2"/>
      <c r="H65" s="7">
        <v>19013</v>
      </c>
      <c r="I65" s="2"/>
      <c r="J65" s="6">
        <f t="shared" si="30"/>
        <v>7.9999158479372223E-2</v>
      </c>
      <c r="K65" s="2"/>
      <c r="L65" s="7">
        <f t="shared" si="31"/>
        <v>-19013</v>
      </c>
      <c r="M65" s="2"/>
      <c r="N65" s="6">
        <f t="shared" si="32"/>
        <v>-1</v>
      </c>
      <c r="O65" s="11"/>
      <c r="P65" s="7">
        <v>265321.17</v>
      </c>
      <c r="Q65" s="2"/>
      <c r="R65" s="6">
        <f t="shared" si="33"/>
        <v>7.8394331962330893E-2</v>
      </c>
      <c r="S65" s="2"/>
      <c r="T65" s="7">
        <v>331627</v>
      </c>
      <c r="U65" s="2"/>
      <c r="V65" s="6">
        <f t="shared" si="34"/>
        <v>7.9998851738446286E-2</v>
      </c>
      <c r="W65" s="2"/>
      <c r="X65" s="7">
        <f t="shared" si="35"/>
        <v>-66305.830000000016</v>
      </c>
      <c r="Y65" s="2"/>
      <c r="Z65" s="6">
        <f t="shared" si="36"/>
        <v>-0.19994098791714793</v>
      </c>
    </row>
    <row r="66" spans="1:26" s="27" customFormat="1" outlineLevel="1" collapsed="1" x14ac:dyDescent="0.25">
      <c r="A66" s="25"/>
      <c r="B66" s="12" t="str">
        <f>CONCATENATE("     ","Repair and Maintenance                            ")</f>
        <v xml:space="preserve">     Repair and Maintenance                            </v>
      </c>
      <c r="C66" s="12"/>
      <c r="D66" s="1">
        <f>SUM(OSRRefD22_11x_0)</f>
        <v>0.52</v>
      </c>
      <c r="E66" s="1"/>
      <c r="F66" s="5">
        <f t="shared" si="29"/>
        <v>0</v>
      </c>
      <c r="G66" s="1"/>
      <c r="H66" s="1">
        <f>SUM(OSRRefH22_11x_0)</f>
        <v>1290</v>
      </c>
      <c r="I66" s="1"/>
      <c r="J66" s="5">
        <f t="shared" si="30"/>
        <v>5.4278080491448047E-3</v>
      </c>
      <c r="K66" s="1"/>
      <c r="L66" s="1">
        <f t="shared" si="31"/>
        <v>-1289.48</v>
      </c>
      <c r="M66" s="1"/>
      <c r="N66" s="5">
        <f t="shared" si="32"/>
        <v>-0.99959689922480621</v>
      </c>
      <c r="O66" s="12"/>
      <c r="P66" s="1">
        <f>SUM(OSRRefP22_11x_0)</f>
        <v>9445.23</v>
      </c>
      <c r="Q66" s="1"/>
      <c r="R66" s="5">
        <f t="shared" si="33"/>
        <v>2.7907780448901483E-3</v>
      </c>
      <c r="S66" s="1"/>
      <c r="T66" s="1">
        <f>SUM(OSRRefT22_11x_0)</f>
        <v>14190</v>
      </c>
      <c r="U66" s="1"/>
      <c r="V66" s="5">
        <f t="shared" si="34"/>
        <v>3.4230738334591359E-3</v>
      </c>
      <c r="W66" s="1"/>
      <c r="X66" s="1">
        <f t="shared" si="35"/>
        <v>-4744.7700000000004</v>
      </c>
      <c r="Y66" s="1"/>
      <c r="Z66" s="5">
        <f t="shared" si="36"/>
        <v>-0.33437420718816069</v>
      </c>
    </row>
    <row r="67" spans="1:26" s="24" customFormat="1" hidden="1" outlineLevel="2" x14ac:dyDescent="0.25">
      <c r="A67" s="26"/>
      <c r="B67" s="11" t="str">
        <f>CONCATENATE("          ", "6371", " - ", "COMPUTER SOFTWARE MAINTENANCE")</f>
        <v xml:space="preserve">          6371 - COMPUTER SOFTWARE MAINTENANCE</v>
      </c>
      <c r="C67" s="11"/>
      <c r="D67" s="7"/>
      <c r="E67" s="2"/>
      <c r="F67" s="6">
        <f t="shared" si="29"/>
        <v>0</v>
      </c>
      <c r="G67" s="2"/>
      <c r="H67" s="7">
        <v>1000</v>
      </c>
      <c r="I67" s="2"/>
      <c r="J67" s="6">
        <f t="shared" si="30"/>
        <v>4.2076031388719416E-3</v>
      </c>
      <c r="K67" s="2"/>
      <c r="L67" s="7">
        <f t="shared" si="31"/>
        <v>-1000</v>
      </c>
      <c r="M67" s="2"/>
      <c r="N67" s="6">
        <f t="shared" si="32"/>
        <v>-1</v>
      </c>
      <c r="O67" s="11"/>
      <c r="P67" s="7">
        <v>8238.75</v>
      </c>
      <c r="Q67" s="2"/>
      <c r="R67" s="6">
        <f t="shared" si="33"/>
        <v>2.4342999183014822E-3</v>
      </c>
      <c r="S67" s="2"/>
      <c r="T67" s="7">
        <v>11000</v>
      </c>
      <c r="U67" s="2"/>
      <c r="V67" s="6">
        <f t="shared" si="34"/>
        <v>2.6535456073326635E-3</v>
      </c>
      <c r="W67" s="2"/>
      <c r="X67" s="7">
        <f t="shared" si="35"/>
        <v>-2761.25</v>
      </c>
      <c r="Y67" s="2"/>
      <c r="Z67" s="6">
        <f t="shared" si="36"/>
        <v>-0.25102272727272729</v>
      </c>
    </row>
    <row r="68" spans="1:26" s="24" customFormat="1" hidden="1" outlineLevel="2" x14ac:dyDescent="0.25">
      <c r="A68" s="26"/>
      <c r="B68" s="11" t="str">
        <f>CONCATENATE("          ", "6373", " - ", "MAINTENANCE CONTRACTS")</f>
        <v xml:space="preserve">          6373 - MAINTENANCE CONTRACTS</v>
      </c>
      <c r="C68" s="11"/>
      <c r="D68" s="7">
        <v>0.52</v>
      </c>
      <c r="E68" s="2"/>
      <c r="F68" s="6">
        <f t="shared" si="29"/>
        <v>0</v>
      </c>
      <c r="G68" s="2"/>
      <c r="H68" s="7">
        <v>30</v>
      </c>
      <c r="I68" s="2"/>
      <c r="J68" s="6">
        <f t="shared" si="30"/>
        <v>1.2622809416615825E-4</v>
      </c>
      <c r="K68" s="2"/>
      <c r="L68" s="7">
        <f t="shared" si="31"/>
        <v>-29.48</v>
      </c>
      <c r="M68" s="2"/>
      <c r="N68" s="6">
        <f t="shared" si="32"/>
        <v>-0.98266666666666669</v>
      </c>
      <c r="O68" s="11"/>
      <c r="P68" s="7">
        <v>299.07</v>
      </c>
      <c r="Q68" s="2"/>
      <c r="R68" s="6">
        <f t="shared" si="33"/>
        <v>8.8366084244141923E-5</v>
      </c>
      <c r="S68" s="2"/>
      <c r="T68" s="7">
        <v>330</v>
      </c>
      <c r="U68" s="2"/>
      <c r="V68" s="6">
        <f t="shared" si="34"/>
        <v>7.9606368219979908E-5</v>
      </c>
      <c r="W68" s="2"/>
      <c r="X68" s="7">
        <f t="shared" si="35"/>
        <v>-30.930000000000007</v>
      </c>
      <c r="Y68" s="2"/>
      <c r="Z68" s="6">
        <f t="shared" si="36"/>
        <v>-9.3727272727272742E-2</v>
      </c>
    </row>
    <row r="69" spans="1:26" s="24" customFormat="1" hidden="1" outlineLevel="2" x14ac:dyDescent="0.25">
      <c r="A69" s="26"/>
      <c r="B69" s="11" t="str">
        <f>CONCATENATE("          ", "6375", " - ", "OUTSIDE REPAIRS &amp; MAINTENANCE")</f>
        <v xml:space="preserve">          6375 - OUTSIDE REPAIRS &amp; MAINTENANCE</v>
      </c>
      <c r="C69" s="11"/>
      <c r="D69" s="7"/>
      <c r="E69" s="2"/>
      <c r="F69" s="6">
        <f t="shared" si="29"/>
        <v>0</v>
      </c>
      <c r="G69" s="2"/>
      <c r="H69" s="7">
        <v>260</v>
      </c>
      <c r="I69" s="2"/>
      <c r="J69" s="6">
        <f t="shared" si="30"/>
        <v>1.0939768161067048E-3</v>
      </c>
      <c r="K69" s="2"/>
      <c r="L69" s="7">
        <f t="shared" si="31"/>
        <v>-260</v>
      </c>
      <c r="M69" s="2"/>
      <c r="N69" s="6">
        <f t="shared" si="32"/>
        <v>-1</v>
      </c>
      <c r="O69" s="11"/>
      <c r="P69" s="7">
        <v>907.41</v>
      </c>
      <c r="Q69" s="2"/>
      <c r="R69" s="6">
        <f t="shared" si="33"/>
        <v>2.6811204234452408E-4</v>
      </c>
      <c r="S69" s="2"/>
      <c r="T69" s="7">
        <v>2860</v>
      </c>
      <c r="U69" s="2"/>
      <c r="V69" s="6">
        <f t="shared" si="34"/>
        <v>6.8992185790649251E-4</v>
      </c>
      <c r="W69" s="2"/>
      <c r="X69" s="7">
        <f t="shared" si="35"/>
        <v>-1952.5900000000001</v>
      </c>
      <c r="Y69" s="2"/>
      <c r="Z69" s="6">
        <f t="shared" si="36"/>
        <v>-0.68272377622377622</v>
      </c>
    </row>
    <row r="70" spans="1:26" s="27" customFormat="1" outlineLevel="1" collapsed="1" x14ac:dyDescent="0.25">
      <c r="A70" s="25"/>
      <c r="B70" s="12" t="str">
        <f>CONCATENATE("     ","Services                                          ")</f>
        <v xml:space="preserve">     Services                                          </v>
      </c>
      <c r="C70" s="12"/>
      <c r="D70" s="1">
        <f>SUM(OSRRefD22_12x_0)</f>
        <v>421.34</v>
      </c>
      <c r="E70" s="1"/>
      <c r="F70" s="5">
        <f t="shared" ref="F70:F74" si="37">IF(D$12=0,0,D70/D$12)</f>
        <v>0</v>
      </c>
      <c r="G70" s="1"/>
      <c r="H70" s="1">
        <f>SUM(OSRRefH22_12x_0)</f>
        <v>9225</v>
      </c>
      <c r="I70" s="1"/>
      <c r="J70" s="5">
        <f t="shared" ref="J70:J74" si="38">IF(H$12=0,0,H70/H$12)</f>
        <v>3.8815138956093662E-2</v>
      </c>
      <c r="K70" s="1"/>
      <c r="L70" s="1">
        <f t="shared" ref="L70:L74" si="39">+D70-H70</f>
        <v>-8803.66</v>
      </c>
      <c r="M70" s="1"/>
      <c r="N70" s="5">
        <f t="shared" ref="N70:N74" si="40">IF(H70=0,0,L70/H70)</f>
        <v>-0.95432628726287261</v>
      </c>
      <c r="O70" s="12"/>
      <c r="P70" s="1">
        <f>SUM(OSRRefP22_12x_0)</f>
        <v>55140.770000000004</v>
      </c>
      <c r="Q70" s="1"/>
      <c r="R70" s="5">
        <f t="shared" ref="R70:R74" si="41">IF(P$12=0,0,P70/P$12)</f>
        <v>1.6292419591088556E-2</v>
      </c>
      <c r="S70" s="1"/>
      <c r="T70" s="1">
        <f>SUM(OSRRefT22_12x_0)</f>
        <v>77607</v>
      </c>
      <c r="U70" s="1"/>
      <c r="V70" s="5">
        <f t="shared" ref="V70:V74" si="42">IF(T$12=0,0,T70/T$12)</f>
        <v>1.8721246722569636E-2</v>
      </c>
      <c r="W70" s="1"/>
      <c r="X70" s="1">
        <f t="shared" ref="X70:X74" si="43">+P70-T70</f>
        <v>-22466.229999999996</v>
      </c>
      <c r="Y70" s="1"/>
      <c r="Z70" s="5">
        <f t="shared" ref="Z70:Z74" si="44">IF(T70=0,0,X70/T70)</f>
        <v>-0.28948715966343236</v>
      </c>
    </row>
    <row r="71" spans="1:26" s="24" customFormat="1" hidden="1" outlineLevel="2" x14ac:dyDescent="0.25">
      <c r="A71" s="26"/>
      <c r="B71" s="11" t="str">
        <f>CONCATENATE("          ", "6282", " - ", "JANITORIAL/EXTERMINATOR EXPENS")</f>
        <v xml:space="preserve">          6282 - JANITORIAL/EXTERMINATOR EXPENS</v>
      </c>
      <c r="C71" s="11"/>
      <c r="D71" s="7">
        <v>421.34</v>
      </c>
      <c r="E71" s="2"/>
      <c r="F71" s="6">
        <f t="shared" si="37"/>
        <v>0</v>
      </c>
      <c r="G71" s="2"/>
      <c r="H71" s="7">
        <v>430</v>
      </c>
      <c r="I71" s="2"/>
      <c r="J71" s="6">
        <f t="shared" si="38"/>
        <v>1.8092693497149348E-3</v>
      </c>
      <c r="K71" s="2"/>
      <c r="L71" s="7">
        <f t="shared" si="39"/>
        <v>-8.660000000000025</v>
      </c>
      <c r="M71" s="2"/>
      <c r="N71" s="6">
        <f t="shared" si="40"/>
        <v>-2.0139534883720989E-2</v>
      </c>
      <c r="O71" s="11"/>
      <c r="P71" s="7">
        <v>5056.08</v>
      </c>
      <c r="Q71" s="2"/>
      <c r="R71" s="6">
        <f t="shared" si="41"/>
        <v>1.4939177825429534E-3</v>
      </c>
      <c r="S71" s="2"/>
      <c r="T71" s="7">
        <v>4730</v>
      </c>
      <c r="U71" s="2"/>
      <c r="V71" s="6">
        <f t="shared" si="42"/>
        <v>1.1410246111530453E-3</v>
      </c>
      <c r="W71" s="2"/>
      <c r="X71" s="7">
        <f t="shared" si="43"/>
        <v>326.07999999999993</v>
      </c>
      <c r="Y71" s="2"/>
      <c r="Z71" s="6">
        <f t="shared" si="44"/>
        <v>6.8938689217758975E-2</v>
      </c>
    </row>
    <row r="72" spans="1:26" s="24" customFormat="1" hidden="1" outlineLevel="2" x14ac:dyDescent="0.25">
      <c r="A72" s="26"/>
      <c r="B72" s="11" t="str">
        <f>CONCATENATE("          ", "6284", " - ", "TRASH REMOVAL EXPENSE")</f>
        <v xml:space="preserve">          6284 - TRASH REMOVAL EXPENSE</v>
      </c>
      <c r="C72" s="11"/>
      <c r="D72" s="7"/>
      <c r="E72" s="2"/>
      <c r="F72" s="6">
        <f t="shared" si="37"/>
        <v>0</v>
      </c>
      <c r="G72" s="2"/>
      <c r="H72" s="7"/>
      <c r="I72" s="2"/>
      <c r="J72" s="6">
        <f t="shared" si="38"/>
        <v>0</v>
      </c>
      <c r="K72" s="2"/>
      <c r="L72" s="7">
        <f t="shared" si="39"/>
        <v>0</v>
      </c>
      <c r="M72" s="2"/>
      <c r="N72" s="6">
        <f t="shared" si="40"/>
        <v>0</v>
      </c>
      <c r="O72" s="11"/>
      <c r="P72" s="7"/>
      <c r="Q72" s="2"/>
      <c r="R72" s="6">
        <f t="shared" si="41"/>
        <v>0</v>
      </c>
      <c r="S72" s="2"/>
      <c r="T72" s="7">
        <v>0</v>
      </c>
      <c r="U72" s="2"/>
      <c r="V72" s="6">
        <f t="shared" si="42"/>
        <v>0</v>
      </c>
      <c r="W72" s="2"/>
      <c r="X72" s="7">
        <f t="shared" si="43"/>
        <v>0</v>
      </c>
      <c r="Y72" s="2"/>
      <c r="Z72" s="6">
        <f t="shared" si="44"/>
        <v>0</v>
      </c>
    </row>
    <row r="73" spans="1:26" s="24" customFormat="1" hidden="1" outlineLevel="2" x14ac:dyDescent="0.25">
      <c r="A73" s="26"/>
      <c r="B73" s="11" t="str">
        <f>CONCATENATE("          ", "6285", " - ", "JANITORIAL SERVICES")</f>
        <v xml:space="preserve">          6285 - JANITORIAL SERVICES</v>
      </c>
      <c r="C73" s="11"/>
      <c r="D73" s="7"/>
      <c r="E73" s="2"/>
      <c r="F73" s="6">
        <f t="shared" si="37"/>
        <v>0</v>
      </c>
      <c r="G73" s="2"/>
      <c r="H73" s="7">
        <v>7195</v>
      </c>
      <c r="I73" s="2"/>
      <c r="J73" s="6">
        <f t="shared" si="38"/>
        <v>3.027370458418362E-2</v>
      </c>
      <c r="K73" s="2"/>
      <c r="L73" s="7">
        <f t="shared" si="39"/>
        <v>-7195</v>
      </c>
      <c r="M73" s="2"/>
      <c r="N73" s="6">
        <f t="shared" si="40"/>
        <v>-1</v>
      </c>
      <c r="O73" s="11"/>
      <c r="P73" s="7">
        <v>38570.82</v>
      </c>
      <c r="Q73" s="2"/>
      <c r="R73" s="6">
        <f t="shared" si="41"/>
        <v>1.1396503592756325E-2</v>
      </c>
      <c r="S73" s="2"/>
      <c r="T73" s="7">
        <v>55277</v>
      </c>
      <c r="U73" s="2"/>
      <c r="V73" s="6">
        <f t="shared" si="42"/>
        <v>1.3334549139684331E-2</v>
      </c>
      <c r="W73" s="2"/>
      <c r="X73" s="7">
        <f t="shared" si="43"/>
        <v>-16706.18</v>
      </c>
      <c r="Y73" s="2"/>
      <c r="Z73" s="6">
        <f t="shared" si="44"/>
        <v>-0.30222660419342584</v>
      </c>
    </row>
    <row r="74" spans="1:26" s="24" customFormat="1" hidden="1" outlineLevel="2" x14ac:dyDescent="0.25">
      <c r="A74" s="26"/>
      <c r="B74" s="11" t="str">
        <f>CONCATENATE("          ", "6286", " - ", "LAUNDRY EXPENSE")</f>
        <v xml:space="preserve">          6286 - LAUNDRY EXPENSE</v>
      </c>
      <c r="C74" s="11"/>
      <c r="D74" s="7"/>
      <c r="E74" s="2"/>
      <c r="F74" s="6">
        <f t="shared" si="37"/>
        <v>0</v>
      </c>
      <c r="G74" s="2"/>
      <c r="H74" s="7">
        <v>1600</v>
      </c>
      <c r="I74" s="2"/>
      <c r="J74" s="6">
        <f t="shared" si="38"/>
        <v>6.7321650221951069E-3</v>
      </c>
      <c r="K74" s="2"/>
      <c r="L74" s="7">
        <f t="shared" si="39"/>
        <v>-1600</v>
      </c>
      <c r="M74" s="2"/>
      <c r="N74" s="6">
        <f t="shared" si="40"/>
        <v>-1</v>
      </c>
      <c r="O74" s="11"/>
      <c r="P74" s="7">
        <v>11513.87</v>
      </c>
      <c r="Q74" s="2"/>
      <c r="R74" s="6">
        <f t="shared" si="41"/>
        <v>3.4019982157892752E-3</v>
      </c>
      <c r="S74" s="2"/>
      <c r="T74" s="7">
        <v>17600</v>
      </c>
      <c r="U74" s="2"/>
      <c r="V74" s="6">
        <f t="shared" si="42"/>
        <v>4.2456729717322613E-3</v>
      </c>
      <c r="W74" s="2"/>
      <c r="X74" s="7">
        <f t="shared" si="43"/>
        <v>-6086.1299999999992</v>
      </c>
      <c r="Y74" s="2"/>
      <c r="Z74" s="6">
        <f t="shared" si="44"/>
        <v>-0.34580284090909086</v>
      </c>
    </row>
    <row r="75" spans="1:26" s="27" customFormat="1" outlineLevel="1" collapsed="1" x14ac:dyDescent="0.25">
      <c r="A75" s="25"/>
      <c r="B75" s="12" t="str">
        <f>CONCATENATE("     ","Supplies                                          ")</f>
        <v xml:space="preserve">     Supplies                                          </v>
      </c>
      <c r="C75" s="12"/>
      <c r="D75" s="1">
        <f>SUM(OSRRefD22_13x_0)</f>
        <v>0</v>
      </c>
      <c r="E75" s="1"/>
      <c r="F75" s="5">
        <f t="shared" ref="F75:F83" si="45">IF(D$12=0,0,D75/D$12)</f>
        <v>0</v>
      </c>
      <c r="G75" s="1"/>
      <c r="H75" s="1">
        <f>SUM(OSRRefH22_13x_0)</f>
        <v>8880</v>
      </c>
      <c r="I75" s="1"/>
      <c r="J75" s="5">
        <f t="shared" ref="J75:J83" si="46">IF(H$12=0,0,H75/H$12)</f>
        <v>3.7363515873182838E-2</v>
      </c>
      <c r="K75" s="1"/>
      <c r="L75" s="1">
        <f t="shared" ref="L75:L83" si="47">+D75-H75</f>
        <v>-8880</v>
      </c>
      <c r="M75" s="1"/>
      <c r="N75" s="5">
        <f t="shared" ref="N75:N83" si="48">IF(H75=0,0,L75/H75)</f>
        <v>-1</v>
      </c>
      <c r="O75" s="12"/>
      <c r="P75" s="1">
        <f>SUM(OSRRefP22_13x_0)</f>
        <v>76941.84</v>
      </c>
      <c r="Q75" s="1"/>
      <c r="R75" s="5">
        <f t="shared" ref="R75:R83" si="49">IF(P$12=0,0,P75/P$12)</f>
        <v>2.27339723654639E-2</v>
      </c>
      <c r="S75" s="1"/>
      <c r="T75" s="1">
        <f>SUM(OSRRefT22_13x_0)</f>
        <v>105680</v>
      </c>
      <c r="U75" s="1"/>
      <c r="V75" s="5">
        <f t="shared" ref="V75:V83" si="50">IF(T$12=0,0,T75/T$12)</f>
        <v>2.5493336343901444E-2</v>
      </c>
      <c r="W75" s="1"/>
      <c r="X75" s="1">
        <f t="shared" ref="X75:X83" si="51">+P75-T75</f>
        <v>-28738.160000000003</v>
      </c>
      <c r="Y75" s="1"/>
      <c r="Z75" s="5">
        <f t="shared" ref="Z75:Z83" si="52">IF(T75=0,0,X75/T75)</f>
        <v>-0.27193565480696447</v>
      </c>
    </row>
    <row r="76" spans="1:26" s="24" customFormat="1" hidden="1" outlineLevel="2" x14ac:dyDescent="0.25">
      <c r="A76" s="26"/>
      <c r="B76" s="11" t="str">
        <f>CONCATENATE("          ", "6234", " - ", "EXPENDABLE SUPPLIES &amp; EQUIPMEN")</f>
        <v xml:space="preserve">          6234 - EXPENDABLE SUPPLIES &amp; EQUIPMEN</v>
      </c>
      <c r="C76" s="11"/>
      <c r="D76" s="7"/>
      <c r="E76" s="2"/>
      <c r="F76" s="6">
        <f t="shared" si="45"/>
        <v>0</v>
      </c>
      <c r="G76" s="2"/>
      <c r="H76" s="7"/>
      <c r="I76" s="2"/>
      <c r="J76" s="6">
        <f t="shared" si="46"/>
        <v>0</v>
      </c>
      <c r="K76" s="2"/>
      <c r="L76" s="7">
        <f t="shared" si="47"/>
        <v>0</v>
      </c>
      <c r="M76" s="2"/>
      <c r="N76" s="6">
        <f t="shared" si="48"/>
        <v>0</v>
      </c>
      <c r="O76" s="11"/>
      <c r="P76" s="7">
        <v>118.34</v>
      </c>
      <c r="Q76" s="2"/>
      <c r="R76" s="6">
        <f t="shared" si="49"/>
        <v>3.4965868891736903E-5</v>
      </c>
      <c r="S76" s="2"/>
      <c r="T76" s="7"/>
      <c r="U76" s="2"/>
      <c r="V76" s="6">
        <f t="shared" si="50"/>
        <v>0</v>
      </c>
      <c r="W76" s="2"/>
      <c r="X76" s="7">
        <f t="shared" si="51"/>
        <v>118.34</v>
      </c>
      <c r="Y76" s="2"/>
      <c r="Z76" s="6">
        <f t="shared" si="52"/>
        <v>0</v>
      </c>
    </row>
    <row r="77" spans="1:26" s="24" customFormat="1" hidden="1" outlineLevel="2" x14ac:dyDescent="0.25">
      <c r="A77" s="26"/>
      <c r="B77" s="11" t="str">
        <f>CONCATENATE("          ", "6237", " - ", "JANITORIAL SUPPLIES")</f>
        <v xml:space="preserve">          6237 - JANITORIAL SUPPLIES</v>
      </c>
      <c r="C77" s="11"/>
      <c r="D77" s="7"/>
      <c r="E77" s="2"/>
      <c r="F77" s="6">
        <f t="shared" si="45"/>
        <v>0</v>
      </c>
      <c r="G77" s="2"/>
      <c r="H77" s="7">
        <v>4000</v>
      </c>
      <c r="I77" s="2"/>
      <c r="J77" s="6">
        <f t="shared" si="46"/>
        <v>1.6830412555487766E-2</v>
      </c>
      <c r="K77" s="2"/>
      <c r="L77" s="7">
        <f t="shared" si="47"/>
        <v>-4000</v>
      </c>
      <c r="M77" s="2"/>
      <c r="N77" s="6">
        <f t="shared" si="48"/>
        <v>-1</v>
      </c>
      <c r="O77" s="11"/>
      <c r="P77" s="7">
        <v>34387.160000000003</v>
      </c>
      <c r="Q77" s="2"/>
      <c r="R77" s="6">
        <f t="shared" si="49"/>
        <v>1.0160359372310121E-2</v>
      </c>
      <c r="S77" s="2"/>
      <c r="T77" s="7">
        <v>44000</v>
      </c>
      <c r="U77" s="2"/>
      <c r="V77" s="6">
        <f t="shared" si="50"/>
        <v>1.0614182429330654E-2</v>
      </c>
      <c r="W77" s="2"/>
      <c r="X77" s="7">
        <f t="shared" si="51"/>
        <v>-9612.8399999999965</v>
      </c>
      <c r="Y77" s="2"/>
      <c r="Z77" s="6">
        <f t="shared" si="52"/>
        <v>-0.21847363636363629</v>
      </c>
    </row>
    <row r="78" spans="1:26" s="24" customFormat="1" hidden="1" outlineLevel="2" x14ac:dyDescent="0.25">
      <c r="A78" s="26"/>
      <c r="B78" s="11" t="str">
        <f>CONCATENATE("          ", "6239", " - ", "KITCHEN SUPPLIES")</f>
        <v xml:space="preserve">          6239 - KITCHEN SUPPLIES</v>
      </c>
      <c r="C78" s="11"/>
      <c r="D78" s="7"/>
      <c r="E78" s="2"/>
      <c r="F78" s="6">
        <f t="shared" si="45"/>
        <v>0</v>
      </c>
      <c r="G78" s="2"/>
      <c r="H78" s="7">
        <v>1000</v>
      </c>
      <c r="I78" s="2"/>
      <c r="J78" s="6">
        <f t="shared" si="46"/>
        <v>4.2076031388719416E-3</v>
      </c>
      <c r="K78" s="2"/>
      <c r="L78" s="7">
        <f t="shared" si="47"/>
        <v>-1000</v>
      </c>
      <c r="M78" s="2"/>
      <c r="N78" s="6">
        <f t="shared" si="48"/>
        <v>-1</v>
      </c>
      <c r="O78" s="11"/>
      <c r="P78" s="7">
        <v>16573.400000000001</v>
      </c>
      <c r="Q78" s="2"/>
      <c r="R78" s="6">
        <f t="shared" si="49"/>
        <v>4.8969353683480854E-3</v>
      </c>
      <c r="S78" s="2"/>
      <c r="T78" s="7">
        <v>19000</v>
      </c>
      <c r="U78" s="2"/>
      <c r="V78" s="6">
        <f t="shared" si="50"/>
        <v>4.5833969581200555E-3</v>
      </c>
      <c r="W78" s="2"/>
      <c r="X78" s="7">
        <f t="shared" si="51"/>
        <v>-2426.5999999999985</v>
      </c>
      <c r="Y78" s="2"/>
      <c r="Z78" s="6">
        <f t="shared" si="52"/>
        <v>-0.12771578947368414</v>
      </c>
    </row>
    <row r="79" spans="1:26" s="24" customFormat="1" hidden="1" outlineLevel="2" x14ac:dyDescent="0.25">
      <c r="A79" s="26"/>
      <c r="B79" s="11" t="str">
        <f>CONCATENATE("          ", "6241", " - ", "OFFICE EXPENSE")</f>
        <v xml:space="preserve">          6241 - OFFICE EXPENSE</v>
      </c>
      <c r="C79" s="11"/>
      <c r="D79" s="7"/>
      <c r="E79" s="2"/>
      <c r="F79" s="6">
        <f t="shared" si="45"/>
        <v>0</v>
      </c>
      <c r="G79" s="2"/>
      <c r="H79" s="7">
        <v>305</v>
      </c>
      <c r="I79" s="2"/>
      <c r="J79" s="6">
        <f t="shared" si="46"/>
        <v>1.2833189573559422E-3</v>
      </c>
      <c r="K79" s="2"/>
      <c r="L79" s="7">
        <f t="shared" si="47"/>
        <v>-305</v>
      </c>
      <c r="M79" s="2"/>
      <c r="N79" s="6">
        <f t="shared" si="48"/>
        <v>-1</v>
      </c>
      <c r="O79" s="11"/>
      <c r="P79" s="7">
        <v>3279.53</v>
      </c>
      <c r="Q79" s="2"/>
      <c r="R79" s="6">
        <f t="shared" si="49"/>
        <v>9.6900131829067034E-4</v>
      </c>
      <c r="S79" s="2"/>
      <c r="T79" s="7">
        <v>3355</v>
      </c>
      <c r="U79" s="2"/>
      <c r="V79" s="6">
        <f t="shared" si="50"/>
        <v>8.0933141023646236E-4</v>
      </c>
      <c r="W79" s="2"/>
      <c r="X79" s="7">
        <f t="shared" si="51"/>
        <v>-75.4699999999998</v>
      </c>
      <c r="Y79" s="2"/>
      <c r="Z79" s="6">
        <f t="shared" si="52"/>
        <v>-2.2494783904619911E-2</v>
      </c>
    </row>
    <row r="80" spans="1:26" s="24" customFormat="1" hidden="1" outlineLevel="2" x14ac:dyDescent="0.25">
      <c r="A80" s="26"/>
      <c r="B80" s="11" t="str">
        <f>CONCATENATE("          ", "6243", " - ", "PAPER SUPPLIES")</f>
        <v xml:space="preserve">          6243 - PAPER SUPPLIES</v>
      </c>
      <c r="C80" s="11"/>
      <c r="D80" s="7"/>
      <c r="E80" s="2"/>
      <c r="F80" s="6">
        <f t="shared" si="45"/>
        <v>0</v>
      </c>
      <c r="G80" s="2"/>
      <c r="H80" s="7">
        <v>3200</v>
      </c>
      <c r="I80" s="2"/>
      <c r="J80" s="6">
        <f t="shared" si="46"/>
        <v>1.3464330044390214E-2</v>
      </c>
      <c r="K80" s="2"/>
      <c r="L80" s="7">
        <f t="shared" si="47"/>
        <v>-3200</v>
      </c>
      <c r="M80" s="2"/>
      <c r="N80" s="6">
        <f t="shared" si="48"/>
        <v>-1</v>
      </c>
      <c r="O80" s="11"/>
      <c r="P80" s="7">
        <v>19420.62</v>
      </c>
      <c r="Q80" s="2"/>
      <c r="R80" s="6">
        <f t="shared" si="49"/>
        <v>5.738202236912654E-3</v>
      </c>
      <c r="S80" s="2"/>
      <c r="T80" s="7">
        <v>35200</v>
      </c>
      <c r="U80" s="2"/>
      <c r="V80" s="6">
        <f t="shared" si="50"/>
        <v>8.4913459434645226E-3</v>
      </c>
      <c r="W80" s="2"/>
      <c r="X80" s="7">
        <f t="shared" si="51"/>
        <v>-15779.380000000001</v>
      </c>
      <c r="Y80" s="2"/>
      <c r="Z80" s="6">
        <f t="shared" si="52"/>
        <v>-0.44827784090909095</v>
      </c>
    </row>
    <row r="81" spans="1:26" s="24" customFormat="1" hidden="1" outlineLevel="2" x14ac:dyDescent="0.25">
      <c r="A81" s="26"/>
      <c r="B81" s="11" t="str">
        <f>CONCATENATE("          ", "6245", " - ", "PRINTING")</f>
        <v xml:space="preserve">          6245 - PRINTING</v>
      </c>
      <c r="C81" s="11"/>
      <c r="D81" s="7"/>
      <c r="E81" s="2"/>
      <c r="F81" s="6">
        <f t="shared" si="45"/>
        <v>0</v>
      </c>
      <c r="G81" s="2"/>
      <c r="H81" s="7"/>
      <c r="I81" s="2"/>
      <c r="J81" s="6">
        <f t="shared" si="46"/>
        <v>0</v>
      </c>
      <c r="K81" s="2"/>
      <c r="L81" s="7">
        <f t="shared" si="47"/>
        <v>0</v>
      </c>
      <c r="M81" s="2"/>
      <c r="N81" s="6">
        <f t="shared" si="48"/>
        <v>0</v>
      </c>
      <c r="O81" s="11"/>
      <c r="P81" s="7">
        <v>441</v>
      </c>
      <c r="Q81" s="2"/>
      <c r="R81" s="6">
        <f t="shared" si="49"/>
        <v>1.3030208028778074E-4</v>
      </c>
      <c r="S81" s="2"/>
      <c r="T81" s="7"/>
      <c r="U81" s="2"/>
      <c r="V81" s="6">
        <f t="shared" si="50"/>
        <v>0</v>
      </c>
      <c r="W81" s="2"/>
      <c r="X81" s="7">
        <f t="shared" si="51"/>
        <v>441</v>
      </c>
      <c r="Y81" s="2"/>
      <c r="Z81" s="6">
        <f t="shared" si="52"/>
        <v>0</v>
      </c>
    </row>
    <row r="82" spans="1:26" s="24" customFormat="1" hidden="1" outlineLevel="2" x14ac:dyDescent="0.25">
      <c r="A82" s="26"/>
      <c r="B82" s="11" t="str">
        <f>CONCATENATE("          ", "6247", " - ", "STORE SUPPLIES")</f>
        <v xml:space="preserve">          6247 - STORE SUPPLIES</v>
      </c>
      <c r="C82" s="11"/>
      <c r="D82" s="7"/>
      <c r="E82" s="2"/>
      <c r="F82" s="6">
        <f t="shared" si="45"/>
        <v>0</v>
      </c>
      <c r="G82" s="2"/>
      <c r="H82" s="7"/>
      <c r="I82" s="2"/>
      <c r="J82" s="6">
        <f t="shared" si="46"/>
        <v>0</v>
      </c>
      <c r="K82" s="2"/>
      <c r="L82" s="7">
        <f t="shared" si="47"/>
        <v>0</v>
      </c>
      <c r="M82" s="2"/>
      <c r="N82" s="6">
        <f t="shared" si="48"/>
        <v>0</v>
      </c>
      <c r="O82" s="11"/>
      <c r="P82" s="7">
        <v>153.87</v>
      </c>
      <c r="Q82" s="2"/>
      <c r="R82" s="6">
        <f t="shared" si="49"/>
        <v>4.5463902707212753E-5</v>
      </c>
      <c r="S82" s="2"/>
      <c r="T82" s="7"/>
      <c r="U82" s="2"/>
      <c r="V82" s="6">
        <f t="shared" si="50"/>
        <v>0</v>
      </c>
      <c r="W82" s="2"/>
      <c r="X82" s="7">
        <f t="shared" si="51"/>
        <v>153.87</v>
      </c>
      <c r="Y82" s="2"/>
      <c r="Z82" s="6">
        <f t="shared" si="52"/>
        <v>0</v>
      </c>
    </row>
    <row r="83" spans="1:26" s="24" customFormat="1" hidden="1" outlineLevel="2" x14ac:dyDescent="0.25">
      <c r="A83" s="26"/>
      <c r="B83" s="11" t="str">
        <f>CONCATENATE("          ", "6248", " - ", "UNIFORMS")</f>
        <v xml:space="preserve">          6248 - UNIFORMS</v>
      </c>
      <c r="C83" s="11"/>
      <c r="D83" s="7"/>
      <c r="E83" s="2"/>
      <c r="F83" s="6">
        <f t="shared" si="45"/>
        <v>0</v>
      </c>
      <c r="G83" s="2"/>
      <c r="H83" s="7">
        <v>375</v>
      </c>
      <c r="I83" s="2"/>
      <c r="J83" s="6">
        <f t="shared" si="46"/>
        <v>1.5778511770769782E-3</v>
      </c>
      <c r="K83" s="2"/>
      <c r="L83" s="7">
        <f t="shared" si="47"/>
        <v>-375</v>
      </c>
      <c r="M83" s="2"/>
      <c r="N83" s="6">
        <f t="shared" si="48"/>
        <v>-1</v>
      </c>
      <c r="O83" s="11"/>
      <c r="P83" s="7">
        <v>2567.92</v>
      </c>
      <c r="Q83" s="2"/>
      <c r="R83" s="6">
        <f t="shared" si="49"/>
        <v>7.587422177156416E-4</v>
      </c>
      <c r="S83" s="2"/>
      <c r="T83" s="7">
        <v>4125</v>
      </c>
      <c r="U83" s="2"/>
      <c r="V83" s="6">
        <f t="shared" si="50"/>
        <v>9.9507960274974883E-4</v>
      </c>
      <c r="W83" s="2"/>
      <c r="X83" s="7">
        <f t="shared" si="51"/>
        <v>-1557.08</v>
      </c>
      <c r="Y83" s="2"/>
      <c r="Z83" s="6">
        <f t="shared" si="52"/>
        <v>-0.37747393939393936</v>
      </c>
    </row>
    <row r="84" spans="1:26" s="27" customFormat="1" outlineLevel="1" collapsed="1" x14ac:dyDescent="0.25">
      <c r="A84" s="25"/>
      <c r="B84" s="12" t="str">
        <f>CONCATENATE("     ","Telephone/Data Lines                              ")</f>
        <v xml:space="preserve">     Telephone/Data Lines                              </v>
      </c>
      <c r="C84" s="12"/>
      <c r="D84" s="1">
        <f>SUM(OSRRefD22_14x_0)</f>
        <v>267.8</v>
      </c>
      <c r="E84" s="1"/>
      <c r="F84" s="5">
        <f t="shared" ref="F84:F89" si="53">IF(D$12=0,0,D84/D$12)</f>
        <v>0</v>
      </c>
      <c r="G84" s="1"/>
      <c r="H84" s="1">
        <f>SUM(OSRRefH22_14x_0)</f>
        <v>275</v>
      </c>
      <c r="I84" s="1"/>
      <c r="J84" s="5">
        <f t="shared" ref="J84:J89" si="54">IF(H$12=0,0,H84/H$12)</f>
        <v>1.1570908631897839E-3</v>
      </c>
      <c r="K84" s="1"/>
      <c r="L84" s="1">
        <f t="shared" ref="L84:L89" si="55">+D84-H84</f>
        <v>-7.1999999999999886</v>
      </c>
      <c r="M84" s="1"/>
      <c r="N84" s="5">
        <f t="shared" ref="N84:N89" si="56">IF(H84=0,0,L84/H84)</f>
        <v>-2.6181818181818139E-2</v>
      </c>
      <c r="O84" s="12"/>
      <c r="P84" s="1">
        <f>SUM(OSRRefP22_14x_0)</f>
        <v>3292.15</v>
      </c>
      <c r="Q84" s="1"/>
      <c r="R84" s="5">
        <f t="shared" ref="R84:R89" si="57">IF(P$12=0,0,P84/P$12)</f>
        <v>9.7273014426171747E-4</v>
      </c>
      <c r="S84" s="1"/>
      <c r="T84" s="1">
        <f>SUM(OSRRefT22_14x_0)</f>
        <v>3025</v>
      </c>
      <c r="U84" s="1"/>
      <c r="V84" s="5">
        <f t="shared" ref="V84:V89" si="58">IF(T$12=0,0,T84/T$12)</f>
        <v>7.2972504201648249E-4</v>
      </c>
      <c r="W84" s="1"/>
      <c r="X84" s="1">
        <f t="shared" ref="X84:X89" si="59">+P84-T84</f>
        <v>267.15000000000009</v>
      </c>
      <c r="Y84" s="1"/>
      <c r="Z84" s="5">
        <f t="shared" ref="Z84:Z89" si="60">IF(T84=0,0,X84/T84)</f>
        <v>8.8314049586776883E-2</v>
      </c>
    </row>
    <row r="85" spans="1:26" s="24" customFormat="1" hidden="1" outlineLevel="2" x14ac:dyDescent="0.25">
      <c r="A85" s="26"/>
      <c r="B85" s="11" t="str">
        <f>CONCATENATE("          ", "6309", " - ", "TELEPHONE")</f>
        <v xml:space="preserve">          6309 - TELEPHONE</v>
      </c>
      <c r="C85" s="11"/>
      <c r="D85" s="7">
        <v>267.8</v>
      </c>
      <c r="E85" s="2"/>
      <c r="F85" s="6">
        <f t="shared" si="53"/>
        <v>0</v>
      </c>
      <c r="G85" s="2"/>
      <c r="H85" s="7">
        <v>275</v>
      </c>
      <c r="I85" s="2"/>
      <c r="J85" s="6">
        <f t="shared" si="54"/>
        <v>1.1570908631897839E-3</v>
      </c>
      <c r="K85" s="2"/>
      <c r="L85" s="7">
        <f t="shared" si="55"/>
        <v>-7.1999999999999886</v>
      </c>
      <c r="M85" s="2"/>
      <c r="N85" s="6">
        <f t="shared" si="56"/>
        <v>-2.6181818181818139E-2</v>
      </c>
      <c r="O85" s="11"/>
      <c r="P85" s="7">
        <v>3292.15</v>
      </c>
      <c r="Q85" s="2"/>
      <c r="R85" s="6">
        <f t="shared" si="57"/>
        <v>9.7273014426171747E-4</v>
      </c>
      <c r="S85" s="2"/>
      <c r="T85" s="7">
        <v>3025</v>
      </c>
      <c r="U85" s="2"/>
      <c r="V85" s="6">
        <f t="shared" si="58"/>
        <v>7.2972504201648249E-4</v>
      </c>
      <c r="W85" s="2"/>
      <c r="X85" s="7">
        <f t="shared" si="59"/>
        <v>267.15000000000009</v>
      </c>
      <c r="Y85" s="2"/>
      <c r="Z85" s="6">
        <f t="shared" si="60"/>
        <v>8.8314049586776883E-2</v>
      </c>
    </row>
    <row r="86" spans="1:26" s="27" customFormat="1" outlineLevel="1" collapsed="1" x14ac:dyDescent="0.25">
      <c r="A86" s="25"/>
      <c r="B86" s="12" t="str">
        <f>CONCATENATE("     ","Training                                          ")</f>
        <v xml:space="preserve">     Training                                          </v>
      </c>
      <c r="C86" s="12"/>
      <c r="D86" s="1">
        <f>SUM(OSRRefD22_15x_0)</f>
        <v>0</v>
      </c>
      <c r="E86" s="1"/>
      <c r="F86" s="5">
        <f t="shared" si="53"/>
        <v>0</v>
      </c>
      <c r="G86" s="1"/>
      <c r="H86" s="1">
        <f>SUM(OSRRefH22_15x_0)</f>
        <v>700</v>
      </c>
      <c r="I86" s="1"/>
      <c r="J86" s="5">
        <f t="shared" si="54"/>
        <v>2.9453221972103589E-3</v>
      </c>
      <c r="K86" s="1"/>
      <c r="L86" s="1">
        <f t="shared" si="55"/>
        <v>-700</v>
      </c>
      <c r="M86" s="1"/>
      <c r="N86" s="5">
        <f t="shared" si="56"/>
        <v>-1</v>
      </c>
      <c r="O86" s="12"/>
      <c r="P86" s="1">
        <f>SUM(OSRRefP22_15x_0)</f>
        <v>1112.43</v>
      </c>
      <c r="Q86" s="1"/>
      <c r="R86" s="5">
        <f t="shared" si="57"/>
        <v>3.2868921354770058E-4</v>
      </c>
      <c r="S86" s="1"/>
      <c r="T86" s="1">
        <f>SUM(OSRRefT22_15x_0)</f>
        <v>7700</v>
      </c>
      <c r="U86" s="1"/>
      <c r="V86" s="5">
        <f t="shared" si="58"/>
        <v>1.8574819251328644E-3</v>
      </c>
      <c r="W86" s="1"/>
      <c r="X86" s="1">
        <f t="shared" si="59"/>
        <v>-6587.57</v>
      </c>
      <c r="Y86" s="1"/>
      <c r="Z86" s="5">
        <f t="shared" si="60"/>
        <v>-0.85552857142857142</v>
      </c>
    </row>
    <row r="87" spans="1:26" s="24" customFormat="1" hidden="1" outlineLevel="2" x14ac:dyDescent="0.25">
      <c r="A87" s="26"/>
      <c r="B87" s="11" t="str">
        <f>CONCATENATE("          ", "6376", " - ", "TRAINING")</f>
        <v xml:space="preserve">          6376 - TRAINING</v>
      </c>
      <c r="C87" s="11"/>
      <c r="D87" s="7"/>
      <c r="E87" s="2"/>
      <c r="F87" s="6">
        <f t="shared" si="53"/>
        <v>0</v>
      </c>
      <c r="G87" s="2"/>
      <c r="H87" s="7">
        <v>700</v>
      </c>
      <c r="I87" s="2"/>
      <c r="J87" s="6">
        <f t="shared" si="54"/>
        <v>2.9453221972103589E-3</v>
      </c>
      <c r="K87" s="2"/>
      <c r="L87" s="7">
        <f t="shared" si="55"/>
        <v>-700</v>
      </c>
      <c r="M87" s="2"/>
      <c r="N87" s="6">
        <f t="shared" si="56"/>
        <v>-1</v>
      </c>
      <c r="O87" s="11"/>
      <c r="P87" s="7">
        <v>1112.43</v>
      </c>
      <c r="Q87" s="2"/>
      <c r="R87" s="6">
        <f t="shared" si="57"/>
        <v>3.2868921354770058E-4</v>
      </c>
      <c r="S87" s="2"/>
      <c r="T87" s="7">
        <v>7700</v>
      </c>
      <c r="U87" s="2"/>
      <c r="V87" s="6">
        <f t="shared" si="58"/>
        <v>1.8574819251328644E-3</v>
      </c>
      <c r="W87" s="2"/>
      <c r="X87" s="7">
        <f t="shared" si="59"/>
        <v>-6587.57</v>
      </c>
      <c r="Y87" s="2"/>
      <c r="Z87" s="6">
        <f t="shared" si="60"/>
        <v>-0.85552857142857142</v>
      </c>
    </row>
    <row r="88" spans="1:26" s="27" customFormat="1" outlineLevel="1" collapsed="1" x14ac:dyDescent="0.25">
      <c r="A88" s="25"/>
      <c r="B88" s="12" t="str">
        <f>CONCATENATE("     ","Travel                                            ")</f>
        <v xml:space="preserve">     Travel                                            </v>
      </c>
      <c r="C88" s="12"/>
      <c r="D88" s="1">
        <f>SUM(OSRRefD22_16x_0)</f>
        <v>0</v>
      </c>
      <c r="E88" s="1"/>
      <c r="F88" s="5">
        <f t="shared" si="53"/>
        <v>0</v>
      </c>
      <c r="G88" s="1"/>
      <c r="H88" s="1">
        <f>SUM(OSRRefH22_16x_0)</f>
        <v>0</v>
      </c>
      <c r="I88" s="1"/>
      <c r="J88" s="5">
        <f t="shared" si="54"/>
        <v>0</v>
      </c>
      <c r="K88" s="1"/>
      <c r="L88" s="1">
        <f t="shared" si="55"/>
        <v>0</v>
      </c>
      <c r="M88" s="1"/>
      <c r="N88" s="5">
        <f t="shared" si="56"/>
        <v>0</v>
      </c>
      <c r="O88" s="12"/>
      <c r="P88" s="1">
        <f>SUM(OSRRefP22_16x_0)</f>
        <v>59.14</v>
      </c>
      <c r="Q88" s="1"/>
      <c r="R88" s="5">
        <f t="shared" si="57"/>
        <v>1.7474070358774046E-5</v>
      </c>
      <c r="S88" s="1"/>
      <c r="T88" s="1">
        <f>SUM(OSRRefT22_16x_0)</f>
        <v>0</v>
      </c>
      <c r="U88" s="1"/>
      <c r="V88" s="5">
        <f t="shared" si="58"/>
        <v>0</v>
      </c>
      <c r="W88" s="1"/>
      <c r="X88" s="1">
        <f t="shared" si="59"/>
        <v>59.14</v>
      </c>
      <c r="Y88" s="1"/>
      <c r="Z88" s="5">
        <f t="shared" si="60"/>
        <v>0</v>
      </c>
    </row>
    <row r="89" spans="1:26" s="24" customFormat="1" hidden="1" outlineLevel="2" x14ac:dyDescent="0.25">
      <c r="A89" s="26"/>
      <c r="B89" s="11" t="str">
        <f>CONCATENATE("          ", "6292", " - ", "TRAVEL/CONFERENCE")</f>
        <v xml:space="preserve">          6292 - TRAVEL/CONFERENCE</v>
      </c>
      <c r="C89" s="11"/>
      <c r="D89" s="7"/>
      <c r="E89" s="2"/>
      <c r="F89" s="6">
        <f t="shared" si="53"/>
        <v>0</v>
      </c>
      <c r="G89" s="2"/>
      <c r="H89" s="7"/>
      <c r="I89" s="2"/>
      <c r="J89" s="6">
        <f t="shared" si="54"/>
        <v>0</v>
      </c>
      <c r="K89" s="2"/>
      <c r="L89" s="7">
        <f t="shared" si="55"/>
        <v>0</v>
      </c>
      <c r="M89" s="2"/>
      <c r="N89" s="6">
        <f t="shared" si="56"/>
        <v>0</v>
      </c>
      <c r="O89" s="11"/>
      <c r="P89" s="7">
        <v>59.14</v>
      </c>
      <c r="Q89" s="2"/>
      <c r="R89" s="6">
        <f t="shared" si="57"/>
        <v>1.7474070358774046E-5</v>
      </c>
      <c r="S89" s="2"/>
      <c r="T89" s="7"/>
      <c r="U89" s="2"/>
      <c r="V89" s="6">
        <f t="shared" si="58"/>
        <v>0</v>
      </c>
      <c r="W89" s="2"/>
      <c r="X89" s="7">
        <f t="shared" si="59"/>
        <v>59.14</v>
      </c>
      <c r="Y89" s="2"/>
      <c r="Z89" s="6">
        <f t="shared" si="60"/>
        <v>0</v>
      </c>
    </row>
    <row r="90" spans="1:26" s="62" customFormat="1" x14ac:dyDescent="0.25">
      <c r="A90" s="36"/>
      <c r="B90" s="36"/>
      <c r="C90" s="36"/>
      <c r="D90" s="1"/>
      <c r="E90" s="1"/>
      <c r="F90" s="5"/>
      <c r="G90" s="1"/>
      <c r="H90" s="1"/>
      <c r="I90" s="1"/>
      <c r="J90" s="5"/>
      <c r="K90" s="1"/>
      <c r="L90" s="1"/>
      <c r="M90" s="1"/>
      <c r="N90" s="5"/>
      <c r="O90" s="36"/>
      <c r="P90" s="1"/>
      <c r="Q90" s="1"/>
      <c r="R90" s="5"/>
      <c r="S90" s="1"/>
      <c r="T90" s="1"/>
      <c r="U90" s="1"/>
      <c r="V90" s="5"/>
      <c r="W90" s="1"/>
      <c r="X90" s="1"/>
      <c r="Y90" s="1"/>
      <c r="Z90" s="5"/>
    </row>
    <row r="91" spans="1:26" s="23" customFormat="1" x14ac:dyDescent="0.25">
      <c r="A91" s="10"/>
      <c r="B91" s="28" t="s">
        <v>0</v>
      </c>
      <c r="C91" s="10"/>
      <c r="D91" s="4">
        <f>SUM(0)</f>
        <v>0</v>
      </c>
      <c r="E91" s="4"/>
      <c r="F91" s="13">
        <f>IF(D$12=0,0,D91/D$12)</f>
        <v>0</v>
      </c>
      <c r="G91" s="4"/>
      <c r="H91" s="4">
        <f>SUM(0)</f>
        <v>0</v>
      </c>
      <c r="I91" s="4"/>
      <c r="J91" s="13">
        <f>IF(H$12=0,0,H91/H$12)</f>
        <v>0</v>
      </c>
      <c r="K91" s="4"/>
      <c r="L91" s="4">
        <f>+D91-H91</f>
        <v>0</v>
      </c>
      <c r="M91" s="4"/>
      <c r="N91" s="13">
        <f>IF(H91=0,0,L91/H91)</f>
        <v>0</v>
      </c>
      <c r="O91" s="10"/>
      <c r="P91" s="4">
        <f>SUM(0)</f>
        <v>0</v>
      </c>
      <c r="Q91" s="4"/>
      <c r="R91" s="13">
        <f>IF(P$12=0,0,P91/P$12)</f>
        <v>0</v>
      </c>
      <c r="S91" s="4"/>
      <c r="T91" s="4">
        <f>SUM(0)</f>
        <v>0</v>
      </c>
      <c r="U91" s="4"/>
      <c r="V91" s="13">
        <f>IF(T$12=0,0,T91/T$12)</f>
        <v>0</v>
      </c>
      <c r="W91" s="4"/>
      <c r="X91" s="4">
        <f>+P91-T91</f>
        <v>0</v>
      </c>
      <c r="Y91" s="4"/>
      <c r="Z91" s="13">
        <f>IF(T91=0,0,X91/T91)</f>
        <v>0</v>
      </c>
    </row>
    <row r="92" spans="1:26" x14ac:dyDescent="0.25">
      <c r="A92" s="9"/>
      <c r="B92" s="10"/>
      <c r="C92" s="10"/>
      <c r="D92" s="3"/>
      <c r="E92" s="3"/>
      <c r="F92" s="8"/>
      <c r="G92" s="3"/>
      <c r="H92" s="3"/>
      <c r="I92" s="3"/>
      <c r="J92" s="8"/>
      <c r="K92" s="3"/>
      <c r="L92" s="3"/>
      <c r="M92" s="3"/>
      <c r="N92" s="8"/>
      <c r="O92" s="10"/>
      <c r="P92" s="3"/>
      <c r="Q92" s="3"/>
      <c r="R92" s="8"/>
      <c r="S92" s="3"/>
      <c r="T92" s="3"/>
      <c r="U92" s="3"/>
      <c r="V92" s="8"/>
      <c r="W92" s="3"/>
      <c r="X92" s="3"/>
      <c r="Y92" s="3"/>
      <c r="Z92" s="8"/>
    </row>
    <row r="93" spans="1:26" s="23" customFormat="1" x14ac:dyDescent="0.25">
      <c r="A93" s="10"/>
      <c r="B93" s="29" t="s">
        <v>3</v>
      </c>
      <c r="C93" s="29"/>
      <c r="D93" s="20">
        <f>+D23-D25+D91</f>
        <v>-54565.649999999994</v>
      </c>
      <c r="E93" s="14"/>
      <c r="F93" s="22">
        <f>IF(D$12=0,0,D93/D$12)</f>
        <v>0</v>
      </c>
      <c r="G93" s="14"/>
      <c r="H93" s="20">
        <f>+H23-H25+H91</f>
        <v>26080.856015295372</v>
      </c>
      <c r="I93" s="14"/>
      <c r="J93" s="22">
        <f>IF(H$12=0,0,H93/H$12)</f>
        <v>0.10973789163442396</v>
      </c>
      <c r="K93" s="16"/>
      <c r="L93" s="20">
        <f>+D93-H93</f>
        <v>-80646.506015295367</v>
      </c>
      <c r="M93" s="16"/>
      <c r="N93" s="22">
        <f>IF(H93=0,0,L93/H93)</f>
        <v>-3.092172510288751</v>
      </c>
      <c r="O93" s="28"/>
      <c r="P93" s="20">
        <f>+P23-P25+P91</f>
        <v>827771.72</v>
      </c>
      <c r="Q93" s="14"/>
      <c r="R93" s="22">
        <f>IF(P$12=0,0,P93/P$12)</f>
        <v>0.24458135401223211</v>
      </c>
      <c r="S93" s="14"/>
      <c r="T93" s="20">
        <f>+T23-T25+T91</f>
        <v>992693.75151086412</v>
      </c>
      <c r="U93" s="14"/>
      <c r="V93" s="22">
        <f>IF(T$12=0,0,T93/T$12)</f>
        <v>0.23946892215893056</v>
      </c>
      <c r="W93" s="16"/>
      <c r="X93" s="20">
        <f>+P93-T93</f>
        <v>-164922.03151086415</v>
      </c>
      <c r="Y93" s="16"/>
      <c r="Z93" s="22">
        <f>IF(T93=0,0,X93/T93)</f>
        <v>-0.16613586139718864</v>
      </c>
    </row>
    <row r="94" spans="1:26" x14ac:dyDescent="0.25">
      <c r="A94" s="9"/>
      <c r="B94" s="10"/>
      <c r="C94" s="9"/>
      <c r="D94" s="3"/>
      <c r="E94" s="3"/>
      <c r="F94" s="8"/>
      <c r="G94" s="3"/>
      <c r="H94" s="3"/>
      <c r="I94" s="3"/>
      <c r="J94" s="8"/>
      <c r="K94" s="3"/>
      <c r="L94" s="3"/>
      <c r="M94" s="3"/>
      <c r="N94" s="8"/>
      <c r="P94" s="3"/>
      <c r="Q94" s="3"/>
      <c r="R94" s="8"/>
      <c r="S94" s="3"/>
      <c r="T94" s="3"/>
      <c r="U94" s="3"/>
      <c r="V94" s="8"/>
      <c r="W94" s="3"/>
      <c r="X94" s="3"/>
      <c r="Y94" s="3"/>
      <c r="Z94" s="8"/>
    </row>
    <row r="95" spans="1:26" s="23" customFormat="1" x14ac:dyDescent="0.25">
      <c r="A95" s="52"/>
      <c r="B95" s="10" t="s">
        <v>14</v>
      </c>
      <c r="C95" s="10"/>
      <c r="D95" s="4">
        <v>16491.63</v>
      </c>
      <c r="E95" s="4"/>
      <c r="F95" s="13">
        <f>IF(D$12=0,0,D95/D$12)</f>
        <v>0</v>
      </c>
      <c r="G95" s="4"/>
      <c r="H95" s="4">
        <v>23557</v>
      </c>
      <c r="I95" s="4"/>
      <c r="J95" s="13">
        <f>IF(H$12=0,0,H95/H$12)</f>
        <v>9.9118507142406331E-2</v>
      </c>
      <c r="K95" s="4"/>
      <c r="L95" s="4">
        <f>+D95-H95</f>
        <v>-7065.369999999999</v>
      </c>
      <c r="M95" s="4"/>
      <c r="N95" s="13">
        <f>IF(H95=0,0,L95/H95)</f>
        <v>-0.29992656110710186</v>
      </c>
      <c r="O95" s="10"/>
      <c r="P95" s="4">
        <v>400770.94</v>
      </c>
      <c r="Q95" s="4"/>
      <c r="R95" s="13">
        <f>IF(P$12=0,0,P95/P$12)</f>
        <v>0.11841561723557678</v>
      </c>
      <c r="S95" s="4"/>
      <c r="T95" s="4">
        <v>480144</v>
      </c>
      <c r="U95" s="4"/>
      <c r="V95" s="13">
        <f>IF(T$12=0,0,T95/T$12)</f>
        <v>0.11582581837155767</v>
      </c>
      <c r="W95" s="4"/>
      <c r="X95" s="4">
        <f>+P95-T95</f>
        <v>-79373.06</v>
      </c>
      <c r="Y95" s="4"/>
      <c r="Z95" s="13">
        <f>IF(T95=0,0,X95/T95)</f>
        <v>-0.16531094838215202</v>
      </c>
    </row>
    <row r="96" spans="1:26" x14ac:dyDescent="0.25">
      <c r="A96" s="9"/>
      <c r="B96" s="10"/>
      <c r="C96" s="10"/>
      <c r="D96" s="3"/>
      <c r="E96" s="3"/>
      <c r="F96" s="8"/>
      <c r="G96" s="3"/>
      <c r="H96" s="3"/>
      <c r="I96" s="3"/>
      <c r="J96" s="8"/>
      <c r="K96" s="3"/>
      <c r="L96" s="3"/>
      <c r="M96" s="3"/>
      <c r="N96" s="8"/>
      <c r="O96" s="10"/>
      <c r="P96" s="3"/>
      <c r="Q96" s="3"/>
      <c r="R96" s="8"/>
      <c r="S96" s="3"/>
      <c r="T96" s="3"/>
      <c r="U96" s="3"/>
      <c r="V96" s="8"/>
      <c r="W96" s="3"/>
      <c r="X96" s="3"/>
      <c r="Y96" s="3"/>
      <c r="Z96" s="8"/>
    </row>
    <row r="97" spans="1:26" s="23" customFormat="1" ht="15.75" thickBot="1" x14ac:dyDescent="0.3">
      <c r="A97" s="10"/>
      <c r="B97" s="29" t="s">
        <v>4</v>
      </c>
      <c r="C97" s="29"/>
      <c r="D97" s="35">
        <f>+D93-D95</f>
        <v>-71057.279999999999</v>
      </c>
      <c r="E97" s="14"/>
      <c r="F97" s="32">
        <f>IF(D$12=0,0,D97/D$12)</f>
        <v>0</v>
      </c>
      <c r="G97" s="14"/>
      <c r="H97" s="35">
        <f>+H93-H95</f>
        <v>2523.8560152953723</v>
      </c>
      <c r="I97" s="14"/>
      <c r="J97" s="32">
        <f>IF(H$12=0,0,H97/H$12)</f>
        <v>1.0619384492017639E-2</v>
      </c>
      <c r="K97" s="16"/>
      <c r="L97" s="35">
        <f>D97-H97</f>
        <v>-73581.136015295371</v>
      </c>
      <c r="M97" s="16"/>
      <c r="N97" s="32">
        <f>IF(H97=0,0,L97/H97)</f>
        <v>-29.154252686908531</v>
      </c>
      <c r="O97" s="28"/>
      <c r="P97" s="35">
        <f>+P93-P95</f>
        <v>427000.77999999997</v>
      </c>
      <c r="Q97" s="14"/>
      <c r="R97" s="32">
        <f>IF(P$12=0,0,P97/P$12)</f>
        <v>0.12616573677665532</v>
      </c>
      <c r="S97" s="14"/>
      <c r="T97" s="35">
        <f>+T93-T95</f>
        <v>512549.75151086412</v>
      </c>
      <c r="U97" s="14"/>
      <c r="V97" s="32">
        <f>IF(T$12=0,0,T97/T$12)</f>
        <v>0.12364310378737288</v>
      </c>
      <c r="W97" s="16"/>
      <c r="X97" s="35">
        <f>P97-T97</f>
        <v>-85548.971510864154</v>
      </c>
      <c r="Y97" s="16"/>
      <c r="Z97" s="32">
        <f>IF(T97=0,0,X97/T97)</f>
        <v>-0.16690861961924264</v>
      </c>
    </row>
    <row r="98" spans="1:26" ht="15.75" thickTop="1" x14ac:dyDescent="0.25">
      <c r="A98" s="9"/>
      <c r="B98" s="9"/>
      <c r="C98" s="9"/>
      <c r="D98" s="3"/>
      <c r="E98" s="3"/>
      <c r="F98" s="8"/>
      <c r="G98" s="3"/>
      <c r="H98" s="3"/>
      <c r="I98" s="3"/>
      <c r="J98" s="8"/>
      <c r="K98" s="3"/>
      <c r="L98" s="3"/>
      <c r="M98" s="3"/>
      <c r="N98" s="8"/>
      <c r="P98" s="3"/>
      <c r="Q98" s="3"/>
      <c r="R98" s="8"/>
      <c r="S98" s="3"/>
      <c r="T98" s="3"/>
      <c r="U98" s="3"/>
      <c r="V98" s="8"/>
      <c r="W98" s="3"/>
      <c r="X98" s="3"/>
      <c r="Y98" s="3"/>
      <c r="Z98" s="8"/>
    </row>
    <row r="99" spans="1:26" x14ac:dyDescent="0.25">
      <c r="A99" s="9"/>
      <c r="B99" s="9"/>
      <c r="C99" s="9"/>
      <c r="D99" s="3"/>
      <c r="E99" s="3"/>
      <c r="F99" s="8"/>
      <c r="G99" s="3"/>
      <c r="H99" s="3"/>
      <c r="I99" s="3"/>
      <c r="J99" s="8"/>
      <c r="K99" s="3"/>
      <c r="L99" s="3"/>
      <c r="M99" s="3"/>
      <c r="N99" s="8"/>
      <c r="P99" s="3"/>
      <c r="Q99" s="3"/>
      <c r="R99" s="8"/>
      <c r="S99" s="3"/>
      <c r="T99" s="3"/>
      <c r="U99" s="3"/>
      <c r="V99" s="8"/>
      <c r="W99" s="3"/>
      <c r="X99" s="3"/>
      <c r="Y99" s="3"/>
      <c r="Z99" s="8"/>
    </row>
    <row r="100" spans="1:26" s="23" customFormat="1" ht="15.75" thickBot="1" x14ac:dyDescent="0.3">
      <c r="A100" s="10"/>
      <c r="B100" s="29" t="s">
        <v>5</v>
      </c>
      <c r="C100" s="29"/>
      <c r="D100" s="34">
        <f>SUM(D97:D99)</f>
        <v>-71057.279999999999</v>
      </c>
      <c r="E100" s="14"/>
      <c r="F100" s="31">
        <f>IF(D$12=0,0,D100/D$12)</f>
        <v>0</v>
      </c>
      <c r="G100" s="14"/>
      <c r="H100" s="34">
        <f>SUM(H97:H99)</f>
        <v>2523.8560152953723</v>
      </c>
      <c r="I100" s="14"/>
      <c r="J100" s="31">
        <f>IF(H$12=0,0,H100/H$12)</f>
        <v>1.0619384492017639E-2</v>
      </c>
      <c r="K100" s="16"/>
      <c r="L100" s="34">
        <f>+D100-H100</f>
        <v>-73581.136015295371</v>
      </c>
      <c r="M100" s="16"/>
      <c r="N100" s="31">
        <f>IF(H100=0,0,L100/H100)</f>
        <v>-29.154252686908531</v>
      </c>
      <c r="O100" s="28"/>
      <c r="P100" s="34">
        <f>SUM(P97:P99)</f>
        <v>427000.77999999997</v>
      </c>
      <c r="Q100" s="14"/>
      <c r="R100" s="31">
        <f>IF(P$12=0,0,P100/P$12)</f>
        <v>0.12616573677665532</v>
      </c>
      <c r="S100" s="14"/>
      <c r="T100" s="34">
        <f>SUM(T97:T99)</f>
        <v>512549.75151086412</v>
      </c>
      <c r="U100" s="14"/>
      <c r="V100" s="31">
        <f>IF(T$12=0,0,T100/T$12)</f>
        <v>0.12364310378737288</v>
      </c>
      <c r="W100" s="16"/>
      <c r="X100" s="34">
        <f>+P100-T100</f>
        <v>-85548.971510864154</v>
      </c>
      <c r="Y100" s="16"/>
      <c r="Z100" s="31">
        <f>IF(T100=0,0,X100/T100)</f>
        <v>-0.16690861961924264</v>
      </c>
    </row>
    <row r="101" spans="1:26" ht="15.75" thickTop="1" x14ac:dyDescent="0.25">
      <c r="A101" s="9"/>
      <c r="C101" s="9"/>
      <c r="D101" s="18"/>
      <c r="E101" s="18"/>
      <c r="G101" s="18"/>
      <c r="H101" s="18"/>
      <c r="I101" s="18"/>
      <c r="J101" s="42"/>
      <c r="K101" s="18"/>
      <c r="L101" s="18"/>
      <c r="M101" s="18"/>
      <c r="P101" s="18"/>
      <c r="Q101" s="18"/>
      <c r="R101" s="42"/>
      <c r="S101" s="18"/>
      <c r="T101" s="18"/>
      <c r="U101" s="18"/>
      <c r="V101" s="42"/>
      <c r="W101" s="18"/>
      <c r="X101" s="18"/>
    </row>
    <row r="102" spans="1:26" x14ac:dyDescent="0.25">
      <c r="A102" s="9"/>
      <c r="B102" s="59">
        <v>43992.372285381942</v>
      </c>
      <c r="D102" s="18"/>
      <c r="E102" s="18"/>
      <c r="G102" s="18"/>
      <c r="H102" s="18"/>
      <c r="I102" s="18"/>
      <c r="J102" s="42"/>
      <c r="K102" s="18"/>
      <c r="L102" s="18"/>
      <c r="M102" s="18"/>
      <c r="P102" s="18"/>
      <c r="Q102" s="18"/>
      <c r="R102" s="42"/>
      <c r="S102" s="18"/>
      <c r="T102" s="18"/>
      <c r="U102" s="18"/>
      <c r="V102" s="42"/>
      <c r="W102" s="18"/>
      <c r="X102" s="18"/>
    </row>
    <row r="103" spans="1:26" x14ac:dyDescent="0.25">
      <c r="A103" s="9"/>
      <c r="B103" s="56" t="s">
        <v>314</v>
      </c>
      <c r="D103" s="18"/>
      <c r="E103" s="18"/>
      <c r="G103" s="18"/>
      <c r="H103" s="18"/>
      <c r="I103" s="18"/>
      <c r="J103" s="42"/>
      <c r="K103" s="18"/>
      <c r="L103" s="18"/>
      <c r="M103" s="18"/>
      <c r="P103" s="18"/>
      <c r="Q103" s="18"/>
      <c r="R103" s="42"/>
      <c r="S103" s="18"/>
      <c r="T103" s="18"/>
      <c r="U103" s="18"/>
      <c r="V103" s="42"/>
      <c r="W103" s="18"/>
      <c r="X103" s="18"/>
    </row>
    <row r="104" spans="1:26" x14ac:dyDescent="0.25">
      <c r="A104" s="9"/>
      <c r="B104" s="54"/>
      <c r="D104" s="18"/>
      <c r="E104" s="18"/>
      <c r="G104" s="18"/>
      <c r="H104" s="18"/>
      <c r="I104" s="18"/>
      <c r="J104" s="42"/>
      <c r="K104" s="18"/>
      <c r="L104" s="18"/>
      <c r="M104" s="18"/>
      <c r="P104" s="18"/>
      <c r="Q104" s="18"/>
      <c r="R104" s="42"/>
      <c r="S104" s="18"/>
      <c r="T104" s="18"/>
      <c r="U104" s="18"/>
      <c r="V104" s="42"/>
      <c r="W104" s="18"/>
      <c r="X104" s="18"/>
    </row>
    <row r="105" spans="1:26" x14ac:dyDescent="0.25">
      <c r="D105" s="18"/>
      <c r="E105" s="18"/>
      <c r="G105" s="18"/>
      <c r="H105" s="18"/>
      <c r="I105" s="18"/>
      <c r="J105" s="42"/>
      <c r="K105" s="18"/>
      <c r="L105" s="18"/>
      <c r="M105" s="18"/>
      <c r="P105" s="18"/>
      <c r="Q105" s="18"/>
      <c r="R105" s="42"/>
      <c r="S105" s="18"/>
      <c r="T105" s="18"/>
      <c r="U105" s="18"/>
      <c r="V105" s="42"/>
      <c r="W105" s="18"/>
      <c r="X105" s="18"/>
    </row>
  </sheetData>
  <pageMargins left="0.25" right="0.25" top="0.75" bottom="0.75" header="0.3" footer="0.3"/>
  <pageSetup scale="55" fitToWidth="2" orientation="landscape"/>
  <drawing r:id="rId1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34"/>
  <sheetViews>
    <sheetView zoomScale="80" workbookViewId="0">
      <pane xSplit="3" ySplit="10" topLeftCell="D14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63" t="s">
        <v>13</v>
      </c>
    </row>
    <row r="3" spans="1:26" x14ac:dyDescent="0.25">
      <c r="D3" s="63" t="s">
        <v>296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61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63" t="str">
        <f>CONCATENATE("Period ",RIGHT(202011,2),", ",2020)</f>
        <v>Period 11, 2020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61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4">
        <v>43981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61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51"/>
      <c r="C6" s="51"/>
      <c r="D6" s="23" t="str">
        <f>CONCATENATE("Department ","445", " - ", "Central Park Coffee House")</f>
        <v>Department 445 - Central Park Coffee House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57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5" t="s">
        <v>294</v>
      </c>
      <c r="E9" s="15"/>
      <c r="F9" s="38"/>
      <c r="G9" s="15"/>
      <c r="H9" s="15"/>
      <c r="I9" s="15"/>
      <c r="J9" s="46"/>
      <c r="K9" s="15"/>
      <c r="L9" s="15"/>
      <c r="M9" s="15"/>
      <c r="N9" s="38"/>
      <c r="P9" s="15" t="s">
        <v>295</v>
      </c>
      <c r="Q9" s="15"/>
      <c r="R9" s="38"/>
      <c r="S9" s="15"/>
      <c r="T9" s="15"/>
      <c r="U9" s="15"/>
      <c r="V9" s="46"/>
      <c r="W9" s="15"/>
      <c r="X9" s="15"/>
      <c r="Y9" s="15"/>
      <c r="Z9" s="38"/>
    </row>
    <row r="10" spans="1:26" x14ac:dyDescent="0.25">
      <c r="A10" s="10"/>
      <c r="B10" s="55"/>
      <c r="C10" s="10"/>
      <c r="D10" s="43" t="s">
        <v>10</v>
      </c>
      <c r="E10" s="33"/>
      <c r="F10" s="40" t="s">
        <v>15</v>
      </c>
      <c r="G10" s="33"/>
      <c r="H10" s="47" t="s">
        <v>11</v>
      </c>
      <c r="I10" s="33"/>
      <c r="J10" s="45" t="s">
        <v>16</v>
      </c>
      <c r="K10" s="10"/>
      <c r="L10" s="43" t="s">
        <v>12</v>
      </c>
      <c r="M10" s="10"/>
      <c r="N10" s="40" t="s">
        <v>17</v>
      </c>
      <c r="O10" s="10"/>
      <c r="P10" s="53" t="s">
        <v>10</v>
      </c>
      <c r="Q10" s="33"/>
      <c r="R10" s="40" t="s">
        <v>15</v>
      </c>
      <c r="S10" s="33"/>
      <c r="T10" s="47" t="s">
        <v>11</v>
      </c>
      <c r="U10" s="33"/>
      <c r="V10" s="45" t="s">
        <v>16</v>
      </c>
      <c r="W10" s="10"/>
      <c r="X10" s="43" t="s">
        <v>12</v>
      </c>
      <c r="Y10" s="10"/>
      <c r="Z10" s="40" t="s">
        <v>17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x14ac:dyDescent="0.25">
      <c r="A12" s="10"/>
      <c r="B12" s="28" t="s">
        <v>7</v>
      </c>
      <c r="C12" s="10"/>
      <c r="D12" s="4">
        <f>SUM(0)</f>
        <v>0</v>
      </c>
      <c r="E12" s="4"/>
      <c r="F12" s="13"/>
      <c r="G12" s="4"/>
      <c r="H12" s="4">
        <f>SUM(0)</f>
        <v>0</v>
      </c>
      <c r="I12" s="4"/>
      <c r="J12" s="13"/>
      <c r="K12" s="4"/>
      <c r="L12" s="4">
        <f>+D12-H12</f>
        <v>0</v>
      </c>
      <c r="M12" s="4"/>
      <c r="N12" s="13">
        <f>IF(H12=0,0,L12/H12)</f>
        <v>0</v>
      </c>
      <c r="O12" s="10"/>
      <c r="P12" s="4">
        <f>SUM(0)</f>
        <v>0</v>
      </c>
      <c r="Q12" s="4"/>
      <c r="R12" s="13"/>
      <c r="S12" s="4"/>
      <c r="T12" s="4">
        <f>SUM(0)</f>
        <v>0</v>
      </c>
      <c r="U12" s="4"/>
      <c r="V12" s="13"/>
      <c r="W12" s="4"/>
      <c r="X12" s="4">
        <f>+P12-T12</f>
        <v>0</v>
      </c>
      <c r="Y12" s="4"/>
      <c r="Z12" s="13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8" t="s">
        <v>8</v>
      </c>
      <c r="C14" s="10"/>
      <c r="D14" s="4">
        <f>SUM(0)</f>
        <v>0</v>
      </c>
      <c r="E14" s="4"/>
      <c r="F14" s="13">
        <f>IF(D$12=0,0,D14/D$12)</f>
        <v>0</v>
      </c>
      <c r="G14" s="4"/>
      <c r="H14" s="4">
        <f>SUM(0)</f>
        <v>0</v>
      </c>
      <c r="I14" s="4"/>
      <c r="J14" s="13">
        <f>IF(H$12=0,0,H14/H$12)</f>
        <v>0</v>
      </c>
      <c r="K14" s="4"/>
      <c r="L14" s="4">
        <f>+D14-H14</f>
        <v>0</v>
      </c>
      <c r="M14" s="4"/>
      <c r="N14" s="13">
        <f>IF(H14=0,0,L14/H14)</f>
        <v>0</v>
      </c>
      <c r="O14" s="10"/>
      <c r="P14" s="4">
        <f>SUM(0)</f>
        <v>0</v>
      </c>
      <c r="Q14" s="4"/>
      <c r="R14" s="13">
        <f>IF(P$12=0,0,P14/P$12)</f>
        <v>0</v>
      </c>
      <c r="S14" s="4"/>
      <c r="T14" s="4">
        <f>SUM(0)</f>
        <v>0</v>
      </c>
      <c r="U14" s="4"/>
      <c r="V14" s="13">
        <f>IF(T$12=0,0,T14/T$12)</f>
        <v>0</v>
      </c>
      <c r="W14" s="4"/>
      <c r="X14" s="4">
        <f>+P14-T14</f>
        <v>0</v>
      </c>
      <c r="Y14" s="4"/>
      <c r="Z14" s="13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9" t="s">
        <v>6</v>
      </c>
      <c r="C16" s="29"/>
      <c r="D16" s="20">
        <f>D12-D14</f>
        <v>0</v>
      </c>
      <c r="E16" s="14"/>
      <c r="F16" s="22">
        <f>IF(D$12=0,0,D16/D$12)</f>
        <v>0</v>
      </c>
      <c r="G16" s="14"/>
      <c r="H16" s="20">
        <f>H12-H14</f>
        <v>0</v>
      </c>
      <c r="I16" s="14"/>
      <c r="J16" s="22">
        <f>IF(H$12=0,0,H16/H$12)</f>
        <v>0</v>
      </c>
      <c r="K16" s="16"/>
      <c r="L16" s="20">
        <f>+D16-H16</f>
        <v>0</v>
      </c>
      <c r="M16" s="16"/>
      <c r="N16" s="22">
        <f>IF(H16=0,0,L16/H16)</f>
        <v>0</v>
      </c>
      <c r="O16" s="28"/>
      <c r="P16" s="20">
        <f>P12-P14</f>
        <v>0</v>
      </c>
      <c r="Q16" s="14"/>
      <c r="R16" s="22">
        <f>IF(P$12=0,0,P16/P$12)</f>
        <v>0</v>
      </c>
      <c r="S16" s="14"/>
      <c r="T16" s="20">
        <f>T12-T14</f>
        <v>0</v>
      </c>
      <c r="U16" s="14"/>
      <c r="V16" s="22">
        <f>IF(T$12=0,0,T16/T$12)</f>
        <v>0</v>
      </c>
      <c r="W16" s="16"/>
      <c r="X16" s="20">
        <f>+P16-T16</f>
        <v>0</v>
      </c>
      <c r="Y16" s="16"/>
      <c r="Z16" s="22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8" t="s">
        <v>9</v>
      </c>
      <c r="C18" s="10"/>
      <c r="D18" s="21">
        <f>SUM(0)</f>
        <v>0</v>
      </c>
      <c r="E18" s="21"/>
      <c r="F18" s="30">
        <f>IF(D$12=0,0,D18/D$12)</f>
        <v>0</v>
      </c>
      <c r="G18" s="21"/>
      <c r="H18" s="21">
        <f>SUM(0)</f>
        <v>0</v>
      </c>
      <c r="I18" s="21"/>
      <c r="J18" s="30">
        <f>IF(H$12=0,0,H18/H$12)</f>
        <v>0</v>
      </c>
      <c r="K18" s="4"/>
      <c r="L18" s="21">
        <f>+D18-H18</f>
        <v>0</v>
      </c>
      <c r="M18" s="4"/>
      <c r="N18" s="30">
        <f>IF(H18=0,0,L18/H18)</f>
        <v>0</v>
      </c>
      <c r="O18" s="10"/>
      <c r="P18" s="21">
        <f>SUM(0)</f>
        <v>0</v>
      </c>
      <c r="Q18" s="21"/>
      <c r="R18" s="30">
        <f>IF(P$12=0,0,P18/P$12)</f>
        <v>0</v>
      </c>
      <c r="S18" s="21"/>
      <c r="T18" s="21">
        <f>SUM(0)</f>
        <v>0</v>
      </c>
      <c r="U18" s="21"/>
      <c r="V18" s="30">
        <f>IF(T$12=0,0,T18/T$12)</f>
        <v>0</v>
      </c>
      <c r="W18" s="4"/>
      <c r="X18" s="21">
        <f>+P18-T18</f>
        <v>0</v>
      </c>
      <c r="Y18" s="4"/>
      <c r="Z18" s="30">
        <f>IF(T18=0,0,X18/T18)</f>
        <v>0</v>
      </c>
    </row>
    <row r="19" spans="1:26" s="62" customFormat="1" x14ac:dyDescent="0.25">
      <c r="A19" s="36"/>
      <c r="B19" s="36"/>
      <c r="C19" s="36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0</v>
      </c>
      <c r="C20" s="10"/>
      <c r="D20" s="4">
        <f>SUM(0)</f>
        <v>0</v>
      </c>
      <c r="E20" s="4"/>
      <c r="F20" s="13">
        <f>IF(D$12=0,0,D20/D$12)</f>
        <v>0</v>
      </c>
      <c r="G20" s="4"/>
      <c r="H20" s="4">
        <f>SUM(0)</f>
        <v>0</v>
      </c>
      <c r="I20" s="4"/>
      <c r="J20" s="13">
        <f>IF(H$12=0,0,H20/H$12)</f>
        <v>0</v>
      </c>
      <c r="K20" s="4"/>
      <c r="L20" s="4">
        <f>+D20-H20</f>
        <v>0</v>
      </c>
      <c r="M20" s="4"/>
      <c r="N20" s="13">
        <f>IF(H20=0,0,L20/H20)</f>
        <v>0</v>
      </c>
      <c r="O20" s="10"/>
      <c r="P20" s="4">
        <f>SUM(0)</f>
        <v>0</v>
      </c>
      <c r="Q20" s="4"/>
      <c r="R20" s="13">
        <f>IF(P$12=0,0,P20/P$12)</f>
        <v>0</v>
      </c>
      <c r="S20" s="4"/>
      <c r="T20" s="4">
        <f>SUM(0)</f>
        <v>0</v>
      </c>
      <c r="U20" s="4"/>
      <c r="V20" s="13">
        <f>IF(T$12=0,0,T20/T$12)</f>
        <v>0</v>
      </c>
      <c r="W20" s="4"/>
      <c r="X20" s="4">
        <f>+P20-T20</f>
        <v>0</v>
      </c>
      <c r="Y20" s="4"/>
      <c r="Z20" s="13">
        <f>IF(T20=0,0,X20/T20)</f>
        <v>0</v>
      </c>
    </row>
    <row r="21" spans="1:26" x14ac:dyDescent="0.25">
      <c r="A21" s="9"/>
      <c r="B21" s="10"/>
      <c r="C21" s="10"/>
      <c r="D21" s="3"/>
      <c r="E21" s="3"/>
      <c r="F21" s="8"/>
      <c r="G21" s="3"/>
      <c r="H21" s="3"/>
      <c r="I21" s="3"/>
      <c r="J21" s="8"/>
      <c r="K21" s="3"/>
      <c r="L21" s="3"/>
      <c r="M21" s="3"/>
      <c r="N21" s="8"/>
      <c r="O21" s="10"/>
      <c r="P21" s="3"/>
      <c r="Q21" s="3"/>
      <c r="R21" s="8"/>
      <c r="S21" s="3"/>
      <c r="T21" s="3"/>
      <c r="U21" s="3"/>
      <c r="V21" s="8"/>
      <c r="W21" s="3"/>
      <c r="X21" s="3"/>
      <c r="Y21" s="3"/>
      <c r="Z21" s="8"/>
    </row>
    <row r="22" spans="1:26" s="23" customFormat="1" x14ac:dyDescent="0.25">
      <c r="A22" s="10"/>
      <c r="B22" s="29" t="s">
        <v>3</v>
      </c>
      <c r="C22" s="29"/>
      <c r="D22" s="20">
        <f>+D16-D18+D20</f>
        <v>0</v>
      </c>
      <c r="E22" s="14"/>
      <c r="F22" s="22">
        <f>IF(D$12=0,0,D22/D$12)</f>
        <v>0</v>
      </c>
      <c r="G22" s="14"/>
      <c r="H22" s="20">
        <f>+H16-H18+H20</f>
        <v>0</v>
      </c>
      <c r="I22" s="14"/>
      <c r="J22" s="22">
        <f>IF(H$12=0,0,H22/H$12)</f>
        <v>0</v>
      </c>
      <c r="K22" s="16"/>
      <c r="L22" s="20">
        <f>+D22-H22</f>
        <v>0</v>
      </c>
      <c r="M22" s="16"/>
      <c r="N22" s="22">
        <f>IF(H22=0,0,L22/H22)</f>
        <v>0</v>
      </c>
      <c r="O22" s="28"/>
      <c r="P22" s="20">
        <f>+P16-P18+P20</f>
        <v>0</v>
      </c>
      <c r="Q22" s="14"/>
      <c r="R22" s="22">
        <f>IF(P$12=0,0,P22/P$12)</f>
        <v>0</v>
      </c>
      <c r="S22" s="14"/>
      <c r="T22" s="20">
        <f>+T16-T18+T20</f>
        <v>0</v>
      </c>
      <c r="U22" s="14"/>
      <c r="V22" s="22">
        <f>IF(T$12=0,0,T22/T$12)</f>
        <v>0</v>
      </c>
      <c r="W22" s="16"/>
      <c r="X22" s="20">
        <f>+P22-T22</f>
        <v>0</v>
      </c>
      <c r="Y22" s="16"/>
      <c r="Z22" s="22">
        <f>IF(T22=0,0,X22/T22)</f>
        <v>0</v>
      </c>
    </row>
    <row r="23" spans="1:26" x14ac:dyDescent="0.25">
      <c r="A23" s="9"/>
      <c r="B23" s="10"/>
      <c r="C23" s="9"/>
      <c r="D23" s="3"/>
      <c r="E23" s="3"/>
      <c r="F23" s="8"/>
      <c r="G23" s="3"/>
      <c r="H23" s="3"/>
      <c r="I23" s="3"/>
      <c r="J23" s="8"/>
      <c r="K23" s="3"/>
      <c r="L23" s="3"/>
      <c r="M23" s="3"/>
      <c r="N23" s="8"/>
      <c r="P23" s="3"/>
      <c r="Q23" s="3"/>
      <c r="R23" s="8"/>
      <c r="S23" s="3"/>
      <c r="T23" s="3"/>
      <c r="U23" s="3"/>
      <c r="V23" s="8"/>
      <c r="W23" s="3"/>
      <c r="X23" s="3"/>
      <c r="Y23" s="3"/>
      <c r="Z23" s="8"/>
    </row>
    <row r="24" spans="1:26" s="23" customFormat="1" x14ac:dyDescent="0.25">
      <c r="A24" s="52"/>
      <c r="B24" s="10" t="s">
        <v>14</v>
      </c>
      <c r="C24" s="10"/>
      <c r="D24" s="4"/>
      <c r="E24" s="4"/>
      <c r="F24" s="13">
        <f>IF(D$12=0,0,D24/D$12)</f>
        <v>0</v>
      </c>
      <c r="G24" s="4"/>
      <c r="H24" s="4"/>
      <c r="I24" s="4"/>
      <c r="J24" s="13">
        <f>IF(H$12=0,0,H24/H$12)</f>
        <v>0</v>
      </c>
      <c r="K24" s="4"/>
      <c r="L24" s="4">
        <f>+D24-H24</f>
        <v>0</v>
      </c>
      <c r="M24" s="4"/>
      <c r="N24" s="13">
        <f>IF(H24=0,0,L24/H24)</f>
        <v>0</v>
      </c>
      <c r="O24" s="10"/>
      <c r="P24" s="4"/>
      <c r="Q24" s="4"/>
      <c r="R24" s="13">
        <f>IF(P$12=0,0,P24/P$12)</f>
        <v>0</v>
      </c>
      <c r="S24" s="4"/>
      <c r="T24" s="4"/>
      <c r="U24" s="4"/>
      <c r="V24" s="13">
        <f>IF(T$12=0,0,T24/T$12)</f>
        <v>0</v>
      </c>
      <c r="W24" s="4"/>
      <c r="X24" s="4">
        <f>+P24-T24</f>
        <v>0</v>
      </c>
      <c r="Y24" s="4"/>
      <c r="Z24" s="13">
        <f>IF(T24=0,0,X24/T24)</f>
        <v>0</v>
      </c>
    </row>
    <row r="25" spans="1:26" x14ac:dyDescent="0.25">
      <c r="A25" s="9"/>
      <c r="B25" s="10"/>
      <c r="C25" s="10"/>
      <c r="D25" s="3"/>
      <c r="E25" s="3"/>
      <c r="F25" s="8"/>
      <c r="G25" s="3"/>
      <c r="H25" s="3"/>
      <c r="I25" s="3"/>
      <c r="J25" s="8"/>
      <c r="K25" s="3"/>
      <c r="L25" s="3"/>
      <c r="M25" s="3"/>
      <c r="N25" s="8"/>
      <c r="O25" s="10"/>
      <c r="P25" s="3"/>
      <c r="Q25" s="3"/>
      <c r="R25" s="8"/>
      <c r="S25" s="3"/>
      <c r="T25" s="3"/>
      <c r="U25" s="3"/>
      <c r="V25" s="8"/>
      <c r="W25" s="3"/>
      <c r="X25" s="3"/>
      <c r="Y25" s="3"/>
      <c r="Z25" s="8"/>
    </row>
    <row r="26" spans="1:26" s="23" customFormat="1" ht="15.75" thickBot="1" x14ac:dyDescent="0.3">
      <c r="A26" s="10"/>
      <c r="B26" s="29" t="s">
        <v>4</v>
      </c>
      <c r="C26" s="29"/>
      <c r="D26" s="35">
        <f>+D22-D24</f>
        <v>0</v>
      </c>
      <c r="E26" s="14"/>
      <c r="F26" s="32">
        <f>IF(D$12=0,0,D26/D$12)</f>
        <v>0</v>
      </c>
      <c r="G26" s="14"/>
      <c r="H26" s="35">
        <f>+H22-H24</f>
        <v>0</v>
      </c>
      <c r="I26" s="14"/>
      <c r="J26" s="32">
        <f>IF(H$12=0,0,H26/H$12)</f>
        <v>0</v>
      </c>
      <c r="K26" s="16"/>
      <c r="L26" s="35">
        <f>D26-H26</f>
        <v>0</v>
      </c>
      <c r="M26" s="16"/>
      <c r="N26" s="32">
        <f>IF(H26=0,0,L26/H26)</f>
        <v>0</v>
      </c>
      <c r="O26" s="28"/>
      <c r="P26" s="35">
        <f>+P22-P24</f>
        <v>0</v>
      </c>
      <c r="Q26" s="14"/>
      <c r="R26" s="32">
        <f>IF(P$12=0,0,P26/P$12)</f>
        <v>0</v>
      </c>
      <c r="S26" s="14"/>
      <c r="T26" s="35">
        <f>+T22-T24</f>
        <v>0</v>
      </c>
      <c r="U26" s="14"/>
      <c r="V26" s="32">
        <f>IF(T$12=0,0,T26/T$12)</f>
        <v>0</v>
      </c>
      <c r="W26" s="16"/>
      <c r="X26" s="35">
        <f>P26-T26</f>
        <v>0</v>
      </c>
      <c r="Y26" s="16"/>
      <c r="Z26" s="32">
        <f>IF(T26=0,0,X26/T26)</f>
        <v>0</v>
      </c>
    </row>
    <row r="27" spans="1:26" ht="15.75" thickTop="1" x14ac:dyDescent="0.25">
      <c r="A27" s="9"/>
      <c r="B27" s="9"/>
      <c r="C27" s="9"/>
      <c r="D27" s="3"/>
      <c r="E27" s="3"/>
      <c r="F27" s="8"/>
      <c r="G27" s="3"/>
      <c r="H27" s="3"/>
      <c r="I27" s="3"/>
      <c r="J27" s="8"/>
      <c r="K27" s="3"/>
      <c r="L27" s="3"/>
      <c r="M27" s="3"/>
      <c r="N27" s="8"/>
      <c r="P27" s="3"/>
      <c r="Q27" s="3"/>
      <c r="R27" s="8"/>
      <c r="S27" s="3"/>
      <c r="T27" s="3"/>
      <c r="U27" s="3"/>
      <c r="V27" s="8"/>
      <c r="W27" s="3"/>
      <c r="X27" s="3"/>
      <c r="Y27" s="3"/>
      <c r="Z27" s="8"/>
    </row>
    <row r="28" spans="1:26" x14ac:dyDescent="0.25">
      <c r="A28" s="9"/>
      <c r="B28" s="9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ht="15.75" thickBot="1" x14ac:dyDescent="0.3">
      <c r="A29" s="10"/>
      <c r="B29" s="29" t="s">
        <v>5</v>
      </c>
      <c r="C29" s="29"/>
      <c r="D29" s="34">
        <f>SUM(D26:D28)</f>
        <v>0</v>
      </c>
      <c r="E29" s="14"/>
      <c r="F29" s="31">
        <f>IF(D$12=0,0,D29/D$12)</f>
        <v>0</v>
      </c>
      <c r="G29" s="14"/>
      <c r="H29" s="34">
        <f>SUM(H26:H28)</f>
        <v>0</v>
      </c>
      <c r="I29" s="14"/>
      <c r="J29" s="31">
        <f>IF(H$12=0,0,H29/H$12)</f>
        <v>0</v>
      </c>
      <c r="K29" s="16"/>
      <c r="L29" s="34">
        <f>+D29-H29</f>
        <v>0</v>
      </c>
      <c r="M29" s="16"/>
      <c r="N29" s="31">
        <f>IF(H29=0,0,L29/H29)</f>
        <v>0</v>
      </c>
      <c r="O29" s="28"/>
      <c r="P29" s="34">
        <f>SUM(P26:P28)</f>
        <v>0</v>
      </c>
      <c r="Q29" s="14"/>
      <c r="R29" s="31">
        <f>IF(P$12=0,0,P29/P$12)</f>
        <v>0</v>
      </c>
      <c r="S29" s="14"/>
      <c r="T29" s="34">
        <f>SUM(T26:T28)</f>
        <v>0</v>
      </c>
      <c r="U29" s="14"/>
      <c r="V29" s="31">
        <f>IF(T$12=0,0,T29/T$12)</f>
        <v>0</v>
      </c>
      <c r="W29" s="16"/>
      <c r="X29" s="34">
        <f>+P29-T29</f>
        <v>0</v>
      </c>
      <c r="Y29" s="16"/>
      <c r="Z29" s="31">
        <f>IF(T29=0,0,X29/T29)</f>
        <v>0</v>
      </c>
    </row>
    <row r="30" spans="1:26" ht="15.75" thickTop="1" x14ac:dyDescent="0.25">
      <c r="A30" s="9"/>
      <c r="C30" s="9"/>
      <c r="D30" s="18"/>
      <c r="E30" s="18"/>
      <c r="G30" s="18"/>
      <c r="H30" s="18"/>
      <c r="I30" s="18"/>
      <c r="J30" s="42"/>
      <c r="K30" s="18"/>
      <c r="L30" s="18"/>
      <c r="M30" s="18"/>
      <c r="P30" s="18"/>
      <c r="Q30" s="18"/>
      <c r="R30" s="42"/>
      <c r="S30" s="18"/>
      <c r="T30" s="18"/>
      <c r="U30" s="18"/>
      <c r="V30" s="42"/>
      <c r="W30" s="18"/>
      <c r="X30" s="18"/>
    </row>
    <row r="31" spans="1:26" x14ac:dyDescent="0.25">
      <c r="A31" s="9"/>
      <c r="B31" s="59">
        <v>43992.372302048614</v>
      </c>
      <c r="D31" s="18"/>
      <c r="E31" s="18"/>
      <c r="G31" s="18"/>
      <c r="H31" s="18"/>
      <c r="I31" s="18"/>
      <c r="J31" s="42"/>
      <c r="K31" s="18"/>
      <c r="L31" s="18"/>
      <c r="M31" s="18"/>
      <c r="P31" s="18"/>
      <c r="Q31" s="18"/>
      <c r="R31" s="42"/>
      <c r="S31" s="18"/>
      <c r="T31" s="18"/>
      <c r="U31" s="18"/>
      <c r="V31" s="42"/>
      <c r="W31" s="18"/>
      <c r="X31" s="18"/>
    </row>
    <row r="32" spans="1:26" x14ac:dyDescent="0.25">
      <c r="A32" s="9"/>
      <c r="B32" s="56" t="s">
        <v>314</v>
      </c>
      <c r="D32" s="18"/>
      <c r="E32" s="18"/>
      <c r="G32" s="18"/>
      <c r="H32" s="18"/>
      <c r="I32" s="18"/>
      <c r="J32" s="42"/>
      <c r="K32" s="18"/>
      <c r="L32" s="18"/>
      <c r="M32" s="18"/>
      <c r="P32" s="18"/>
      <c r="Q32" s="18"/>
      <c r="R32" s="42"/>
      <c r="S32" s="18"/>
      <c r="T32" s="18"/>
      <c r="U32" s="18"/>
      <c r="V32" s="42"/>
      <c r="W32" s="18"/>
      <c r="X32" s="18"/>
    </row>
    <row r="33" spans="1:24" x14ac:dyDescent="0.25">
      <c r="A33" s="9"/>
      <c r="B33" s="54"/>
      <c r="D33" s="18"/>
      <c r="E33" s="18"/>
      <c r="G33" s="18"/>
      <c r="H33" s="18"/>
      <c r="I33" s="18"/>
      <c r="J33" s="42"/>
      <c r="K33" s="18"/>
      <c r="L33" s="18"/>
      <c r="M33" s="18"/>
      <c r="P33" s="18"/>
      <c r="Q33" s="18"/>
      <c r="R33" s="42"/>
      <c r="S33" s="18"/>
      <c r="T33" s="18"/>
      <c r="U33" s="18"/>
      <c r="V33" s="42"/>
      <c r="W33" s="18"/>
      <c r="X33" s="18"/>
    </row>
    <row r="34" spans="1:24" x14ac:dyDescent="0.25">
      <c r="D34" s="18"/>
      <c r="E34" s="18"/>
      <c r="G34" s="18"/>
      <c r="H34" s="18"/>
      <c r="I34" s="18"/>
      <c r="J34" s="42"/>
      <c r="K34" s="18"/>
      <c r="L34" s="18"/>
      <c r="M34" s="18"/>
      <c r="P34" s="18"/>
      <c r="Q34" s="18"/>
      <c r="R34" s="42"/>
      <c r="S34" s="18"/>
      <c r="T34" s="18"/>
      <c r="U34" s="18"/>
      <c r="V34" s="42"/>
      <c r="W34" s="18"/>
      <c r="X34" s="18"/>
    </row>
  </sheetData>
  <pageMargins left="0.25" right="0.25" top="0.75" bottom="0.75" header="0.3" footer="0.3"/>
  <pageSetup scale="55" fitToWidth="2" orientation="landscape"/>
  <drawing r:id="rId1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107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63" t="s">
        <v>13</v>
      </c>
    </row>
    <row r="3" spans="1:26" x14ac:dyDescent="0.25">
      <c r="D3" s="63" t="s">
        <v>296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61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63" t="str">
        <f>CONCATENATE("Period ",RIGHT(202011,2),", ",2020)</f>
        <v>Period 11, 2020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61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4">
        <v>43981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61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51"/>
      <c r="C6" s="51"/>
      <c r="D6" s="23" t="str">
        <f>CONCATENATE("Department ","450", " - ", "Beachside Dining Hall")</f>
        <v>Department 450 - Beachside Dining Hall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57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5" t="s">
        <v>294</v>
      </c>
      <c r="E9" s="15"/>
      <c r="F9" s="38"/>
      <c r="G9" s="15"/>
      <c r="H9" s="15"/>
      <c r="I9" s="15"/>
      <c r="J9" s="46"/>
      <c r="K9" s="15"/>
      <c r="L9" s="15"/>
      <c r="M9" s="15"/>
      <c r="N9" s="38"/>
      <c r="P9" s="15" t="s">
        <v>295</v>
      </c>
      <c r="Q9" s="15"/>
      <c r="R9" s="38"/>
      <c r="S9" s="15"/>
      <c r="T9" s="15"/>
      <c r="U9" s="15"/>
      <c r="V9" s="46"/>
      <c r="W9" s="15"/>
      <c r="X9" s="15"/>
      <c r="Y9" s="15"/>
      <c r="Z9" s="38"/>
    </row>
    <row r="10" spans="1:26" x14ac:dyDescent="0.25">
      <c r="A10" s="10"/>
      <c r="B10" s="55"/>
      <c r="C10" s="10"/>
      <c r="D10" s="43" t="s">
        <v>10</v>
      </c>
      <c r="E10" s="33"/>
      <c r="F10" s="40" t="s">
        <v>15</v>
      </c>
      <c r="G10" s="33"/>
      <c r="H10" s="47" t="s">
        <v>11</v>
      </c>
      <c r="I10" s="33"/>
      <c r="J10" s="45" t="s">
        <v>16</v>
      </c>
      <c r="K10" s="10"/>
      <c r="L10" s="43" t="s">
        <v>12</v>
      </c>
      <c r="M10" s="10"/>
      <c r="N10" s="40" t="s">
        <v>17</v>
      </c>
      <c r="O10" s="10"/>
      <c r="P10" s="53" t="s">
        <v>10</v>
      </c>
      <c r="Q10" s="33"/>
      <c r="R10" s="40" t="s">
        <v>15</v>
      </c>
      <c r="S10" s="33"/>
      <c r="T10" s="47" t="s">
        <v>11</v>
      </c>
      <c r="U10" s="33"/>
      <c r="V10" s="45" t="s">
        <v>16</v>
      </c>
      <c r="W10" s="10"/>
      <c r="X10" s="43" t="s">
        <v>12</v>
      </c>
      <c r="Y10" s="10"/>
      <c r="Z10" s="40" t="s">
        <v>17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0</v>
      </c>
      <c r="E12" s="4"/>
      <c r="F12" s="13"/>
      <c r="G12" s="4"/>
      <c r="H12" s="4">
        <f>SUM(OSRRefH13x_0)</f>
        <v>168465</v>
      </c>
      <c r="I12" s="4"/>
      <c r="J12" s="13"/>
      <c r="K12" s="4"/>
      <c r="L12" s="4">
        <f t="shared" ref="L12:L16" si="0">+D12-H12</f>
        <v>-168465</v>
      </c>
      <c r="M12" s="4"/>
      <c r="N12" s="13">
        <f t="shared" ref="N12:N16" si="1">IF(H12=0,0,L12/H12)</f>
        <v>-1</v>
      </c>
      <c r="O12" s="10"/>
      <c r="P12" s="4">
        <f>SUM(OSRRefP13x_0)</f>
        <v>1996380.34</v>
      </c>
      <c r="Q12" s="4"/>
      <c r="R12" s="13"/>
      <c r="S12" s="4"/>
      <c r="T12" s="4">
        <f>SUM(OSRRefT13x_0)</f>
        <v>2481051</v>
      </c>
      <c r="U12" s="4"/>
      <c r="V12" s="13"/>
      <c r="W12" s="4"/>
      <c r="X12" s="4">
        <f t="shared" ref="X12:X16" si="2">+P12-T12</f>
        <v>-484670.65999999992</v>
      </c>
      <c r="Y12" s="4"/>
      <c r="Z12" s="13">
        <f t="shared" ref="Z12:Z16" si="3">IF(T12=0,0,X12/T12)</f>
        <v>-0.19534893075555476</v>
      </c>
    </row>
    <row r="13" spans="1:26" s="24" customFormat="1" hidden="1" outlineLevel="1" x14ac:dyDescent="0.25">
      <c r="A13" s="44"/>
      <c r="B13" s="11" t="str">
        <f>CONCATENATE("          ", "4053", " - ", "TAXABLE SALES-FOOD")</f>
        <v xml:space="preserve">          4053 - TAXABLE SALES-FOOD</v>
      </c>
      <c r="C13" s="11"/>
      <c r="D13" s="2">
        <f t="shared" ref="D13:D16" si="4">0</f>
        <v>0</v>
      </c>
      <c r="E13" s="2"/>
      <c r="F13" s="19"/>
      <c r="G13" s="2"/>
      <c r="H13" s="2"/>
      <c r="I13" s="2"/>
      <c r="J13" s="19"/>
      <c r="K13" s="2"/>
      <c r="L13" s="2">
        <f t="shared" si="0"/>
        <v>0</v>
      </c>
      <c r="M13" s="2"/>
      <c r="N13" s="19">
        <f t="shared" si="1"/>
        <v>0</v>
      </c>
      <c r="O13" s="11"/>
      <c r="P13" s="2">
        <f>--959.82</f>
        <v>959.82</v>
      </c>
      <c r="Q13" s="2"/>
      <c r="R13" s="19"/>
      <c r="S13" s="2"/>
      <c r="T13" s="2"/>
      <c r="U13" s="2"/>
      <c r="V13" s="19"/>
      <c r="W13" s="2"/>
      <c r="X13" s="2">
        <f t="shared" si="2"/>
        <v>959.82</v>
      </c>
      <c r="Y13" s="2"/>
      <c r="Z13" s="19">
        <f t="shared" si="3"/>
        <v>0</v>
      </c>
    </row>
    <row r="14" spans="1:26" s="24" customFormat="1" hidden="1" outlineLevel="1" x14ac:dyDescent="0.25">
      <c r="A14" s="44"/>
      <c r="B14" s="11" t="str">
        <f>CONCATENATE("          ", "4100", " - ", "NON-TAXABLE SALES")</f>
        <v xml:space="preserve">          4100 - NON-TAXABLE SALES</v>
      </c>
      <c r="C14" s="11"/>
      <c r="D14" s="2">
        <f t="shared" si="4"/>
        <v>0</v>
      </c>
      <c r="E14" s="2"/>
      <c r="F14" s="19"/>
      <c r="G14" s="2"/>
      <c r="H14" s="2">
        <v>168465</v>
      </c>
      <c r="I14" s="2"/>
      <c r="J14" s="19"/>
      <c r="K14" s="2"/>
      <c r="L14" s="2">
        <f t="shared" si="0"/>
        <v>-168465</v>
      </c>
      <c r="M14" s="2"/>
      <c r="N14" s="19">
        <f t="shared" si="1"/>
        <v>-1</v>
      </c>
      <c r="O14" s="11"/>
      <c r="P14" s="2">
        <f>0</f>
        <v>0</v>
      </c>
      <c r="Q14" s="2"/>
      <c r="R14" s="19"/>
      <c r="S14" s="2"/>
      <c r="T14" s="2">
        <v>2481051</v>
      </c>
      <c r="U14" s="2"/>
      <c r="V14" s="19"/>
      <c r="W14" s="2"/>
      <c r="X14" s="2">
        <f t="shared" si="2"/>
        <v>-2481051</v>
      </c>
      <c r="Y14" s="2"/>
      <c r="Z14" s="19">
        <f t="shared" si="3"/>
        <v>-1</v>
      </c>
    </row>
    <row r="15" spans="1:26" s="24" customFormat="1" hidden="1" outlineLevel="1" x14ac:dyDescent="0.25">
      <c r="A15" s="44"/>
      <c r="B15" s="11" t="str">
        <f>CONCATENATE("          ", "4151", " - ", "NON-TAXABLE SALES-FOOD")</f>
        <v xml:space="preserve">          4151 - NON-TAXABLE SALES-FOOD</v>
      </c>
      <c r="C15" s="11"/>
      <c r="D15" s="2">
        <f t="shared" si="4"/>
        <v>0</v>
      </c>
      <c r="E15" s="2"/>
      <c r="F15" s="19"/>
      <c r="G15" s="2"/>
      <c r="H15" s="2"/>
      <c r="I15" s="2"/>
      <c r="J15" s="19"/>
      <c r="K15" s="2"/>
      <c r="L15" s="2">
        <f t="shared" si="0"/>
        <v>0</v>
      </c>
      <c r="M15" s="2"/>
      <c r="N15" s="19">
        <f t="shared" si="1"/>
        <v>0</v>
      </c>
      <c r="O15" s="11"/>
      <c r="P15" s="2">
        <f>--1986254.12</f>
        <v>1986254.12</v>
      </c>
      <c r="Q15" s="2"/>
      <c r="R15" s="19"/>
      <c r="S15" s="2"/>
      <c r="T15" s="2"/>
      <c r="U15" s="2"/>
      <c r="V15" s="19"/>
      <c r="W15" s="2"/>
      <c r="X15" s="2">
        <f t="shared" si="2"/>
        <v>1986254.12</v>
      </c>
      <c r="Y15" s="2"/>
      <c r="Z15" s="19">
        <f t="shared" si="3"/>
        <v>0</v>
      </c>
    </row>
    <row r="16" spans="1:26" s="24" customFormat="1" hidden="1" outlineLevel="1" x14ac:dyDescent="0.25">
      <c r="A16" s="44"/>
      <c r="B16" s="11" t="str">
        <f>CONCATENATE("          ", "4153", " - ", "NON-TAXABLE SALES-FOOD")</f>
        <v xml:space="preserve">          4153 - NON-TAXABLE SALES-FOOD</v>
      </c>
      <c r="C16" s="11"/>
      <c r="D16" s="2">
        <f t="shared" si="4"/>
        <v>0</v>
      </c>
      <c r="E16" s="2"/>
      <c r="F16" s="19"/>
      <c r="G16" s="2"/>
      <c r="H16" s="2"/>
      <c r="I16" s="2"/>
      <c r="J16" s="19"/>
      <c r="K16" s="2"/>
      <c r="L16" s="2">
        <f t="shared" si="0"/>
        <v>0</v>
      </c>
      <c r="M16" s="2"/>
      <c r="N16" s="19">
        <f t="shared" si="1"/>
        <v>0</v>
      </c>
      <c r="O16" s="11"/>
      <c r="P16" s="2">
        <f>--9166.4</f>
        <v>9166.4</v>
      </c>
      <c r="Q16" s="2"/>
      <c r="R16" s="19"/>
      <c r="S16" s="2"/>
      <c r="T16" s="2"/>
      <c r="U16" s="2"/>
      <c r="V16" s="19"/>
      <c r="W16" s="2"/>
      <c r="X16" s="2">
        <f t="shared" si="2"/>
        <v>9166.4</v>
      </c>
      <c r="Y16" s="2"/>
      <c r="Z16" s="19">
        <f t="shared" si="3"/>
        <v>0</v>
      </c>
    </row>
    <row r="17" spans="1:26" x14ac:dyDescent="0.25">
      <c r="A17" s="9"/>
      <c r="B17" s="10"/>
      <c r="C17" s="9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collapsed="1" x14ac:dyDescent="0.25">
      <c r="A18" s="10"/>
      <c r="B18" s="28" t="s">
        <v>8</v>
      </c>
      <c r="C18" s="10"/>
      <c r="D18" s="4">
        <f>SUM(OSRRefD16x_0)</f>
        <v>1843</v>
      </c>
      <c r="E18" s="4"/>
      <c r="F18" s="13">
        <f t="shared" ref="F18:F21" si="5">IF(D$12=0,0,D18/D$12)</f>
        <v>0</v>
      </c>
      <c r="G18" s="4"/>
      <c r="H18" s="4">
        <f>SUM(OSRRefH16x_0)</f>
        <v>40509</v>
      </c>
      <c r="I18" s="4"/>
      <c r="J18" s="13">
        <f t="shared" ref="J18:J21" si="6">IF(H$12=0,0,H18/H$12)</f>
        <v>0.24045944261419286</v>
      </c>
      <c r="K18" s="4"/>
      <c r="L18" s="4">
        <f t="shared" ref="L18:L21" si="7">+D18-H18</f>
        <v>-38666</v>
      </c>
      <c r="M18" s="4"/>
      <c r="N18" s="13">
        <f t="shared" ref="N18:N21" si="8">IF(H18=0,0,L18/H18)</f>
        <v>-0.95450393739662787</v>
      </c>
      <c r="O18" s="10"/>
      <c r="P18" s="4">
        <f>SUM(OSRRefP16x_0)</f>
        <v>447882.54</v>
      </c>
      <c r="Q18" s="4"/>
      <c r="R18" s="13">
        <f t="shared" ref="R18:R21" si="9">IF(P$12=0,0,P18/P$12)</f>
        <v>0.22434730047481832</v>
      </c>
      <c r="S18" s="4"/>
      <c r="T18" s="4">
        <f>SUM(OSRRefT16x_0)</f>
        <v>595452</v>
      </c>
      <c r="U18" s="4"/>
      <c r="V18" s="13">
        <f t="shared" ref="V18:V21" si="10">IF(T$12=0,0,T18/T$12)</f>
        <v>0.23999990326680104</v>
      </c>
      <c r="W18" s="4"/>
      <c r="X18" s="4">
        <f t="shared" ref="X18:X21" si="11">+P18-T18</f>
        <v>-147569.46000000002</v>
      </c>
      <c r="Y18" s="4"/>
      <c r="Z18" s="13">
        <f t="shared" ref="Z18:Z21" si="12">IF(T18=0,0,X18/T18)</f>
        <v>-0.24782763346163927</v>
      </c>
    </row>
    <row r="19" spans="1:26" s="24" customFormat="1" hidden="1" outlineLevel="1" x14ac:dyDescent="0.25">
      <c r="A19" s="44"/>
      <c r="B19" s="11" t="str">
        <f>CONCATENATE("          ", "5000", " - ", "PURCHASES @ COST")</f>
        <v xml:space="preserve">          5000 - PURCHASES @ COST</v>
      </c>
      <c r="C19" s="11"/>
      <c r="D19" s="2"/>
      <c r="E19" s="2"/>
      <c r="F19" s="19">
        <f t="shared" si="5"/>
        <v>0</v>
      </c>
      <c r="G19" s="2"/>
      <c r="H19" s="2">
        <v>40509</v>
      </c>
      <c r="I19" s="2"/>
      <c r="J19" s="19">
        <f t="shared" si="6"/>
        <v>0.24045944261419286</v>
      </c>
      <c r="K19" s="2"/>
      <c r="L19" s="2">
        <f t="shared" si="7"/>
        <v>-40509</v>
      </c>
      <c r="M19" s="2"/>
      <c r="N19" s="19">
        <f t="shared" si="8"/>
        <v>-1</v>
      </c>
      <c r="O19" s="11"/>
      <c r="P19" s="2"/>
      <c r="Q19" s="2"/>
      <c r="R19" s="19">
        <f t="shared" si="9"/>
        <v>0</v>
      </c>
      <c r="S19" s="2"/>
      <c r="T19" s="2">
        <v>595452</v>
      </c>
      <c r="U19" s="2"/>
      <c r="V19" s="19">
        <f t="shared" si="10"/>
        <v>0.23999990326680104</v>
      </c>
      <c r="W19" s="2"/>
      <c r="X19" s="2">
        <f t="shared" si="11"/>
        <v>-595452</v>
      </c>
      <c r="Y19" s="2"/>
      <c r="Z19" s="19">
        <f t="shared" si="12"/>
        <v>-1</v>
      </c>
    </row>
    <row r="20" spans="1:26" s="24" customFormat="1" hidden="1" outlineLevel="1" x14ac:dyDescent="0.25">
      <c r="A20" s="44"/>
      <c r="B20" s="11" t="str">
        <f>CONCATENATE("          ", "5053", " - ", "PURCHASES @ COST-FOOD")</f>
        <v xml:space="preserve">          5053 - PURCHASES @ COST-FOOD</v>
      </c>
      <c r="C20" s="11"/>
      <c r="D20" s="2"/>
      <c r="E20" s="2"/>
      <c r="F20" s="19">
        <f t="shared" si="5"/>
        <v>0</v>
      </c>
      <c r="G20" s="2"/>
      <c r="H20" s="2"/>
      <c r="I20" s="2"/>
      <c r="J20" s="19">
        <f t="shared" si="6"/>
        <v>0</v>
      </c>
      <c r="K20" s="2"/>
      <c r="L20" s="2">
        <f t="shared" si="7"/>
        <v>0</v>
      </c>
      <c r="M20" s="2"/>
      <c r="N20" s="19">
        <f t="shared" si="8"/>
        <v>0</v>
      </c>
      <c r="O20" s="11"/>
      <c r="P20" s="2">
        <v>437174.54</v>
      </c>
      <c r="Q20" s="2"/>
      <c r="R20" s="19">
        <f t="shared" si="9"/>
        <v>0.21898359307625717</v>
      </c>
      <c r="S20" s="2"/>
      <c r="T20" s="2"/>
      <c r="U20" s="2"/>
      <c r="V20" s="19">
        <f t="shared" si="10"/>
        <v>0</v>
      </c>
      <c r="W20" s="2"/>
      <c r="X20" s="2">
        <f t="shared" si="11"/>
        <v>437174.54</v>
      </c>
      <c r="Y20" s="2"/>
      <c r="Z20" s="19">
        <f t="shared" si="12"/>
        <v>0</v>
      </c>
    </row>
    <row r="21" spans="1:26" s="24" customFormat="1" hidden="1" outlineLevel="1" x14ac:dyDescent="0.25">
      <c r="A21" s="44"/>
      <c r="B21" s="11" t="str">
        <f>CONCATENATE("          ", "5059", " - ", "PURCHASES @ COST-FOOD")</f>
        <v xml:space="preserve">          5059 - PURCHASES @ COST-FOOD</v>
      </c>
      <c r="C21" s="11"/>
      <c r="D21" s="2">
        <v>1843</v>
      </c>
      <c r="E21" s="2"/>
      <c r="F21" s="19">
        <f t="shared" si="5"/>
        <v>0</v>
      </c>
      <c r="G21" s="2"/>
      <c r="H21" s="2"/>
      <c r="I21" s="2"/>
      <c r="J21" s="19">
        <f t="shared" si="6"/>
        <v>0</v>
      </c>
      <c r="K21" s="2"/>
      <c r="L21" s="2">
        <f t="shared" si="7"/>
        <v>1843</v>
      </c>
      <c r="M21" s="2"/>
      <c r="N21" s="19">
        <f t="shared" si="8"/>
        <v>0</v>
      </c>
      <c r="O21" s="11"/>
      <c r="P21" s="2">
        <v>10708</v>
      </c>
      <c r="Q21" s="2"/>
      <c r="R21" s="19">
        <f t="shared" si="9"/>
        <v>5.3637073985611378E-3</v>
      </c>
      <c r="S21" s="2"/>
      <c r="T21" s="2"/>
      <c r="U21" s="2"/>
      <c r="V21" s="19">
        <f t="shared" si="10"/>
        <v>0</v>
      </c>
      <c r="W21" s="2"/>
      <c r="X21" s="2">
        <f t="shared" si="11"/>
        <v>10708</v>
      </c>
      <c r="Y21" s="2"/>
      <c r="Z21" s="19">
        <f t="shared" si="12"/>
        <v>0</v>
      </c>
    </row>
    <row r="22" spans="1:26" x14ac:dyDescent="0.25">
      <c r="A22" s="9"/>
      <c r="B22" s="10"/>
      <c r="C22" s="10"/>
      <c r="D22" s="3"/>
      <c r="E22" s="3"/>
      <c r="F22" s="8"/>
      <c r="G22" s="3"/>
      <c r="H22" s="3"/>
      <c r="I22" s="3"/>
      <c r="J22" s="8"/>
      <c r="K22" s="3"/>
      <c r="L22" s="3"/>
      <c r="M22" s="3"/>
      <c r="N22" s="8"/>
      <c r="O22" s="10"/>
      <c r="P22" s="3"/>
      <c r="Q22" s="3"/>
      <c r="R22" s="8"/>
      <c r="S22" s="3"/>
      <c r="T22" s="3"/>
      <c r="U22" s="3"/>
      <c r="V22" s="8"/>
      <c r="W22" s="3"/>
      <c r="X22" s="3"/>
      <c r="Y22" s="3"/>
      <c r="Z22" s="8"/>
    </row>
    <row r="23" spans="1:26" s="23" customFormat="1" x14ac:dyDescent="0.25">
      <c r="A23" s="10"/>
      <c r="B23" s="29" t="s">
        <v>6</v>
      </c>
      <c r="C23" s="29"/>
      <c r="D23" s="20">
        <f>D12-D18</f>
        <v>-1843</v>
      </c>
      <c r="E23" s="14"/>
      <c r="F23" s="22">
        <f>IF(D$12=0,0,D23/D$12)</f>
        <v>0</v>
      </c>
      <c r="G23" s="14"/>
      <c r="H23" s="20">
        <f>H12-H18</f>
        <v>127956</v>
      </c>
      <c r="I23" s="14"/>
      <c r="J23" s="22">
        <f>IF(H$12=0,0,H23/H$12)</f>
        <v>0.75954055738580717</v>
      </c>
      <c r="K23" s="16"/>
      <c r="L23" s="20">
        <f>+D23-H23</f>
        <v>-129799</v>
      </c>
      <c r="M23" s="16"/>
      <c r="N23" s="22">
        <f>IF(H23=0,0,L23/H23)</f>
        <v>-1.0144033886648536</v>
      </c>
      <c r="O23" s="28"/>
      <c r="P23" s="20">
        <f>P12-P18</f>
        <v>1548497.8</v>
      </c>
      <c r="Q23" s="14"/>
      <c r="R23" s="22">
        <f>IF(P$12=0,0,P23/P$12)</f>
        <v>0.77565269952518168</v>
      </c>
      <c r="S23" s="14"/>
      <c r="T23" s="20">
        <f>T12-T18</f>
        <v>1885599</v>
      </c>
      <c r="U23" s="14"/>
      <c r="V23" s="22">
        <f>IF(T$12=0,0,T23/T$12)</f>
        <v>0.7600000967331989</v>
      </c>
      <c r="W23" s="16"/>
      <c r="X23" s="20">
        <f>+P23-T23</f>
        <v>-337101.19999999995</v>
      </c>
      <c r="Y23" s="16"/>
      <c r="Z23" s="22">
        <f>IF(T23=0,0,X23/T23)</f>
        <v>-0.17877671763720704</v>
      </c>
    </row>
    <row r="24" spans="1:26" x14ac:dyDescent="0.25">
      <c r="A24" s="9"/>
      <c r="B24" s="10"/>
      <c r="C24" s="9"/>
      <c r="D24" s="1"/>
      <c r="E24" s="1"/>
      <c r="F24" s="5"/>
      <c r="G24" s="1"/>
      <c r="H24" s="1"/>
      <c r="I24" s="1"/>
      <c r="J24" s="5"/>
      <c r="K24" s="1"/>
      <c r="L24" s="1"/>
      <c r="M24" s="1"/>
      <c r="N24" s="5"/>
      <c r="O24" s="36"/>
      <c r="P24" s="1"/>
      <c r="Q24" s="1"/>
      <c r="R24" s="5"/>
      <c r="S24" s="1"/>
      <c r="T24" s="1"/>
      <c r="U24" s="1"/>
      <c r="V24" s="5"/>
      <c r="W24" s="1"/>
      <c r="X24" s="1"/>
      <c r="Y24" s="1"/>
      <c r="Z24" s="5"/>
    </row>
    <row r="25" spans="1:26" s="23" customFormat="1" x14ac:dyDescent="0.25">
      <c r="A25" s="10"/>
      <c r="B25" s="28" t="s">
        <v>9</v>
      </c>
      <c r="C25" s="10"/>
      <c r="D25" s="21">
        <f>SUM(OSRRefD22x_0)</f>
        <v>32578.700000000004</v>
      </c>
      <c r="E25" s="21"/>
      <c r="F25" s="30">
        <f t="shared" ref="F25:F36" si="13">IF(D$12=0,0,D25/D$12)</f>
        <v>0</v>
      </c>
      <c r="G25" s="21"/>
      <c r="H25" s="21">
        <f>SUM(OSRRefH22x_0)</f>
        <v>88823.796547352307</v>
      </c>
      <c r="I25" s="21"/>
      <c r="J25" s="30">
        <f t="shared" ref="J25:J36" si="14">IF(H$12=0,0,H25/H$12)</f>
        <v>0.52725371173449864</v>
      </c>
      <c r="K25" s="4"/>
      <c r="L25" s="21">
        <f t="shared" ref="L25:L36" si="15">+D25-H25</f>
        <v>-56245.096547352303</v>
      </c>
      <c r="M25" s="4"/>
      <c r="N25" s="30">
        <f t="shared" ref="N25:N36" si="16">IF(H25=0,0,L25/H25)</f>
        <v>-0.63322103685770537</v>
      </c>
      <c r="O25" s="10"/>
      <c r="P25" s="21">
        <f>SUM(OSRRefP22x_0)</f>
        <v>1188295.3</v>
      </c>
      <c r="Q25" s="21"/>
      <c r="R25" s="30">
        <f t="shared" ref="R25:R36" si="17">IF(P$12=0,0,P25/P$12)</f>
        <v>0.59522490589142951</v>
      </c>
      <c r="S25" s="21"/>
      <c r="T25" s="21">
        <f>SUM(OSRRefT22x_0)</f>
        <v>1131009.9310167553</v>
      </c>
      <c r="U25" s="21"/>
      <c r="V25" s="30">
        <f t="shared" ref="V25:V36" si="18">IF(T$12=0,0,T25/T$12)</f>
        <v>0.4558592028203996</v>
      </c>
      <c r="W25" s="4"/>
      <c r="X25" s="21">
        <f t="shared" ref="X25:X36" si="19">+P25-T25</f>
        <v>57285.368983244756</v>
      </c>
      <c r="Y25" s="4"/>
      <c r="Z25" s="30">
        <f t="shared" ref="Z25:Z36" si="20">IF(T25=0,0,X25/T25)</f>
        <v>5.0649748876870036E-2</v>
      </c>
    </row>
    <row r="26" spans="1:26" s="27" customFormat="1" outlineLevel="1" collapsed="1" x14ac:dyDescent="0.25">
      <c r="A26" s="25"/>
      <c r="B26" s="12" t="str">
        <f>CONCATENATE("     ","*Benefits                                         ")</f>
        <v xml:space="preserve">     *Benefits                                         </v>
      </c>
      <c r="C26" s="12"/>
      <c r="D26" s="1">
        <f>SUM(OSRRefD22_0x_0)</f>
        <v>19050.53</v>
      </c>
      <c r="E26" s="1"/>
      <c r="F26" s="5">
        <f t="shared" si="13"/>
        <v>0</v>
      </c>
      <c r="G26" s="1"/>
      <c r="H26" s="1">
        <f>SUM(OSRRefH22_0x_0)</f>
        <v>17729.828780275377</v>
      </c>
      <c r="I26" s="1"/>
      <c r="J26" s="5">
        <f t="shared" si="14"/>
        <v>0.10524339643412801</v>
      </c>
      <c r="K26" s="1"/>
      <c r="L26" s="1">
        <f t="shared" si="15"/>
        <v>1320.7012197246222</v>
      </c>
      <c r="M26" s="1"/>
      <c r="N26" s="5">
        <f t="shared" si="16"/>
        <v>7.4490353860264938E-2</v>
      </c>
      <c r="O26" s="12"/>
      <c r="P26" s="1">
        <f>SUM(OSRRefP22_0x_0)</f>
        <v>242024.94</v>
      </c>
      <c r="Q26" s="1"/>
      <c r="R26" s="5">
        <f t="shared" si="17"/>
        <v>0.12123187909173659</v>
      </c>
      <c r="S26" s="1"/>
      <c r="T26" s="1">
        <f>SUM(OSRRefT22_0x_0)</f>
        <v>208893.85773183222</v>
      </c>
      <c r="U26" s="1"/>
      <c r="V26" s="5">
        <f t="shared" si="18"/>
        <v>8.4195712918368956E-2</v>
      </c>
      <c r="W26" s="1"/>
      <c r="X26" s="1">
        <f t="shared" si="19"/>
        <v>33131.082268167782</v>
      </c>
      <c r="Y26" s="1"/>
      <c r="Z26" s="5">
        <f t="shared" si="20"/>
        <v>0.15860247222156171</v>
      </c>
    </row>
    <row r="27" spans="1:26" s="24" customFormat="1" hidden="1" outlineLevel="2" x14ac:dyDescent="0.25">
      <c r="A27" s="26"/>
      <c r="B27" s="11" t="str">
        <f>CONCATENATE("          ", "6111", " - ", "F.I.C.A.")</f>
        <v xml:space="preserve">          6111 - F.I.C.A.</v>
      </c>
      <c r="C27" s="11"/>
      <c r="D27" s="7">
        <v>1564.52</v>
      </c>
      <c r="E27" s="2"/>
      <c r="F27" s="6">
        <f t="shared" si="13"/>
        <v>0</v>
      </c>
      <c r="G27" s="2"/>
      <c r="H27" s="7">
        <v>3127.2797578569198</v>
      </c>
      <c r="I27" s="2"/>
      <c r="J27" s="6">
        <f t="shared" si="14"/>
        <v>1.856337968039011E-2</v>
      </c>
      <c r="K27" s="2"/>
      <c r="L27" s="7">
        <f t="shared" si="15"/>
        <v>-1562.7597578569198</v>
      </c>
      <c r="M27" s="2"/>
      <c r="N27" s="6">
        <f t="shared" si="16"/>
        <v>-0.49971856656913122</v>
      </c>
      <c r="O27" s="11"/>
      <c r="P27" s="7">
        <v>40147.769999999997</v>
      </c>
      <c r="Q27" s="2"/>
      <c r="R27" s="6">
        <f t="shared" si="17"/>
        <v>2.0110281190206469E-2</v>
      </c>
      <c r="S27" s="2"/>
      <c r="T27" s="7">
        <v>40496.79563450304</v>
      </c>
      <c r="U27" s="2"/>
      <c r="V27" s="6">
        <f t="shared" si="18"/>
        <v>1.6322435788100702E-2</v>
      </c>
      <c r="W27" s="2"/>
      <c r="X27" s="7">
        <f t="shared" si="19"/>
        <v>-349.02563450304297</v>
      </c>
      <c r="Y27" s="2"/>
      <c r="Z27" s="6">
        <f t="shared" si="20"/>
        <v>-8.6185988060170152E-3</v>
      </c>
    </row>
    <row r="28" spans="1:26" s="24" customFormat="1" hidden="1" outlineLevel="2" x14ac:dyDescent="0.25">
      <c r="A28" s="26"/>
      <c r="B28" s="11" t="str">
        <f>CONCATENATE("          ", "6112", " - ", "COMPENSATION INSURANCE")</f>
        <v xml:space="preserve">          6112 - COMPENSATION INSURANCE</v>
      </c>
      <c r="C28" s="11"/>
      <c r="D28" s="7">
        <v>1109.03</v>
      </c>
      <c r="E28" s="2"/>
      <c r="F28" s="6">
        <f t="shared" si="13"/>
        <v>0</v>
      </c>
      <c r="G28" s="2"/>
      <c r="H28" s="7">
        <v>1696.3395803446201</v>
      </c>
      <c r="I28" s="2"/>
      <c r="J28" s="6">
        <f t="shared" si="14"/>
        <v>1.006938877716214E-2</v>
      </c>
      <c r="K28" s="2"/>
      <c r="L28" s="7">
        <f t="shared" si="15"/>
        <v>-587.30958034462014</v>
      </c>
      <c r="M28" s="2"/>
      <c r="N28" s="6">
        <f t="shared" si="16"/>
        <v>-0.34622170416214965</v>
      </c>
      <c r="O28" s="11"/>
      <c r="P28" s="7">
        <v>24274.3</v>
      </c>
      <c r="Q28" s="2"/>
      <c r="R28" s="6">
        <f t="shared" si="17"/>
        <v>1.2159156005313095E-2</v>
      </c>
      <c r="S28" s="2"/>
      <c r="T28" s="7">
        <v>22611.148036135419</v>
      </c>
      <c r="U28" s="2"/>
      <c r="V28" s="6">
        <f t="shared" si="18"/>
        <v>9.1135361732328033E-3</v>
      </c>
      <c r="W28" s="2"/>
      <c r="X28" s="7">
        <f t="shared" si="19"/>
        <v>1663.1519638645805</v>
      </c>
      <c r="Y28" s="2"/>
      <c r="Z28" s="6">
        <f t="shared" si="20"/>
        <v>7.3554512190476012E-2</v>
      </c>
    </row>
    <row r="29" spans="1:26" s="24" customFormat="1" hidden="1" outlineLevel="2" x14ac:dyDescent="0.25">
      <c r="A29" s="26"/>
      <c r="B29" s="11" t="str">
        <f>CONCATENATE("          ", "6113", " - ", "GROUP INSURANCE")</f>
        <v xml:space="preserve">          6113 - GROUP INSURANCE</v>
      </c>
      <c r="C29" s="11"/>
      <c r="D29" s="7">
        <v>12616.96</v>
      </c>
      <c r="E29" s="2"/>
      <c r="F29" s="6">
        <f t="shared" si="13"/>
        <v>0</v>
      </c>
      <c r="G29" s="2"/>
      <c r="H29" s="7">
        <v>10500.692307692299</v>
      </c>
      <c r="I29" s="2"/>
      <c r="J29" s="6">
        <f t="shared" si="14"/>
        <v>6.2331595926111059E-2</v>
      </c>
      <c r="K29" s="2"/>
      <c r="L29" s="7">
        <f t="shared" si="15"/>
        <v>2116.2676923076997</v>
      </c>
      <c r="M29" s="2"/>
      <c r="N29" s="6">
        <f t="shared" si="16"/>
        <v>0.20153601594034179</v>
      </c>
      <c r="O29" s="11"/>
      <c r="P29" s="7">
        <v>155049.03</v>
      </c>
      <c r="Q29" s="2"/>
      <c r="R29" s="6">
        <f t="shared" si="17"/>
        <v>7.766507558374372E-2</v>
      </c>
      <c r="S29" s="2"/>
      <c r="T29" s="7">
        <v>115507.61538461529</v>
      </c>
      <c r="U29" s="2"/>
      <c r="V29" s="6">
        <f t="shared" si="18"/>
        <v>4.6555921415809387E-2</v>
      </c>
      <c r="W29" s="2"/>
      <c r="X29" s="7">
        <f t="shared" si="19"/>
        <v>39541.41461538471</v>
      </c>
      <c r="Y29" s="2"/>
      <c r="Z29" s="6">
        <f t="shared" si="20"/>
        <v>0.34232733905656682</v>
      </c>
    </row>
    <row r="30" spans="1:26" s="24" customFormat="1" hidden="1" outlineLevel="2" x14ac:dyDescent="0.25">
      <c r="A30" s="26"/>
      <c r="B30" s="11" t="str">
        <f>CONCATENATE("          ", "6114", " - ", "STATE UNEMPLOYMENT INSURANCE")</f>
        <v xml:space="preserve">          6114 - STATE UNEMPLOYMENT INSURANCE</v>
      </c>
      <c r="C30" s="11"/>
      <c r="D30" s="7">
        <v>79.7</v>
      </c>
      <c r="E30" s="2"/>
      <c r="F30" s="6">
        <f t="shared" si="13"/>
        <v>0</v>
      </c>
      <c r="G30" s="2"/>
      <c r="H30" s="7">
        <v>113.67223992</v>
      </c>
      <c r="I30" s="2"/>
      <c r="J30" s="6">
        <f t="shared" si="14"/>
        <v>6.7475285620158493E-4</v>
      </c>
      <c r="K30" s="2"/>
      <c r="L30" s="7">
        <f t="shared" si="15"/>
        <v>-33.972239919999993</v>
      </c>
      <c r="M30" s="2"/>
      <c r="N30" s="6">
        <f t="shared" si="16"/>
        <v>-0.29886135738953418</v>
      </c>
      <c r="O30" s="11"/>
      <c r="P30" s="7">
        <v>1896.74</v>
      </c>
      <c r="Q30" s="2"/>
      <c r="R30" s="6">
        <f t="shared" si="17"/>
        <v>9.5008950048065485E-4</v>
      </c>
      <c r="S30" s="2"/>
      <c r="T30" s="7">
        <v>1515.1800230399999</v>
      </c>
      <c r="U30" s="2"/>
      <c r="V30" s="6">
        <f t="shared" si="18"/>
        <v>6.1070087758776422E-4</v>
      </c>
      <c r="W30" s="2"/>
      <c r="X30" s="7">
        <f t="shared" si="19"/>
        <v>381.55997696000009</v>
      </c>
      <c r="Y30" s="2"/>
      <c r="Z30" s="6">
        <f t="shared" si="20"/>
        <v>0.25182484665713356</v>
      </c>
    </row>
    <row r="31" spans="1:26" s="24" customFormat="1" hidden="1" outlineLevel="2" x14ac:dyDescent="0.25">
      <c r="A31" s="26"/>
      <c r="B31" s="11" t="str">
        <f>CONCATENATE("          ", "6115", " - ", "P.E.R.S.")</f>
        <v xml:space="preserve">          6115 - P.E.R.S.</v>
      </c>
      <c r="C31" s="11"/>
      <c r="D31" s="7">
        <v>449.45</v>
      </c>
      <c r="E31" s="2"/>
      <c r="F31" s="6">
        <f t="shared" si="13"/>
        <v>0</v>
      </c>
      <c r="G31" s="2"/>
      <c r="H31" s="7">
        <v>403.720384615385</v>
      </c>
      <c r="I31" s="2"/>
      <c r="J31" s="6">
        <f t="shared" si="14"/>
        <v>2.3964644562098061E-3</v>
      </c>
      <c r="K31" s="2"/>
      <c r="L31" s="7">
        <f t="shared" si="15"/>
        <v>45.729615384614988</v>
      </c>
      <c r="M31" s="2"/>
      <c r="N31" s="6">
        <f t="shared" si="16"/>
        <v>0.11327051376952522</v>
      </c>
      <c r="O31" s="11"/>
      <c r="P31" s="7">
        <v>12714.19</v>
      </c>
      <c r="Q31" s="2"/>
      <c r="R31" s="6">
        <f t="shared" si="17"/>
        <v>6.3686211215644413E-3</v>
      </c>
      <c r="S31" s="2"/>
      <c r="T31" s="7">
        <v>4844.6446153846191</v>
      </c>
      <c r="U31" s="2"/>
      <c r="V31" s="6">
        <f t="shared" si="18"/>
        <v>1.9526582143553756E-3</v>
      </c>
      <c r="W31" s="2"/>
      <c r="X31" s="7">
        <f t="shared" si="19"/>
        <v>7869.5453846153814</v>
      </c>
      <c r="Y31" s="2"/>
      <c r="Z31" s="6">
        <f t="shared" si="20"/>
        <v>1.6243803228878562</v>
      </c>
    </row>
    <row r="32" spans="1:26" s="24" customFormat="1" hidden="1" outlineLevel="2" x14ac:dyDescent="0.25">
      <c r="A32" s="26"/>
      <c r="B32" s="11" t="str">
        <f>CONCATENATE("          ", "6116", " - ", "EDUCATIONAL BENEFITS")</f>
        <v xml:space="preserve">          6116 - EDUCATIONAL BENEFITS</v>
      </c>
      <c r="C32" s="11"/>
      <c r="D32" s="7"/>
      <c r="E32" s="2"/>
      <c r="F32" s="6">
        <f t="shared" si="13"/>
        <v>0</v>
      </c>
      <c r="G32" s="2"/>
      <c r="H32" s="7">
        <v>0</v>
      </c>
      <c r="I32" s="2"/>
      <c r="J32" s="6">
        <f t="shared" si="14"/>
        <v>0</v>
      </c>
      <c r="K32" s="2"/>
      <c r="L32" s="7">
        <f t="shared" si="15"/>
        <v>0</v>
      </c>
      <c r="M32" s="2"/>
      <c r="N32" s="6">
        <f t="shared" si="16"/>
        <v>0</v>
      </c>
      <c r="O32" s="11"/>
      <c r="P32" s="7"/>
      <c r="Q32" s="2"/>
      <c r="R32" s="6">
        <f t="shared" si="17"/>
        <v>0</v>
      </c>
      <c r="S32" s="2"/>
      <c r="T32" s="7">
        <v>0</v>
      </c>
      <c r="U32" s="2"/>
      <c r="V32" s="6">
        <f t="shared" si="18"/>
        <v>0</v>
      </c>
      <c r="W32" s="2"/>
      <c r="X32" s="7">
        <f t="shared" si="19"/>
        <v>0</v>
      </c>
      <c r="Y32" s="2"/>
      <c r="Z32" s="6">
        <f t="shared" si="20"/>
        <v>0</v>
      </c>
    </row>
    <row r="33" spans="1:26" s="24" customFormat="1" hidden="1" outlineLevel="2" x14ac:dyDescent="0.25">
      <c r="A33" s="26"/>
      <c r="B33" s="11" t="str">
        <f>CONCATENATE("          ", "6117", " - ", "RETIREMENT STAFF HOURLY")</f>
        <v xml:space="preserve">          6117 - RETIREMENT STAFF HOURLY</v>
      </c>
      <c r="C33" s="11"/>
      <c r="D33" s="7">
        <v>526.23</v>
      </c>
      <c r="E33" s="2"/>
      <c r="F33" s="6">
        <f t="shared" si="13"/>
        <v>0</v>
      </c>
      <c r="G33" s="2"/>
      <c r="H33" s="7"/>
      <c r="I33" s="2"/>
      <c r="J33" s="6">
        <f t="shared" si="14"/>
        <v>0</v>
      </c>
      <c r="K33" s="2"/>
      <c r="L33" s="7">
        <f t="shared" si="15"/>
        <v>526.23</v>
      </c>
      <c r="M33" s="2"/>
      <c r="N33" s="6">
        <f t="shared" si="16"/>
        <v>0</v>
      </c>
      <c r="O33" s="11"/>
      <c r="P33" s="7">
        <v>5901.13</v>
      </c>
      <c r="Q33" s="2"/>
      <c r="R33" s="6">
        <f t="shared" si="17"/>
        <v>2.9559147031071242E-3</v>
      </c>
      <c r="S33" s="2"/>
      <c r="T33" s="7"/>
      <c r="U33" s="2"/>
      <c r="V33" s="6">
        <f t="shared" si="18"/>
        <v>0</v>
      </c>
      <c r="W33" s="2"/>
      <c r="X33" s="7">
        <f t="shared" si="19"/>
        <v>5901.13</v>
      </c>
      <c r="Y33" s="2"/>
      <c r="Z33" s="6">
        <f t="shared" si="20"/>
        <v>0</v>
      </c>
    </row>
    <row r="34" spans="1:26" s="24" customFormat="1" hidden="1" outlineLevel="2" x14ac:dyDescent="0.25">
      <c r="A34" s="26"/>
      <c r="B34" s="11" t="str">
        <f>CONCATENATE("          ", "6118", " - ", "VACATION")</f>
        <v xml:space="preserve">          6118 - VACATION</v>
      </c>
      <c r="C34" s="11"/>
      <c r="D34" s="7">
        <v>1199.6199999999999</v>
      </c>
      <c r="E34" s="2"/>
      <c r="F34" s="6">
        <f t="shared" si="13"/>
        <v>0</v>
      </c>
      <c r="G34" s="2"/>
      <c r="H34" s="7">
        <v>623.46597230769203</v>
      </c>
      <c r="I34" s="2"/>
      <c r="J34" s="6">
        <f t="shared" si="14"/>
        <v>3.7008635165030838E-3</v>
      </c>
      <c r="K34" s="2"/>
      <c r="L34" s="7">
        <f t="shared" si="15"/>
        <v>576.15402769230786</v>
      </c>
      <c r="M34" s="2"/>
      <c r="N34" s="6">
        <f t="shared" si="16"/>
        <v>0.92411463220636714</v>
      </c>
      <c r="O34" s="11"/>
      <c r="P34" s="7">
        <v>23355.72</v>
      </c>
      <c r="Q34" s="2"/>
      <c r="R34" s="6">
        <f t="shared" si="17"/>
        <v>1.169903326136742E-2</v>
      </c>
      <c r="S34" s="2"/>
      <c r="T34" s="7">
        <v>6998.9583876923043</v>
      </c>
      <c r="U34" s="2"/>
      <c r="V34" s="6">
        <f t="shared" si="18"/>
        <v>2.8209651424707933E-3</v>
      </c>
      <c r="W34" s="2"/>
      <c r="X34" s="7">
        <f t="shared" si="19"/>
        <v>16356.761612307697</v>
      </c>
      <c r="Y34" s="2"/>
      <c r="Z34" s="6">
        <f t="shared" si="20"/>
        <v>2.3370279842027815</v>
      </c>
    </row>
    <row r="35" spans="1:26" s="24" customFormat="1" hidden="1" outlineLevel="2" x14ac:dyDescent="0.25">
      <c r="A35" s="26"/>
      <c r="B35" s="11" t="str">
        <f>CONCATENATE("          ", "6119", " - ", "SICK LEAVE")</f>
        <v xml:space="preserve">          6119 - SICK LEAVE</v>
      </c>
      <c r="C35" s="11"/>
      <c r="D35" s="7">
        <v>946.52</v>
      </c>
      <c r="E35" s="2"/>
      <c r="F35" s="6">
        <f t="shared" si="13"/>
        <v>0</v>
      </c>
      <c r="G35" s="2"/>
      <c r="H35" s="7">
        <v>1264.65853753846</v>
      </c>
      <c r="I35" s="2"/>
      <c r="J35" s="6">
        <f t="shared" si="14"/>
        <v>7.5069512215502326E-3</v>
      </c>
      <c r="K35" s="2"/>
      <c r="L35" s="7">
        <f t="shared" si="15"/>
        <v>-318.13853753846001</v>
      </c>
      <c r="M35" s="2"/>
      <c r="N35" s="6">
        <f t="shared" si="16"/>
        <v>-0.25156081906321293</v>
      </c>
      <c r="O35" s="11"/>
      <c r="P35" s="7">
        <v>-33482.630000000005</v>
      </c>
      <c r="Q35" s="2"/>
      <c r="R35" s="6">
        <f t="shared" si="17"/>
        <v>-1.6771668869470034E-2</v>
      </c>
      <c r="S35" s="2"/>
      <c r="T35" s="7">
        <v>16919.515650461537</v>
      </c>
      <c r="U35" s="2"/>
      <c r="V35" s="6">
        <f t="shared" si="18"/>
        <v>6.8194953068121279E-3</v>
      </c>
      <c r="W35" s="2"/>
      <c r="X35" s="7">
        <f t="shared" si="19"/>
        <v>-50402.145650461542</v>
      </c>
      <c r="Y35" s="2"/>
      <c r="Z35" s="6">
        <f t="shared" si="20"/>
        <v>-2.978935490336371</v>
      </c>
    </row>
    <row r="36" spans="1:26" s="24" customFormat="1" hidden="1" outlineLevel="2" x14ac:dyDescent="0.25">
      <c r="A36" s="26"/>
      <c r="B36" s="11" t="str">
        <f>CONCATENATE("          ", "6156", " - ", "EMPLOYEE MEALS")</f>
        <v xml:space="preserve">          6156 - EMPLOYEE MEALS</v>
      </c>
      <c r="C36" s="11"/>
      <c r="D36" s="7">
        <v>558.5</v>
      </c>
      <c r="E36" s="2"/>
      <c r="F36" s="6">
        <f t="shared" si="13"/>
        <v>0</v>
      </c>
      <c r="G36" s="2"/>
      <c r="H36" s="7"/>
      <c r="I36" s="2"/>
      <c r="J36" s="6">
        <f t="shared" si="14"/>
        <v>0</v>
      </c>
      <c r="K36" s="2"/>
      <c r="L36" s="7">
        <f t="shared" si="15"/>
        <v>558.5</v>
      </c>
      <c r="M36" s="2"/>
      <c r="N36" s="6">
        <f t="shared" si="16"/>
        <v>0</v>
      </c>
      <c r="O36" s="11"/>
      <c r="P36" s="7">
        <v>12168.69</v>
      </c>
      <c r="Q36" s="2"/>
      <c r="R36" s="6">
        <f t="shared" si="17"/>
        <v>6.095376595423696E-3</v>
      </c>
      <c r="S36" s="2"/>
      <c r="T36" s="7"/>
      <c r="U36" s="2"/>
      <c r="V36" s="6">
        <f t="shared" si="18"/>
        <v>0</v>
      </c>
      <c r="W36" s="2"/>
      <c r="X36" s="7">
        <f t="shared" si="19"/>
        <v>12168.69</v>
      </c>
      <c r="Y36" s="2"/>
      <c r="Z36" s="6">
        <f t="shared" si="20"/>
        <v>0</v>
      </c>
    </row>
    <row r="37" spans="1:26" s="27" customFormat="1" outlineLevel="1" collapsed="1" x14ac:dyDescent="0.25">
      <c r="A37" s="25"/>
      <c r="B37" s="12" t="str">
        <f>CONCATENATE("     ","*Payroll                                          ")</f>
        <v xml:space="preserve">     *Payroll                                          </v>
      </c>
      <c r="C37" s="12"/>
      <c r="D37" s="1">
        <f>SUM(OSRRefD22_1x_0)</f>
        <v>12602.380000000001</v>
      </c>
      <c r="E37" s="1"/>
      <c r="F37" s="5">
        <f t="shared" ref="F37:F47" si="21">IF(D$12=0,0,D37/D$12)</f>
        <v>0</v>
      </c>
      <c r="G37" s="1"/>
      <c r="H37" s="1">
        <f>SUM(OSRRefH22_1x_0)</f>
        <v>41831.967767076916</v>
      </c>
      <c r="I37" s="1"/>
      <c r="J37" s="5">
        <f t="shared" ref="J37:J47" si="22">IF(H$12=0,0,H37/H$12)</f>
        <v>0.24831251457024853</v>
      </c>
      <c r="K37" s="1"/>
      <c r="L37" s="1">
        <f t="shared" ref="L37:L47" si="23">+D37-H37</f>
        <v>-29229.587767076915</v>
      </c>
      <c r="M37" s="1"/>
      <c r="N37" s="5">
        <f t="shared" ref="N37:N47" si="24">IF(H37=0,0,L37/H37)</f>
        <v>-0.69873805434707581</v>
      </c>
      <c r="O37" s="12"/>
      <c r="P37" s="1">
        <f>SUM(OSRRefP22_1x_0)</f>
        <v>659306.61</v>
      </c>
      <c r="Q37" s="1"/>
      <c r="R37" s="5">
        <f t="shared" ref="R37:R47" si="25">IF(P$12=0,0,P37/P$12)</f>
        <v>0.33025100317307271</v>
      </c>
      <c r="S37" s="1"/>
      <c r="T37" s="1">
        <f>SUM(OSRRefT22_1x_0)</f>
        <v>558843.07328492298</v>
      </c>
      <c r="U37" s="1"/>
      <c r="V37" s="5">
        <f t="shared" ref="V37:V47" si="26">IF(T$12=0,0,T37/T$12)</f>
        <v>0.2252444924690879</v>
      </c>
      <c r="W37" s="1"/>
      <c r="X37" s="1">
        <f t="shared" ref="X37:X47" si="27">+P37-T37</f>
        <v>100463.536715077</v>
      </c>
      <c r="Y37" s="1"/>
      <c r="Z37" s="5">
        <f t="shared" ref="Z37:Z47" si="28">IF(T37=0,0,X37/T37)</f>
        <v>0.17977056801392299</v>
      </c>
    </row>
    <row r="38" spans="1:26" s="24" customFormat="1" hidden="1" outlineLevel="2" x14ac:dyDescent="0.25">
      <c r="A38" s="26"/>
      <c r="B38" s="11" t="str">
        <f>CONCATENATE("          ", "6001", " - ", "ADMINISTRATIVE SALARIES")</f>
        <v xml:space="preserve">          6001 - ADMINISTRATIVE SALARIES</v>
      </c>
      <c r="C38" s="11"/>
      <c r="D38" s="7"/>
      <c r="E38" s="2"/>
      <c r="F38" s="6">
        <f t="shared" si="21"/>
        <v>0</v>
      </c>
      <c r="G38" s="2"/>
      <c r="H38" s="7">
        <v>0</v>
      </c>
      <c r="I38" s="2"/>
      <c r="J38" s="6">
        <f t="shared" si="22"/>
        <v>0</v>
      </c>
      <c r="K38" s="2"/>
      <c r="L38" s="7">
        <f t="shared" si="23"/>
        <v>0</v>
      </c>
      <c r="M38" s="2"/>
      <c r="N38" s="6">
        <f t="shared" si="24"/>
        <v>0</v>
      </c>
      <c r="O38" s="11"/>
      <c r="P38" s="7"/>
      <c r="Q38" s="2"/>
      <c r="R38" s="6">
        <f t="shared" si="25"/>
        <v>0</v>
      </c>
      <c r="S38" s="2"/>
      <c r="T38" s="7">
        <v>0</v>
      </c>
      <c r="U38" s="2"/>
      <c r="V38" s="6">
        <f t="shared" si="26"/>
        <v>0</v>
      </c>
      <c r="W38" s="2"/>
      <c r="X38" s="7">
        <f t="shared" si="27"/>
        <v>0</v>
      </c>
      <c r="Y38" s="2"/>
      <c r="Z38" s="6">
        <f t="shared" si="28"/>
        <v>0</v>
      </c>
    </row>
    <row r="39" spans="1:26" s="24" customFormat="1" hidden="1" outlineLevel="2" x14ac:dyDescent="0.25">
      <c r="A39" s="26"/>
      <c r="B39" s="11" t="str">
        <f>CONCATENATE("          ", "6002", " - ", "STAFF SALARIES")</f>
        <v xml:space="preserve">          6002 - STAFF SALARIES</v>
      </c>
      <c r="C39" s="11"/>
      <c r="D39" s="7">
        <v>2858.26</v>
      </c>
      <c r="E39" s="2"/>
      <c r="F39" s="6">
        <f t="shared" si="21"/>
        <v>0</v>
      </c>
      <c r="G39" s="2"/>
      <c r="H39" s="7">
        <v>4459.7019230769201</v>
      </c>
      <c r="I39" s="2"/>
      <c r="J39" s="6">
        <f t="shared" si="22"/>
        <v>2.647257248138735E-2</v>
      </c>
      <c r="K39" s="2"/>
      <c r="L39" s="7">
        <f t="shared" si="23"/>
        <v>-1601.4419230769199</v>
      </c>
      <c r="M39" s="2"/>
      <c r="N39" s="6">
        <f t="shared" si="24"/>
        <v>-0.35909169507275579</v>
      </c>
      <c r="O39" s="11"/>
      <c r="P39" s="7">
        <v>99534.75</v>
      </c>
      <c r="Q39" s="2"/>
      <c r="R39" s="6">
        <f t="shared" si="25"/>
        <v>4.9857608796127495E-2</v>
      </c>
      <c r="S39" s="2"/>
      <c r="T39" s="7">
        <v>53516.423076923042</v>
      </c>
      <c r="U39" s="2"/>
      <c r="V39" s="6">
        <f t="shared" si="26"/>
        <v>2.1570061670204699E-2</v>
      </c>
      <c r="W39" s="2"/>
      <c r="X39" s="7">
        <f t="shared" si="27"/>
        <v>46018.326923076958</v>
      </c>
      <c r="Y39" s="2"/>
      <c r="Z39" s="6">
        <f t="shared" si="28"/>
        <v>0.85989167954912593</v>
      </c>
    </row>
    <row r="40" spans="1:26" s="24" customFormat="1" hidden="1" outlineLevel="2" x14ac:dyDescent="0.25">
      <c r="A40" s="26"/>
      <c r="B40" s="11" t="str">
        <f>CONCATENATE("          ", "6003", " - ", "STAFF HOURLY-9 MONTH")</f>
        <v xml:space="preserve">          6003 - STAFF HOURLY-9 MONTH</v>
      </c>
      <c r="C40" s="11"/>
      <c r="D40" s="7"/>
      <c r="E40" s="2"/>
      <c r="F40" s="6">
        <f t="shared" si="21"/>
        <v>0</v>
      </c>
      <c r="G40" s="2"/>
      <c r="H40" s="7">
        <v>0</v>
      </c>
      <c r="I40" s="2"/>
      <c r="J40" s="6">
        <f t="shared" si="22"/>
        <v>0</v>
      </c>
      <c r="K40" s="2"/>
      <c r="L40" s="7">
        <f t="shared" si="23"/>
        <v>0</v>
      </c>
      <c r="M40" s="2"/>
      <c r="N40" s="6">
        <f t="shared" si="24"/>
        <v>0</v>
      </c>
      <c r="O40" s="11"/>
      <c r="P40" s="7"/>
      <c r="Q40" s="2"/>
      <c r="R40" s="6">
        <f t="shared" si="25"/>
        <v>0</v>
      </c>
      <c r="S40" s="2"/>
      <c r="T40" s="7">
        <v>0</v>
      </c>
      <c r="U40" s="2"/>
      <c r="V40" s="6">
        <f t="shared" si="26"/>
        <v>0</v>
      </c>
      <c r="W40" s="2"/>
      <c r="X40" s="7">
        <f t="shared" si="27"/>
        <v>0</v>
      </c>
      <c r="Y40" s="2"/>
      <c r="Z40" s="6">
        <f t="shared" si="28"/>
        <v>0</v>
      </c>
    </row>
    <row r="41" spans="1:26" s="24" customFormat="1" hidden="1" outlineLevel="2" x14ac:dyDescent="0.25">
      <c r="A41" s="26"/>
      <c r="B41" s="11" t="str">
        <f>CONCATENATE("          ", "6004", " - ", "STAFF HOURLY")</f>
        <v xml:space="preserve">          6004 - STAFF HOURLY</v>
      </c>
      <c r="C41" s="11"/>
      <c r="D41" s="7">
        <v>9744.1200000000008</v>
      </c>
      <c r="E41" s="2"/>
      <c r="F41" s="6">
        <f t="shared" si="21"/>
        <v>0</v>
      </c>
      <c r="G41" s="2"/>
      <c r="H41" s="7">
        <v>15122.50944</v>
      </c>
      <c r="I41" s="2"/>
      <c r="J41" s="6">
        <f t="shared" si="22"/>
        <v>8.9766476360074787E-2</v>
      </c>
      <c r="K41" s="2"/>
      <c r="L41" s="7">
        <f t="shared" si="23"/>
        <v>-5378.389439999999</v>
      </c>
      <c r="M41" s="2"/>
      <c r="N41" s="6">
        <f t="shared" si="24"/>
        <v>-0.35565455993525896</v>
      </c>
      <c r="O41" s="11"/>
      <c r="P41" s="7">
        <v>233088.71</v>
      </c>
      <c r="Q41" s="2"/>
      <c r="R41" s="6">
        <f t="shared" si="25"/>
        <v>0.11675566290138881</v>
      </c>
      <c r="S41" s="2"/>
      <c r="T41" s="7">
        <v>166347.60384000003</v>
      </c>
      <c r="U41" s="2"/>
      <c r="V41" s="6">
        <f t="shared" si="26"/>
        <v>6.7047232741285864E-2</v>
      </c>
      <c r="W41" s="2"/>
      <c r="X41" s="7">
        <f t="shared" si="27"/>
        <v>66741.106159999967</v>
      </c>
      <c r="Y41" s="2"/>
      <c r="Z41" s="6">
        <f t="shared" si="28"/>
        <v>0.40121471316289181</v>
      </c>
    </row>
    <row r="42" spans="1:26" s="24" customFormat="1" hidden="1" outlineLevel="2" x14ac:dyDescent="0.25">
      <c r="A42" s="26"/>
      <c r="B42" s="11" t="str">
        <f>CONCATENATE("          ", "6005", " - ", "TEMPORARY WAGES-HOURLY")</f>
        <v xml:space="preserve">          6005 - TEMPORARY WAGES-HOURLY</v>
      </c>
      <c r="C42" s="11"/>
      <c r="D42" s="7"/>
      <c r="E42" s="2"/>
      <c r="F42" s="6">
        <f t="shared" si="21"/>
        <v>0</v>
      </c>
      <c r="G42" s="2"/>
      <c r="H42" s="7">
        <v>2770.9439040000002</v>
      </c>
      <c r="I42" s="2"/>
      <c r="J42" s="6">
        <f t="shared" si="22"/>
        <v>1.6448187481079159E-2</v>
      </c>
      <c r="K42" s="2"/>
      <c r="L42" s="7">
        <f t="shared" si="23"/>
        <v>-2770.9439040000002</v>
      </c>
      <c r="M42" s="2"/>
      <c r="N42" s="6">
        <f t="shared" si="24"/>
        <v>-1</v>
      </c>
      <c r="O42" s="11"/>
      <c r="P42" s="7">
        <v>107403.49</v>
      </c>
      <c r="Q42" s="2"/>
      <c r="R42" s="6">
        <f t="shared" si="25"/>
        <v>5.3799112247318565E-2</v>
      </c>
      <c r="S42" s="2"/>
      <c r="T42" s="7">
        <v>47106.046367999996</v>
      </c>
      <c r="U42" s="2"/>
      <c r="V42" s="6">
        <f t="shared" si="26"/>
        <v>1.8986327313706971E-2</v>
      </c>
      <c r="W42" s="2"/>
      <c r="X42" s="7">
        <f t="shared" si="27"/>
        <v>60297.44363200001</v>
      </c>
      <c r="Y42" s="2"/>
      <c r="Z42" s="6">
        <f t="shared" si="28"/>
        <v>1.280036179664638</v>
      </c>
    </row>
    <row r="43" spans="1:26" s="24" customFormat="1" hidden="1" outlineLevel="2" x14ac:dyDescent="0.25">
      <c r="A43" s="26"/>
      <c r="B43" s="11" t="str">
        <f>CONCATENATE("          ", "6006", " - ", "TEMPORARY PART TIME")</f>
        <v xml:space="preserve">          6006 - TEMPORARY PART TIME</v>
      </c>
      <c r="C43" s="11"/>
      <c r="D43" s="7"/>
      <c r="E43" s="2"/>
      <c r="F43" s="6">
        <f t="shared" si="21"/>
        <v>0</v>
      </c>
      <c r="G43" s="2"/>
      <c r="H43" s="7">
        <v>0</v>
      </c>
      <c r="I43" s="2"/>
      <c r="J43" s="6">
        <f t="shared" si="22"/>
        <v>0</v>
      </c>
      <c r="K43" s="2"/>
      <c r="L43" s="7">
        <f t="shared" si="23"/>
        <v>0</v>
      </c>
      <c r="M43" s="2"/>
      <c r="N43" s="6">
        <f t="shared" si="24"/>
        <v>0</v>
      </c>
      <c r="O43" s="11"/>
      <c r="P43" s="7">
        <v>10378.219999999999</v>
      </c>
      <c r="Q43" s="2"/>
      <c r="R43" s="6">
        <f t="shared" si="25"/>
        <v>5.1985184346185253E-3</v>
      </c>
      <c r="S43" s="2"/>
      <c r="T43" s="7">
        <v>0</v>
      </c>
      <c r="U43" s="2"/>
      <c r="V43" s="6">
        <f t="shared" si="26"/>
        <v>0</v>
      </c>
      <c r="W43" s="2"/>
      <c r="X43" s="7">
        <f t="shared" si="27"/>
        <v>10378.219999999999</v>
      </c>
      <c r="Y43" s="2"/>
      <c r="Z43" s="6">
        <f t="shared" si="28"/>
        <v>0</v>
      </c>
    </row>
    <row r="44" spans="1:26" s="24" customFormat="1" hidden="1" outlineLevel="2" x14ac:dyDescent="0.25">
      <c r="A44" s="26"/>
      <c r="B44" s="11" t="str">
        <f>CONCATENATE("          ", "6007", " - ", "STUDENT HOURLY")</f>
        <v xml:space="preserve">          6007 - STUDENT HOURLY</v>
      </c>
      <c r="C44" s="11"/>
      <c r="D44" s="7"/>
      <c r="E44" s="2"/>
      <c r="F44" s="6">
        <f t="shared" si="21"/>
        <v>0</v>
      </c>
      <c r="G44" s="2"/>
      <c r="H44" s="7">
        <v>19478.8125</v>
      </c>
      <c r="I44" s="2"/>
      <c r="J44" s="6">
        <f t="shared" si="22"/>
        <v>0.11562527824770724</v>
      </c>
      <c r="K44" s="2"/>
      <c r="L44" s="7">
        <f t="shared" si="23"/>
        <v>-19478.8125</v>
      </c>
      <c r="M44" s="2"/>
      <c r="N44" s="6">
        <f t="shared" si="24"/>
        <v>-1</v>
      </c>
      <c r="O44" s="11"/>
      <c r="P44" s="7">
        <v>146844.08000000002</v>
      </c>
      <c r="Q44" s="2"/>
      <c r="R44" s="6">
        <f t="shared" si="25"/>
        <v>7.3555162339456831E-2</v>
      </c>
      <c r="S44" s="2"/>
      <c r="T44" s="7">
        <v>286987.83749999997</v>
      </c>
      <c r="U44" s="2"/>
      <c r="V44" s="6">
        <f t="shared" si="26"/>
        <v>0.11567188159372781</v>
      </c>
      <c r="W44" s="2"/>
      <c r="X44" s="7">
        <f t="shared" si="27"/>
        <v>-140143.75749999995</v>
      </c>
      <c r="Y44" s="2"/>
      <c r="Z44" s="6">
        <f t="shared" si="28"/>
        <v>-0.48832646958427278</v>
      </c>
    </row>
    <row r="45" spans="1:26" s="24" customFormat="1" hidden="1" outlineLevel="2" x14ac:dyDescent="0.25">
      <c r="A45" s="26"/>
      <c r="B45" s="11" t="str">
        <f>CONCATENATE("          ", "6008", " - ", "STUDENT HOURLY-FICA EXEMPT")</f>
        <v xml:space="preserve">          6008 - STUDENT HOURLY-FICA EXEMPT</v>
      </c>
      <c r="C45" s="11"/>
      <c r="D45" s="7"/>
      <c r="E45" s="2"/>
      <c r="F45" s="6">
        <f t="shared" si="21"/>
        <v>0</v>
      </c>
      <c r="G45" s="2"/>
      <c r="H45" s="7">
        <v>0</v>
      </c>
      <c r="I45" s="2"/>
      <c r="J45" s="6">
        <f t="shared" si="22"/>
        <v>0</v>
      </c>
      <c r="K45" s="2"/>
      <c r="L45" s="7">
        <f t="shared" si="23"/>
        <v>0</v>
      </c>
      <c r="M45" s="2"/>
      <c r="N45" s="6">
        <f t="shared" si="24"/>
        <v>0</v>
      </c>
      <c r="O45" s="11"/>
      <c r="P45" s="7">
        <v>62057.36</v>
      </c>
      <c r="Q45" s="2"/>
      <c r="R45" s="6">
        <f t="shared" si="25"/>
        <v>3.1084938454162495E-2</v>
      </c>
      <c r="S45" s="2"/>
      <c r="T45" s="7">
        <v>4885.1624999999995</v>
      </c>
      <c r="U45" s="2"/>
      <c r="V45" s="6">
        <f t="shared" si="26"/>
        <v>1.968989150162572E-3</v>
      </c>
      <c r="W45" s="2"/>
      <c r="X45" s="7">
        <f t="shared" si="27"/>
        <v>57172.197500000002</v>
      </c>
      <c r="Y45" s="2"/>
      <c r="Z45" s="6">
        <f t="shared" si="28"/>
        <v>11.70323351577353</v>
      </c>
    </row>
    <row r="46" spans="1:26" s="24" customFormat="1" hidden="1" outlineLevel="2" x14ac:dyDescent="0.25">
      <c r="A46" s="26"/>
      <c r="B46" s="11" t="str">
        <f>CONCATENATE("          ", "6009", " - ", "TEMPORARY-SEASONAL")</f>
        <v xml:space="preserve">          6009 - TEMPORARY-SEASONAL</v>
      </c>
      <c r="C46" s="11"/>
      <c r="D46" s="7"/>
      <c r="E46" s="2"/>
      <c r="F46" s="6">
        <f t="shared" si="21"/>
        <v>0</v>
      </c>
      <c r="G46" s="2"/>
      <c r="H46" s="7">
        <v>0</v>
      </c>
      <c r="I46" s="2"/>
      <c r="J46" s="6">
        <f t="shared" si="22"/>
        <v>0</v>
      </c>
      <c r="K46" s="2"/>
      <c r="L46" s="7">
        <f t="shared" si="23"/>
        <v>0</v>
      </c>
      <c r="M46" s="2"/>
      <c r="N46" s="6">
        <f t="shared" si="24"/>
        <v>0</v>
      </c>
      <c r="O46" s="11"/>
      <c r="P46" s="7"/>
      <c r="Q46" s="2"/>
      <c r="R46" s="6">
        <f t="shared" si="25"/>
        <v>0</v>
      </c>
      <c r="S46" s="2"/>
      <c r="T46" s="7">
        <v>0</v>
      </c>
      <c r="U46" s="2"/>
      <c r="V46" s="6">
        <f t="shared" si="26"/>
        <v>0</v>
      </c>
      <c r="W46" s="2"/>
      <c r="X46" s="7">
        <f t="shared" si="27"/>
        <v>0</v>
      </c>
      <c r="Y46" s="2"/>
      <c r="Z46" s="6">
        <f t="shared" si="28"/>
        <v>0</v>
      </c>
    </row>
    <row r="47" spans="1:26" s="24" customFormat="1" hidden="1" outlineLevel="2" x14ac:dyDescent="0.25">
      <c r="A47" s="26"/>
      <c r="B47" s="11" t="str">
        <f>CONCATENATE("          ", "6010", " - ", "GRATUITY")</f>
        <v xml:space="preserve">          6010 - GRATUITY</v>
      </c>
      <c r="C47" s="11"/>
      <c r="D47" s="7"/>
      <c r="E47" s="2"/>
      <c r="F47" s="6">
        <f t="shared" si="21"/>
        <v>0</v>
      </c>
      <c r="G47" s="2"/>
      <c r="H47" s="7">
        <v>0</v>
      </c>
      <c r="I47" s="2"/>
      <c r="J47" s="6">
        <f t="shared" si="22"/>
        <v>0</v>
      </c>
      <c r="K47" s="2"/>
      <c r="L47" s="7">
        <f t="shared" si="23"/>
        <v>0</v>
      </c>
      <c r="M47" s="2"/>
      <c r="N47" s="6">
        <f t="shared" si="24"/>
        <v>0</v>
      </c>
      <c r="O47" s="11"/>
      <c r="P47" s="7"/>
      <c r="Q47" s="2"/>
      <c r="R47" s="6">
        <f t="shared" si="25"/>
        <v>0</v>
      </c>
      <c r="S47" s="2"/>
      <c r="T47" s="7">
        <v>0</v>
      </c>
      <c r="U47" s="2"/>
      <c r="V47" s="6">
        <f t="shared" si="26"/>
        <v>0</v>
      </c>
      <c r="W47" s="2"/>
      <c r="X47" s="7">
        <f t="shared" si="27"/>
        <v>0</v>
      </c>
      <c r="Y47" s="2"/>
      <c r="Z47" s="6">
        <f t="shared" si="28"/>
        <v>0</v>
      </c>
    </row>
    <row r="48" spans="1:26" s="27" customFormat="1" outlineLevel="1" collapsed="1" x14ac:dyDescent="0.25">
      <c r="A48" s="25"/>
      <c r="B48" s="12" t="str">
        <f>CONCATENATE("     ","Advertising/Promo                                 ")</f>
        <v xml:space="preserve">     Advertising/Promo                                 </v>
      </c>
      <c r="C48" s="12"/>
      <c r="D48" s="1">
        <f>SUM(OSRRefD22_2x_0)</f>
        <v>0</v>
      </c>
      <c r="E48" s="1"/>
      <c r="F48" s="5">
        <f t="shared" ref="F48:F52" si="29">IF(D$12=0,0,D48/D$12)</f>
        <v>0</v>
      </c>
      <c r="G48" s="1"/>
      <c r="H48" s="1">
        <f>SUM(OSRRefH22_2x_0)</f>
        <v>450</v>
      </c>
      <c r="I48" s="1"/>
      <c r="J48" s="5">
        <f t="shared" ref="J48:J52" si="30">IF(H$12=0,0,H48/H$12)</f>
        <v>2.6711779894933664E-3</v>
      </c>
      <c r="K48" s="1"/>
      <c r="L48" s="1">
        <f t="shared" ref="L48:L52" si="31">+D48-H48</f>
        <v>-450</v>
      </c>
      <c r="M48" s="1"/>
      <c r="N48" s="5">
        <f t="shared" ref="N48:N52" si="32">IF(H48=0,0,L48/H48)</f>
        <v>-1</v>
      </c>
      <c r="O48" s="12"/>
      <c r="P48" s="1">
        <f>SUM(OSRRefP22_2x_0)</f>
        <v>3020.03</v>
      </c>
      <c r="Q48" s="1"/>
      <c r="R48" s="5">
        <f t="shared" ref="R48:R52" si="33">IF(P$12=0,0,P48/P$12)</f>
        <v>1.5127528254460772E-3</v>
      </c>
      <c r="S48" s="1"/>
      <c r="T48" s="1">
        <f>SUM(OSRRefT22_2x_0)</f>
        <v>5350</v>
      </c>
      <c r="U48" s="1"/>
      <c r="V48" s="5">
        <f t="shared" ref="V48:V52" si="34">IF(T$12=0,0,T48/T$12)</f>
        <v>2.1563442267007005E-3</v>
      </c>
      <c r="W48" s="1"/>
      <c r="X48" s="1">
        <f t="shared" ref="X48:X52" si="35">+P48-T48</f>
        <v>-2329.9699999999998</v>
      </c>
      <c r="Y48" s="1"/>
      <c r="Z48" s="5">
        <f t="shared" ref="Z48:Z52" si="36">IF(T48=0,0,X48/T48)</f>
        <v>-0.43550841121495321</v>
      </c>
    </row>
    <row r="49" spans="1:26" s="24" customFormat="1" hidden="1" outlineLevel="2" x14ac:dyDescent="0.25">
      <c r="A49" s="26"/>
      <c r="B49" s="11" t="str">
        <f>CONCATENATE("          ", "6362", " - ", "ADVERTISING EXPENSE")</f>
        <v xml:space="preserve">          6362 - ADVERTISING EXPENSE</v>
      </c>
      <c r="C49" s="11"/>
      <c r="D49" s="7"/>
      <c r="E49" s="2"/>
      <c r="F49" s="6">
        <f t="shared" si="29"/>
        <v>0</v>
      </c>
      <c r="G49" s="2"/>
      <c r="H49" s="7">
        <v>450</v>
      </c>
      <c r="I49" s="2"/>
      <c r="J49" s="6">
        <f t="shared" si="30"/>
        <v>2.6711779894933664E-3</v>
      </c>
      <c r="K49" s="2"/>
      <c r="L49" s="7">
        <f t="shared" si="31"/>
        <v>-450</v>
      </c>
      <c r="M49" s="2"/>
      <c r="N49" s="6">
        <f t="shared" si="32"/>
        <v>-1</v>
      </c>
      <c r="O49" s="11"/>
      <c r="P49" s="7">
        <v>3020.03</v>
      </c>
      <c r="Q49" s="2"/>
      <c r="R49" s="6">
        <f t="shared" si="33"/>
        <v>1.5127528254460772E-3</v>
      </c>
      <c r="S49" s="2"/>
      <c r="T49" s="7">
        <v>5350</v>
      </c>
      <c r="U49" s="2"/>
      <c r="V49" s="6">
        <f t="shared" si="34"/>
        <v>2.1563442267007005E-3</v>
      </c>
      <c r="W49" s="2"/>
      <c r="X49" s="7">
        <f t="shared" si="35"/>
        <v>-2329.9699999999998</v>
      </c>
      <c r="Y49" s="2"/>
      <c r="Z49" s="6">
        <f t="shared" si="36"/>
        <v>-0.43550841121495321</v>
      </c>
    </row>
    <row r="50" spans="1:26" s="27" customFormat="1" outlineLevel="1" collapsed="1" x14ac:dyDescent="0.25">
      <c r="A50" s="25"/>
      <c r="B50" s="12" t="str">
        <f>CONCATENATE("     ","Bad Debts/Over/Short                              ")</f>
        <v xml:space="preserve">     Bad Debts/Over/Short                              </v>
      </c>
      <c r="C50" s="12"/>
      <c r="D50" s="1">
        <f>SUM(OSRRefD22_3x_0)</f>
        <v>0</v>
      </c>
      <c r="E50" s="1"/>
      <c r="F50" s="5">
        <f t="shared" si="29"/>
        <v>0</v>
      </c>
      <c r="G50" s="1"/>
      <c r="H50" s="1">
        <f>SUM(OSRRefH22_3x_0)</f>
        <v>70</v>
      </c>
      <c r="I50" s="1"/>
      <c r="J50" s="5">
        <f t="shared" si="30"/>
        <v>4.155165761434126E-4</v>
      </c>
      <c r="K50" s="1"/>
      <c r="L50" s="1">
        <f t="shared" si="31"/>
        <v>-70</v>
      </c>
      <c r="M50" s="1"/>
      <c r="N50" s="5">
        <f t="shared" si="32"/>
        <v>-1</v>
      </c>
      <c r="O50" s="12"/>
      <c r="P50" s="1">
        <f>SUM(OSRRefP22_3x_0)</f>
        <v>46.62</v>
      </c>
      <c r="Q50" s="1"/>
      <c r="R50" s="5">
        <f t="shared" si="33"/>
        <v>2.3352263627280558E-5</v>
      </c>
      <c r="S50" s="1"/>
      <c r="T50" s="1">
        <f>SUM(OSRRefT22_3x_0)</f>
        <v>700</v>
      </c>
      <c r="U50" s="1"/>
      <c r="V50" s="5">
        <f t="shared" si="34"/>
        <v>2.8213849695149355E-4</v>
      </c>
      <c r="W50" s="1"/>
      <c r="X50" s="1">
        <f t="shared" si="35"/>
        <v>-653.38</v>
      </c>
      <c r="Y50" s="1"/>
      <c r="Z50" s="5">
        <f t="shared" si="36"/>
        <v>-0.93340000000000001</v>
      </c>
    </row>
    <row r="51" spans="1:26" s="24" customFormat="1" hidden="1" outlineLevel="2" x14ac:dyDescent="0.25">
      <c r="A51" s="26"/>
      <c r="B51" s="11" t="str">
        <f>CONCATENATE("          ", "6272", " - ", "CASH (OVER/SHORT)")</f>
        <v xml:space="preserve">          6272 - CASH (OVER/SHORT)</v>
      </c>
      <c r="C51" s="11"/>
      <c r="D51" s="7"/>
      <c r="E51" s="2"/>
      <c r="F51" s="6">
        <f t="shared" si="29"/>
        <v>0</v>
      </c>
      <c r="G51" s="2"/>
      <c r="H51" s="7">
        <v>20</v>
      </c>
      <c r="I51" s="2"/>
      <c r="J51" s="6">
        <f t="shared" si="30"/>
        <v>1.1871902175526073E-4</v>
      </c>
      <c r="K51" s="2"/>
      <c r="L51" s="7">
        <f t="shared" si="31"/>
        <v>-20</v>
      </c>
      <c r="M51" s="2"/>
      <c r="N51" s="6">
        <f t="shared" si="32"/>
        <v>-1</v>
      </c>
      <c r="O51" s="11"/>
      <c r="P51" s="7">
        <v>46.62</v>
      </c>
      <c r="Q51" s="2"/>
      <c r="R51" s="6">
        <f t="shared" si="33"/>
        <v>2.3352263627280558E-5</v>
      </c>
      <c r="S51" s="2"/>
      <c r="T51" s="7">
        <v>200</v>
      </c>
      <c r="U51" s="2"/>
      <c r="V51" s="6">
        <f t="shared" si="34"/>
        <v>8.0610999128998153E-5</v>
      </c>
      <c r="W51" s="2"/>
      <c r="X51" s="7">
        <f t="shared" si="35"/>
        <v>-153.38</v>
      </c>
      <c r="Y51" s="2"/>
      <c r="Z51" s="6">
        <f t="shared" si="36"/>
        <v>-0.76690000000000003</v>
      </c>
    </row>
    <row r="52" spans="1:26" s="24" customFormat="1" hidden="1" outlineLevel="2" x14ac:dyDescent="0.25">
      <c r="A52" s="26"/>
      <c r="B52" s="11" t="str">
        <f>CONCATENATE("          ", "6342", " - ", "BAD DEBT")</f>
        <v xml:space="preserve">          6342 - BAD DEBT</v>
      </c>
      <c r="C52" s="11"/>
      <c r="D52" s="7"/>
      <c r="E52" s="2"/>
      <c r="F52" s="6">
        <f t="shared" si="29"/>
        <v>0</v>
      </c>
      <c r="G52" s="2"/>
      <c r="H52" s="7">
        <v>50</v>
      </c>
      <c r="I52" s="2"/>
      <c r="J52" s="6">
        <f t="shared" si="30"/>
        <v>2.9679755438815182E-4</v>
      </c>
      <c r="K52" s="2"/>
      <c r="L52" s="7">
        <f t="shared" si="31"/>
        <v>-50</v>
      </c>
      <c r="M52" s="2"/>
      <c r="N52" s="6">
        <f t="shared" si="32"/>
        <v>-1</v>
      </c>
      <c r="O52" s="11"/>
      <c r="P52" s="7"/>
      <c r="Q52" s="2"/>
      <c r="R52" s="6">
        <f t="shared" si="33"/>
        <v>0</v>
      </c>
      <c r="S52" s="2"/>
      <c r="T52" s="7">
        <v>500</v>
      </c>
      <c r="U52" s="2"/>
      <c r="V52" s="6">
        <f t="shared" si="34"/>
        <v>2.015274978224954E-4</v>
      </c>
      <c r="W52" s="2"/>
      <c r="X52" s="7">
        <f t="shared" si="35"/>
        <v>-500</v>
      </c>
      <c r="Y52" s="2"/>
      <c r="Z52" s="6">
        <f t="shared" si="36"/>
        <v>-1</v>
      </c>
    </row>
    <row r="53" spans="1:26" s="27" customFormat="1" outlineLevel="1" collapsed="1" x14ac:dyDescent="0.25">
      <c r="A53" s="25"/>
      <c r="B53" s="12" t="str">
        <f>CONCATENATE("     ","Bank/card Fees                                    ")</f>
        <v xml:space="preserve">     Bank/card Fees                                    </v>
      </c>
      <c r="C53" s="12"/>
      <c r="D53" s="1">
        <f>SUM(OSRRefD22_4x_0)</f>
        <v>0</v>
      </c>
      <c r="E53" s="1"/>
      <c r="F53" s="5">
        <f t="shared" ref="F53:F73" si="37">IF(D$12=0,0,D53/D$12)</f>
        <v>0</v>
      </c>
      <c r="G53" s="1"/>
      <c r="H53" s="1">
        <f>SUM(OSRRefH22_4x_0)</f>
        <v>20</v>
      </c>
      <c r="I53" s="1"/>
      <c r="J53" s="5">
        <f t="shared" ref="J53:J73" si="38">IF(H$12=0,0,H53/H$12)</f>
        <v>1.1871902175526073E-4</v>
      </c>
      <c r="K53" s="1"/>
      <c r="L53" s="1">
        <f t="shared" ref="L53:L73" si="39">+D53-H53</f>
        <v>-20</v>
      </c>
      <c r="M53" s="1"/>
      <c r="N53" s="5">
        <f t="shared" ref="N53:N73" si="40">IF(H53=0,0,L53/H53)</f>
        <v>-1</v>
      </c>
      <c r="O53" s="12"/>
      <c r="P53" s="1">
        <f>SUM(OSRRefP22_4x_0)</f>
        <v>70.89</v>
      </c>
      <c r="Q53" s="1"/>
      <c r="R53" s="5">
        <f t="shared" ref="R53:R73" si="41">IF(P$12=0,0,P53/P$12)</f>
        <v>3.5509265734404094E-5</v>
      </c>
      <c r="S53" s="1"/>
      <c r="T53" s="1">
        <f>SUM(OSRRefT22_4x_0)</f>
        <v>220</v>
      </c>
      <c r="U53" s="1"/>
      <c r="V53" s="5">
        <f t="shared" ref="V53:V73" si="42">IF(T$12=0,0,T53/T$12)</f>
        <v>8.8672099041897968E-5</v>
      </c>
      <c r="W53" s="1"/>
      <c r="X53" s="1">
        <f t="shared" ref="X53:X73" si="43">+P53-T53</f>
        <v>-149.11000000000001</v>
      </c>
      <c r="Y53" s="1"/>
      <c r="Z53" s="5">
        <f t="shared" ref="Z53:Z73" si="44">IF(T53=0,0,X53/T53)</f>
        <v>-0.6777727272727273</v>
      </c>
    </row>
    <row r="54" spans="1:26" s="24" customFormat="1" hidden="1" outlineLevel="2" x14ac:dyDescent="0.25">
      <c r="A54" s="26"/>
      <c r="B54" s="11" t="str">
        <f>CONCATENATE("          ", "6381", " - ", "BANK/CREDIT CARD FEES")</f>
        <v xml:space="preserve">          6381 - BANK/CREDIT CARD FEES</v>
      </c>
      <c r="C54" s="11"/>
      <c r="D54" s="7"/>
      <c r="E54" s="2"/>
      <c r="F54" s="6">
        <f t="shared" si="37"/>
        <v>0</v>
      </c>
      <c r="G54" s="2"/>
      <c r="H54" s="7">
        <v>20</v>
      </c>
      <c r="I54" s="2"/>
      <c r="J54" s="6">
        <f t="shared" si="38"/>
        <v>1.1871902175526073E-4</v>
      </c>
      <c r="K54" s="2"/>
      <c r="L54" s="7">
        <f t="shared" si="39"/>
        <v>-20</v>
      </c>
      <c r="M54" s="2"/>
      <c r="N54" s="6">
        <f t="shared" si="40"/>
        <v>-1</v>
      </c>
      <c r="O54" s="11"/>
      <c r="P54" s="7">
        <v>70.89</v>
      </c>
      <c r="Q54" s="2"/>
      <c r="R54" s="6">
        <f t="shared" si="41"/>
        <v>3.5509265734404094E-5</v>
      </c>
      <c r="S54" s="2"/>
      <c r="T54" s="7">
        <v>220</v>
      </c>
      <c r="U54" s="2"/>
      <c r="V54" s="6">
        <f t="shared" si="42"/>
        <v>8.8672099041897968E-5</v>
      </c>
      <c r="W54" s="2"/>
      <c r="X54" s="7">
        <f t="shared" si="43"/>
        <v>-149.11000000000001</v>
      </c>
      <c r="Y54" s="2"/>
      <c r="Z54" s="6">
        <f t="shared" si="44"/>
        <v>-0.6777727272727273</v>
      </c>
    </row>
    <row r="55" spans="1:26" s="27" customFormat="1" outlineLevel="1" collapsed="1" x14ac:dyDescent="0.25">
      <c r="A55" s="25"/>
      <c r="B55" s="12" t="str">
        <f>CONCATENATE("     ","Depreciation                                      ")</f>
        <v xml:space="preserve">     Depreciation                                      </v>
      </c>
      <c r="C55" s="12"/>
      <c r="D55" s="1">
        <f>SUM(OSRRefD22_5x_0)</f>
        <v>213.02</v>
      </c>
      <c r="E55" s="1"/>
      <c r="F55" s="5">
        <f t="shared" si="37"/>
        <v>0</v>
      </c>
      <c r="G55" s="1"/>
      <c r="H55" s="1">
        <f>SUM(OSRRefH22_5x_0)</f>
        <v>0</v>
      </c>
      <c r="I55" s="1"/>
      <c r="J55" s="5">
        <f t="shared" si="38"/>
        <v>0</v>
      </c>
      <c r="K55" s="1"/>
      <c r="L55" s="1">
        <f t="shared" si="39"/>
        <v>213.02</v>
      </c>
      <c r="M55" s="1"/>
      <c r="N55" s="5">
        <f t="shared" si="40"/>
        <v>0</v>
      </c>
      <c r="O55" s="12"/>
      <c r="P55" s="1">
        <f>SUM(OSRRefP22_5x_0)</f>
        <v>639.05999999999995</v>
      </c>
      <c r="Q55" s="1"/>
      <c r="R55" s="5">
        <f t="shared" si="41"/>
        <v>3.2010934349313412E-4</v>
      </c>
      <c r="S55" s="1"/>
      <c r="T55" s="1">
        <f>SUM(OSRRefT22_5x_0)</f>
        <v>0</v>
      </c>
      <c r="U55" s="1"/>
      <c r="V55" s="5">
        <f t="shared" si="42"/>
        <v>0</v>
      </c>
      <c r="W55" s="1"/>
      <c r="X55" s="1">
        <f t="shared" si="43"/>
        <v>639.05999999999995</v>
      </c>
      <c r="Y55" s="1"/>
      <c r="Z55" s="5">
        <f t="shared" si="44"/>
        <v>0</v>
      </c>
    </row>
    <row r="56" spans="1:26" s="24" customFormat="1" hidden="1" outlineLevel="2" x14ac:dyDescent="0.25">
      <c r="A56" s="26"/>
      <c r="B56" s="11" t="str">
        <f>CONCATENATE("          ", "6322", " - ", "EQUIPMENT DEPRECIATION EXPENSE")</f>
        <v xml:space="preserve">          6322 - EQUIPMENT DEPRECIATION EXPENSE</v>
      </c>
      <c r="C56" s="11"/>
      <c r="D56" s="7">
        <v>213.02</v>
      </c>
      <c r="E56" s="2"/>
      <c r="F56" s="6">
        <f t="shared" si="37"/>
        <v>0</v>
      </c>
      <c r="G56" s="2"/>
      <c r="H56" s="7"/>
      <c r="I56" s="2"/>
      <c r="J56" s="6">
        <f t="shared" si="38"/>
        <v>0</v>
      </c>
      <c r="K56" s="2"/>
      <c r="L56" s="7">
        <f t="shared" si="39"/>
        <v>213.02</v>
      </c>
      <c r="M56" s="2"/>
      <c r="N56" s="6">
        <f t="shared" si="40"/>
        <v>0</v>
      </c>
      <c r="O56" s="11"/>
      <c r="P56" s="7">
        <v>639.05999999999995</v>
      </c>
      <c r="Q56" s="2"/>
      <c r="R56" s="6">
        <f t="shared" si="41"/>
        <v>3.2010934349313412E-4</v>
      </c>
      <c r="S56" s="2"/>
      <c r="T56" s="7"/>
      <c r="U56" s="2"/>
      <c r="V56" s="6">
        <f t="shared" si="42"/>
        <v>0</v>
      </c>
      <c r="W56" s="2"/>
      <c r="X56" s="7">
        <f t="shared" si="43"/>
        <v>639.05999999999995</v>
      </c>
      <c r="Y56" s="2"/>
      <c r="Z56" s="6">
        <f t="shared" si="44"/>
        <v>0</v>
      </c>
    </row>
    <row r="57" spans="1:26" s="27" customFormat="1" outlineLevel="1" collapsed="1" x14ac:dyDescent="0.25">
      <c r="A57" s="25"/>
      <c r="B57" s="12" t="str">
        <f>CONCATENATE("     ","Donations                                         ")</f>
        <v xml:space="preserve">     Donations                                         </v>
      </c>
      <c r="C57" s="12"/>
      <c r="D57" s="1">
        <f>SUM(OSRRefD22_6x_0)</f>
        <v>0</v>
      </c>
      <c r="E57" s="1"/>
      <c r="F57" s="5">
        <f t="shared" si="37"/>
        <v>0</v>
      </c>
      <c r="G57" s="1"/>
      <c r="H57" s="1">
        <f>SUM(OSRRefH22_6x_0)</f>
        <v>1516</v>
      </c>
      <c r="I57" s="1"/>
      <c r="J57" s="5">
        <f t="shared" si="38"/>
        <v>8.9989018490487637E-3</v>
      </c>
      <c r="K57" s="1"/>
      <c r="L57" s="1">
        <f t="shared" si="39"/>
        <v>-1516</v>
      </c>
      <c r="M57" s="1"/>
      <c r="N57" s="5">
        <f t="shared" si="40"/>
        <v>-1</v>
      </c>
      <c r="O57" s="12"/>
      <c r="P57" s="1">
        <f>SUM(OSRRefP22_6x_0)</f>
        <v>21140.82</v>
      </c>
      <c r="Q57" s="1"/>
      <c r="R57" s="5">
        <f t="shared" si="41"/>
        <v>1.0589575331121523E-2</v>
      </c>
      <c r="S57" s="1"/>
      <c r="T57" s="1">
        <f>SUM(OSRRefT22_6x_0)</f>
        <v>20608</v>
      </c>
      <c r="U57" s="1"/>
      <c r="V57" s="5">
        <f t="shared" si="42"/>
        <v>8.3061573502519696E-3</v>
      </c>
      <c r="W57" s="1"/>
      <c r="X57" s="1">
        <f t="shared" si="43"/>
        <v>532.81999999999971</v>
      </c>
      <c r="Y57" s="1"/>
      <c r="Z57" s="5">
        <f t="shared" si="44"/>
        <v>2.5855007763975143E-2</v>
      </c>
    </row>
    <row r="58" spans="1:26" s="24" customFormat="1" hidden="1" outlineLevel="2" x14ac:dyDescent="0.25">
      <c r="A58" s="26"/>
      <c r="B58" s="11" t="str">
        <f>CONCATENATE("          ", "6399", " - ", "DONATION-ON CAMPUS")</f>
        <v xml:space="preserve">          6399 - DONATION-ON CAMPUS</v>
      </c>
      <c r="C58" s="11"/>
      <c r="D58" s="7"/>
      <c r="E58" s="2"/>
      <c r="F58" s="6">
        <f t="shared" si="37"/>
        <v>0</v>
      </c>
      <c r="G58" s="2"/>
      <c r="H58" s="7">
        <v>1516</v>
      </c>
      <c r="I58" s="2"/>
      <c r="J58" s="6">
        <f t="shared" si="38"/>
        <v>8.9989018490487637E-3</v>
      </c>
      <c r="K58" s="2"/>
      <c r="L58" s="7">
        <f t="shared" si="39"/>
        <v>-1516</v>
      </c>
      <c r="M58" s="2"/>
      <c r="N58" s="6">
        <f t="shared" si="40"/>
        <v>-1</v>
      </c>
      <c r="O58" s="11"/>
      <c r="P58" s="7">
        <v>21140.82</v>
      </c>
      <c r="Q58" s="2"/>
      <c r="R58" s="6">
        <f t="shared" si="41"/>
        <v>1.0589575331121523E-2</v>
      </c>
      <c r="S58" s="2"/>
      <c r="T58" s="7">
        <v>20608</v>
      </c>
      <c r="U58" s="2"/>
      <c r="V58" s="6">
        <f t="shared" si="42"/>
        <v>8.3061573502519696E-3</v>
      </c>
      <c r="W58" s="2"/>
      <c r="X58" s="7">
        <f t="shared" si="43"/>
        <v>532.81999999999971</v>
      </c>
      <c r="Y58" s="2"/>
      <c r="Z58" s="6">
        <f t="shared" si="44"/>
        <v>2.5855007763975143E-2</v>
      </c>
    </row>
    <row r="59" spans="1:26" s="27" customFormat="1" outlineLevel="1" collapsed="1" x14ac:dyDescent="0.25">
      <c r="A59" s="25"/>
      <c r="B59" s="12" t="str">
        <f>CONCATENATE("     ","Employees' Appreciation                           ")</f>
        <v xml:space="preserve">     Employees' Appreciation                           </v>
      </c>
      <c r="C59" s="12"/>
      <c r="D59" s="1">
        <f>SUM(OSRRefD22_7x_0)</f>
        <v>0</v>
      </c>
      <c r="E59" s="1"/>
      <c r="F59" s="5">
        <f t="shared" si="37"/>
        <v>0</v>
      </c>
      <c r="G59" s="1"/>
      <c r="H59" s="1">
        <f>SUM(OSRRefH22_7x_0)</f>
        <v>0</v>
      </c>
      <c r="I59" s="1"/>
      <c r="J59" s="5">
        <f t="shared" si="38"/>
        <v>0</v>
      </c>
      <c r="K59" s="1"/>
      <c r="L59" s="1">
        <f t="shared" si="39"/>
        <v>0</v>
      </c>
      <c r="M59" s="1"/>
      <c r="N59" s="5">
        <f t="shared" si="40"/>
        <v>0</v>
      </c>
      <c r="O59" s="12"/>
      <c r="P59" s="1">
        <f>SUM(OSRRefP22_7x_0)</f>
        <v>21.34</v>
      </c>
      <c r="Q59" s="1"/>
      <c r="R59" s="5">
        <f t="shared" si="41"/>
        <v>1.0689345898888185E-5</v>
      </c>
      <c r="S59" s="1"/>
      <c r="T59" s="1">
        <f>SUM(OSRRefT22_7x_0)</f>
        <v>800</v>
      </c>
      <c r="U59" s="1"/>
      <c r="V59" s="5">
        <f t="shared" si="42"/>
        <v>3.2244399651599261E-4</v>
      </c>
      <c r="W59" s="1"/>
      <c r="X59" s="1">
        <f t="shared" si="43"/>
        <v>-778.66</v>
      </c>
      <c r="Y59" s="1"/>
      <c r="Z59" s="5">
        <f t="shared" si="44"/>
        <v>-0.973325</v>
      </c>
    </row>
    <row r="60" spans="1:26" s="24" customFormat="1" hidden="1" outlineLevel="2" x14ac:dyDescent="0.25">
      <c r="A60" s="26"/>
      <c r="B60" s="11" t="str">
        <f>CONCATENATE("          ", "6277", " - ", "EMPLOYEE APPRECIATION")</f>
        <v xml:space="preserve">          6277 - EMPLOYEE APPRECIATION</v>
      </c>
      <c r="C60" s="11"/>
      <c r="D60" s="7"/>
      <c r="E60" s="2"/>
      <c r="F60" s="6">
        <f t="shared" si="37"/>
        <v>0</v>
      </c>
      <c r="G60" s="2"/>
      <c r="H60" s="7">
        <v>0</v>
      </c>
      <c r="I60" s="2"/>
      <c r="J60" s="6">
        <f t="shared" si="38"/>
        <v>0</v>
      </c>
      <c r="K60" s="2"/>
      <c r="L60" s="7">
        <f t="shared" si="39"/>
        <v>0</v>
      </c>
      <c r="M60" s="2"/>
      <c r="N60" s="6">
        <f t="shared" si="40"/>
        <v>0</v>
      </c>
      <c r="O60" s="11"/>
      <c r="P60" s="7">
        <v>21.34</v>
      </c>
      <c r="Q60" s="2"/>
      <c r="R60" s="6">
        <f t="shared" si="41"/>
        <v>1.0689345898888185E-5</v>
      </c>
      <c r="S60" s="2"/>
      <c r="T60" s="7">
        <v>800</v>
      </c>
      <c r="U60" s="2"/>
      <c r="V60" s="6">
        <f t="shared" si="42"/>
        <v>3.2244399651599261E-4</v>
      </c>
      <c r="W60" s="2"/>
      <c r="X60" s="7">
        <f t="shared" si="43"/>
        <v>-778.66</v>
      </c>
      <c r="Y60" s="2"/>
      <c r="Z60" s="6">
        <f t="shared" si="44"/>
        <v>-0.973325</v>
      </c>
    </row>
    <row r="61" spans="1:26" s="27" customFormat="1" outlineLevel="1" collapsed="1" x14ac:dyDescent="0.25">
      <c r="A61" s="25"/>
      <c r="B61" s="12" t="str">
        <f>CONCATENATE("     ","Equipment Rental                                  ")</f>
        <v xml:space="preserve">     Equipment Rental                                  </v>
      </c>
      <c r="C61" s="12"/>
      <c r="D61" s="1">
        <f>SUM(OSRRefD22_8x_0)</f>
        <v>0</v>
      </c>
      <c r="E61" s="1"/>
      <c r="F61" s="5">
        <f t="shared" si="37"/>
        <v>0</v>
      </c>
      <c r="G61" s="1"/>
      <c r="H61" s="1">
        <f>SUM(OSRRefH22_8x_0)</f>
        <v>0</v>
      </c>
      <c r="I61" s="1"/>
      <c r="J61" s="5">
        <f t="shared" si="38"/>
        <v>0</v>
      </c>
      <c r="K61" s="1"/>
      <c r="L61" s="1">
        <f t="shared" si="39"/>
        <v>0</v>
      </c>
      <c r="M61" s="1"/>
      <c r="N61" s="5">
        <f t="shared" si="40"/>
        <v>0</v>
      </c>
      <c r="O61" s="12"/>
      <c r="P61" s="1">
        <f>SUM(OSRRefP22_8x_0)</f>
        <v>0.01</v>
      </c>
      <c r="Q61" s="1"/>
      <c r="R61" s="5">
        <f t="shared" si="41"/>
        <v>5.0090655571172371E-9</v>
      </c>
      <c r="S61" s="1"/>
      <c r="T61" s="1">
        <f>SUM(OSRRefT22_8x_0)</f>
        <v>0</v>
      </c>
      <c r="U61" s="1"/>
      <c r="V61" s="5">
        <f t="shared" si="42"/>
        <v>0</v>
      </c>
      <c r="W61" s="1"/>
      <c r="X61" s="1">
        <f t="shared" si="43"/>
        <v>0.01</v>
      </c>
      <c r="Y61" s="1"/>
      <c r="Z61" s="5">
        <f t="shared" si="44"/>
        <v>0</v>
      </c>
    </row>
    <row r="62" spans="1:26" s="24" customFormat="1" hidden="1" outlineLevel="2" x14ac:dyDescent="0.25">
      <c r="A62" s="26"/>
      <c r="B62" s="11" t="str">
        <f>CONCATENATE("          ", "6351", " - ", "EQUIPMENT RENTAL")</f>
        <v xml:space="preserve">          6351 - EQUIPMENT RENTAL</v>
      </c>
      <c r="C62" s="11"/>
      <c r="D62" s="7"/>
      <c r="E62" s="2"/>
      <c r="F62" s="6">
        <f t="shared" si="37"/>
        <v>0</v>
      </c>
      <c r="G62" s="2"/>
      <c r="H62" s="7"/>
      <c r="I62" s="2"/>
      <c r="J62" s="6">
        <f t="shared" si="38"/>
        <v>0</v>
      </c>
      <c r="K62" s="2"/>
      <c r="L62" s="7">
        <f t="shared" si="39"/>
        <v>0</v>
      </c>
      <c r="M62" s="2"/>
      <c r="N62" s="6">
        <f t="shared" si="40"/>
        <v>0</v>
      </c>
      <c r="O62" s="11"/>
      <c r="P62" s="7">
        <v>0.01</v>
      </c>
      <c r="Q62" s="2"/>
      <c r="R62" s="6">
        <f t="shared" si="41"/>
        <v>5.0090655571172371E-9</v>
      </c>
      <c r="S62" s="2"/>
      <c r="T62" s="7"/>
      <c r="U62" s="2"/>
      <c r="V62" s="6">
        <f t="shared" si="42"/>
        <v>0</v>
      </c>
      <c r="W62" s="2"/>
      <c r="X62" s="7">
        <f t="shared" si="43"/>
        <v>0.01</v>
      </c>
      <c r="Y62" s="2"/>
      <c r="Z62" s="6">
        <f t="shared" si="44"/>
        <v>0</v>
      </c>
    </row>
    <row r="63" spans="1:26" s="27" customFormat="1" outlineLevel="1" collapsed="1" x14ac:dyDescent="0.25">
      <c r="A63" s="25"/>
      <c r="B63" s="12" t="str">
        <f>CONCATENATE("     ","General                                           ")</f>
        <v xml:space="preserve">     General                                           </v>
      </c>
      <c r="C63" s="12"/>
      <c r="D63" s="1">
        <f>SUM(OSRRefD22_9x_0)</f>
        <v>0</v>
      </c>
      <c r="E63" s="1"/>
      <c r="F63" s="5">
        <f t="shared" si="37"/>
        <v>0</v>
      </c>
      <c r="G63" s="1"/>
      <c r="H63" s="1">
        <f>SUM(OSRRefH22_9x_0)</f>
        <v>275</v>
      </c>
      <c r="I63" s="1"/>
      <c r="J63" s="5">
        <f t="shared" si="38"/>
        <v>1.632386549134835E-3</v>
      </c>
      <c r="K63" s="1"/>
      <c r="L63" s="1">
        <f t="shared" si="39"/>
        <v>-275</v>
      </c>
      <c r="M63" s="1"/>
      <c r="N63" s="5">
        <f t="shared" si="40"/>
        <v>-1</v>
      </c>
      <c r="O63" s="12"/>
      <c r="P63" s="1">
        <f>SUM(OSRRefP22_9x_0)</f>
        <v>1950.43</v>
      </c>
      <c r="Q63" s="1"/>
      <c r="R63" s="5">
        <f t="shared" si="41"/>
        <v>9.7698317345681733E-4</v>
      </c>
      <c r="S63" s="1"/>
      <c r="T63" s="1">
        <f>SUM(OSRRefT22_9x_0)</f>
        <v>3025</v>
      </c>
      <c r="U63" s="1"/>
      <c r="V63" s="5">
        <f t="shared" si="42"/>
        <v>1.2192413618260971E-3</v>
      </c>
      <c r="W63" s="1"/>
      <c r="X63" s="1">
        <f t="shared" si="43"/>
        <v>-1074.57</v>
      </c>
      <c r="Y63" s="1"/>
      <c r="Z63" s="5">
        <f t="shared" si="44"/>
        <v>-0.35522975206611568</v>
      </c>
    </row>
    <row r="64" spans="1:26" s="24" customFormat="1" hidden="1" outlineLevel="2" x14ac:dyDescent="0.25">
      <c r="A64" s="26"/>
      <c r="B64" s="11" t="str">
        <f>CONCATENATE("          ", "6279", " - ", "GENERAL EXPENSE")</f>
        <v xml:space="preserve">          6279 - GENERAL EXPENSE</v>
      </c>
      <c r="C64" s="11"/>
      <c r="D64" s="7"/>
      <c r="E64" s="2"/>
      <c r="F64" s="6">
        <f t="shared" si="37"/>
        <v>0</v>
      </c>
      <c r="G64" s="2"/>
      <c r="H64" s="7">
        <v>275</v>
      </c>
      <c r="I64" s="2"/>
      <c r="J64" s="6">
        <f t="shared" si="38"/>
        <v>1.632386549134835E-3</v>
      </c>
      <c r="K64" s="2"/>
      <c r="L64" s="7">
        <f t="shared" si="39"/>
        <v>-275</v>
      </c>
      <c r="M64" s="2"/>
      <c r="N64" s="6">
        <f t="shared" si="40"/>
        <v>-1</v>
      </c>
      <c r="O64" s="11"/>
      <c r="P64" s="7">
        <v>1950.43</v>
      </c>
      <c r="Q64" s="2"/>
      <c r="R64" s="6">
        <f t="shared" si="41"/>
        <v>9.7698317345681733E-4</v>
      </c>
      <c r="S64" s="2"/>
      <c r="T64" s="7">
        <v>3025</v>
      </c>
      <c r="U64" s="2"/>
      <c r="V64" s="6">
        <f t="shared" si="42"/>
        <v>1.2192413618260971E-3</v>
      </c>
      <c r="W64" s="2"/>
      <c r="X64" s="7">
        <f t="shared" si="43"/>
        <v>-1074.57</v>
      </c>
      <c r="Y64" s="2"/>
      <c r="Z64" s="6">
        <f t="shared" si="44"/>
        <v>-0.35522975206611568</v>
      </c>
    </row>
    <row r="65" spans="1:26" s="27" customFormat="1" outlineLevel="1" collapsed="1" x14ac:dyDescent="0.25">
      <c r="A65" s="25"/>
      <c r="B65" s="12" t="str">
        <f>CONCATENATE("     ","Insurance                                         ")</f>
        <v xml:space="preserve">     Insurance                                         </v>
      </c>
      <c r="C65" s="12"/>
      <c r="D65" s="1">
        <f>SUM(OSRRefD22_10x_0)</f>
        <v>5.9</v>
      </c>
      <c r="E65" s="1"/>
      <c r="F65" s="5">
        <f t="shared" si="37"/>
        <v>0</v>
      </c>
      <c r="G65" s="1"/>
      <c r="H65" s="1">
        <f>SUM(OSRRefH22_10x_0)</f>
        <v>5</v>
      </c>
      <c r="I65" s="1"/>
      <c r="J65" s="5">
        <f t="shared" si="38"/>
        <v>2.9679755438815183E-5</v>
      </c>
      <c r="K65" s="1"/>
      <c r="L65" s="1">
        <f t="shared" si="39"/>
        <v>0.90000000000000036</v>
      </c>
      <c r="M65" s="1"/>
      <c r="N65" s="5">
        <f t="shared" si="40"/>
        <v>0.18000000000000008</v>
      </c>
      <c r="O65" s="12"/>
      <c r="P65" s="1">
        <f>SUM(OSRRefP22_10x_0)</f>
        <v>64.900000000000006</v>
      </c>
      <c r="Q65" s="1"/>
      <c r="R65" s="5">
        <f t="shared" si="41"/>
        <v>3.2508835465690873E-5</v>
      </c>
      <c r="S65" s="1"/>
      <c r="T65" s="1">
        <f>SUM(OSRRefT22_10x_0)</f>
        <v>55</v>
      </c>
      <c r="U65" s="1"/>
      <c r="V65" s="5">
        <f t="shared" si="42"/>
        <v>2.2168024760474492E-5</v>
      </c>
      <c r="W65" s="1"/>
      <c r="X65" s="1">
        <f t="shared" si="43"/>
        <v>9.9000000000000057</v>
      </c>
      <c r="Y65" s="1"/>
      <c r="Z65" s="5">
        <f t="shared" si="44"/>
        <v>0.1800000000000001</v>
      </c>
    </row>
    <row r="66" spans="1:26" s="24" customFormat="1" hidden="1" outlineLevel="2" x14ac:dyDescent="0.25">
      <c r="A66" s="26"/>
      <c r="B66" s="11" t="str">
        <f>CONCATENATE("          ", "6314", " - ", "LIABILITY INSURANCE")</f>
        <v xml:space="preserve">          6314 - LIABILITY INSURANCE</v>
      </c>
      <c r="C66" s="11"/>
      <c r="D66" s="7">
        <v>5.9</v>
      </c>
      <c r="E66" s="2"/>
      <c r="F66" s="6">
        <f t="shared" si="37"/>
        <v>0</v>
      </c>
      <c r="G66" s="2"/>
      <c r="H66" s="7">
        <v>5</v>
      </c>
      <c r="I66" s="2"/>
      <c r="J66" s="6">
        <f t="shared" si="38"/>
        <v>2.9679755438815183E-5</v>
      </c>
      <c r="K66" s="2"/>
      <c r="L66" s="7">
        <f t="shared" si="39"/>
        <v>0.90000000000000036</v>
      </c>
      <c r="M66" s="2"/>
      <c r="N66" s="6">
        <f t="shared" si="40"/>
        <v>0.18000000000000008</v>
      </c>
      <c r="O66" s="11"/>
      <c r="P66" s="7">
        <v>64.900000000000006</v>
      </c>
      <c r="Q66" s="2"/>
      <c r="R66" s="6">
        <f t="shared" si="41"/>
        <v>3.2508835465690873E-5</v>
      </c>
      <c r="S66" s="2"/>
      <c r="T66" s="7">
        <v>55</v>
      </c>
      <c r="U66" s="2"/>
      <c r="V66" s="6">
        <f t="shared" si="42"/>
        <v>2.2168024760474492E-5</v>
      </c>
      <c r="W66" s="2"/>
      <c r="X66" s="7">
        <f t="shared" si="43"/>
        <v>9.9000000000000057</v>
      </c>
      <c r="Y66" s="2"/>
      <c r="Z66" s="6">
        <f t="shared" si="44"/>
        <v>0.1800000000000001</v>
      </c>
    </row>
    <row r="67" spans="1:26" s="27" customFormat="1" outlineLevel="1" collapsed="1" x14ac:dyDescent="0.25">
      <c r="A67" s="25"/>
      <c r="B67" s="12" t="str">
        <f>CONCATENATE("     ","R/H Commissions                                   ")</f>
        <v xml:space="preserve">     R/H Commissions                                   </v>
      </c>
      <c r="C67" s="12"/>
      <c r="D67" s="1">
        <f>SUM(OSRRefD22_11x_0)</f>
        <v>0</v>
      </c>
      <c r="E67" s="1"/>
      <c r="F67" s="5">
        <f t="shared" si="37"/>
        <v>0</v>
      </c>
      <c r="G67" s="1"/>
      <c r="H67" s="1">
        <f>SUM(OSRRefH22_11x_0)</f>
        <v>13477</v>
      </c>
      <c r="I67" s="1"/>
      <c r="J67" s="5">
        <f t="shared" si="38"/>
        <v>7.9998812809782452E-2</v>
      </c>
      <c r="K67" s="1"/>
      <c r="L67" s="1">
        <f t="shared" si="39"/>
        <v>-13477</v>
      </c>
      <c r="M67" s="1"/>
      <c r="N67" s="5">
        <f t="shared" si="40"/>
        <v>-1</v>
      </c>
      <c r="O67" s="12"/>
      <c r="P67" s="1">
        <f>SUM(OSRRefP22_11x_0)</f>
        <v>156427.13</v>
      </c>
      <c r="Q67" s="1"/>
      <c r="R67" s="5">
        <f t="shared" si="41"/>
        <v>7.8355374908170058E-2</v>
      </c>
      <c r="S67" s="1"/>
      <c r="T67" s="1">
        <f>SUM(OSRRefT22_11x_0)</f>
        <v>198559</v>
      </c>
      <c r="U67" s="1"/>
      <c r="V67" s="5">
        <f t="shared" si="42"/>
        <v>8.0030196880273727E-2</v>
      </c>
      <c r="W67" s="1"/>
      <c r="X67" s="1">
        <f t="shared" si="43"/>
        <v>-42131.869999999995</v>
      </c>
      <c r="Y67" s="1"/>
      <c r="Z67" s="5">
        <f t="shared" si="44"/>
        <v>-0.21218816573411428</v>
      </c>
    </row>
    <row r="68" spans="1:26" s="24" customFormat="1" hidden="1" outlineLevel="2" x14ac:dyDescent="0.25">
      <c r="A68" s="26"/>
      <c r="B68" s="11" t="str">
        <f>CONCATENATE("          ", "6387", " - ", "COMMISSION DUE HOUSING")</f>
        <v xml:space="preserve">          6387 - COMMISSION DUE HOUSING</v>
      </c>
      <c r="C68" s="11"/>
      <c r="D68" s="7"/>
      <c r="E68" s="2"/>
      <c r="F68" s="6">
        <f t="shared" si="37"/>
        <v>0</v>
      </c>
      <c r="G68" s="2"/>
      <c r="H68" s="7">
        <v>13477</v>
      </c>
      <c r="I68" s="2"/>
      <c r="J68" s="6">
        <f t="shared" si="38"/>
        <v>7.9998812809782452E-2</v>
      </c>
      <c r="K68" s="2"/>
      <c r="L68" s="7">
        <f t="shared" si="39"/>
        <v>-13477</v>
      </c>
      <c r="M68" s="2"/>
      <c r="N68" s="6">
        <f t="shared" si="40"/>
        <v>-1</v>
      </c>
      <c r="O68" s="11"/>
      <c r="P68" s="7">
        <v>156427.13</v>
      </c>
      <c r="Q68" s="2"/>
      <c r="R68" s="6">
        <f t="shared" si="41"/>
        <v>7.8355374908170058E-2</v>
      </c>
      <c r="S68" s="2"/>
      <c r="T68" s="7">
        <v>198559</v>
      </c>
      <c r="U68" s="2"/>
      <c r="V68" s="6">
        <f t="shared" si="42"/>
        <v>8.0030196880273727E-2</v>
      </c>
      <c r="W68" s="2"/>
      <c r="X68" s="7">
        <f t="shared" si="43"/>
        <v>-42131.869999999995</v>
      </c>
      <c r="Y68" s="2"/>
      <c r="Z68" s="6">
        <f t="shared" si="44"/>
        <v>-0.21218816573411428</v>
      </c>
    </row>
    <row r="69" spans="1:26" s="27" customFormat="1" outlineLevel="1" collapsed="1" x14ac:dyDescent="0.25">
      <c r="A69" s="25"/>
      <c r="B69" s="12" t="str">
        <f>CONCATENATE("     ","Repair and Maintenance                            ")</f>
        <v xml:space="preserve">     Repair and Maintenance                            </v>
      </c>
      <c r="C69" s="12"/>
      <c r="D69" s="1">
        <f>SUM(OSRRefD22_12x_0)</f>
        <v>0</v>
      </c>
      <c r="E69" s="1"/>
      <c r="F69" s="5">
        <f t="shared" si="37"/>
        <v>0</v>
      </c>
      <c r="G69" s="1"/>
      <c r="H69" s="1">
        <f>SUM(OSRRefH22_12x_0)</f>
        <v>497</v>
      </c>
      <c r="I69" s="1"/>
      <c r="J69" s="5">
        <f t="shared" si="38"/>
        <v>2.9501676906182293E-3</v>
      </c>
      <c r="K69" s="1"/>
      <c r="L69" s="1">
        <f t="shared" si="39"/>
        <v>-497</v>
      </c>
      <c r="M69" s="1"/>
      <c r="N69" s="5">
        <f t="shared" si="40"/>
        <v>-1</v>
      </c>
      <c r="O69" s="12"/>
      <c r="P69" s="1">
        <f>SUM(OSRRefP22_12x_0)</f>
        <v>212.16</v>
      </c>
      <c r="Q69" s="1"/>
      <c r="R69" s="5">
        <f t="shared" si="41"/>
        <v>1.062723348597993E-4</v>
      </c>
      <c r="S69" s="1"/>
      <c r="T69" s="1">
        <f>SUM(OSRRefT22_12x_0)</f>
        <v>5677</v>
      </c>
      <c r="U69" s="1"/>
      <c r="V69" s="5">
        <f t="shared" si="42"/>
        <v>2.2881432102766128E-3</v>
      </c>
      <c r="W69" s="1"/>
      <c r="X69" s="1">
        <f t="shared" si="43"/>
        <v>-5464.84</v>
      </c>
      <c r="Y69" s="1"/>
      <c r="Z69" s="5">
        <f t="shared" si="44"/>
        <v>-0.96262814867007229</v>
      </c>
    </row>
    <row r="70" spans="1:26" s="24" customFormat="1" hidden="1" outlineLevel="2" x14ac:dyDescent="0.25">
      <c r="A70" s="26"/>
      <c r="B70" s="11" t="str">
        <f>CONCATENATE("          ", "6371", " - ", "COMPUTER SOFTWARE MAINTENANCE")</f>
        <v xml:space="preserve">          6371 - COMPUTER SOFTWARE MAINTENANCE</v>
      </c>
      <c r="C70" s="11"/>
      <c r="D70" s="7"/>
      <c r="E70" s="2"/>
      <c r="F70" s="6">
        <f t="shared" si="37"/>
        <v>0</v>
      </c>
      <c r="G70" s="2"/>
      <c r="H70" s="7">
        <v>497</v>
      </c>
      <c r="I70" s="2"/>
      <c r="J70" s="6">
        <f t="shared" si="38"/>
        <v>2.9501676906182293E-3</v>
      </c>
      <c r="K70" s="2"/>
      <c r="L70" s="7">
        <f t="shared" si="39"/>
        <v>-497</v>
      </c>
      <c r="M70" s="2"/>
      <c r="N70" s="6">
        <f t="shared" si="40"/>
        <v>-1</v>
      </c>
      <c r="O70" s="11"/>
      <c r="P70" s="7"/>
      <c r="Q70" s="2"/>
      <c r="R70" s="6">
        <f t="shared" si="41"/>
        <v>0</v>
      </c>
      <c r="S70" s="2"/>
      <c r="T70" s="7">
        <v>5467</v>
      </c>
      <c r="U70" s="2"/>
      <c r="V70" s="6">
        <f t="shared" si="42"/>
        <v>2.2035016611911644E-3</v>
      </c>
      <c r="W70" s="2"/>
      <c r="X70" s="7">
        <f t="shared" si="43"/>
        <v>-5467</v>
      </c>
      <c r="Y70" s="2"/>
      <c r="Z70" s="6">
        <f t="shared" si="44"/>
        <v>-1</v>
      </c>
    </row>
    <row r="71" spans="1:26" s="24" customFormat="1" hidden="1" outlineLevel="2" x14ac:dyDescent="0.25">
      <c r="A71" s="26"/>
      <c r="B71" s="11" t="str">
        <f>CONCATENATE("          ", "6372", " - ", "COMPUTER HARDWARE MAINTENANCE")</f>
        <v xml:space="preserve">          6372 - COMPUTER HARDWARE MAINTENANCE</v>
      </c>
      <c r="C71" s="11"/>
      <c r="D71" s="7"/>
      <c r="E71" s="2"/>
      <c r="F71" s="6">
        <f t="shared" si="37"/>
        <v>0</v>
      </c>
      <c r="G71" s="2"/>
      <c r="H71" s="7"/>
      <c r="I71" s="2"/>
      <c r="J71" s="6">
        <f t="shared" si="38"/>
        <v>0</v>
      </c>
      <c r="K71" s="2"/>
      <c r="L71" s="7">
        <f t="shared" si="39"/>
        <v>0</v>
      </c>
      <c r="M71" s="2"/>
      <c r="N71" s="6">
        <f t="shared" si="40"/>
        <v>0</v>
      </c>
      <c r="O71" s="11"/>
      <c r="P71" s="7"/>
      <c r="Q71" s="2"/>
      <c r="R71" s="6">
        <f t="shared" si="41"/>
        <v>0</v>
      </c>
      <c r="S71" s="2"/>
      <c r="T71" s="7">
        <v>210</v>
      </c>
      <c r="U71" s="2"/>
      <c r="V71" s="6">
        <f t="shared" si="42"/>
        <v>8.4641549085448067E-5</v>
      </c>
      <c r="W71" s="2"/>
      <c r="X71" s="7">
        <f t="shared" si="43"/>
        <v>-210</v>
      </c>
      <c r="Y71" s="2"/>
      <c r="Z71" s="6">
        <f t="shared" si="44"/>
        <v>-1</v>
      </c>
    </row>
    <row r="72" spans="1:26" s="24" customFormat="1" hidden="1" outlineLevel="2" x14ac:dyDescent="0.25">
      <c r="A72" s="26"/>
      <c r="B72" s="11" t="str">
        <f>CONCATENATE("          ", "6373", " - ", "MAINTENANCE CONTRACTS")</f>
        <v xml:space="preserve">          6373 - MAINTENANCE CONTRACTS</v>
      </c>
      <c r="C72" s="11"/>
      <c r="D72" s="7"/>
      <c r="E72" s="2"/>
      <c r="F72" s="6">
        <f t="shared" si="37"/>
        <v>0</v>
      </c>
      <c r="G72" s="2"/>
      <c r="H72" s="7"/>
      <c r="I72" s="2"/>
      <c r="J72" s="6">
        <f t="shared" si="38"/>
        <v>0</v>
      </c>
      <c r="K72" s="2"/>
      <c r="L72" s="7">
        <f t="shared" si="39"/>
        <v>0</v>
      </c>
      <c r="M72" s="2"/>
      <c r="N72" s="6">
        <f t="shared" si="40"/>
        <v>0</v>
      </c>
      <c r="O72" s="11"/>
      <c r="P72" s="7">
        <v>212.16</v>
      </c>
      <c r="Q72" s="2"/>
      <c r="R72" s="6">
        <f t="shared" si="41"/>
        <v>1.062723348597993E-4</v>
      </c>
      <c r="S72" s="2"/>
      <c r="T72" s="7"/>
      <c r="U72" s="2"/>
      <c r="V72" s="6">
        <f t="shared" si="42"/>
        <v>0</v>
      </c>
      <c r="W72" s="2"/>
      <c r="X72" s="7">
        <f t="shared" si="43"/>
        <v>212.16</v>
      </c>
      <c r="Y72" s="2"/>
      <c r="Z72" s="6">
        <f t="shared" si="44"/>
        <v>0</v>
      </c>
    </row>
    <row r="73" spans="1:26" s="24" customFormat="1" hidden="1" outlineLevel="2" x14ac:dyDescent="0.25">
      <c r="A73" s="26"/>
      <c r="B73" s="11" t="str">
        <f>CONCATENATE("          ", "6375", " - ", "OUTSIDE REPAIRS &amp; MAINTENANCE")</f>
        <v xml:space="preserve">          6375 - OUTSIDE REPAIRS &amp; MAINTENANCE</v>
      </c>
      <c r="C73" s="11"/>
      <c r="D73" s="7"/>
      <c r="E73" s="2"/>
      <c r="F73" s="6">
        <f t="shared" si="37"/>
        <v>0</v>
      </c>
      <c r="G73" s="2"/>
      <c r="H73" s="7"/>
      <c r="I73" s="2"/>
      <c r="J73" s="6">
        <f t="shared" si="38"/>
        <v>0</v>
      </c>
      <c r="K73" s="2"/>
      <c r="L73" s="7">
        <f t="shared" si="39"/>
        <v>0</v>
      </c>
      <c r="M73" s="2"/>
      <c r="N73" s="6">
        <f t="shared" si="40"/>
        <v>0</v>
      </c>
      <c r="O73" s="11"/>
      <c r="P73" s="7">
        <v>0</v>
      </c>
      <c r="Q73" s="2"/>
      <c r="R73" s="6">
        <f t="shared" si="41"/>
        <v>0</v>
      </c>
      <c r="S73" s="2"/>
      <c r="T73" s="7"/>
      <c r="U73" s="2"/>
      <c r="V73" s="6">
        <f t="shared" si="42"/>
        <v>0</v>
      </c>
      <c r="W73" s="2"/>
      <c r="X73" s="7">
        <f t="shared" si="43"/>
        <v>0</v>
      </c>
      <c r="Y73" s="2"/>
      <c r="Z73" s="6">
        <f t="shared" si="44"/>
        <v>0</v>
      </c>
    </row>
    <row r="74" spans="1:26" s="27" customFormat="1" outlineLevel="1" collapsed="1" x14ac:dyDescent="0.25">
      <c r="A74" s="25"/>
      <c r="B74" s="12" t="str">
        <f>CONCATENATE("     ","Services                                          ")</f>
        <v xml:space="preserve">     Services                                          </v>
      </c>
      <c r="C74" s="12"/>
      <c r="D74" s="1">
        <f>SUM(OSRRefD22_13x_0)</f>
        <v>597.87</v>
      </c>
      <c r="E74" s="1"/>
      <c r="F74" s="5">
        <f t="shared" ref="F74:F77" si="45">IF(D$12=0,0,D74/D$12)</f>
        <v>0</v>
      </c>
      <c r="G74" s="1"/>
      <c r="H74" s="1">
        <f>SUM(OSRRefH22_13x_0)</f>
        <v>6202</v>
      </c>
      <c r="I74" s="1"/>
      <c r="J74" s="5">
        <f t="shared" ref="J74:J77" si="46">IF(H$12=0,0,H74/H$12)</f>
        <v>3.6814768646306353E-2</v>
      </c>
      <c r="K74" s="1"/>
      <c r="L74" s="1">
        <f t="shared" ref="L74:L77" si="47">+D74-H74</f>
        <v>-5604.13</v>
      </c>
      <c r="M74" s="1"/>
      <c r="N74" s="5">
        <f t="shared" ref="N74:N77" si="48">IF(H74=0,0,L74/H74)</f>
        <v>-0.90360045146726864</v>
      </c>
      <c r="O74" s="12"/>
      <c r="P74" s="1">
        <f>SUM(OSRRefP22_13x_0)</f>
        <v>57045.48</v>
      </c>
      <c r="Q74" s="1"/>
      <c r="R74" s="5">
        <f t="shared" ref="R74:R77" si="49">IF(P$12=0,0,P74/P$12)</f>
        <v>2.8574454905722024E-2</v>
      </c>
      <c r="S74" s="1"/>
      <c r="T74" s="1">
        <f>SUM(OSRRefT22_13x_0)</f>
        <v>62770</v>
      </c>
      <c r="U74" s="1"/>
      <c r="V74" s="5">
        <f t="shared" ref="V74:V77" si="50">IF(T$12=0,0,T74/T$12)</f>
        <v>2.5299762076636072E-2</v>
      </c>
      <c r="W74" s="1"/>
      <c r="X74" s="1">
        <f t="shared" ref="X74:X77" si="51">+P74-T74</f>
        <v>-5724.5199999999968</v>
      </c>
      <c r="Y74" s="1"/>
      <c r="Z74" s="5">
        <f t="shared" ref="Z74:Z77" si="52">IF(T74=0,0,X74/T74)</f>
        <v>-9.1198343157559286E-2</v>
      </c>
    </row>
    <row r="75" spans="1:26" s="24" customFormat="1" hidden="1" outlineLevel="2" x14ac:dyDescent="0.25">
      <c r="A75" s="26"/>
      <c r="B75" s="11" t="str">
        <f>CONCATENATE("          ", "6282", " - ", "JANITORIAL/EXTERMINATOR EXPENS")</f>
        <v xml:space="preserve">          6282 - JANITORIAL/EXTERMINATOR EXPENS</v>
      </c>
      <c r="C75" s="11"/>
      <c r="D75" s="7">
        <v>597.87</v>
      </c>
      <c r="E75" s="2"/>
      <c r="F75" s="6">
        <f t="shared" si="45"/>
        <v>0</v>
      </c>
      <c r="G75" s="2"/>
      <c r="H75" s="7">
        <v>750</v>
      </c>
      <c r="I75" s="2"/>
      <c r="J75" s="6">
        <f t="shared" si="46"/>
        <v>4.4519633158222778E-3</v>
      </c>
      <c r="K75" s="2"/>
      <c r="L75" s="7">
        <f t="shared" si="47"/>
        <v>-152.13</v>
      </c>
      <c r="M75" s="2"/>
      <c r="N75" s="6">
        <f t="shared" si="48"/>
        <v>-0.20283999999999999</v>
      </c>
      <c r="O75" s="11"/>
      <c r="P75" s="7">
        <v>8113.91</v>
      </c>
      <c r="Q75" s="2"/>
      <c r="R75" s="6">
        <f t="shared" si="49"/>
        <v>4.0643107114549121E-3</v>
      </c>
      <c r="S75" s="2"/>
      <c r="T75" s="7">
        <v>8250</v>
      </c>
      <c r="U75" s="2"/>
      <c r="V75" s="6">
        <f t="shared" si="50"/>
        <v>3.3252037140711738E-3</v>
      </c>
      <c r="W75" s="2"/>
      <c r="X75" s="7">
        <f t="shared" si="51"/>
        <v>-136.09000000000015</v>
      </c>
      <c r="Y75" s="2"/>
      <c r="Z75" s="6">
        <f t="shared" si="52"/>
        <v>-1.6495757575757594E-2</v>
      </c>
    </row>
    <row r="76" spans="1:26" s="24" customFormat="1" hidden="1" outlineLevel="2" x14ac:dyDescent="0.25">
      <c r="A76" s="26"/>
      <c r="B76" s="11" t="str">
        <f>CONCATENATE("          ", "6285", " - ", "JANITORIAL SERVICES")</f>
        <v xml:space="preserve">          6285 - JANITORIAL SERVICES</v>
      </c>
      <c r="C76" s="11"/>
      <c r="D76" s="7"/>
      <c r="E76" s="2"/>
      <c r="F76" s="6">
        <f t="shared" si="45"/>
        <v>0</v>
      </c>
      <c r="G76" s="2"/>
      <c r="H76" s="7">
        <v>3852</v>
      </c>
      <c r="I76" s="2"/>
      <c r="J76" s="6">
        <f t="shared" si="46"/>
        <v>2.2865283590063217E-2</v>
      </c>
      <c r="K76" s="2"/>
      <c r="L76" s="7">
        <f t="shared" si="47"/>
        <v>-3852</v>
      </c>
      <c r="M76" s="2"/>
      <c r="N76" s="6">
        <f t="shared" si="48"/>
        <v>-1</v>
      </c>
      <c r="O76" s="11"/>
      <c r="P76" s="7">
        <v>35826.720000000001</v>
      </c>
      <c r="Q76" s="2"/>
      <c r="R76" s="6">
        <f t="shared" si="49"/>
        <v>1.7945838917648328E-2</v>
      </c>
      <c r="S76" s="2"/>
      <c r="T76" s="7">
        <v>38520</v>
      </c>
      <c r="U76" s="2"/>
      <c r="V76" s="6">
        <f t="shared" si="50"/>
        <v>1.5525678432245045E-2</v>
      </c>
      <c r="W76" s="2"/>
      <c r="X76" s="7">
        <f t="shared" si="51"/>
        <v>-2693.2799999999988</v>
      </c>
      <c r="Y76" s="2"/>
      <c r="Z76" s="6">
        <f t="shared" si="52"/>
        <v>-6.9919003115264763E-2</v>
      </c>
    </row>
    <row r="77" spans="1:26" s="24" customFormat="1" hidden="1" outlineLevel="2" x14ac:dyDescent="0.25">
      <c r="A77" s="26"/>
      <c r="B77" s="11" t="str">
        <f>CONCATENATE("          ", "6286", " - ", "LAUNDRY EXPENSE")</f>
        <v xml:space="preserve">          6286 - LAUNDRY EXPENSE</v>
      </c>
      <c r="C77" s="11"/>
      <c r="D77" s="7"/>
      <c r="E77" s="2"/>
      <c r="F77" s="6">
        <f t="shared" si="45"/>
        <v>0</v>
      </c>
      <c r="G77" s="2"/>
      <c r="H77" s="7">
        <v>1600</v>
      </c>
      <c r="I77" s="2"/>
      <c r="J77" s="6">
        <f t="shared" si="46"/>
        <v>9.4975217404208584E-3</v>
      </c>
      <c r="K77" s="2"/>
      <c r="L77" s="7">
        <f t="shared" si="47"/>
        <v>-1600</v>
      </c>
      <c r="M77" s="2"/>
      <c r="N77" s="6">
        <f t="shared" si="48"/>
        <v>-1</v>
      </c>
      <c r="O77" s="11"/>
      <c r="P77" s="7">
        <v>13104.85</v>
      </c>
      <c r="Q77" s="2"/>
      <c r="R77" s="6">
        <f t="shared" si="49"/>
        <v>6.5643052766187829E-3</v>
      </c>
      <c r="S77" s="2"/>
      <c r="T77" s="7">
        <v>16000</v>
      </c>
      <c r="U77" s="2"/>
      <c r="V77" s="6">
        <f t="shared" si="50"/>
        <v>6.4488799303198526E-3</v>
      </c>
      <c r="W77" s="2"/>
      <c r="X77" s="7">
        <f t="shared" si="51"/>
        <v>-2895.1499999999996</v>
      </c>
      <c r="Y77" s="2"/>
      <c r="Z77" s="6">
        <f t="shared" si="52"/>
        <v>-0.18094687499999998</v>
      </c>
    </row>
    <row r="78" spans="1:26" s="27" customFormat="1" outlineLevel="1" collapsed="1" x14ac:dyDescent="0.25">
      <c r="A78" s="25"/>
      <c r="B78" s="12" t="str">
        <f>CONCATENATE("     ","Supplies                                          ")</f>
        <v xml:space="preserve">     Supplies                                          </v>
      </c>
      <c r="C78" s="12"/>
      <c r="D78" s="1">
        <f>SUM(OSRRefD22_14x_0)</f>
        <v>0</v>
      </c>
      <c r="E78" s="1"/>
      <c r="F78" s="5">
        <f t="shared" ref="F78:F84" si="53">IF(D$12=0,0,D78/D$12)</f>
        <v>0</v>
      </c>
      <c r="G78" s="1"/>
      <c r="H78" s="1">
        <f>SUM(OSRRefH22_14x_0)</f>
        <v>5088</v>
      </c>
      <c r="I78" s="1"/>
      <c r="J78" s="5">
        <f t="shared" ref="J78:J84" si="54">IF(H$12=0,0,H78/H$12)</f>
        <v>3.0202119134538331E-2</v>
      </c>
      <c r="K78" s="1"/>
      <c r="L78" s="1">
        <f t="shared" ref="L78:L84" si="55">+D78-H78</f>
        <v>-5088</v>
      </c>
      <c r="M78" s="1"/>
      <c r="N78" s="5">
        <f t="shared" ref="N78:N84" si="56">IF(H78=0,0,L78/H78)</f>
        <v>-1</v>
      </c>
      <c r="O78" s="12"/>
      <c r="P78" s="1">
        <f>SUM(OSRRefP22_14x_0)</f>
        <v>43096.97</v>
      </c>
      <c r="Q78" s="1"/>
      <c r="R78" s="5">
        <f t="shared" ref="R78:R84" si="57">IF(P$12=0,0,P78/P$12)</f>
        <v>2.1587554804311487E-2</v>
      </c>
      <c r="S78" s="1"/>
      <c r="T78" s="1">
        <f>SUM(OSRRefT22_14x_0)</f>
        <v>56880</v>
      </c>
      <c r="U78" s="1"/>
      <c r="V78" s="5">
        <f t="shared" ref="V78:V84" si="58">IF(T$12=0,0,T78/T$12)</f>
        <v>2.2925768152287074E-2</v>
      </c>
      <c r="W78" s="1"/>
      <c r="X78" s="1">
        <f t="shared" ref="X78:X84" si="59">+P78-T78</f>
        <v>-13783.029999999999</v>
      </c>
      <c r="Y78" s="1"/>
      <c r="Z78" s="5">
        <f t="shared" ref="Z78:Z84" si="60">IF(T78=0,0,X78/T78)</f>
        <v>-0.24231768635724329</v>
      </c>
    </row>
    <row r="79" spans="1:26" s="24" customFormat="1" hidden="1" outlineLevel="2" x14ac:dyDescent="0.25">
      <c r="A79" s="26"/>
      <c r="B79" s="11" t="str">
        <f>CONCATENATE("          ", "6237", " - ", "JANITORIAL SUPPLIES")</f>
        <v xml:space="preserve">          6237 - JANITORIAL SUPPLIES</v>
      </c>
      <c r="C79" s="11"/>
      <c r="D79" s="7"/>
      <c r="E79" s="2"/>
      <c r="F79" s="6">
        <f t="shared" si="53"/>
        <v>0</v>
      </c>
      <c r="G79" s="2"/>
      <c r="H79" s="7">
        <v>2005</v>
      </c>
      <c r="I79" s="2"/>
      <c r="J79" s="6">
        <f t="shared" si="54"/>
        <v>1.1901581930964888E-2</v>
      </c>
      <c r="K79" s="2"/>
      <c r="L79" s="7">
        <f t="shared" si="55"/>
        <v>-2005</v>
      </c>
      <c r="M79" s="2"/>
      <c r="N79" s="6">
        <f t="shared" si="56"/>
        <v>-1</v>
      </c>
      <c r="O79" s="11"/>
      <c r="P79" s="7">
        <v>12287.44</v>
      </c>
      <c r="Q79" s="2"/>
      <c r="R79" s="6">
        <f t="shared" si="57"/>
        <v>6.1548592489144632E-3</v>
      </c>
      <c r="S79" s="2"/>
      <c r="T79" s="7">
        <v>20050</v>
      </c>
      <c r="U79" s="2"/>
      <c r="V79" s="6">
        <f t="shared" si="58"/>
        <v>8.0812526626820643E-3</v>
      </c>
      <c r="W79" s="2"/>
      <c r="X79" s="7">
        <f t="shared" si="59"/>
        <v>-7762.5599999999995</v>
      </c>
      <c r="Y79" s="2"/>
      <c r="Z79" s="6">
        <f t="shared" si="60"/>
        <v>-0.38716009975062343</v>
      </c>
    </row>
    <row r="80" spans="1:26" s="24" customFormat="1" hidden="1" outlineLevel="2" x14ac:dyDescent="0.25">
      <c r="A80" s="26"/>
      <c r="B80" s="11" t="str">
        <f>CONCATENATE("          ", "6239", " - ", "KITCHEN SUPPLIES")</f>
        <v xml:space="preserve">          6239 - KITCHEN SUPPLIES</v>
      </c>
      <c r="C80" s="11"/>
      <c r="D80" s="7"/>
      <c r="E80" s="2"/>
      <c r="F80" s="6">
        <f t="shared" si="53"/>
        <v>0</v>
      </c>
      <c r="G80" s="2"/>
      <c r="H80" s="7">
        <v>750</v>
      </c>
      <c r="I80" s="2"/>
      <c r="J80" s="6">
        <f t="shared" si="54"/>
        <v>4.4519633158222778E-3</v>
      </c>
      <c r="K80" s="2"/>
      <c r="L80" s="7">
        <f t="shared" si="55"/>
        <v>-750</v>
      </c>
      <c r="M80" s="2"/>
      <c r="N80" s="6">
        <f t="shared" si="56"/>
        <v>-1</v>
      </c>
      <c r="O80" s="11"/>
      <c r="P80" s="7">
        <v>4550.0600000000004</v>
      </c>
      <c r="Q80" s="2"/>
      <c r="R80" s="6">
        <f t="shared" si="57"/>
        <v>2.279154882881686E-3</v>
      </c>
      <c r="S80" s="2"/>
      <c r="T80" s="7">
        <v>7500</v>
      </c>
      <c r="U80" s="2"/>
      <c r="V80" s="6">
        <f t="shared" si="58"/>
        <v>3.0229124673374309E-3</v>
      </c>
      <c r="W80" s="2"/>
      <c r="X80" s="7">
        <f t="shared" si="59"/>
        <v>-2949.9399999999996</v>
      </c>
      <c r="Y80" s="2"/>
      <c r="Z80" s="6">
        <f t="shared" si="60"/>
        <v>-0.3933253333333333</v>
      </c>
    </row>
    <row r="81" spans="1:26" s="24" customFormat="1" hidden="1" outlineLevel="2" x14ac:dyDescent="0.25">
      <c r="A81" s="26"/>
      <c r="B81" s="11" t="str">
        <f>CONCATENATE("          ", "6241", " - ", "OFFICE EXPENSE")</f>
        <v xml:space="preserve">          6241 - OFFICE EXPENSE</v>
      </c>
      <c r="C81" s="11"/>
      <c r="D81" s="7"/>
      <c r="E81" s="2"/>
      <c r="F81" s="6">
        <f t="shared" si="53"/>
        <v>0</v>
      </c>
      <c r="G81" s="2"/>
      <c r="H81" s="7">
        <v>524</v>
      </c>
      <c r="I81" s="2"/>
      <c r="J81" s="6">
        <f t="shared" si="54"/>
        <v>3.1104383699878313E-3</v>
      </c>
      <c r="K81" s="2"/>
      <c r="L81" s="7">
        <f t="shared" si="55"/>
        <v>-524</v>
      </c>
      <c r="M81" s="2"/>
      <c r="N81" s="6">
        <f t="shared" si="56"/>
        <v>-1</v>
      </c>
      <c r="O81" s="11"/>
      <c r="P81" s="7">
        <v>18733.82</v>
      </c>
      <c r="Q81" s="2"/>
      <c r="R81" s="6">
        <f t="shared" si="57"/>
        <v>9.3838932515234036E-3</v>
      </c>
      <c r="S81" s="2"/>
      <c r="T81" s="7">
        <v>5240</v>
      </c>
      <c r="U81" s="2"/>
      <c r="V81" s="6">
        <f t="shared" si="58"/>
        <v>2.1120081771797516E-3</v>
      </c>
      <c r="W81" s="2"/>
      <c r="X81" s="7">
        <f t="shared" si="59"/>
        <v>13493.82</v>
      </c>
      <c r="Y81" s="2"/>
      <c r="Z81" s="6">
        <f t="shared" si="60"/>
        <v>2.5751564885496183</v>
      </c>
    </row>
    <row r="82" spans="1:26" s="24" customFormat="1" hidden="1" outlineLevel="2" x14ac:dyDescent="0.25">
      <c r="A82" s="26"/>
      <c r="B82" s="11" t="str">
        <f>CONCATENATE("          ", "6243", " - ", "PAPER SUPPLIES")</f>
        <v xml:space="preserve">          6243 - PAPER SUPPLIES</v>
      </c>
      <c r="C82" s="11"/>
      <c r="D82" s="7"/>
      <c r="E82" s="2"/>
      <c r="F82" s="6">
        <f t="shared" si="53"/>
        <v>0</v>
      </c>
      <c r="G82" s="2"/>
      <c r="H82" s="7">
        <v>1809</v>
      </c>
      <c r="I82" s="2"/>
      <c r="J82" s="6">
        <f t="shared" si="54"/>
        <v>1.0738135517763333E-2</v>
      </c>
      <c r="K82" s="2"/>
      <c r="L82" s="7">
        <f t="shared" si="55"/>
        <v>-1809</v>
      </c>
      <c r="M82" s="2"/>
      <c r="N82" s="6">
        <f t="shared" si="56"/>
        <v>-1</v>
      </c>
      <c r="O82" s="11"/>
      <c r="P82" s="7">
        <v>14386.16</v>
      </c>
      <c r="Q82" s="2"/>
      <c r="R82" s="6">
        <f t="shared" si="57"/>
        <v>7.2061218555177714E-3</v>
      </c>
      <c r="S82" s="2"/>
      <c r="T82" s="7">
        <v>18090</v>
      </c>
      <c r="U82" s="2"/>
      <c r="V82" s="6">
        <f t="shared" si="58"/>
        <v>7.291264871217883E-3</v>
      </c>
      <c r="W82" s="2"/>
      <c r="X82" s="7">
        <f t="shared" si="59"/>
        <v>-3703.84</v>
      </c>
      <c r="Y82" s="2"/>
      <c r="Z82" s="6">
        <f t="shared" si="60"/>
        <v>-0.20474516307352128</v>
      </c>
    </row>
    <row r="83" spans="1:26" s="24" customFormat="1" hidden="1" outlineLevel="2" x14ac:dyDescent="0.25">
      <c r="A83" s="26"/>
      <c r="B83" s="11" t="str">
        <f>CONCATENATE("          ", "6245", " - ", "PRINTING")</f>
        <v xml:space="preserve">          6245 - PRINTING</v>
      </c>
      <c r="C83" s="11"/>
      <c r="D83" s="7"/>
      <c r="E83" s="2"/>
      <c r="F83" s="6">
        <f t="shared" si="53"/>
        <v>0</v>
      </c>
      <c r="G83" s="2"/>
      <c r="H83" s="7"/>
      <c r="I83" s="2"/>
      <c r="J83" s="6">
        <f t="shared" si="54"/>
        <v>0</v>
      </c>
      <c r="K83" s="2"/>
      <c r="L83" s="7">
        <f t="shared" si="55"/>
        <v>0</v>
      </c>
      <c r="M83" s="2"/>
      <c r="N83" s="6">
        <f t="shared" si="56"/>
        <v>0</v>
      </c>
      <c r="O83" s="11"/>
      <c r="P83" s="7">
        <v>469.44</v>
      </c>
      <c r="Q83" s="2"/>
      <c r="R83" s="6">
        <f t="shared" si="57"/>
        <v>2.3514557351331157E-4</v>
      </c>
      <c r="S83" s="2"/>
      <c r="T83" s="7"/>
      <c r="U83" s="2"/>
      <c r="V83" s="6">
        <f t="shared" si="58"/>
        <v>0</v>
      </c>
      <c r="W83" s="2"/>
      <c r="X83" s="7">
        <f t="shared" si="59"/>
        <v>469.44</v>
      </c>
      <c r="Y83" s="2"/>
      <c r="Z83" s="6">
        <f t="shared" si="60"/>
        <v>0</v>
      </c>
    </row>
    <row r="84" spans="1:26" s="24" customFormat="1" hidden="1" outlineLevel="2" x14ac:dyDescent="0.25">
      <c r="A84" s="26"/>
      <c r="B84" s="11" t="str">
        <f>CONCATENATE("          ", "6248", " - ", "UNIFORMS")</f>
        <v xml:space="preserve">          6248 - UNIFORMS</v>
      </c>
      <c r="C84" s="11"/>
      <c r="D84" s="7"/>
      <c r="E84" s="2"/>
      <c r="F84" s="6">
        <f t="shared" si="53"/>
        <v>0</v>
      </c>
      <c r="G84" s="2"/>
      <c r="H84" s="7"/>
      <c r="I84" s="2"/>
      <c r="J84" s="6">
        <f t="shared" si="54"/>
        <v>0</v>
      </c>
      <c r="K84" s="2"/>
      <c r="L84" s="7">
        <f t="shared" si="55"/>
        <v>0</v>
      </c>
      <c r="M84" s="2"/>
      <c r="N84" s="6">
        <f t="shared" si="56"/>
        <v>0</v>
      </c>
      <c r="O84" s="11"/>
      <c r="P84" s="7">
        <v>-7329.95</v>
      </c>
      <c r="Q84" s="2"/>
      <c r="R84" s="6">
        <f t="shared" si="57"/>
        <v>-3.6716200080391492E-3</v>
      </c>
      <c r="S84" s="2"/>
      <c r="T84" s="7">
        <v>6000</v>
      </c>
      <c r="U84" s="2"/>
      <c r="V84" s="6">
        <f t="shared" si="58"/>
        <v>2.4183299738699446E-3</v>
      </c>
      <c r="W84" s="2"/>
      <c r="X84" s="7">
        <f t="shared" si="59"/>
        <v>-13329.95</v>
      </c>
      <c r="Y84" s="2"/>
      <c r="Z84" s="6">
        <f t="shared" si="60"/>
        <v>-2.2216583333333335</v>
      </c>
    </row>
    <row r="85" spans="1:26" s="27" customFormat="1" outlineLevel="1" collapsed="1" x14ac:dyDescent="0.25">
      <c r="A85" s="25"/>
      <c r="B85" s="12" t="str">
        <f>CONCATENATE("     ","Telephone/Data Lines                              ")</f>
        <v xml:space="preserve">     Telephone/Data Lines                              </v>
      </c>
      <c r="C85" s="12"/>
      <c r="D85" s="1">
        <f>SUM(OSRRefD22_15x_0)</f>
        <v>109</v>
      </c>
      <c r="E85" s="1"/>
      <c r="F85" s="5">
        <f t="shared" ref="F85:F91" si="61">IF(D$12=0,0,D85/D$12)</f>
        <v>0</v>
      </c>
      <c r="G85" s="1"/>
      <c r="H85" s="1">
        <f>SUM(OSRRefH22_15x_0)</f>
        <v>233</v>
      </c>
      <c r="I85" s="1"/>
      <c r="J85" s="5">
        <f t="shared" ref="J85:J91" si="62">IF(H$12=0,0,H85/H$12)</f>
        <v>1.3830766034487875E-3</v>
      </c>
      <c r="K85" s="1"/>
      <c r="L85" s="1">
        <f t="shared" ref="L85:L91" si="63">+D85-H85</f>
        <v>-124</v>
      </c>
      <c r="M85" s="1"/>
      <c r="N85" s="5">
        <f t="shared" ref="N85:N91" si="64">IF(H85=0,0,L85/H85)</f>
        <v>-0.53218884120171672</v>
      </c>
      <c r="O85" s="12"/>
      <c r="P85" s="1">
        <f>SUM(OSRRefP22_15x_0)</f>
        <v>1491.3</v>
      </c>
      <c r="Q85" s="1"/>
      <c r="R85" s="5">
        <f t="shared" ref="R85:R91" si="65">IF(P$12=0,0,P85/P$12)</f>
        <v>7.4700194653289358E-4</v>
      </c>
      <c r="S85" s="1"/>
      <c r="T85" s="1">
        <f>SUM(OSRRefT22_15x_0)</f>
        <v>2563</v>
      </c>
      <c r="U85" s="1"/>
      <c r="V85" s="5">
        <f t="shared" ref="V85:V91" si="66">IF(T$12=0,0,T85/T$12)</f>
        <v>1.0330299538381113E-3</v>
      </c>
      <c r="W85" s="1"/>
      <c r="X85" s="1">
        <f t="shared" ref="X85:X91" si="67">+P85-T85</f>
        <v>-1071.7</v>
      </c>
      <c r="Y85" s="1"/>
      <c r="Z85" s="5">
        <f t="shared" ref="Z85:Z91" si="68">IF(T85=0,0,X85/T85)</f>
        <v>-0.41814280140460397</v>
      </c>
    </row>
    <row r="86" spans="1:26" s="24" customFormat="1" hidden="1" outlineLevel="2" x14ac:dyDescent="0.25">
      <c r="A86" s="26"/>
      <c r="B86" s="11" t="str">
        <f>CONCATENATE("          ", "6309", " - ", "TELEPHONE")</f>
        <v xml:space="preserve">          6309 - TELEPHONE</v>
      </c>
      <c r="C86" s="11"/>
      <c r="D86" s="7">
        <v>109</v>
      </c>
      <c r="E86" s="2"/>
      <c r="F86" s="6">
        <f t="shared" si="61"/>
        <v>0</v>
      </c>
      <c r="G86" s="2"/>
      <c r="H86" s="7">
        <v>233</v>
      </c>
      <c r="I86" s="2"/>
      <c r="J86" s="6">
        <f t="shared" si="62"/>
        <v>1.3830766034487875E-3</v>
      </c>
      <c r="K86" s="2"/>
      <c r="L86" s="7">
        <f t="shared" si="63"/>
        <v>-124</v>
      </c>
      <c r="M86" s="2"/>
      <c r="N86" s="6">
        <f t="shared" si="64"/>
        <v>-0.53218884120171672</v>
      </c>
      <c r="O86" s="11"/>
      <c r="P86" s="7">
        <v>1491.3</v>
      </c>
      <c r="Q86" s="2"/>
      <c r="R86" s="6">
        <f t="shared" si="65"/>
        <v>7.4700194653289358E-4</v>
      </c>
      <c r="S86" s="2"/>
      <c r="T86" s="7">
        <v>2563</v>
      </c>
      <c r="U86" s="2"/>
      <c r="V86" s="6">
        <f t="shared" si="66"/>
        <v>1.0330299538381113E-3</v>
      </c>
      <c r="W86" s="2"/>
      <c r="X86" s="7">
        <f t="shared" si="67"/>
        <v>-1071.7</v>
      </c>
      <c r="Y86" s="2"/>
      <c r="Z86" s="6">
        <f t="shared" si="68"/>
        <v>-0.41814280140460397</v>
      </c>
    </row>
    <row r="87" spans="1:26" s="27" customFormat="1" outlineLevel="1" collapsed="1" x14ac:dyDescent="0.25">
      <c r="A87" s="25"/>
      <c r="B87" s="12" t="str">
        <f>CONCATENATE("     ","Training                                          ")</f>
        <v xml:space="preserve">     Training                                          </v>
      </c>
      <c r="C87" s="12"/>
      <c r="D87" s="1">
        <f>SUM(OSRRefD22_16x_0)</f>
        <v>0</v>
      </c>
      <c r="E87" s="1"/>
      <c r="F87" s="5">
        <f t="shared" si="61"/>
        <v>0</v>
      </c>
      <c r="G87" s="1"/>
      <c r="H87" s="1">
        <f>SUM(OSRRefH22_16x_0)</f>
        <v>1379</v>
      </c>
      <c r="I87" s="1"/>
      <c r="J87" s="5">
        <f t="shared" si="62"/>
        <v>8.1856765500252279E-3</v>
      </c>
      <c r="K87" s="1"/>
      <c r="L87" s="1">
        <f t="shared" si="63"/>
        <v>-1379</v>
      </c>
      <c r="M87" s="1"/>
      <c r="N87" s="5">
        <f t="shared" si="64"/>
        <v>-1</v>
      </c>
      <c r="O87" s="12"/>
      <c r="P87" s="1">
        <f>SUM(OSRRefP22_16x_0)</f>
        <v>1657.1</v>
      </c>
      <c r="Q87" s="1"/>
      <c r="R87" s="5">
        <f t="shared" si="65"/>
        <v>8.3005225346989737E-4</v>
      </c>
      <c r="S87" s="1"/>
      <c r="T87" s="1">
        <f>SUM(OSRRefT22_16x_0)</f>
        <v>5516</v>
      </c>
      <c r="U87" s="1"/>
      <c r="V87" s="5">
        <f t="shared" si="66"/>
        <v>2.2232513559777693E-3</v>
      </c>
      <c r="W87" s="1"/>
      <c r="X87" s="1">
        <f t="shared" si="67"/>
        <v>-3858.9</v>
      </c>
      <c r="Y87" s="1"/>
      <c r="Z87" s="5">
        <f t="shared" si="68"/>
        <v>-0.69958303118201592</v>
      </c>
    </row>
    <row r="88" spans="1:26" s="24" customFormat="1" hidden="1" outlineLevel="2" x14ac:dyDescent="0.25">
      <c r="A88" s="26"/>
      <c r="B88" s="11" t="str">
        <f>CONCATENATE("          ", "6376", " - ", "TRAINING")</f>
        <v xml:space="preserve">          6376 - TRAINING</v>
      </c>
      <c r="C88" s="11"/>
      <c r="D88" s="7"/>
      <c r="E88" s="2"/>
      <c r="F88" s="6">
        <f t="shared" si="61"/>
        <v>0</v>
      </c>
      <c r="G88" s="2"/>
      <c r="H88" s="7">
        <v>1379</v>
      </c>
      <c r="I88" s="2"/>
      <c r="J88" s="6">
        <f t="shared" si="62"/>
        <v>8.1856765500252279E-3</v>
      </c>
      <c r="K88" s="2"/>
      <c r="L88" s="7">
        <f t="shared" si="63"/>
        <v>-1379</v>
      </c>
      <c r="M88" s="2"/>
      <c r="N88" s="6">
        <f t="shared" si="64"/>
        <v>-1</v>
      </c>
      <c r="O88" s="11"/>
      <c r="P88" s="7">
        <v>1657.1</v>
      </c>
      <c r="Q88" s="2"/>
      <c r="R88" s="6">
        <f t="shared" si="65"/>
        <v>8.3005225346989737E-4</v>
      </c>
      <c r="S88" s="2"/>
      <c r="T88" s="7">
        <v>5516</v>
      </c>
      <c r="U88" s="2"/>
      <c r="V88" s="6">
        <f t="shared" si="66"/>
        <v>2.2232513559777693E-3</v>
      </c>
      <c r="W88" s="2"/>
      <c r="X88" s="7">
        <f t="shared" si="67"/>
        <v>-3858.9</v>
      </c>
      <c r="Y88" s="2"/>
      <c r="Z88" s="6">
        <f t="shared" si="68"/>
        <v>-0.69958303118201592</v>
      </c>
    </row>
    <row r="89" spans="1:26" s="27" customFormat="1" outlineLevel="1" collapsed="1" x14ac:dyDescent="0.25">
      <c r="A89" s="25"/>
      <c r="B89" s="12" t="str">
        <f>CONCATENATE("     ","Travel                                            ")</f>
        <v xml:space="preserve">     Travel                                            </v>
      </c>
      <c r="C89" s="12"/>
      <c r="D89" s="1">
        <f>SUM(OSRRefD22_17x_0)</f>
        <v>0</v>
      </c>
      <c r="E89" s="1"/>
      <c r="F89" s="5">
        <f t="shared" si="61"/>
        <v>0</v>
      </c>
      <c r="G89" s="1"/>
      <c r="H89" s="1">
        <f>SUM(OSRRefH22_17x_0)</f>
        <v>50</v>
      </c>
      <c r="I89" s="1"/>
      <c r="J89" s="5">
        <f t="shared" si="62"/>
        <v>2.9679755438815182E-4</v>
      </c>
      <c r="K89" s="1"/>
      <c r="L89" s="1">
        <f t="shared" si="63"/>
        <v>-50</v>
      </c>
      <c r="M89" s="1"/>
      <c r="N89" s="5">
        <f t="shared" si="64"/>
        <v>-1</v>
      </c>
      <c r="O89" s="12"/>
      <c r="P89" s="1">
        <f>SUM(OSRRefP22_17x_0)</f>
        <v>79.510000000000005</v>
      </c>
      <c r="Q89" s="1"/>
      <c r="R89" s="5">
        <f t="shared" si="65"/>
        <v>3.9827080244639157E-5</v>
      </c>
      <c r="S89" s="1"/>
      <c r="T89" s="1">
        <f>SUM(OSRRefT22_17x_0)</f>
        <v>550</v>
      </c>
      <c r="U89" s="1"/>
      <c r="V89" s="5">
        <f t="shared" si="66"/>
        <v>2.2168024760474493E-4</v>
      </c>
      <c r="W89" s="1"/>
      <c r="X89" s="1">
        <f t="shared" si="67"/>
        <v>-470.49</v>
      </c>
      <c r="Y89" s="1"/>
      <c r="Z89" s="5">
        <f t="shared" si="68"/>
        <v>-0.85543636363636366</v>
      </c>
    </row>
    <row r="90" spans="1:26" s="24" customFormat="1" hidden="1" outlineLevel="2" x14ac:dyDescent="0.25">
      <c r="A90" s="26"/>
      <c r="B90" s="11" t="str">
        <f>CONCATENATE("          ", "6292", " - ", "TRAVEL/CONFERENCE")</f>
        <v xml:space="preserve">          6292 - TRAVEL/CONFERENCE</v>
      </c>
      <c r="C90" s="11"/>
      <c r="D90" s="7"/>
      <c r="E90" s="2"/>
      <c r="F90" s="6">
        <f t="shared" si="61"/>
        <v>0</v>
      </c>
      <c r="G90" s="2"/>
      <c r="H90" s="7"/>
      <c r="I90" s="2"/>
      <c r="J90" s="6">
        <f t="shared" si="62"/>
        <v>0</v>
      </c>
      <c r="K90" s="2"/>
      <c r="L90" s="7">
        <f t="shared" si="63"/>
        <v>0</v>
      </c>
      <c r="M90" s="2"/>
      <c r="N90" s="6">
        <f t="shared" si="64"/>
        <v>0</v>
      </c>
      <c r="O90" s="11"/>
      <c r="P90" s="7">
        <v>79.510000000000005</v>
      </c>
      <c r="Q90" s="2"/>
      <c r="R90" s="6">
        <f t="shared" si="65"/>
        <v>3.9827080244639157E-5</v>
      </c>
      <c r="S90" s="2"/>
      <c r="T90" s="7"/>
      <c r="U90" s="2"/>
      <c r="V90" s="6">
        <f t="shared" si="66"/>
        <v>0</v>
      </c>
      <c r="W90" s="2"/>
      <c r="X90" s="7">
        <f t="shared" si="67"/>
        <v>79.510000000000005</v>
      </c>
      <c r="Y90" s="2"/>
      <c r="Z90" s="6">
        <f t="shared" si="68"/>
        <v>0</v>
      </c>
    </row>
    <row r="91" spans="1:26" s="24" customFormat="1" hidden="1" outlineLevel="2" x14ac:dyDescent="0.25">
      <c r="A91" s="26"/>
      <c r="B91" s="11" t="str">
        <f>CONCATENATE("          ", "6298", " - ", "VEHICLE MILEAGE")</f>
        <v xml:space="preserve">          6298 - VEHICLE MILEAGE</v>
      </c>
      <c r="C91" s="11"/>
      <c r="D91" s="7"/>
      <c r="E91" s="2"/>
      <c r="F91" s="6">
        <f t="shared" si="61"/>
        <v>0</v>
      </c>
      <c r="G91" s="2"/>
      <c r="H91" s="7">
        <v>50</v>
      </c>
      <c r="I91" s="2"/>
      <c r="J91" s="6">
        <f t="shared" si="62"/>
        <v>2.9679755438815182E-4</v>
      </c>
      <c r="K91" s="2"/>
      <c r="L91" s="7">
        <f t="shared" si="63"/>
        <v>-50</v>
      </c>
      <c r="M91" s="2"/>
      <c r="N91" s="6">
        <f t="shared" si="64"/>
        <v>-1</v>
      </c>
      <c r="O91" s="11"/>
      <c r="P91" s="7"/>
      <c r="Q91" s="2"/>
      <c r="R91" s="6">
        <f t="shared" si="65"/>
        <v>0</v>
      </c>
      <c r="S91" s="2"/>
      <c r="T91" s="7">
        <v>550</v>
      </c>
      <c r="U91" s="2"/>
      <c r="V91" s="6">
        <f t="shared" si="66"/>
        <v>2.2168024760474493E-4</v>
      </c>
      <c r="W91" s="2"/>
      <c r="X91" s="7">
        <f t="shared" si="67"/>
        <v>-550</v>
      </c>
      <c r="Y91" s="2"/>
      <c r="Z91" s="6">
        <f t="shared" si="68"/>
        <v>-1</v>
      </c>
    </row>
    <row r="92" spans="1:26" s="62" customFormat="1" x14ac:dyDescent="0.25">
      <c r="A92" s="36"/>
      <c r="B92" s="36"/>
      <c r="C92" s="36"/>
      <c r="D92" s="1"/>
      <c r="E92" s="1"/>
      <c r="F92" s="5"/>
      <c r="G92" s="1"/>
      <c r="H92" s="1"/>
      <c r="I92" s="1"/>
      <c r="J92" s="5"/>
      <c r="K92" s="1"/>
      <c r="L92" s="1"/>
      <c r="M92" s="1"/>
      <c r="N92" s="5"/>
      <c r="O92" s="36"/>
      <c r="P92" s="1"/>
      <c r="Q92" s="1"/>
      <c r="R92" s="5"/>
      <c r="S92" s="1"/>
      <c r="T92" s="1"/>
      <c r="U92" s="1"/>
      <c r="V92" s="5"/>
      <c r="W92" s="1"/>
      <c r="X92" s="1"/>
      <c r="Y92" s="1"/>
      <c r="Z92" s="5"/>
    </row>
    <row r="93" spans="1:26" s="23" customFormat="1" x14ac:dyDescent="0.25">
      <c r="A93" s="10"/>
      <c r="B93" s="28" t="s">
        <v>0</v>
      </c>
      <c r="C93" s="10"/>
      <c r="D93" s="4">
        <f>SUM(0)</f>
        <v>0</v>
      </c>
      <c r="E93" s="4"/>
      <c r="F93" s="13">
        <f>IF(D$12=0,0,D93/D$12)</f>
        <v>0</v>
      </c>
      <c r="G93" s="4"/>
      <c r="H93" s="4">
        <f>SUM(0)</f>
        <v>0</v>
      </c>
      <c r="I93" s="4"/>
      <c r="J93" s="13">
        <f>IF(H$12=0,0,H93/H$12)</f>
        <v>0</v>
      </c>
      <c r="K93" s="4"/>
      <c r="L93" s="4">
        <f>+D93-H93</f>
        <v>0</v>
      </c>
      <c r="M93" s="4"/>
      <c r="N93" s="13">
        <f>IF(H93=0,0,L93/H93)</f>
        <v>0</v>
      </c>
      <c r="O93" s="10"/>
      <c r="P93" s="4">
        <f>SUM(0)</f>
        <v>0</v>
      </c>
      <c r="Q93" s="4"/>
      <c r="R93" s="13">
        <f>IF(P$12=0,0,P93/P$12)</f>
        <v>0</v>
      </c>
      <c r="S93" s="4"/>
      <c r="T93" s="4">
        <f>SUM(0)</f>
        <v>0</v>
      </c>
      <c r="U93" s="4"/>
      <c r="V93" s="13">
        <f>IF(T$12=0,0,T93/T$12)</f>
        <v>0</v>
      </c>
      <c r="W93" s="4"/>
      <c r="X93" s="4">
        <f>+P93-T93</f>
        <v>0</v>
      </c>
      <c r="Y93" s="4"/>
      <c r="Z93" s="13">
        <f>IF(T93=0,0,X93/T93)</f>
        <v>0</v>
      </c>
    </row>
    <row r="94" spans="1:26" x14ac:dyDescent="0.25">
      <c r="A94" s="9"/>
      <c r="B94" s="10"/>
      <c r="C94" s="10"/>
      <c r="D94" s="3"/>
      <c r="E94" s="3"/>
      <c r="F94" s="8"/>
      <c r="G94" s="3"/>
      <c r="H94" s="3"/>
      <c r="I94" s="3"/>
      <c r="J94" s="8"/>
      <c r="K94" s="3"/>
      <c r="L94" s="3"/>
      <c r="M94" s="3"/>
      <c r="N94" s="8"/>
      <c r="O94" s="10"/>
      <c r="P94" s="3"/>
      <c r="Q94" s="3"/>
      <c r="R94" s="8"/>
      <c r="S94" s="3"/>
      <c r="T94" s="3"/>
      <c r="U94" s="3"/>
      <c r="V94" s="8"/>
      <c r="W94" s="3"/>
      <c r="X94" s="3"/>
      <c r="Y94" s="3"/>
      <c r="Z94" s="8"/>
    </row>
    <row r="95" spans="1:26" s="23" customFormat="1" x14ac:dyDescent="0.25">
      <c r="A95" s="10"/>
      <c r="B95" s="29" t="s">
        <v>3</v>
      </c>
      <c r="C95" s="29"/>
      <c r="D95" s="20">
        <f>+D23-D25+D93</f>
        <v>-34421.700000000004</v>
      </c>
      <c r="E95" s="14"/>
      <c r="F95" s="22">
        <f>IF(D$12=0,0,D95/D$12)</f>
        <v>0</v>
      </c>
      <c r="G95" s="14"/>
      <c r="H95" s="20">
        <f>+H23-H25+H93</f>
        <v>39132.203452647693</v>
      </c>
      <c r="I95" s="14"/>
      <c r="J95" s="22">
        <f>IF(H$12=0,0,H95/H$12)</f>
        <v>0.23228684565130853</v>
      </c>
      <c r="K95" s="16"/>
      <c r="L95" s="20">
        <f>+D95-H95</f>
        <v>-73553.903452647704</v>
      </c>
      <c r="M95" s="16"/>
      <c r="N95" s="22">
        <f>IF(H95=0,0,L95/H95)</f>
        <v>-1.8796259081513855</v>
      </c>
      <c r="O95" s="28"/>
      <c r="P95" s="20">
        <f>+P23-P25+P93</f>
        <v>360202.5</v>
      </c>
      <c r="Q95" s="14"/>
      <c r="R95" s="22">
        <f>IF(P$12=0,0,P95/P$12)</f>
        <v>0.18042779363375216</v>
      </c>
      <c r="S95" s="14"/>
      <c r="T95" s="20">
        <f>+T23-T25+T93</f>
        <v>754589.06898324471</v>
      </c>
      <c r="U95" s="14"/>
      <c r="V95" s="22">
        <f>IF(T$12=0,0,T95/T$12)</f>
        <v>0.30414089391279936</v>
      </c>
      <c r="W95" s="16"/>
      <c r="X95" s="20">
        <f>+P95-T95</f>
        <v>-394386.56898324471</v>
      </c>
      <c r="Y95" s="16"/>
      <c r="Z95" s="22">
        <f>IF(T95=0,0,X95/T95)</f>
        <v>-0.52265078463785941</v>
      </c>
    </row>
    <row r="96" spans="1:26" x14ac:dyDescent="0.25">
      <c r="A96" s="9"/>
      <c r="B96" s="10"/>
      <c r="C96" s="9"/>
      <c r="D96" s="3"/>
      <c r="E96" s="3"/>
      <c r="F96" s="8"/>
      <c r="G96" s="3"/>
      <c r="H96" s="3"/>
      <c r="I96" s="3"/>
      <c r="J96" s="8"/>
      <c r="K96" s="3"/>
      <c r="L96" s="3"/>
      <c r="M96" s="3"/>
      <c r="N96" s="8"/>
      <c r="P96" s="3"/>
      <c r="Q96" s="3"/>
      <c r="R96" s="8"/>
      <c r="S96" s="3"/>
      <c r="T96" s="3"/>
      <c r="U96" s="3"/>
      <c r="V96" s="8"/>
      <c r="W96" s="3"/>
      <c r="X96" s="3"/>
      <c r="Y96" s="3"/>
      <c r="Z96" s="8"/>
    </row>
    <row r="97" spans="1:26" s="23" customFormat="1" x14ac:dyDescent="0.25">
      <c r="A97" s="52"/>
      <c r="B97" s="10" t="s">
        <v>14</v>
      </c>
      <c r="C97" s="10"/>
      <c r="D97" s="4">
        <v>9727.91</v>
      </c>
      <c r="E97" s="4"/>
      <c r="F97" s="13">
        <f>IF(D$12=0,0,D97/D$12)</f>
        <v>0</v>
      </c>
      <c r="G97" s="4"/>
      <c r="H97" s="4">
        <v>17163</v>
      </c>
      <c r="I97" s="4"/>
      <c r="J97" s="13">
        <f>IF(H$12=0,0,H97/H$12)</f>
        <v>0.101878728519277</v>
      </c>
      <c r="K97" s="4"/>
      <c r="L97" s="4">
        <f>+D97-H97</f>
        <v>-7435.09</v>
      </c>
      <c r="M97" s="4"/>
      <c r="N97" s="13">
        <f>IF(H97=0,0,L97/H97)</f>
        <v>-0.43320456796597334</v>
      </c>
      <c r="O97" s="10"/>
      <c r="P97" s="4">
        <v>236402.61</v>
      </c>
      <c r="Q97" s="4"/>
      <c r="R97" s="13">
        <f>IF(P$12=0,0,P97/P$12)</f>
        <v>0.11841561713636189</v>
      </c>
      <c r="S97" s="4"/>
      <c r="T97" s="4">
        <v>287371</v>
      </c>
      <c r="U97" s="4"/>
      <c r="V97" s="13">
        <f>IF(T$12=0,0,T97/T$12)</f>
        <v>0.11582631715349664</v>
      </c>
      <c r="W97" s="4"/>
      <c r="X97" s="4">
        <f>+P97-T97</f>
        <v>-50968.390000000014</v>
      </c>
      <c r="Y97" s="4"/>
      <c r="Z97" s="13">
        <f>IF(T97=0,0,X97/T97)</f>
        <v>-0.17736093760330726</v>
      </c>
    </row>
    <row r="98" spans="1:26" x14ac:dyDescent="0.25">
      <c r="A98" s="9"/>
      <c r="B98" s="10"/>
      <c r="C98" s="10"/>
      <c r="D98" s="3"/>
      <c r="E98" s="3"/>
      <c r="F98" s="8"/>
      <c r="G98" s="3"/>
      <c r="H98" s="3"/>
      <c r="I98" s="3"/>
      <c r="J98" s="8"/>
      <c r="K98" s="3"/>
      <c r="L98" s="3"/>
      <c r="M98" s="3"/>
      <c r="N98" s="8"/>
      <c r="O98" s="10"/>
      <c r="P98" s="3"/>
      <c r="Q98" s="3"/>
      <c r="R98" s="8"/>
      <c r="S98" s="3"/>
      <c r="T98" s="3"/>
      <c r="U98" s="3"/>
      <c r="V98" s="8"/>
      <c r="W98" s="3"/>
      <c r="X98" s="3"/>
      <c r="Y98" s="3"/>
      <c r="Z98" s="8"/>
    </row>
    <row r="99" spans="1:26" s="23" customFormat="1" ht="15.75" thickBot="1" x14ac:dyDescent="0.3">
      <c r="A99" s="10"/>
      <c r="B99" s="29" t="s">
        <v>4</v>
      </c>
      <c r="C99" s="29"/>
      <c r="D99" s="35">
        <f>+D95-D97</f>
        <v>-44149.61</v>
      </c>
      <c r="E99" s="14"/>
      <c r="F99" s="32">
        <f>IF(D$12=0,0,D99/D$12)</f>
        <v>0</v>
      </c>
      <c r="G99" s="14"/>
      <c r="H99" s="35">
        <f>+H95-H97</f>
        <v>21969.203452647693</v>
      </c>
      <c r="I99" s="14"/>
      <c r="J99" s="32">
        <f>IF(H$12=0,0,H99/H$12)</f>
        <v>0.13040811713203154</v>
      </c>
      <c r="K99" s="16"/>
      <c r="L99" s="35">
        <f>D99-H99</f>
        <v>-66118.813452647693</v>
      </c>
      <c r="M99" s="16"/>
      <c r="N99" s="32">
        <f>IF(H99=0,0,L99/H99)</f>
        <v>-3.0096135981971237</v>
      </c>
      <c r="O99" s="28"/>
      <c r="P99" s="35">
        <f>+P95-P97</f>
        <v>123799.89000000001</v>
      </c>
      <c r="Q99" s="14"/>
      <c r="R99" s="32">
        <f>IF(P$12=0,0,P99/P$12)</f>
        <v>6.2012176497390277E-2</v>
      </c>
      <c r="S99" s="14"/>
      <c r="T99" s="35">
        <f>+T95-T97</f>
        <v>467218.06898324471</v>
      </c>
      <c r="U99" s="14"/>
      <c r="V99" s="32">
        <f>IF(T$12=0,0,T99/T$12)</f>
        <v>0.18831457675930269</v>
      </c>
      <c r="W99" s="16"/>
      <c r="X99" s="35">
        <f>P99-T99</f>
        <v>-343418.1789832447</v>
      </c>
      <c r="Y99" s="16"/>
      <c r="Z99" s="32">
        <f>IF(T99=0,0,X99/T99)</f>
        <v>-0.73502760655337651</v>
      </c>
    </row>
    <row r="100" spans="1:26" ht="15.75" thickTop="1" x14ac:dyDescent="0.25">
      <c r="A100" s="9"/>
      <c r="B100" s="9"/>
      <c r="C100" s="9"/>
      <c r="D100" s="3"/>
      <c r="E100" s="3"/>
      <c r="F100" s="8"/>
      <c r="G100" s="3"/>
      <c r="H100" s="3"/>
      <c r="I100" s="3"/>
      <c r="J100" s="8"/>
      <c r="K100" s="3"/>
      <c r="L100" s="3"/>
      <c r="M100" s="3"/>
      <c r="N100" s="8"/>
      <c r="P100" s="3"/>
      <c r="Q100" s="3"/>
      <c r="R100" s="8"/>
      <c r="S100" s="3"/>
      <c r="T100" s="3"/>
      <c r="U100" s="3"/>
      <c r="V100" s="8"/>
      <c r="W100" s="3"/>
      <c r="X100" s="3"/>
      <c r="Y100" s="3"/>
      <c r="Z100" s="8"/>
    </row>
    <row r="101" spans="1:26" x14ac:dyDescent="0.25">
      <c r="A101" s="9"/>
      <c r="B101" s="9"/>
      <c r="C101" s="9"/>
      <c r="D101" s="3"/>
      <c r="E101" s="3"/>
      <c r="F101" s="8"/>
      <c r="G101" s="3"/>
      <c r="H101" s="3"/>
      <c r="I101" s="3"/>
      <c r="J101" s="8"/>
      <c r="K101" s="3"/>
      <c r="L101" s="3"/>
      <c r="M101" s="3"/>
      <c r="N101" s="8"/>
      <c r="P101" s="3"/>
      <c r="Q101" s="3"/>
      <c r="R101" s="8"/>
      <c r="S101" s="3"/>
      <c r="T101" s="3"/>
      <c r="U101" s="3"/>
      <c r="V101" s="8"/>
      <c r="W101" s="3"/>
      <c r="X101" s="3"/>
      <c r="Y101" s="3"/>
      <c r="Z101" s="8"/>
    </row>
    <row r="102" spans="1:26" s="23" customFormat="1" ht="15.75" thickBot="1" x14ac:dyDescent="0.3">
      <c r="A102" s="10"/>
      <c r="B102" s="29" t="s">
        <v>5</v>
      </c>
      <c r="C102" s="29"/>
      <c r="D102" s="34">
        <f>SUM(D99:D101)</f>
        <v>-44149.61</v>
      </c>
      <c r="E102" s="14"/>
      <c r="F102" s="31">
        <f>IF(D$12=0,0,D102/D$12)</f>
        <v>0</v>
      </c>
      <c r="G102" s="14"/>
      <c r="H102" s="34">
        <f>SUM(H99:H101)</f>
        <v>21969.203452647693</v>
      </c>
      <c r="I102" s="14"/>
      <c r="J102" s="31">
        <f>IF(H$12=0,0,H102/H$12)</f>
        <v>0.13040811713203154</v>
      </c>
      <c r="K102" s="16"/>
      <c r="L102" s="34">
        <f>+D102-H102</f>
        <v>-66118.813452647693</v>
      </c>
      <c r="M102" s="16"/>
      <c r="N102" s="31">
        <f>IF(H102=0,0,L102/H102)</f>
        <v>-3.0096135981971237</v>
      </c>
      <c r="O102" s="28"/>
      <c r="P102" s="34">
        <f>SUM(P99:P101)</f>
        <v>123799.89000000001</v>
      </c>
      <c r="Q102" s="14"/>
      <c r="R102" s="31">
        <f>IF(P$12=0,0,P102/P$12)</f>
        <v>6.2012176497390277E-2</v>
      </c>
      <c r="S102" s="14"/>
      <c r="T102" s="34">
        <f>SUM(T99:T101)</f>
        <v>467218.06898324471</v>
      </c>
      <c r="U102" s="14"/>
      <c r="V102" s="31">
        <f>IF(T$12=0,0,T102/T$12)</f>
        <v>0.18831457675930269</v>
      </c>
      <c r="W102" s="16"/>
      <c r="X102" s="34">
        <f>+P102-T102</f>
        <v>-343418.1789832447</v>
      </c>
      <c r="Y102" s="16"/>
      <c r="Z102" s="31">
        <f>IF(T102=0,0,X102/T102)</f>
        <v>-0.73502760655337651</v>
      </c>
    </row>
    <row r="103" spans="1:26" ht="15.75" thickTop="1" x14ac:dyDescent="0.25">
      <c r="A103" s="9"/>
      <c r="C103" s="9"/>
      <c r="D103" s="18"/>
      <c r="E103" s="18"/>
      <c r="G103" s="18"/>
      <c r="H103" s="18"/>
      <c r="I103" s="18"/>
      <c r="J103" s="42"/>
      <c r="K103" s="18"/>
      <c r="L103" s="18"/>
      <c r="M103" s="18"/>
      <c r="P103" s="18"/>
      <c r="Q103" s="18"/>
      <c r="R103" s="42"/>
      <c r="S103" s="18"/>
      <c r="T103" s="18"/>
      <c r="U103" s="18"/>
      <c r="V103" s="42"/>
      <c r="W103" s="18"/>
      <c r="X103" s="18"/>
    </row>
    <row r="104" spans="1:26" x14ac:dyDescent="0.25">
      <c r="A104" s="9"/>
      <c r="B104" s="59">
        <v>43992.372316863424</v>
      </c>
      <c r="D104" s="18"/>
      <c r="E104" s="18"/>
      <c r="G104" s="18"/>
      <c r="H104" s="18"/>
      <c r="I104" s="18"/>
      <c r="J104" s="42"/>
      <c r="K104" s="18"/>
      <c r="L104" s="18"/>
      <c r="M104" s="18"/>
      <c r="P104" s="18"/>
      <c r="Q104" s="18"/>
      <c r="R104" s="42"/>
      <c r="S104" s="18"/>
      <c r="T104" s="18"/>
      <c r="U104" s="18"/>
      <c r="V104" s="42"/>
      <c r="W104" s="18"/>
      <c r="X104" s="18"/>
    </row>
    <row r="105" spans="1:26" x14ac:dyDescent="0.25">
      <c r="A105" s="9"/>
      <c r="B105" s="56" t="s">
        <v>314</v>
      </c>
      <c r="D105" s="18"/>
      <c r="E105" s="18"/>
      <c r="G105" s="18"/>
      <c r="H105" s="18"/>
      <c r="I105" s="18"/>
      <c r="J105" s="42"/>
      <c r="K105" s="18"/>
      <c r="L105" s="18"/>
      <c r="M105" s="18"/>
      <c r="P105" s="18"/>
      <c r="Q105" s="18"/>
      <c r="R105" s="42"/>
      <c r="S105" s="18"/>
      <c r="T105" s="18"/>
      <c r="U105" s="18"/>
      <c r="V105" s="42"/>
      <c r="W105" s="18"/>
      <c r="X105" s="18"/>
    </row>
    <row r="106" spans="1:26" x14ac:dyDescent="0.25">
      <c r="A106" s="9"/>
      <c r="B106" s="54"/>
      <c r="D106" s="18"/>
      <c r="E106" s="18"/>
      <c r="G106" s="18"/>
      <c r="H106" s="18"/>
      <c r="I106" s="18"/>
      <c r="J106" s="42"/>
      <c r="K106" s="18"/>
      <c r="L106" s="18"/>
      <c r="M106" s="18"/>
      <c r="P106" s="18"/>
      <c r="Q106" s="18"/>
      <c r="R106" s="42"/>
      <c r="S106" s="18"/>
      <c r="T106" s="18"/>
      <c r="U106" s="18"/>
      <c r="V106" s="42"/>
      <c r="W106" s="18"/>
      <c r="X106" s="18"/>
    </row>
    <row r="107" spans="1:26" x14ac:dyDescent="0.25">
      <c r="D107" s="18"/>
      <c r="E107" s="18"/>
      <c r="G107" s="18"/>
      <c r="H107" s="18"/>
      <c r="I107" s="18"/>
      <c r="J107" s="42"/>
      <c r="K107" s="18"/>
      <c r="L107" s="18"/>
      <c r="M107" s="18"/>
      <c r="P107" s="18"/>
      <c r="Q107" s="18"/>
      <c r="R107" s="42"/>
      <c r="S107" s="18"/>
      <c r="T107" s="18"/>
      <c r="U107" s="18"/>
      <c r="V107" s="42"/>
      <c r="W107" s="18"/>
      <c r="X107" s="18"/>
    </row>
  </sheetData>
  <pageMargins left="0.25" right="0.25" top="0.75" bottom="0.75" header="0.3" footer="0.3"/>
  <pageSetup scale="55" fitToWidth="2" orientation="landscape"/>
  <drawing r:id="rId1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88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63" t="s">
        <v>13</v>
      </c>
    </row>
    <row r="3" spans="1:26" x14ac:dyDescent="0.25">
      <c r="D3" s="63" t="s">
        <v>296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61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63" t="str">
        <f>CONCATENATE("Period ",RIGHT(202011,2),", ",2020)</f>
        <v>Period 11, 2020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61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4">
        <v>43981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61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51"/>
      <c r="C6" s="51"/>
      <c r="D6" s="23" t="s">
        <v>298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57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5" t="s">
        <v>294</v>
      </c>
      <c r="E9" s="15"/>
      <c r="F9" s="38"/>
      <c r="G9" s="15"/>
      <c r="H9" s="15"/>
      <c r="I9" s="15"/>
      <c r="J9" s="46"/>
      <c r="K9" s="15"/>
      <c r="L9" s="15"/>
      <c r="M9" s="15"/>
      <c r="N9" s="38"/>
      <c r="P9" s="15" t="s">
        <v>295</v>
      </c>
      <c r="Q9" s="15"/>
      <c r="R9" s="38"/>
      <c r="S9" s="15"/>
      <c r="T9" s="15"/>
      <c r="U9" s="15"/>
      <c r="V9" s="46"/>
      <c r="W9" s="15"/>
      <c r="X9" s="15"/>
      <c r="Y9" s="15"/>
      <c r="Z9" s="38"/>
    </row>
    <row r="10" spans="1:26" x14ac:dyDescent="0.25">
      <c r="A10" s="10"/>
      <c r="B10" s="55"/>
      <c r="C10" s="10"/>
      <c r="D10" s="43" t="s">
        <v>10</v>
      </c>
      <c r="E10" s="33"/>
      <c r="F10" s="40" t="s">
        <v>15</v>
      </c>
      <c r="G10" s="33"/>
      <c r="H10" s="47" t="s">
        <v>11</v>
      </c>
      <c r="I10" s="33"/>
      <c r="J10" s="45" t="s">
        <v>16</v>
      </c>
      <c r="K10" s="10"/>
      <c r="L10" s="43" t="s">
        <v>12</v>
      </c>
      <c r="M10" s="10"/>
      <c r="N10" s="40" t="s">
        <v>17</v>
      </c>
      <c r="O10" s="10"/>
      <c r="P10" s="53" t="s">
        <v>10</v>
      </c>
      <c r="Q10" s="33"/>
      <c r="R10" s="40" t="s">
        <v>15</v>
      </c>
      <c r="S10" s="33"/>
      <c r="T10" s="47" t="s">
        <v>11</v>
      </c>
      <c r="U10" s="33"/>
      <c r="V10" s="45" t="s">
        <v>16</v>
      </c>
      <c r="W10" s="10"/>
      <c r="X10" s="43" t="s">
        <v>12</v>
      </c>
      <c r="Y10" s="10"/>
      <c r="Z10" s="40" t="s">
        <v>17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24412</v>
      </c>
      <c r="E12" s="4"/>
      <c r="F12" s="13"/>
      <c r="G12" s="4"/>
      <c r="H12" s="4">
        <f>SUM(OSRRefH13x_0)</f>
        <v>22884</v>
      </c>
      <c r="I12" s="4"/>
      <c r="J12" s="13"/>
      <c r="K12" s="4"/>
      <c r="L12" s="4">
        <f t="shared" ref="L12:L13" si="0">+D12-H12</f>
        <v>1528</v>
      </c>
      <c r="M12" s="4"/>
      <c r="N12" s="13">
        <f t="shared" ref="N12:N13" si="1">IF(H12=0,0,L12/H12)</f>
        <v>6.6771543436462161E-2</v>
      </c>
      <c r="O12" s="10"/>
      <c r="P12" s="4">
        <f>SUM(OSRRefP13x_0)</f>
        <v>429300</v>
      </c>
      <c r="Q12" s="4"/>
      <c r="R12" s="13"/>
      <c r="S12" s="4"/>
      <c r="T12" s="4">
        <f>SUM(OSRRefT13x_0)</f>
        <v>447765</v>
      </c>
      <c r="U12" s="4"/>
      <c r="V12" s="13"/>
      <c r="W12" s="4"/>
      <c r="X12" s="4">
        <f t="shared" ref="X12:X13" si="2">+P12-T12</f>
        <v>-18465</v>
      </c>
      <c r="Y12" s="4"/>
      <c r="Z12" s="13">
        <f t="shared" ref="Z12:Z13" si="3">IF(T12=0,0,X12/T12)</f>
        <v>-4.1238149475729458E-2</v>
      </c>
    </row>
    <row r="13" spans="1:26" s="24" customFormat="1" hidden="1" outlineLevel="1" x14ac:dyDescent="0.25">
      <c r="A13" s="44"/>
      <c r="B13" s="11" t="str">
        <f>CONCATENATE("          ", "4100", " - ", "NON-TAXABLE SALES")</f>
        <v xml:space="preserve">          4100 - NON-TAXABLE SALES</v>
      </c>
      <c r="C13" s="11"/>
      <c r="D13" s="2">
        <f>--24412</f>
        <v>24412</v>
      </c>
      <c r="E13" s="2"/>
      <c r="F13" s="19"/>
      <c r="G13" s="2"/>
      <c r="H13" s="2">
        <v>22884</v>
      </c>
      <c r="I13" s="2"/>
      <c r="J13" s="19"/>
      <c r="K13" s="2"/>
      <c r="L13" s="2">
        <f t="shared" si="0"/>
        <v>1528</v>
      </c>
      <c r="M13" s="2"/>
      <c r="N13" s="19">
        <f t="shared" si="1"/>
        <v>6.6771543436462161E-2</v>
      </c>
      <c r="O13" s="11"/>
      <c r="P13" s="2">
        <f>--429300</f>
        <v>429300</v>
      </c>
      <c r="Q13" s="2"/>
      <c r="R13" s="19"/>
      <c r="S13" s="2"/>
      <c r="T13" s="2">
        <v>447765</v>
      </c>
      <c r="U13" s="2"/>
      <c r="V13" s="19"/>
      <c r="W13" s="2"/>
      <c r="X13" s="2">
        <f t="shared" si="2"/>
        <v>-18465</v>
      </c>
      <c r="Y13" s="2"/>
      <c r="Z13" s="19">
        <f t="shared" si="3"/>
        <v>-4.1238149475729458E-2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x14ac:dyDescent="0.25">
      <c r="A15" s="10"/>
      <c r="B15" s="28" t="s">
        <v>8</v>
      </c>
      <c r="C15" s="10"/>
      <c r="D15" s="4">
        <f>SUM(0)</f>
        <v>0</v>
      </c>
      <c r="E15" s="4"/>
      <c r="F15" s="13">
        <f>IF(D$12=0,0,D15/D$12)</f>
        <v>0</v>
      </c>
      <c r="G15" s="4"/>
      <c r="H15" s="4">
        <f>SUM(0)</f>
        <v>0</v>
      </c>
      <c r="I15" s="4"/>
      <c r="J15" s="13">
        <f>IF(H$12=0,0,H15/H$12)</f>
        <v>0</v>
      </c>
      <c r="K15" s="4"/>
      <c r="L15" s="4">
        <f>+D15-H15</f>
        <v>0</v>
      </c>
      <c r="M15" s="4"/>
      <c r="N15" s="13">
        <f>IF(H15=0,0,L15/H15)</f>
        <v>0</v>
      </c>
      <c r="O15" s="10"/>
      <c r="P15" s="4">
        <f>SUM(0)</f>
        <v>0</v>
      </c>
      <c r="Q15" s="4"/>
      <c r="R15" s="13">
        <f>IF(P$12=0,0,P15/P$12)</f>
        <v>0</v>
      </c>
      <c r="S15" s="4"/>
      <c r="T15" s="4">
        <f>SUM(0)</f>
        <v>0</v>
      </c>
      <c r="U15" s="4"/>
      <c r="V15" s="13">
        <f>IF(T$12=0,0,T15/T$12)</f>
        <v>0</v>
      </c>
      <c r="W15" s="4"/>
      <c r="X15" s="4">
        <f>+P15-T15</f>
        <v>0</v>
      </c>
      <c r="Y15" s="4"/>
      <c r="Z15" s="13">
        <f>IF(T15=0,0,X15/T15)</f>
        <v>0</v>
      </c>
    </row>
    <row r="16" spans="1:26" x14ac:dyDescent="0.25">
      <c r="A16" s="9"/>
      <c r="B16" s="10"/>
      <c r="C16" s="10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O16" s="10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3" customFormat="1" x14ac:dyDescent="0.25">
      <c r="A17" s="10"/>
      <c r="B17" s="29" t="s">
        <v>6</v>
      </c>
      <c r="C17" s="29"/>
      <c r="D17" s="20">
        <f>D12-D15</f>
        <v>24412</v>
      </c>
      <c r="E17" s="14"/>
      <c r="F17" s="22">
        <f>IF(D$12=0,0,D17/D$12)</f>
        <v>1</v>
      </c>
      <c r="G17" s="14"/>
      <c r="H17" s="20">
        <f>H12-H15</f>
        <v>22884</v>
      </c>
      <c r="I17" s="14"/>
      <c r="J17" s="22">
        <f>IF(H$12=0,0,H17/H$12)</f>
        <v>1</v>
      </c>
      <c r="K17" s="16"/>
      <c r="L17" s="20">
        <f>+D17-H17</f>
        <v>1528</v>
      </c>
      <c r="M17" s="16"/>
      <c r="N17" s="22">
        <f>IF(H17=0,0,L17/H17)</f>
        <v>6.6771543436462161E-2</v>
      </c>
      <c r="O17" s="28"/>
      <c r="P17" s="20">
        <f>P12-P15</f>
        <v>429300</v>
      </c>
      <c r="Q17" s="14"/>
      <c r="R17" s="22">
        <f>IF(P$12=0,0,P17/P$12)</f>
        <v>1</v>
      </c>
      <c r="S17" s="14"/>
      <c r="T17" s="20">
        <f>T12-T15</f>
        <v>447765</v>
      </c>
      <c r="U17" s="14"/>
      <c r="V17" s="22">
        <f>IF(T$12=0,0,T17/T$12)</f>
        <v>1</v>
      </c>
      <c r="W17" s="16"/>
      <c r="X17" s="20">
        <f>+P17-T17</f>
        <v>-18465</v>
      </c>
      <c r="Y17" s="16"/>
      <c r="Z17" s="22">
        <f>IF(T17=0,0,X17/T17)</f>
        <v>-4.1238149475729458E-2</v>
      </c>
    </row>
    <row r="18" spans="1:26" x14ac:dyDescent="0.25">
      <c r="A18" s="9"/>
      <c r="B18" s="10"/>
      <c r="C18" s="9"/>
      <c r="D18" s="1"/>
      <c r="E18" s="1"/>
      <c r="F18" s="5"/>
      <c r="G18" s="1"/>
      <c r="H18" s="1"/>
      <c r="I18" s="1"/>
      <c r="J18" s="5"/>
      <c r="K18" s="1"/>
      <c r="L18" s="1"/>
      <c r="M18" s="1"/>
      <c r="N18" s="5"/>
      <c r="O18" s="36"/>
      <c r="P18" s="1"/>
      <c r="Q18" s="1"/>
      <c r="R18" s="5"/>
      <c r="S18" s="1"/>
      <c r="T18" s="1"/>
      <c r="U18" s="1"/>
      <c r="V18" s="5"/>
      <c r="W18" s="1"/>
      <c r="X18" s="1"/>
      <c r="Y18" s="1"/>
      <c r="Z18" s="5"/>
    </row>
    <row r="19" spans="1:26" s="23" customFormat="1" x14ac:dyDescent="0.25">
      <c r="A19" s="10"/>
      <c r="B19" s="28" t="s">
        <v>9</v>
      </c>
      <c r="C19" s="10"/>
      <c r="D19" s="21">
        <f>SUM(OSRRefD22x_0)</f>
        <v>19257.369999999995</v>
      </c>
      <c r="E19" s="21"/>
      <c r="F19" s="30">
        <f t="shared" ref="F19:F29" si="4">IF(D$12=0,0,D19/D$12)</f>
        <v>0.7888485171227263</v>
      </c>
      <c r="G19" s="21"/>
      <c r="H19" s="21">
        <f>SUM(OSRRefH22x_0)</f>
        <v>22881.950500846157</v>
      </c>
      <c r="I19" s="21"/>
      <c r="J19" s="30">
        <f t="shared" ref="J19:J29" si="5">IF(H$12=0,0,H19/H$12)</f>
        <v>0.99991043964543591</v>
      </c>
      <c r="K19" s="4"/>
      <c r="L19" s="21">
        <f t="shared" ref="L19:L29" si="6">+D19-H19</f>
        <v>-3624.5805008461612</v>
      </c>
      <c r="M19" s="4"/>
      <c r="N19" s="30">
        <f t="shared" ref="N19:N29" si="7">IF(H19=0,0,L19/H19)</f>
        <v>-0.15840347616835054</v>
      </c>
      <c r="O19" s="10"/>
      <c r="P19" s="21">
        <f>SUM(OSRRefP22x_0)</f>
        <v>403998.49000000005</v>
      </c>
      <c r="Q19" s="21"/>
      <c r="R19" s="30">
        <f t="shared" ref="R19:R29" si="8">IF(P$12=0,0,P19/P$12)</f>
        <v>0.94106333566270683</v>
      </c>
      <c r="S19" s="21"/>
      <c r="T19" s="21">
        <f>SUM(OSRRefT22x_0)</f>
        <v>422174.12479015382</v>
      </c>
      <c r="U19" s="21"/>
      <c r="V19" s="30">
        <f t="shared" ref="V19:V29" si="9">IF(T$12=0,0,T19/T$12)</f>
        <v>0.942847531160662</v>
      </c>
      <c r="W19" s="4"/>
      <c r="X19" s="21">
        <f t="shared" ref="X19:X29" si="10">+P19-T19</f>
        <v>-18175.634790153767</v>
      </c>
      <c r="Y19" s="4"/>
      <c r="Z19" s="30">
        <f t="shared" ref="Z19:Z29" si="11">IF(T19=0,0,X19/T19)</f>
        <v>-4.3052460401707855E-2</v>
      </c>
    </row>
    <row r="20" spans="1:26" s="27" customFormat="1" outlineLevel="1" collapsed="1" x14ac:dyDescent="0.25">
      <c r="A20" s="25"/>
      <c r="B20" s="12" t="str">
        <f>CONCATENATE("     ","*Benefits                                         ")</f>
        <v xml:space="preserve">     *Benefits                                         </v>
      </c>
      <c r="C20" s="12"/>
      <c r="D20" s="1">
        <f>SUM(OSRRefD22_0x_0)</f>
        <v>3729.01</v>
      </c>
      <c r="E20" s="1"/>
      <c r="F20" s="5">
        <f t="shared" si="4"/>
        <v>0.15275315418646568</v>
      </c>
      <c r="G20" s="1"/>
      <c r="H20" s="1">
        <f>SUM(OSRRefH22_0x_0)</f>
        <v>986.32203930769242</v>
      </c>
      <c r="I20" s="1"/>
      <c r="J20" s="5">
        <f t="shared" si="5"/>
        <v>4.3100945608621412E-2</v>
      </c>
      <c r="K20" s="1"/>
      <c r="L20" s="1">
        <f t="shared" si="6"/>
        <v>2742.6879606923076</v>
      </c>
      <c r="M20" s="1"/>
      <c r="N20" s="5">
        <f t="shared" si="7"/>
        <v>2.7807225747661715</v>
      </c>
      <c r="O20" s="12"/>
      <c r="P20" s="1">
        <f>SUM(OSRRefP22_0x_0)</f>
        <v>48770.64</v>
      </c>
      <c r="Q20" s="1"/>
      <c r="R20" s="5">
        <f t="shared" si="8"/>
        <v>0.11360503144654088</v>
      </c>
      <c r="S20" s="1"/>
      <c r="T20" s="1">
        <f>SUM(OSRRefT22_0x_0)</f>
        <v>13409.703251692303</v>
      </c>
      <c r="U20" s="1"/>
      <c r="V20" s="5">
        <f t="shared" si="9"/>
        <v>2.9948082703409831E-2</v>
      </c>
      <c r="W20" s="1"/>
      <c r="X20" s="1">
        <f t="shared" si="10"/>
        <v>35360.936748307693</v>
      </c>
      <c r="Y20" s="1"/>
      <c r="Z20" s="5">
        <f t="shared" si="11"/>
        <v>2.636966388040328</v>
      </c>
    </row>
    <row r="21" spans="1:26" s="24" customFormat="1" hidden="1" outlineLevel="2" x14ac:dyDescent="0.25">
      <c r="A21" s="26"/>
      <c r="B21" s="11" t="str">
        <f>CONCATENATE("          ", "6111", " - ", "F.I.C.A.")</f>
        <v xml:space="preserve">          6111 - F.I.C.A.</v>
      </c>
      <c r="C21" s="11"/>
      <c r="D21" s="7">
        <v>918.68</v>
      </c>
      <c r="E21" s="2"/>
      <c r="F21" s="6">
        <f t="shared" si="4"/>
        <v>3.7632311977715875E-2</v>
      </c>
      <c r="G21" s="2"/>
      <c r="H21" s="7">
        <v>283.01206084615399</v>
      </c>
      <c r="I21" s="2"/>
      <c r="J21" s="6">
        <f t="shared" si="5"/>
        <v>1.2367246147795576E-2</v>
      </c>
      <c r="K21" s="2"/>
      <c r="L21" s="7">
        <f t="shared" si="6"/>
        <v>635.66793915384596</v>
      </c>
      <c r="M21" s="2"/>
      <c r="N21" s="6">
        <f t="shared" si="7"/>
        <v>2.2460807403518981</v>
      </c>
      <c r="O21" s="11"/>
      <c r="P21" s="7">
        <v>12066.38</v>
      </c>
      <c r="Q21" s="2"/>
      <c r="R21" s="6">
        <f t="shared" si="8"/>
        <v>2.8107104588865593E-2</v>
      </c>
      <c r="S21" s="2"/>
      <c r="T21" s="7">
        <v>4820.0619101538432</v>
      </c>
      <c r="U21" s="2"/>
      <c r="V21" s="6">
        <f t="shared" si="9"/>
        <v>1.0764713432612739E-2</v>
      </c>
      <c r="W21" s="2"/>
      <c r="X21" s="7">
        <f t="shared" si="10"/>
        <v>7246.318089846156</v>
      </c>
      <c r="Y21" s="2"/>
      <c r="Z21" s="6">
        <f t="shared" si="11"/>
        <v>1.5033661859365772</v>
      </c>
    </row>
    <row r="22" spans="1:26" s="24" customFormat="1" hidden="1" outlineLevel="2" x14ac:dyDescent="0.25">
      <c r="A22" s="26"/>
      <c r="B22" s="11" t="str">
        <f>CONCATENATE("          ", "6112", " - ", "COMPENSATION INSURANCE")</f>
        <v xml:space="preserve">          6112 - COMPENSATION INSURANCE</v>
      </c>
      <c r="C22" s="11"/>
      <c r="D22" s="7">
        <v>113.76</v>
      </c>
      <c r="E22" s="2"/>
      <c r="F22" s="6">
        <f t="shared" si="4"/>
        <v>4.6600032770768478E-3</v>
      </c>
      <c r="G22" s="2"/>
      <c r="H22" s="7">
        <v>203.500523076923</v>
      </c>
      <c r="I22" s="2"/>
      <c r="J22" s="6">
        <f t="shared" si="5"/>
        <v>8.8926989633334643E-3</v>
      </c>
      <c r="K22" s="2"/>
      <c r="L22" s="7">
        <f t="shared" si="6"/>
        <v>-89.740523076922997</v>
      </c>
      <c r="M22" s="2"/>
      <c r="N22" s="6">
        <f t="shared" si="7"/>
        <v>-0.44098423787835261</v>
      </c>
      <c r="O22" s="11"/>
      <c r="P22" s="7">
        <v>662.29</v>
      </c>
      <c r="Q22" s="2"/>
      <c r="R22" s="6">
        <f t="shared" si="8"/>
        <v>1.5427207081295132E-3</v>
      </c>
      <c r="S22" s="2"/>
      <c r="T22" s="7">
        <v>2499.9752769230772</v>
      </c>
      <c r="U22" s="2"/>
      <c r="V22" s="6">
        <f t="shared" si="9"/>
        <v>5.5832306610009205E-3</v>
      </c>
      <c r="W22" s="2"/>
      <c r="X22" s="7">
        <f t="shared" si="10"/>
        <v>-1837.6852769230773</v>
      </c>
      <c r="Y22" s="2"/>
      <c r="Z22" s="6">
        <f t="shared" si="11"/>
        <v>-0.73508138015863334</v>
      </c>
    </row>
    <row r="23" spans="1:26" s="24" customFormat="1" hidden="1" outlineLevel="2" x14ac:dyDescent="0.25">
      <c r="A23" s="26"/>
      <c r="B23" s="11" t="str">
        <f>CONCATENATE("          ", "6113", " - ", "GROUP INSURANCE")</f>
        <v xml:space="preserve">          6113 - GROUP INSURANCE</v>
      </c>
      <c r="C23" s="11"/>
      <c r="D23" s="7">
        <v>1285.8599999999999</v>
      </c>
      <c r="E23" s="2"/>
      <c r="F23" s="6">
        <f t="shared" si="4"/>
        <v>5.2673275438309027E-2</v>
      </c>
      <c r="G23" s="2"/>
      <c r="H23" s="7">
        <v>138.1</v>
      </c>
      <c r="I23" s="2"/>
      <c r="J23" s="6">
        <f t="shared" si="5"/>
        <v>6.0347841286488377E-3</v>
      </c>
      <c r="K23" s="2"/>
      <c r="L23" s="7">
        <f t="shared" si="6"/>
        <v>1147.76</v>
      </c>
      <c r="M23" s="2"/>
      <c r="N23" s="6">
        <f t="shared" si="7"/>
        <v>8.311078928312817</v>
      </c>
      <c r="O23" s="11"/>
      <c r="P23" s="7">
        <v>13927.73</v>
      </c>
      <c r="Q23" s="2"/>
      <c r="R23" s="6">
        <f t="shared" si="8"/>
        <v>3.2442883764267412E-2</v>
      </c>
      <c r="S23" s="2"/>
      <c r="T23" s="7">
        <v>1519.1</v>
      </c>
      <c r="U23" s="2"/>
      <c r="V23" s="6">
        <f t="shared" si="9"/>
        <v>3.3926278293301172E-3</v>
      </c>
      <c r="W23" s="2"/>
      <c r="X23" s="7">
        <f t="shared" si="10"/>
        <v>12408.63</v>
      </c>
      <c r="Y23" s="2"/>
      <c r="Z23" s="6">
        <f t="shared" si="11"/>
        <v>8.168408926337964</v>
      </c>
    </row>
    <row r="24" spans="1:26" s="24" customFormat="1" hidden="1" outlineLevel="2" x14ac:dyDescent="0.25">
      <c r="A24" s="26"/>
      <c r="B24" s="11" t="str">
        <f>CONCATENATE("          ", "6114", " - ", "STATE UNEMPLOYMENT INSURANCE")</f>
        <v xml:space="preserve">          6114 - STATE UNEMPLOYMENT INSURANCE</v>
      </c>
      <c r="C24" s="11"/>
      <c r="D24" s="7">
        <v>46.17</v>
      </c>
      <c r="E24" s="2"/>
      <c r="F24" s="6">
        <f t="shared" si="4"/>
        <v>1.8912829755857775E-3</v>
      </c>
      <c r="G24" s="2"/>
      <c r="H24" s="7">
        <v>27.847439999999999</v>
      </c>
      <c r="I24" s="2"/>
      <c r="J24" s="6">
        <f t="shared" si="5"/>
        <v>1.2168956476140535E-3</v>
      </c>
      <c r="K24" s="2"/>
      <c r="L24" s="7">
        <f t="shared" si="6"/>
        <v>18.322560000000003</v>
      </c>
      <c r="M24" s="2"/>
      <c r="N24" s="6">
        <f t="shared" si="7"/>
        <v>0.65796209633632408</v>
      </c>
      <c r="O24" s="11"/>
      <c r="P24" s="7">
        <v>495.12</v>
      </c>
      <c r="Q24" s="2"/>
      <c r="R24" s="6">
        <f t="shared" si="8"/>
        <v>1.1533193570929421E-3</v>
      </c>
      <c r="S24" s="2"/>
      <c r="T24" s="7">
        <v>342.10187999999999</v>
      </c>
      <c r="U24" s="2"/>
      <c r="V24" s="6">
        <f t="shared" si="9"/>
        <v>7.6402103782117852E-4</v>
      </c>
      <c r="W24" s="2"/>
      <c r="X24" s="7">
        <f t="shared" si="10"/>
        <v>153.01812000000001</v>
      </c>
      <c r="Y24" s="2"/>
      <c r="Z24" s="6">
        <f t="shared" si="11"/>
        <v>0.44728815872043737</v>
      </c>
    </row>
    <row r="25" spans="1:26" s="24" customFormat="1" hidden="1" outlineLevel="2" x14ac:dyDescent="0.25">
      <c r="A25" s="26"/>
      <c r="B25" s="11" t="str">
        <f>CONCATENATE("          ", "6115", " - ", "P.E.R.S.")</f>
        <v xml:space="preserve">          6115 - P.E.R.S.</v>
      </c>
      <c r="C25" s="11"/>
      <c r="D25" s="7">
        <v>550.21</v>
      </c>
      <c r="E25" s="2"/>
      <c r="F25" s="6">
        <f t="shared" si="4"/>
        <v>2.2538505652957563E-2</v>
      </c>
      <c r="G25" s="2"/>
      <c r="H25" s="7">
        <v>56.936630769230796</v>
      </c>
      <c r="I25" s="2"/>
      <c r="J25" s="6">
        <f t="shared" si="5"/>
        <v>2.4880541325481031E-3</v>
      </c>
      <c r="K25" s="2"/>
      <c r="L25" s="7">
        <f t="shared" si="6"/>
        <v>493.27336923076922</v>
      </c>
      <c r="M25" s="2"/>
      <c r="N25" s="6">
        <f t="shared" si="7"/>
        <v>8.6635503816523638</v>
      </c>
      <c r="O25" s="11"/>
      <c r="P25" s="7">
        <v>7759.08</v>
      </c>
      <c r="Q25" s="2"/>
      <c r="R25" s="6">
        <f t="shared" si="8"/>
        <v>1.8073794549266248E-2</v>
      </c>
      <c r="S25" s="2"/>
      <c r="T25" s="7">
        <v>683.23956923076958</v>
      </c>
      <c r="U25" s="2"/>
      <c r="V25" s="6">
        <f t="shared" si="9"/>
        <v>1.5258887345611417E-3</v>
      </c>
      <c r="W25" s="2"/>
      <c r="X25" s="7">
        <f t="shared" si="10"/>
        <v>7075.8404307692308</v>
      </c>
      <c r="Y25" s="2"/>
      <c r="Z25" s="6">
        <f t="shared" si="11"/>
        <v>10.356309484147149</v>
      </c>
    </row>
    <row r="26" spans="1:26" s="24" customFormat="1" hidden="1" outlineLevel="2" x14ac:dyDescent="0.25">
      <c r="A26" s="26"/>
      <c r="B26" s="11" t="str">
        <f>CONCATENATE("          ", "6116", " - ", "EDUCATIONAL BENEFITS")</f>
        <v xml:space="preserve">          6116 - EDUCATIONAL BENEFITS</v>
      </c>
      <c r="C26" s="11"/>
      <c r="D26" s="7"/>
      <c r="E26" s="2"/>
      <c r="F26" s="6">
        <f t="shared" si="4"/>
        <v>0</v>
      </c>
      <c r="G26" s="2"/>
      <c r="H26" s="7">
        <v>0</v>
      </c>
      <c r="I26" s="2"/>
      <c r="J26" s="6">
        <f t="shared" si="5"/>
        <v>0</v>
      </c>
      <c r="K26" s="2"/>
      <c r="L26" s="7">
        <f t="shared" si="6"/>
        <v>0</v>
      </c>
      <c r="M26" s="2"/>
      <c r="N26" s="6">
        <f t="shared" si="7"/>
        <v>0</v>
      </c>
      <c r="O26" s="11"/>
      <c r="P26" s="7"/>
      <c r="Q26" s="2"/>
      <c r="R26" s="6">
        <f t="shared" si="8"/>
        <v>0</v>
      </c>
      <c r="S26" s="2"/>
      <c r="T26" s="7">
        <v>0</v>
      </c>
      <c r="U26" s="2"/>
      <c r="V26" s="6">
        <f t="shared" si="9"/>
        <v>0</v>
      </c>
      <c r="W26" s="2"/>
      <c r="X26" s="7">
        <f t="shared" si="10"/>
        <v>0</v>
      </c>
      <c r="Y26" s="2"/>
      <c r="Z26" s="6">
        <f t="shared" si="11"/>
        <v>0</v>
      </c>
    </row>
    <row r="27" spans="1:26" s="24" customFormat="1" hidden="1" outlineLevel="2" x14ac:dyDescent="0.25">
      <c r="A27" s="26"/>
      <c r="B27" s="11" t="str">
        <f>CONCATENATE("          ", "6118", " - ", "VACATION")</f>
        <v xml:space="preserve">          6118 - VACATION</v>
      </c>
      <c r="C27" s="11"/>
      <c r="D27" s="7">
        <v>484.71</v>
      </c>
      <c r="E27" s="2"/>
      <c r="F27" s="6">
        <f t="shared" si="4"/>
        <v>1.9855398984106175E-2</v>
      </c>
      <c r="G27" s="2"/>
      <c r="H27" s="7">
        <v>33.102692307692301</v>
      </c>
      <c r="I27" s="2"/>
      <c r="J27" s="6">
        <f t="shared" si="5"/>
        <v>1.4465431003186638E-3</v>
      </c>
      <c r="K27" s="2"/>
      <c r="L27" s="7">
        <f t="shared" si="6"/>
        <v>451.6073076923077</v>
      </c>
      <c r="M27" s="2"/>
      <c r="N27" s="6">
        <f t="shared" si="7"/>
        <v>13.642615636655167</v>
      </c>
      <c r="O27" s="11"/>
      <c r="P27" s="7">
        <v>7948.51</v>
      </c>
      <c r="Q27" s="2"/>
      <c r="R27" s="6">
        <f t="shared" si="8"/>
        <v>1.8515047752154672E-2</v>
      </c>
      <c r="S27" s="2"/>
      <c r="T27" s="7">
        <v>397.2323076923077</v>
      </c>
      <c r="U27" s="2"/>
      <c r="V27" s="6">
        <f t="shared" si="9"/>
        <v>8.8714461311694239E-4</v>
      </c>
      <c r="W27" s="2"/>
      <c r="X27" s="7">
        <f t="shared" si="10"/>
        <v>7551.2776923076926</v>
      </c>
      <c r="Y27" s="2"/>
      <c r="Z27" s="6">
        <f t="shared" si="11"/>
        <v>19.009726918176149</v>
      </c>
    </row>
    <row r="28" spans="1:26" s="24" customFormat="1" hidden="1" outlineLevel="2" x14ac:dyDescent="0.25">
      <c r="A28" s="26"/>
      <c r="B28" s="11" t="str">
        <f>CONCATENATE("          ", "6119", " - ", "SICK LEAVE")</f>
        <v xml:space="preserve">          6119 - SICK LEAVE</v>
      </c>
      <c r="C28" s="11"/>
      <c r="D28" s="7">
        <v>281.62</v>
      </c>
      <c r="E28" s="2"/>
      <c r="F28" s="6">
        <f t="shared" si="4"/>
        <v>1.1536129772243159E-2</v>
      </c>
      <c r="G28" s="2"/>
      <c r="H28" s="7">
        <v>93.822692307692307</v>
      </c>
      <c r="I28" s="2"/>
      <c r="J28" s="6">
        <f t="shared" si="5"/>
        <v>4.0999253761445685E-3</v>
      </c>
      <c r="K28" s="2"/>
      <c r="L28" s="7">
        <f t="shared" si="6"/>
        <v>187.7973076923077</v>
      </c>
      <c r="M28" s="2"/>
      <c r="N28" s="6">
        <f t="shared" si="7"/>
        <v>2.0016192572733349</v>
      </c>
      <c r="O28" s="11"/>
      <c r="P28" s="7">
        <v>4542.84</v>
      </c>
      <c r="Q28" s="2"/>
      <c r="R28" s="6">
        <f t="shared" si="8"/>
        <v>1.0581970649895179E-2</v>
      </c>
      <c r="S28" s="2"/>
      <c r="T28" s="7">
        <v>1497.9923076923058</v>
      </c>
      <c r="U28" s="2"/>
      <c r="V28" s="6">
        <f t="shared" si="9"/>
        <v>3.3454877172005531E-3</v>
      </c>
      <c r="W28" s="2"/>
      <c r="X28" s="7">
        <f t="shared" si="10"/>
        <v>3044.8476923076942</v>
      </c>
      <c r="Y28" s="2"/>
      <c r="Z28" s="6">
        <f t="shared" si="11"/>
        <v>2.0326190439511382</v>
      </c>
    </row>
    <row r="29" spans="1:26" s="24" customFormat="1" hidden="1" outlineLevel="2" x14ac:dyDescent="0.25">
      <c r="A29" s="26"/>
      <c r="B29" s="11" t="str">
        <f>CONCATENATE("          ", "6156", " - ", "EMPLOYEE MEALS")</f>
        <v xml:space="preserve">          6156 - EMPLOYEE MEALS</v>
      </c>
      <c r="C29" s="11"/>
      <c r="D29" s="7">
        <v>48</v>
      </c>
      <c r="E29" s="2"/>
      <c r="F29" s="6">
        <f t="shared" si="4"/>
        <v>1.9662461084712438E-3</v>
      </c>
      <c r="G29" s="2"/>
      <c r="H29" s="7">
        <v>150</v>
      </c>
      <c r="I29" s="2"/>
      <c r="J29" s="6">
        <f t="shared" si="5"/>
        <v>6.5547981122181433E-3</v>
      </c>
      <c r="K29" s="2"/>
      <c r="L29" s="7">
        <f t="shared" si="6"/>
        <v>-102</v>
      </c>
      <c r="M29" s="2"/>
      <c r="N29" s="6">
        <f t="shared" si="7"/>
        <v>-0.68</v>
      </c>
      <c r="O29" s="11"/>
      <c r="P29" s="7">
        <v>1368.69</v>
      </c>
      <c r="Q29" s="2"/>
      <c r="R29" s="6">
        <f t="shared" si="8"/>
        <v>3.1881900768693221E-3</v>
      </c>
      <c r="S29" s="2"/>
      <c r="T29" s="7">
        <v>1650</v>
      </c>
      <c r="U29" s="2"/>
      <c r="V29" s="6">
        <f t="shared" si="9"/>
        <v>3.6849686777662388E-3</v>
      </c>
      <c r="W29" s="2"/>
      <c r="X29" s="7">
        <f t="shared" si="10"/>
        <v>-281.30999999999995</v>
      </c>
      <c r="Y29" s="2"/>
      <c r="Z29" s="6">
        <f t="shared" si="11"/>
        <v>-0.17049090909090905</v>
      </c>
    </row>
    <row r="30" spans="1:26" s="27" customFormat="1" outlineLevel="1" collapsed="1" x14ac:dyDescent="0.25">
      <c r="A30" s="25"/>
      <c r="B30" s="12" t="str">
        <f>CONCATENATE("     ","*Payroll                                          ")</f>
        <v xml:space="preserve">     *Payroll                                          </v>
      </c>
      <c r="C30" s="12"/>
      <c r="D30" s="1">
        <f>SUM(OSRRefD22_1x_0)</f>
        <v>11619.55</v>
      </c>
      <c r="E30" s="1"/>
      <c r="F30" s="5">
        <f t="shared" ref="F30:F40" si="12">IF(D$12=0,0,D30/D$12)</f>
        <v>0.47597697853514664</v>
      </c>
      <c r="G30" s="1"/>
      <c r="H30" s="1">
        <f>SUM(OSRRefH22_1x_0)</f>
        <v>10583.628461538461</v>
      </c>
      <c r="I30" s="1"/>
      <c r="J30" s="5">
        <f t="shared" ref="J30:J40" si="13">IF(H$12=0,0,H30/H$12)</f>
        <v>0.46249031906740345</v>
      </c>
      <c r="K30" s="1"/>
      <c r="L30" s="1">
        <f t="shared" ref="L30:L40" si="14">+D30-H30</f>
        <v>1035.9215384615381</v>
      </c>
      <c r="M30" s="1"/>
      <c r="N30" s="5">
        <f t="shared" ref="N30:N40" si="15">IF(H30=0,0,L30/H30)</f>
        <v>9.7879620607066758E-2</v>
      </c>
      <c r="O30" s="12"/>
      <c r="P30" s="1">
        <f>SUM(OSRRefP22_1x_0)</f>
        <v>177189.44999999998</v>
      </c>
      <c r="Q30" s="1"/>
      <c r="R30" s="5">
        <f t="shared" ref="R30:R40" si="16">IF(P$12=0,0,P30/P$12)</f>
        <v>0.41274039133473089</v>
      </c>
      <c r="S30" s="1"/>
      <c r="T30" s="1">
        <f>SUM(OSRRefT22_1x_0)</f>
        <v>129682.42153846154</v>
      </c>
      <c r="U30" s="1"/>
      <c r="V30" s="5">
        <f t="shared" ref="V30:V40" si="17">IF(T$12=0,0,T30/T$12)</f>
        <v>0.28962161298552042</v>
      </c>
      <c r="W30" s="1"/>
      <c r="X30" s="1">
        <f t="shared" ref="X30:X40" si="18">+P30-T30</f>
        <v>47507.028461538444</v>
      </c>
      <c r="Y30" s="1"/>
      <c r="Z30" s="5">
        <f t="shared" ref="Z30:Z40" si="19">IF(T30=0,0,X30/T30)</f>
        <v>0.36633360094566625</v>
      </c>
    </row>
    <row r="31" spans="1:26" s="24" customFormat="1" hidden="1" outlineLevel="2" x14ac:dyDescent="0.25">
      <c r="A31" s="26"/>
      <c r="B31" s="11" t="str">
        <f>CONCATENATE("          ", "6001", " - ", "ADMINISTRATIVE SALARIES")</f>
        <v xml:space="preserve">          6001 - ADMINISTRATIVE SALARIES</v>
      </c>
      <c r="C31" s="11"/>
      <c r="D31" s="7"/>
      <c r="E31" s="2"/>
      <c r="F31" s="6">
        <f t="shared" si="12"/>
        <v>0</v>
      </c>
      <c r="G31" s="2"/>
      <c r="H31" s="7">
        <v>0</v>
      </c>
      <c r="I31" s="2"/>
      <c r="J31" s="6">
        <f t="shared" si="13"/>
        <v>0</v>
      </c>
      <c r="K31" s="2"/>
      <c r="L31" s="7">
        <f t="shared" si="14"/>
        <v>0</v>
      </c>
      <c r="M31" s="2"/>
      <c r="N31" s="6">
        <f t="shared" si="15"/>
        <v>0</v>
      </c>
      <c r="O31" s="11"/>
      <c r="P31" s="7"/>
      <c r="Q31" s="2"/>
      <c r="R31" s="6">
        <f t="shared" si="16"/>
        <v>0</v>
      </c>
      <c r="S31" s="2"/>
      <c r="T31" s="7">
        <v>0</v>
      </c>
      <c r="U31" s="2"/>
      <c r="V31" s="6">
        <f t="shared" si="17"/>
        <v>0</v>
      </c>
      <c r="W31" s="2"/>
      <c r="X31" s="7">
        <f t="shared" si="18"/>
        <v>0</v>
      </c>
      <c r="Y31" s="2"/>
      <c r="Z31" s="6">
        <f t="shared" si="19"/>
        <v>0</v>
      </c>
    </row>
    <row r="32" spans="1:26" s="24" customFormat="1" hidden="1" outlineLevel="2" x14ac:dyDescent="0.25">
      <c r="A32" s="26"/>
      <c r="B32" s="11" t="str">
        <f>CONCATENATE("          ", "6002", " - ", "STAFF SALARIES")</f>
        <v xml:space="preserve">          6002 - STAFF SALARIES</v>
      </c>
      <c r="C32" s="11"/>
      <c r="D32" s="7">
        <v>5649.22</v>
      </c>
      <c r="E32" s="2"/>
      <c r="F32" s="6">
        <f t="shared" si="12"/>
        <v>0.23141160085203999</v>
      </c>
      <c r="G32" s="2"/>
      <c r="H32" s="7">
        <v>595.84846153846195</v>
      </c>
      <c r="I32" s="2"/>
      <c r="J32" s="6">
        <f t="shared" si="13"/>
        <v>2.603777580573597E-2</v>
      </c>
      <c r="K32" s="2"/>
      <c r="L32" s="7">
        <f t="shared" si="14"/>
        <v>5053.371538461538</v>
      </c>
      <c r="M32" s="2"/>
      <c r="N32" s="6">
        <f t="shared" si="15"/>
        <v>8.4809676698902461</v>
      </c>
      <c r="O32" s="11"/>
      <c r="P32" s="7">
        <v>64280.81</v>
      </c>
      <c r="Q32" s="2"/>
      <c r="R32" s="6">
        <f t="shared" si="16"/>
        <v>0.14973400885161892</v>
      </c>
      <c r="S32" s="2"/>
      <c r="T32" s="7">
        <v>7150.181538461542</v>
      </c>
      <c r="U32" s="2"/>
      <c r="V32" s="6">
        <f t="shared" si="17"/>
        <v>1.5968603036104971E-2</v>
      </c>
      <c r="W32" s="2"/>
      <c r="X32" s="7">
        <f t="shared" si="18"/>
        <v>57130.628461538457</v>
      </c>
      <c r="Y32" s="2"/>
      <c r="Z32" s="6">
        <f t="shared" si="19"/>
        <v>7.9900948184639917</v>
      </c>
    </row>
    <row r="33" spans="1:26" s="24" customFormat="1" hidden="1" outlineLevel="2" x14ac:dyDescent="0.25">
      <c r="A33" s="26"/>
      <c r="B33" s="11" t="str">
        <f>CONCATENATE("          ", "6003", " - ", "STAFF HOURLY-9 MONTH")</f>
        <v xml:space="preserve">          6003 - STAFF HOURLY-9 MONTH</v>
      </c>
      <c r="C33" s="11"/>
      <c r="D33" s="7"/>
      <c r="E33" s="2"/>
      <c r="F33" s="6">
        <f t="shared" si="12"/>
        <v>0</v>
      </c>
      <c r="G33" s="2"/>
      <c r="H33" s="7">
        <v>0</v>
      </c>
      <c r="I33" s="2"/>
      <c r="J33" s="6">
        <f t="shared" si="13"/>
        <v>0</v>
      </c>
      <c r="K33" s="2"/>
      <c r="L33" s="7">
        <f t="shared" si="14"/>
        <v>0</v>
      </c>
      <c r="M33" s="2"/>
      <c r="N33" s="6">
        <f t="shared" si="15"/>
        <v>0</v>
      </c>
      <c r="O33" s="11"/>
      <c r="P33" s="7"/>
      <c r="Q33" s="2"/>
      <c r="R33" s="6">
        <f t="shared" si="16"/>
        <v>0</v>
      </c>
      <c r="S33" s="2"/>
      <c r="T33" s="7">
        <v>0</v>
      </c>
      <c r="U33" s="2"/>
      <c r="V33" s="6">
        <f t="shared" si="17"/>
        <v>0</v>
      </c>
      <c r="W33" s="2"/>
      <c r="X33" s="7">
        <f t="shared" si="18"/>
        <v>0</v>
      </c>
      <c r="Y33" s="2"/>
      <c r="Z33" s="6">
        <f t="shared" si="19"/>
        <v>0</v>
      </c>
    </row>
    <row r="34" spans="1:26" s="24" customFormat="1" hidden="1" outlineLevel="2" x14ac:dyDescent="0.25">
      <c r="A34" s="26"/>
      <c r="B34" s="11" t="str">
        <f>CONCATENATE("          ", "6004", " - ", "STAFF HOURLY")</f>
        <v xml:space="preserve">          6004 - STAFF HOURLY</v>
      </c>
      <c r="C34" s="11"/>
      <c r="D34" s="7"/>
      <c r="E34" s="2"/>
      <c r="F34" s="6">
        <f t="shared" si="12"/>
        <v>0</v>
      </c>
      <c r="G34" s="2"/>
      <c r="H34" s="7">
        <v>2975.28</v>
      </c>
      <c r="I34" s="2"/>
      <c r="J34" s="6">
        <f t="shared" si="13"/>
        <v>0.13001573151546933</v>
      </c>
      <c r="K34" s="2"/>
      <c r="L34" s="7">
        <f t="shared" si="14"/>
        <v>-2975.28</v>
      </c>
      <c r="M34" s="2"/>
      <c r="N34" s="6">
        <f t="shared" si="15"/>
        <v>-1</v>
      </c>
      <c r="O34" s="11"/>
      <c r="P34" s="7"/>
      <c r="Q34" s="2"/>
      <c r="R34" s="6">
        <f t="shared" si="16"/>
        <v>0</v>
      </c>
      <c r="S34" s="2"/>
      <c r="T34" s="7">
        <v>33945.24</v>
      </c>
      <c r="U34" s="2"/>
      <c r="V34" s="6">
        <f t="shared" si="17"/>
        <v>7.5810391611671302E-2</v>
      </c>
      <c r="W34" s="2"/>
      <c r="X34" s="7">
        <f t="shared" si="18"/>
        <v>-33945.24</v>
      </c>
      <c r="Y34" s="2"/>
      <c r="Z34" s="6">
        <f t="shared" si="19"/>
        <v>-1</v>
      </c>
    </row>
    <row r="35" spans="1:26" s="24" customFormat="1" hidden="1" outlineLevel="2" x14ac:dyDescent="0.25">
      <c r="A35" s="26"/>
      <c r="B35" s="11" t="str">
        <f>CONCATENATE("          ", "6005", " - ", "TEMPORARY WAGES-HOURLY")</f>
        <v xml:space="preserve">          6005 - TEMPORARY WAGES-HOURLY</v>
      </c>
      <c r="C35" s="11"/>
      <c r="D35" s="7">
        <v>5970.33</v>
      </c>
      <c r="E35" s="2"/>
      <c r="F35" s="6">
        <f t="shared" si="12"/>
        <v>0.24456537768310666</v>
      </c>
      <c r="G35" s="2"/>
      <c r="H35" s="7">
        <v>0</v>
      </c>
      <c r="I35" s="2"/>
      <c r="J35" s="6">
        <f t="shared" si="13"/>
        <v>0</v>
      </c>
      <c r="K35" s="2"/>
      <c r="L35" s="7">
        <f t="shared" si="14"/>
        <v>5970.33</v>
      </c>
      <c r="M35" s="2"/>
      <c r="N35" s="6">
        <f t="shared" si="15"/>
        <v>0</v>
      </c>
      <c r="O35" s="11"/>
      <c r="P35" s="7">
        <v>81200.490000000005</v>
      </c>
      <c r="Q35" s="2"/>
      <c r="R35" s="6">
        <f t="shared" si="16"/>
        <v>0.18914626135569532</v>
      </c>
      <c r="S35" s="2"/>
      <c r="T35" s="7">
        <v>0</v>
      </c>
      <c r="U35" s="2"/>
      <c r="V35" s="6">
        <f t="shared" si="17"/>
        <v>0</v>
      </c>
      <c r="W35" s="2"/>
      <c r="X35" s="7">
        <f t="shared" si="18"/>
        <v>81200.490000000005</v>
      </c>
      <c r="Y35" s="2"/>
      <c r="Z35" s="6">
        <f t="shared" si="19"/>
        <v>0</v>
      </c>
    </row>
    <row r="36" spans="1:26" s="24" customFormat="1" hidden="1" outlineLevel="2" x14ac:dyDescent="0.25">
      <c r="A36" s="26"/>
      <c r="B36" s="11" t="str">
        <f>CONCATENATE("          ", "6006", " - ", "TEMPORARY PART TIME")</f>
        <v xml:space="preserve">          6006 - TEMPORARY PART TIME</v>
      </c>
      <c r="C36" s="11"/>
      <c r="D36" s="7"/>
      <c r="E36" s="2"/>
      <c r="F36" s="6">
        <f t="shared" si="12"/>
        <v>0</v>
      </c>
      <c r="G36" s="2"/>
      <c r="H36" s="7">
        <v>0</v>
      </c>
      <c r="I36" s="2"/>
      <c r="J36" s="6">
        <f t="shared" si="13"/>
        <v>0</v>
      </c>
      <c r="K36" s="2"/>
      <c r="L36" s="7">
        <f t="shared" si="14"/>
        <v>0</v>
      </c>
      <c r="M36" s="2"/>
      <c r="N36" s="6">
        <f t="shared" si="15"/>
        <v>0</v>
      </c>
      <c r="O36" s="11"/>
      <c r="P36" s="7"/>
      <c r="Q36" s="2"/>
      <c r="R36" s="6">
        <f t="shared" si="16"/>
        <v>0</v>
      </c>
      <c r="S36" s="2"/>
      <c r="T36" s="7">
        <v>0</v>
      </c>
      <c r="U36" s="2"/>
      <c r="V36" s="6">
        <f t="shared" si="17"/>
        <v>0</v>
      </c>
      <c r="W36" s="2"/>
      <c r="X36" s="7">
        <f t="shared" si="18"/>
        <v>0</v>
      </c>
      <c r="Y36" s="2"/>
      <c r="Z36" s="6">
        <f t="shared" si="19"/>
        <v>0</v>
      </c>
    </row>
    <row r="37" spans="1:26" s="24" customFormat="1" hidden="1" outlineLevel="2" x14ac:dyDescent="0.25">
      <c r="A37" s="26"/>
      <c r="B37" s="11" t="str">
        <f>CONCATENATE("          ", "6007", " - ", "STUDENT HOURLY")</f>
        <v xml:space="preserve">          6007 - STUDENT HOURLY</v>
      </c>
      <c r="C37" s="11"/>
      <c r="D37" s="7"/>
      <c r="E37" s="2"/>
      <c r="F37" s="6">
        <f t="shared" si="12"/>
        <v>0</v>
      </c>
      <c r="G37" s="2"/>
      <c r="H37" s="7">
        <v>0</v>
      </c>
      <c r="I37" s="2"/>
      <c r="J37" s="6">
        <f t="shared" si="13"/>
        <v>0</v>
      </c>
      <c r="K37" s="2"/>
      <c r="L37" s="7">
        <f t="shared" si="14"/>
        <v>0</v>
      </c>
      <c r="M37" s="2"/>
      <c r="N37" s="6">
        <f t="shared" si="15"/>
        <v>0</v>
      </c>
      <c r="O37" s="11"/>
      <c r="P37" s="7">
        <v>25787.41</v>
      </c>
      <c r="Q37" s="2"/>
      <c r="R37" s="6">
        <f t="shared" si="16"/>
        <v>6.0068506871651522E-2</v>
      </c>
      <c r="S37" s="2"/>
      <c r="T37" s="7">
        <v>19992</v>
      </c>
      <c r="U37" s="2"/>
      <c r="V37" s="6">
        <f t="shared" si="17"/>
        <v>4.464842048842585E-2</v>
      </c>
      <c r="W37" s="2"/>
      <c r="X37" s="7">
        <f t="shared" si="18"/>
        <v>5795.41</v>
      </c>
      <c r="Y37" s="2"/>
      <c r="Z37" s="6">
        <f t="shared" si="19"/>
        <v>0.28988645458183271</v>
      </c>
    </row>
    <row r="38" spans="1:26" s="24" customFormat="1" hidden="1" outlineLevel="2" x14ac:dyDescent="0.25">
      <c r="A38" s="26"/>
      <c r="B38" s="11" t="str">
        <f>CONCATENATE("          ", "6008", " - ", "STUDENT HOURLY-FICA EXEMPT")</f>
        <v xml:space="preserve">          6008 - STUDENT HOURLY-FICA EXEMPT</v>
      </c>
      <c r="C38" s="11"/>
      <c r="D38" s="7"/>
      <c r="E38" s="2"/>
      <c r="F38" s="6">
        <f t="shared" si="12"/>
        <v>0</v>
      </c>
      <c r="G38" s="2"/>
      <c r="H38" s="7">
        <v>7012.5</v>
      </c>
      <c r="I38" s="2"/>
      <c r="J38" s="6">
        <f t="shared" si="13"/>
        <v>0.30643681174619819</v>
      </c>
      <c r="K38" s="2"/>
      <c r="L38" s="7">
        <f t="shared" si="14"/>
        <v>-7012.5</v>
      </c>
      <c r="M38" s="2"/>
      <c r="N38" s="6">
        <f t="shared" si="15"/>
        <v>-1</v>
      </c>
      <c r="O38" s="11"/>
      <c r="P38" s="7">
        <v>5920.74</v>
      </c>
      <c r="Q38" s="2"/>
      <c r="R38" s="6">
        <f t="shared" si="16"/>
        <v>1.3791614255765198E-2</v>
      </c>
      <c r="S38" s="2"/>
      <c r="T38" s="7">
        <v>68595</v>
      </c>
      <c r="U38" s="2"/>
      <c r="V38" s="6">
        <f t="shared" si="17"/>
        <v>0.15319419784931829</v>
      </c>
      <c r="W38" s="2"/>
      <c r="X38" s="7">
        <f t="shared" si="18"/>
        <v>-62674.26</v>
      </c>
      <c r="Y38" s="2"/>
      <c r="Z38" s="6">
        <f t="shared" si="19"/>
        <v>-0.91368554559370219</v>
      </c>
    </row>
    <row r="39" spans="1:26" s="24" customFormat="1" hidden="1" outlineLevel="2" x14ac:dyDescent="0.25">
      <c r="A39" s="26"/>
      <c r="B39" s="11" t="str">
        <f>CONCATENATE("          ", "6009", " - ", "TEMPORARY-SEASONAL")</f>
        <v xml:space="preserve">          6009 - TEMPORARY-SEASONAL</v>
      </c>
      <c r="C39" s="11"/>
      <c r="D39" s="7"/>
      <c r="E39" s="2"/>
      <c r="F39" s="6">
        <f t="shared" si="12"/>
        <v>0</v>
      </c>
      <c r="G39" s="2"/>
      <c r="H39" s="7">
        <v>0</v>
      </c>
      <c r="I39" s="2"/>
      <c r="J39" s="6">
        <f t="shared" si="13"/>
        <v>0</v>
      </c>
      <c r="K39" s="2"/>
      <c r="L39" s="7">
        <f t="shared" si="14"/>
        <v>0</v>
      </c>
      <c r="M39" s="2"/>
      <c r="N39" s="6">
        <f t="shared" si="15"/>
        <v>0</v>
      </c>
      <c r="O39" s="11"/>
      <c r="P39" s="7"/>
      <c r="Q39" s="2"/>
      <c r="R39" s="6">
        <f t="shared" si="16"/>
        <v>0</v>
      </c>
      <c r="S39" s="2"/>
      <c r="T39" s="7">
        <v>0</v>
      </c>
      <c r="U39" s="2"/>
      <c r="V39" s="6">
        <f t="shared" si="17"/>
        <v>0</v>
      </c>
      <c r="W39" s="2"/>
      <c r="X39" s="7">
        <f t="shared" si="18"/>
        <v>0</v>
      </c>
      <c r="Y39" s="2"/>
      <c r="Z39" s="6">
        <f t="shared" si="19"/>
        <v>0</v>
      </c>
    </row>
    <row r="40" spans="1:26" s="24" customFormat="1" hidden="1" outlineLevel="2" x14ac:dyDescent="0.25">
      <c r="A40" s="26"/>
      <c r="B40" s="11" t="str">
        <f>CONCATENATE("          ", "6010", " - ", "GRATUITY")</f>
        <v xml:space="preserve">          6010 - GRATUITY</v>
      </c>
      <c r="C40" s="11"/>
      <c r="D40" s="7"/>
      <c r="E40" s="2"/>
      <c r="F40" s="6">
        <f t="shared" si="12"/>
        <v>0</v>
      </c>
      <c r="G40" s="2"/>
      <c r="H40" s="7">
        <v>0</v>
      </c>
      <c r="I40" s="2"/>
      <c r="J40" s="6">
        <f t="shared" si="13"/>
        <v>0</v>
      </c>
      <c r="K40" s="2"/>
      <c r="L40" s="7">
        <f t="shared" si="14"/>
        <v>0</v>
      </c>
      <c r="M40" s="2"/>
      <c r="N40" s="6">
        <f t="shared" si="15"/>
        <v>0</v>
      </c>
      <c r="O40" s="11"/>
      <c r="P40" s="7"/>
      <c r="Q40" s="2"/>
      <c r="R40" s="6">
        <f t="shared" si="16"/>
        <v>0</v>
      </c>
      <c r="S40" s="2"/>
      <c r="T40" s="7">
        <v>0</v>
      </c>
      <c r="U40" s="2"/>
      <c r="V40" s="6">
        <f t="shared" si="17"/>
        <v>0</v>
      </c>
      <c r="W40" s="2"/>
      <c r="X40" s="7">
        <f t="shared" si="18"/>
        <v>0</v>
      </c>
      <c r="Y40" s="2"/>
      <c r="Z40" s="6">
        <f t="shared" si="19"/>
        <v>0</v>
      </c>
    </row>
    <row r="41" spans="1:26" s="27" customFormat="1" outlineLevel="1" collapsed="1" x14ac:dyDescent="0.25">
      <c r="A41" s="25"/>
      <c r="B41" s="12" t="str">
        <f>CONCATENATE("     ","Advertising/Promo                                 ")</f>
        <v xml:space="preserve">     Advertising/Promo                                 </v>
      </c>
      <c r="C41" s="12"/>
      <c r="D41" s="1">
        <f>SUM(OSRRefD22_2x_0)</f>
        <v>1911.81</v>
      </c>
      <c r="E41" s="1"/>
      <c r="F41" s="5">
        <f t="shared" ref="F41:F61" si="20">IF(D$12=0,0,D41/D$12)</f>
        <v>7.8314353596591835E-2</v>
      </c>
      <c r="G41" s="1"/>
      <c r="H41" s="1">
        <f>SUM(OSRRefH22_2x_0)</f>
        <v>400</v>
      </c>
      <c r="I41" s="1"/>
      <c r="J41" s="5">
        <f t="shared" ref="J41:J61" si="21">IF(H$12=0,0,H41/H$12)</f>
        <v>1.7479461632581718E-2</v>
      </c>
      <c r="K41" s="1"/>
      <c r="L41" s="1">
        <f t="shared" ref="L41:L61" si="22">+D41-H41</f>
        <v>1511.81</v>
      </c>
      <c r="M41" s="1"/>
      <c r="N41" s="5">
        <f t="shared" ref="N41:N61" si="23">IF(H41=0,0,L41/H41)</f>
        <v>3.779525</v>
      </c>
      <c r="O41" s="12"/>
      <c r="P41" s="1">
        <f>SUM(OSRRefP22_2x_0)</f>
        <v>2066.92</v>
      </c>
      <c r="Q41" s="1"/>
      <c r="R41" s="5">
        <f t="shared" ref="R41:R61" si="24">IF(P$12=0,0,P41/P$12)</f>
        <v>4.8146284649429301E-3</v>
      </c>
      <c r="S41" s="1"/>
      <c r="T41" s="1">
        <f>SUM(OSRRefT22_2x_0)</f>
        <v>4400</v>
      </c>
      <c r="U41" s="1"/>
      <c r="V41" s="5">
        <f t="shared" ref="V41:V61" si="25">IF(T$12=0,0,T41/T$12)</f>
        <v>9.8265831407099713E-3</v>
      </c>
      <c r="W41" s="1"/>
      <c r="X41" s="1">
        <f t="shared" ref="X41:X61" si="26">+P41-T41</f>
        <v>-2333.08</v>
      </c>
      <c r="Y41" s="1"/>
      <c r="Z41" s="5">
        <f t="shared" ref="Z41:Z61" si="27">IF(T41=0,0,X41/T41)</f>
        <v>-0.53024545454545458</v>
      </c>
    </row>
    <row r="42" spans="1:26" s="24" customFormat="1" hidden="1" outlineLevel="2" x14ac:dyDescent="0.25">
      <c r="A42" s="26"/>
      <c r="B42" s="11" t="str">
        <f>CONCATENATE("          ", "6362", " - ", "ADVERTISING EXPENSE")</f>
        <v xml:space="preserve">          6362 - ADVERTISING EXPENSE</v>
      </c>
      <c r="C42" s="11"/>
      <c r="D42" s="7">
        <v>1911.81</v>
      </c>
      <c r="E42" s="2"/>
      <c r="F42" s="6">
        <f t="shared" si="20"/>
        <v>7.8314353596591835E-2</v>
      </c>
      <c r="G42" s="2"/>
      <c r="H42" s="7">
        <v>400</v>
      </c>
      <c r="I42" s="2"/>
      <c r="J42" s="6">
        <f t="shared" si="21"/>
        <v>1.7479461632581718E-2</v>
      </c>
      <c r="K42" s="2"/>
      <c r="L42" s="7">
        <f t="shared" si="22"/>
        <v>1511.81</v>
      </c>
      <c r="M42" s="2"/>
      <c r="N42" s="6">
        <f t="shared" si="23"/>
        <v>3.779525</v>
      </c>
      <c r="O42" s="11"/>
      <c r="P42" s="7">
        <v>2066.92</v>
      </c>
      <c r="Q42" s="2"/>
      <c r="R42" s="6">
        <f t="shared" si="24"/>
        <v>4.8146284649429301E-3</v>
      </c>
      <c r="S42" s="2"/>
      <c r="T42" s="7">
        <v>4400</v>
      </c>
      <c r="U42" s="2"/>
      <c r="V42" s="6">
        <f t="shared" si="25"/>
        <v>9.8265831407099713E-3</v>
      </c>
      <c r="W42" s="2"/>
      <c r="X42" s="7">
        <f t="shared" si="26"/>
        <v>-2333.08</v>
      </c>
      <c r="Y42" s="2"/>
      <c r="Z42" s="6">
        <f t="shared" si="27"/>
        <v>-0.53024545454545458</v>
      </c>
    </row>
    <row r="43" spans="1:26" s="27" customFormat="1" outlineLevel="1" collapsed="1" x14ac:dyDescent="0.25">
      <c r="A43" s="25"/>
      <c r="B43" s="12" t="str">
        <f>CONCATENATE("     ","Bank/card Fees                                    ")</f>
        <v xml:space="preserve">     Bank/card Fees                                    </v>
      </c>
      <c r="C43" s="12"/>
      <c r="D43" s="1">
        <f>SUM(OSRRefD22_3x_0)</f>
        <v>43.26</v>
      </c>
      <c r="E43" s="1"/>
      <c r="F43" s="5">
        <f t="shared" si="20"/>
        <v>1.7720793052597083E-3</v>
      </c>
      <c r="G43" s="1"/>
      <c r="H43" s="1">
        <f>SUM(OSRRefH22_3x_0)</f>
        <v>2000</v>
      </c>
      <c r="I43" s="1"/>
      <c r="J43" s="5">
        <f t="shared" si="21"/>
        <v>8.7397308162908582E-2</v>
      </c>
      <c r="K43" s="1"/>
      <c r="L43" s="1">
        <f t="shared" si="22"/>
        <v>-1956.74</v>
      </c>
      <c r="M43" s="1"/>
      <c r="N43" s="5">
        <f t="shared" si="23"/>
        <v>-0.97836999999999996</v>
      </c>
      <c r="O43" s="12"/>
      <c r="P43" s="1">
        <f>SUM(OSRRefP22_3x_0)</f>
        <v>17833.88</v>
      </c>
      <c r="Q43" s="1"/>
      <c r="R43" s="5">
        <f t="shared" si="24"/>
        <v>4.1541765665036111E-2</v>
      </c>
      <c r="S43" s="1"/>
      <c r="T43" s="1">
        <f>SUM(OSRRefT22_3x_0)</f>
        <v>19700</v>
      </c>
      <c r="U43" s="1"/>
      <c r="V43" s="5">
        <f t="shared" si="25"/>
        <v>4.3996292698178729E-2</v>
      </c>
      <c r="W43" s="1"/>
      <c r="X43" s="1">
        <f t="shared" si="26"/>
        <v>-1866.119999999999</v>
      </c>
      <c r="Y43" s="1"/>
      <c r="Z43" s="5">
        <f t="shared" si="27"/>
        <v>-9.4726903553299435E-2</v>
      </c>
    </row>
    <row r="44" spans="1:26" s="24" customFormat="1" hidden="1" outlineLevel="2" x14ac:dyDescent="0.25">
      <c r="A44" s="26"/>
      <c r="B44" s="11" t="str">
        <f>CONCATENATE("          ", "6381", " - ", "BANK/CREDIT CARD FEES")</f>
        <v xml:space="preserve">          6381 - BANK/CREDIT CARD FEES</v>
      </c>
      <c r="C44" s="11"/>
      <c r="D44" s="7">
        <v>43.26</v>
      </c>
      <c r="E44" s="2"/>
      <c r="F44" s="6">
        <f t="shared" si="20"/>
        <v>1.7720793052597083E-3</v>
      </c>
      <c r="G44" s="2"/>
      <c r="H44" s="7">
        <v>2000</v>
      </c>
      <c r="I44" s="2"/>
      <c r="J44" s="6">
        <f t="shared" si="21"/>
        <v>8.7397308162908582E-2</v>
      </c>
      <c r="K44" s="2"/>
      <c r="L44" s="7">
        <f t="shared" si="22"/>
        <v>-1956.74</v>
      </c>
      <c r="M44" s="2"/>
      <c r="N44" s="6">
        <f t="shared" si="23"/>
        <v>-0.97836999999999996</v>
      </c>
      <c r="O44" s="11"/>
      <c r="P44" s="7">
        <v>17833.88</v>
      </c>
      <c r="Q44" s="2"/>
      <c r="R44" s="6">
        <f t="shared" si="24"/>
        <v>4.1541765665036111E-2</v>
      </c>
      <c r="S44" s="2"/>
      <c r="T44" s="7">
        <v>19700</v>
      </c>
      <c r="U44" s="2"/>
      <c r="V44" s="6">
        <f t="shared" si="25"/>
        <v>4.3996292698178729E-2</v>
      </c>
      <c r="W44" s="2"/>
      <c r="X44" s="7">
        <f t="shared" si="26"/>
        <v>-1866.119999999999</v>
      </c>
      <c r="Y44" s="2"/>
      <c r="Z44" s="6">
        <f t="shared" si="27"/>
        <v>-9.4726903553299435E-2</v>
      </c>
    </row>
    <row r="45" spans="1:26" s="27" customFormat="1" outlineLevel="1" collapsed="1" x14ac:dyDescent="0.25">
      <c r="A45" s="25"/>
      <c r="B45" s="12" t="str">
        <f>CONCATENATE("     ","Employees' Appreciation                           ")</f>
        <v xml:space="preserve">     Employees' Appreciation                           </v>
      </c>
      <c r="C45" s="12"/>
      <c r="D45" s="1">
        <f>SUM(OSRRefD22_4x_0)</f>
        <v>0</v>
      </c>
      <c r="E45" s="1"/>
      <c r="F45" s="5">
        <f t="shared" si="20"/>
        <v>0</v>
      </c>
      <c r="G45" s="1"/>
      <c r="H45" s="1">
        <f>SUM(OSRRefH22_4x_0)</f>
        <v>75</v>
      </c>
      <c r="I45" s="1"/>
      <c r="J45" s="5">
        <f t="shared" si="21"/>
        <v>3.2773990561090717E-3</v>
      </c>
      <c r="K45" s="1"/>
      <c r="L45" s="1">
        <f t="shared" si="22"/>
        <v>-75</v>
      </c>
      <c r="M45" s="1"/>
      <c r="N45" s="5">
        <f t="shared" si="23"/>
        <v>-1</v>
      </c>
      <c r="O45" s="12"/>
      <c r="P45" s="1">
        <f>SUM(OSRRefP22_4x_0)</f>
        <v>64.239999999999995</v>
      </c>
      <c r="Q45" s="1"/>
      <c r="R45" s="5">
        <f t="shared" si="24"/>
        <v>1.4963894712322385E-4</v>
      </c>
      <c r="S45" s="1"/>
      <c r="T45" s="1">
        <f>SUM(OSRRefT22_4x_0)</f>
        <v>825</v>
      </c>
      <c r="U45" s="1"/>
      <c r="V45" s="5">
        <f t="shared" si="25"/>
        <v>1.8424843388831194E-3</v>
      </c>
      <c r="W45" s="1"/>
      <c r="X45" s="1">
        <f t="shared" si="26"/>
        <v>-760.76</v>
      </c>
      <c r="Y45" s="1"/>
      <c r="Z45" s="5">
        <f t="shared" si="27"/>
        <v>-0.92213333333333336</v>
      </c>
    </row>
    <row r="46" spans="1:26" s="24" customFormat="1" hidden="1" outlineLevel="2" x14ac:dyDescent="0.25">
      <c r="A46" s="26"/>
      <c r="B46" s="11" t="str">
        <f>CONCATENATE("          ", "6277", " - ", "EMPLOYEE APPRECIATION")</f>
        <v xml:space="preserve">          6277 - EMPLOYEE APPRECIATION</v>
      </c>
      <c r="C46" s="11"/>
      <c r="D46" s="7"/>
      <c r="E46" s="2"/>
      <c r="F46" s="6">
        <f t="shared" si="20"/>
        <v>0</v>
      </c>
      <c r="G46" s="2"/>
      <c r="H46" s="7">
        <v>75</v>
      </c>
      <c r="I46" s="2"/>
      <c r="J46" s="6">
        <f t="shared" si="21"/>
        <v>3.2773990561090717E-3</v>
      </c>
      <c r="K46" s="2"/>
      <c r="L46" s="7">
        <f t="shared" si="22"/>
        <v>-75</v>
      </c>
      <c r="M46" s="2"/>
      <c r="N46" s="6">
        <f t="shared" si="23"/>
        <v>-1</v>
      </c>
      <c r="O46" s="11"/>
      <c r="P46" s="7">
        <v>64.239999999999995</v>
      </c>
      <c r="Q46" s="2"/>
      <c r="R46" s="6">
        <f t="shared" si="24"/>
        <v>1.4963894712322385E-4</v>
      </c>
      <c r="S46" s="2"/>
      <c r="T46" s="7">
        <v>825</v>
      </c>
      <c r="U46" s="2"/>
      <c r="V46" s="6">
        <f t="shared" si="25"/>
        <v>1.8424843388831194E-3</v>
      </c>
      <c r="W46" s="2"/>
      <c r="X46" s="7">
        <f t="shared" si="26"/>
        <v>-760.76</v>
      </c>
      <c r="Y46" s="2"/>
      <c r="Z46" s="6">
        <f t="shared" si="27"/>
        <v>-0.92213333333333336</v>
      </c>
    </row>
    <row r="47" spans="1:26" s="27" customFormat="1" outlineLevel="1" collapsed="1" x14ac:dyDescent="0.25">
      <c r="A47" s="25"/>
      <c r="B47" s="12" t="str">
        <f>CONCATENATE("     ","Freight out/Postage                               ")</f>
        <v xml:space="preserve">     Freight out/Postage                               </v>
      </c>
      <c r="C47" s="12"/>
      <c r="D47" s="1">
        <f>SUM(OSRRefD22_5x_0)</f>
        <v>0</v>
      </c>
      <c r="E47" s="1"/>
      <c r="F47" s="5">
        <f t="shared" si="20"/>
        <v>0</v>
      </c>
      <c r="G47" s="1"/>
      <c r="H47" s="1">
        <f>SUM(OSRRefH22_5x_0)</f>
        <v>10</v>
      </c>
      <c r="I47" s="1"/>
      <c r="J47" s="5">
        <f t="shared" si="21"/>
        <v>4.3698654081454294E-4</v>
      </c>
      <c r="K47" s="1"/>
      <c r="L47" s="1">
        <f t="shared" si="22"/>
        <v>-10</v>
      </c>
      <c r="M47" s="1"/>
      <c r="N47" s="5">
        <f t="shared" si="23"/>
        <v>-1</v>
      </c>
      <c r="O47" s="12"/>
      <c r="P47" s="1">
        <f>SUM(OSRRefP22_5x_0)</f>
        <v>0</v>
      </c>
      <c r="Q47" s="1"/>
      <c r="R47" s="5">
        <f t="shared" si="24"/>
        <v>0</v>
      </c>
      <c r="S47" s="1"/>
      <c r="T47" s="1">
        <f>SUM(OSRRefT22_5x_0)</f>
        <v>110</v>
      </c>
      <c r="U47" s="1"/>
      <c r="V47" s="5">
        <f t="shared" si="25"/>
        <v>2.4566457851774926E-4</v>
      </c>
      <c r="W47" s="1"/>
      <c r="X47" s="1">
        <f t="shared" si="26"/>
        <v>-110</v>
      </c>
      <c r="Y47" s="1"/>
      <c r="Z47" s="5">
        <f t="shared" si="27"/>
        <v>-1</v>
      </c>
    </row>
    <row r="48" spans="1:26" s="24" customFormat="1" hidden="1" outlineLevel="2" x14ac:dyDescent="0.25">
      <c r="A48" s="26"/>
      <c r="B48" s="11" t="str">
        <f>CONCATENATE("          ", "6307", " - ", "POSTAGE")</f>
        <v xml:space="preserve">          6307 - POSTAGE</v>
      </c>
      <c r="C48" s="11"/>
      <c r="D48" s="7"/>
      <c r="E48" s="2"/>
      <c r="F48" s="6">
        <f t="shared" si="20"/>
        <v>0</v>
      </c>
      <c r="G48" s="2"/>
      <c r="H48" s="7">
        <v>10</v>
      </c>
      <c r="I48" s="2"/>
      <c r="J48" s="6">
        <f t="shared" si="21"/>
        <v>4.3698654081454294E-4</v>
      </c>
      <c r="K48" s="2"/>
      <c r="L48" s="7">
        <f t="shared" si="22"/>
        <v>-10</v>
      </c>
      <c r="M48" s="2"/>
      <c r="N48" s="6">
        <f t="shared" si="23"/>
        <v>-1</v>
      </c>
      <c r="O48" s="11"/>
      <c r="P48" s="7"/>
      <c r="Q48" s="2"/>
      <c r="R48" s="6">
        <f t="shared" si="24"/>
        <v>0</v>
      </c>
      <c r="S48" s="2"/>
      <c r="T48" s="7">
        <v>110</v>
      </c>
      <c r="U48" s="2"/>
      <c r="V48" s="6">
        <f t="shared" si="25"/>
        <v>2.4566457851774926E-4</v>
      </c>
      <c r="W48" s="2"/>
      <c r="X48" s="7">
        <f t="shared" si="26"/>
        <v>-110</v>
      </c>
      <c r="Y48" s="2"/>
      <c r="Z48" s="6">
        <f t="shared" si="27"/>
        <v>-1</v>
      </c>
    </row>
    <row r="49" spans="1:26" s="27" customFormat="1" outlineLevel="1" collapsed="1" x14ac:dyDescent="0.25">
      <c r="A49" s="25"/>
      <c r="B49" s="12" t="str">
        <f>CONCATENATE("     ","General                                           ")</f>
        <v xml:space="preserve">     General                                           </v>
      </c>
      <c r="C49" s="12"/>
      <c r="D49" s="1">
        <f>SUM(OSRRefD22_6x_0)</f>
        <v>0</v>
      </c>
      <c r="E49" s="1"/>
      <c r="F49" s="5">
        <f t="shared" si="20"/>
        <v>0</v>
      </c>
      <c r="G49" s="1"/>
      <c r="H49" s="1">
        <f>SUM(OSRRefH22_6x_0)</f>
        <v>50</v>
      </c>
      <c r="I49" s="1"/>
      <c r="J49" s="5">
        <f t="shared" si="21"/>
        <v>2.1849327040727147E-3</v>
      </c>
      <c r="K49" s="1"/>
      <c r="L49" s="1">
        <f t="shared" si="22"/>
        <v>-50</v>
      </c>
      <c r="M49" s="1"/>
      <c r="N49" s="5">
        <f t="shared" si="23"/>
        <v>-1</v>
      </c>
      <c r="O49" s="12"/>
      <c r="P49" s="1">
        <f>SUM(OSRRefP22_6x_0)</f>
        <v>47.34</v>
      </c>
      <c r="Q49" s="1"/>
      <c r="R49" s="5">
        <f t="shared" si="24"/>
        <v>1.1027253668763104E-4</v>
      </c>
      <c r="S49" s="1"/>
      <c r="T49" s="1">
        <f>SUM(OSRRefT22_6x_0)</f>
        <v>550</v>
      </c>
      <c r="U49" s="1"/>
      <c r="V49" s="5">
        <f t="shared" si="25"/>
        <v>1.2283228925887464E-3</v>
      </c>
      <c r="W49" s="1"/>
      <c r="X49" s="1">
        <f t="shared" si="26"/>
        <v>-502.65999999999997</v>
      </c>
      <c r="Y49" s="1"/>
      <c r="Z49" s="5">
        <f t="shared" si="27"/>
        <v>-0.9139272727272727</v>
      </c>
    </row>
    <row r="50" spans="1:26" s="24" customFormat="1" hidden="1" outlineLevel="2" x14ac:dyDescent="0.25">
      <c r="A50" s="26"/>
      <c r="B50" s="11" t="str">
        <f>CONCATENATE("          ", "6279", " - ", "GENERAL EXPENSE")</f>
        <v xml:space="preserve">          6279 - GENERAL EXPENSE</v>
      </c>
      <c r="C50" s="11"/>
      <c r="D50" s="7"/>
      <c r="E50" s="2"/>
      <c r="F50" s="6">
        <f t="shared" si="20"/>
        <v>0</v>
      </c>
      <c r="G50" s="2"/>
      <c r="H50" s="7">
        <v>50</v>
      </c>
      <c r="I50" s="2"/>
      <c r="J50" s="6">
        <f t="shared" si="21"/>
        <v>2.1849327040727147E-3</v>
      </c>
      <c r="K50" s="2"/>
      <c r="L50" s="7">
        <f t="shared" si="22"/>
        <v>-50</v>
      </c>
      <c r="M50" s="2"/>
      <c r="N50" s="6">
        <f t="shared" si="23"/>
        <v>-1</v>
      </c>
      <c r="O50" s="11"/>
      <c r="P50" s="7">
        <v>47.34</v>
      </c>
      <c r="Q50" s="2"/>
      <c r="R50" s="6">
        <f t="shared" si="24"/>
        <v>1.1027253668763104E-4</v>
      </c>
      <c r="S50" s="2"/>
      <c r="T50" s="7">
        <v>550</v>
      </c>
      <c r="U50" s="2"/>
      <c r="V50" s="6">
        <f t="shared" si="25"/>
        <v>1.2283228925887464E-3</v>
      </c>
      <c r="W50" s="2"/>
      <c r="X50" s="7">
        <f t="shared" si="26"/>
        <v>-502.65999999999997</v>
      </c>
      <c r="Y50" s="2"/>
      <c r="Z50" s="6">
        <f t="shared" si="27"/>
        <v>-0.9139272727272727</v>
      </c>
    </row>
    <row r="51" spans="1:26" s="27" customFormat="1" outlineLevel="1" collapsed="1" x14ac:dyDescent="0.25">
      <c r="A51" s="25"/>
      <c r="B51" s="12" t="str">
        <f>CONCATENATE("     ","Insurance                                         ")</f>
        <v xml:space="preserve">     Insurance                                         </v>
      </c>
      <c r="C51" s="12"/>
      <c r="D51" s="1">
        <f>SUM(OSRRefD22_7x_0)</f>
        <v>29.01</v>
      </c>
      <c r="E51" s="1"/>
      <c r="F51" s="5">
        <f t="shared" si="20"/>
        <v>1.1883499918073079E-3</v>
      </c>
      <c r="G51" s="1"/>
      <c r="H51" s="1">
        <f>SUM(OSRRefH22_7x_0)</f>
        <v>27</v>
      </c>
      <c r="I51" s="1"/>
      <c r="J51" s="5">
        <f t="shared" si="21"/>
        <v>1.1798636601992659E-3</v>
      </c>
      <c r="K51" s="1"/>
      <c r="L51" s="1">
        <f t="shared" si="22"/>
        <v>2.0100000000000016</v>
      </c>
      <c r="M51" s="1"/>
      <c r="N51" s="5">
        <f t="shared" si="23"/>
        <v>7.4444444444444507E-2</v>
      </c>
      <c r="O51" s="12"/>
      <c r="P51" s="1">
        <f>SUM(OSRRefP22_7x_0)</f>
        <v>319.11</v>
      </c>
      <c r="Q51" s="1"/>
      <c r="R51" s="5">
        <f t="shared" si="24"/>
        <v>7.4332634521313769E-4</v>
      </c>
      <c r="S51" s="1"/>
      <c r="T51" s="1">
        <f>SUM(OSRRefT22_7x_0)</f>
        <v>297</v>
      </c>
      <c r="U51" s="1"/>
      <c r="V51" s="5">
        <f t="shared" si="25"/>
        <v>6.6329436199792299E-4</v>
      </c>
      <c r="W51" s="1"/>
      <c r="X51" s="1">
        <f t="shared" si="26"/>
        <v>22.110000000000014</v>
      </c>
      <c r="Y51" s="1"/>
      <c r="Z51" s="5">
        <f t="shared" si="27"/>
        <v>7.4444444444444494E-2</v>
      </c>
    </row>
    <row r="52" spans="1:26" s="24" customFormat="1" hidden="1" outlineLevel="2" x14ac:dyDescent="0.25">
      <c r="A52" s="26"/>
      <c r="B52" s="11" t="str">
        <f>CONCATENATE("          ", "6314", " - ", "LIABILITY INSURANCE")</f>
        <v xml:space="preserve">          6314 - LIABILITY INSURANCE</v>
      </c>
      <c r="C52" s="11"/>
      <c r="D52" s="7">
        <v>29.01</v>
      </c>
      <c r="E52" s="2"/>
      <c r="F52" s="6">
        <f t="shared" si="20"/>
        <v>1.1883499918073079E-3</v>
      </c>
      <c r="G52" s="2"/>
      <c r="H52" s="7">
        <v>27</v>
      </c>
      <c r="I52" s="2"/>
      <c r="J52" s="6">
        <f t="shared" si="21"/>
        <v>1.1798636601992659E-3</v>
      </c>
      <c r="K52" s="2"/>
      <c r="L52" s="7">
        <f t="shared" si="22"/>
        <v>2.0100000000000016</v>
      </c>
      <c r="M52" s="2"/>
      <c r="N52" s="6">
        <f t="shared" si="23"/>
        <v>7.4444444444444507E-2</v>
      </c>
      <c r="O52" s="11"/>
      <c r="P52" s="7">
        <v>319.11</v>
      </c>
      <c r="Q52" s="2"/>
      <c r="R52" s="6">
        <f t="shared" si="24"/>
        <v>7.4332634521313769E-4</v>
      </c>
      <c r="S52" s="2"/>
      <c r="T52" s="7">
        <v>297</v>
      </c>
      <c r="U52" s="2"/>
      <c r="V52" s="6">
        <f t="shared" si="25"/>
        <v>6.6329436199792299E-4</v>
      </c>
      <c r="W52" s="2"/>
      <c r="X52" s="7">
        <f t="shared" si="26"/>
        <v>22.110000000000014</v>
      </c>
      <c r="Y52" s="2"/>
      <c r="Z52" s="6">
        <f t="shared" si="27"/>
        <v>7.4444444444444494E-2</v>
      </c>
    </row>
    <row r="53" spans="1:26" s="27" customFormat="1" outlineLevel="1" collapsed="1" x14ac:dyDescent="0.25">
      <c r="A53" s="25"/>
      <c r="B53" s="12" t="str">
        <f>CONCATENATE("     ","Professional Services                             ")</f>
        <v xml:space="preserve">     Professional Services                             </v>
      </c>
      <c r="C53" s="12"/>
      <c r="D53" s="1">
        <f>SUM(OSRRefD22_8x_0)</f>
        <v>0</v>
      </c>
      <c r="E53" s="1"/>
      <c r="F53" s="5">
        <f t="shared" si="20"/>
        <v>0</v>
      </c>
      <c r="G53" s="1"/>
      <c r="H53" s="1">
        <f>SUM(OSRRefH22_8x_0)</f>
        <v>400</v>
      </c>
      <c r="I53" s="1"/>
      <c r="J53" s="5">
        <f t="shared" si="21"/>
        <v>1.7479461632581718E-2</v>
      </c>
      <c r="K53" s="1"/>
      <c r="L53" s="1">
        <f t="shared" si="22"/>
        <v>-400</v>
      </c>
      <c r="M53" s="1"/>
      <c r="N53" s="5">
        <f t="shared" si="23"/>
        <v>-1</v>
      </c>
      <c r="O53" s="12"/>
      <c r="P53" s="1">
        <f>SUM(OSRRefP22_8x_0)</f>
        <v>0</v>
      </c>
      <c r="Q53" s="1"/>
      <c r="R53" s="5">
        <f t="shared" si="24"/>
        <v>0</v>
      </c>
      <c r="S53" s="1"/>
      <c r="T53" s="1">
        <f>SUM(OSRRefT22_8x_0)</f>
        <v>4400</v>
      </c>
      <c r="U53" s="1"/>
      <c r="V53" s="5">
        <f t="shared" si="25"/>
        <v>9.8265831407099713E-3</v>
      </c>
      <c r="W53" s="1"/>
      <c r="X53" s="1">
        <f t="shared" si="26"/>
        <v>-4400</v>
      </c>
      <c r="Y53" s="1"/>
      <c r="Z53" s="5">
        <f t="shared" si="27"/>
        <v>-1</v>
      </c>
    </row>
    <row r="54" spans="1:26" s="24" customFormat="1" hidden="1" outlineLevel="2" x14ac:dyDescent="0.25">
      <c r="A54" s="26"/>
      <c r="B54" s="11" t="str">
        <f>CONCATENATE("          ", "6336", " - ", "PROFESSIONAL SERVICES")</f>
        <v xml:space="preserve">          6336 - PROFESSIONAL SERVICES</v>
      </c>
      <c r="C54" s="11"/>
      <c r="D54" s="7"/>
      <c r="E54" s="2"/>
      <c r="F54" s="6">
        <f t="shared" si="20"/>
        <v>0</v>
      </c>
      <c r="G54" s="2"/>
      <c r="H54" s="7">
        <v>400</v>
      </c>
      <c r="I54" s="2"/>
      <c r="J54" s="6">
        <f t="shared" si="21"/>
        <v>1.7479461632581718E-2</v>
      </c>
      <c r="K54" s="2"/>
      <c r="L54" s="7">
        <f t="shared" si="22"/>
        <v>-400</v>
      </c>
      <c r="M54" s="2"/>
      <c r="N54" s="6">
        <f t="shared" si="23"/>
        <v>-1</v>
      </c>
      <c r="O54" s="11"/>
      <c r="P54" s="7"/>
      <c r="Q54" s="2"/>
      <c r="R54" s="6">
        <f t="shared" si="24"/>
        <v>0</v>
      </c>
      <c r="S54" s="2"/>
      <c r="T54" s="7">
        <v>4400</v>
      </c>
      <c r="U54" s="2"/>
      <c r="V54" s="6">
        <f t="shared" si="25"/>
        <v>9.8265831407099713E-3</v>
      </c>
      <c r="W54" s="2"/>
      <c r="X54" s="7">
        <f t="shared" si="26"/>
        <v>-4400</v>
      </c>
      <c r="Y54" s="2"/>
      <c r="Z54" s="6">
        <f t="shared" si="27"/>
        <v>-1</v>
      </c>
    </row>
    <row r="55" spans="1:26" s="27" customFormat="1" outlineLevel="1" collapsed="1" x14ac:dyDescent="0.25">
      <c r="A55" s="25"/>
      <c r="B55" s="12" t="str">
        <f>CONCATENATE("     ","Rent                                              ")</f>
        <v xml:space="preserve">     Rent                                              </v>
      </c>
      <c r="C55" s="12"/>
      <c r="D55" s="1">
        <f>SUM(OSRRefD22_9x_0)</f>
        <v>800</v>
      </c>
      <c r="E55" s="1"/>
      <c r="F55" s="5">
        <f t="shared" si="20"/>
        <v>3.2770768474520727E-2</v>
      </c>
      <c r="G55" s="1"/>
      <c r="H55" s="1">
        <f>SUM(OSRRefH22_9x_0)</f>
        <v>800</v>
      </c>
      <c r="I55" s="1"/>
      <c r="J55" s="5">
        <f t="shared" si="21"/>
        <v>3.4958923265163436E-2</v>
      </c>
      <c r="K55" s="1"/>
      <c r="L55" s="1">
        <f t="shared" si="22"/>
        <v>0</v>
      </c>
      <c r="M55" s="1"/>
      <c r="N55" s="5">
        <f t="shared" si="23"/>
        <v>0</v>
      </c>
      <c r="O55" s="12"/>
      <c r="P55" s="1">
        <f>SUM(OSRRefP22_9x_0)</f>
        <v>7200</v>
      </c>
      <c r="Q55" s="1"/>
      <c r="R55" s="5">
        <f t="shared" si="24"/>
        <v>1.6771488469601678E-2</v>
      </c>
      <c r="S55" s="1"/>
      <c r="T55" s="1">
        <f>SUM(OSRRefT22_9x_0)</f>
        <v>8800</v>
      </c>
      <c r="U55" s="1"/>
      <c r="V55" s="5">
        <f t="shared" si="25"/>
        <v>1.9653166281419943E-2</v>
      </c>
      <c r="W55" s="1"/>
      <c r="X55" s="1">
        <f t="shared" si="26"/>
        <v>-1600</v>
      </c>
      <c r="Y55" s="1"/>
      <c r="Z55" s="5">
        <f t="shared" si="27"/>
        <v>-0.18181818181818182</v>
      </c>
    </row>
    <row r="56" spans="1:26" s="24" customFormat="1" hidden="1" outlineLevel="2" x14ac:dyDescent="0.25">
      <c r="A56" s="26"/>
      <c r="B56" s="11" t="str">
        <f>CONCATENATE("          ", "6273", " - ", "RENT")</f>
        <v xml:space="preserve">          6273 - RENT</v>
      </c>
      <c r="C56" s="11"/>
      <c r="D56" s="7">
        <v>800</v>
      </c>
      <c r="E56" s="2"/>
      <c r="F56" s="6">
        <f t="shared" si="20"/>
        <v>3.2770768474520727E-2</v>
      </c>
      <c r="G56" s="2"/>
      <c r="H56" s="7">
        <v>800</v>
      </c>
      <c r="I56" s="2"/>
      <c r="J56" s="6">
        <f t="shared" si="21"/>
        <v>3.4958923265163436E-2</v>
      </c>
      <c r="K56" s="2"/>
      <c r="L56" s="7">
        <f t="shared" si="22"/>
        <v>0</v>
      </c>
      <c r="M56" s="2"/>
      <c r="N56" s="6">
        <f t="shared" si="23"/>
        <v>0</v>
      </c>
      <c r="O56" s="11"/>
      <c r="P56" s="7">
        <v>7200</v>
      </c>
      <c r="Q56" s="2"/>
      <c r="R56" s="6">
        <f t="shared" si="24"/>
        <v>1.6771488469601678E-2</v>
      </c>
      <c r="S56" s="2"/>
      <c r="T56" s="7">
        <v>8800</v>
      </c>
      <c r="U56" s="2"/>
      <c r="V56" s="6">
        <f t="shared" si="25"/>
        <v>1.9653166281419943E-2</v>
      </c>
      <c r="W56" s="2"/>
      <c r="X56" s="7">
        <f t="shared" si="26"/>
        <v>-1600</v>
      </c>
      <c r="Y56" s="2"/>
      <c r="Z56" s="6">
        <f t="shared" si="27"/>
        <v>-0.18181818181818182</v>
      </c>
    </row>
    <row r="57" spans="1:26" s="27" customFormat="1" outlineLevel="1" collapsed="1" x14ac:dyDescent="0.25">
      <c r="A57" s="25"/>
      <c r="B57" s="12" t="str">
        <f>CONCATENATE("     ","Repair and Maintenance                            ")</f>
        <v xml:space="preserve">     Repair and Maintenance                            </v>
      </c>
      <c r="C57" s="12"/>
      <c r="D57" s="1">
        <f>SUM(OSRRefD22_10x_0)</f>
        <v>0</v>
      </c>
      <c r="E57" s="1"/>
      <c r="F57" s="5">
        <f t="shared" si="20"/>
        <v>0</v>
      </c>
      <c r="G57" s="1"/>
      <c r="H57" s="1">
        <f>SUM(OSRRefH22_10x_0)</f>
        <v>200</v>
      </c>
      <c r="I57" s="1"/>
      <c r="J57" s="5">
        <f t="shared" si="21"/>
        <v>8.7397308162908589E-3</v>
      </c>
      <c r="K57" s="1"/>
      <c r="L57" s="1">
        <f t="shared" si="22"/>
        <v>-200</v>
      </c>
      <c r="M57" s="1"/>
      <c r="N57" s="5">
        <f t="shared" si="23"/>
        <v>-1</v>
      </c>
      <c r="O57" s="12"/>
      <c r="P57" s="1">
        <f>SUM(OSRRefP22_10x_0)</f>
        <v>118520.76</v>
      </c>
      <c r="Q57" s="1"/>
      <c r="R57" s="5">
        <f t="shared" si="24"/>
        <v>0.27607910552061493</v>
      </c>
      <c r="S57" s="1"/>
      <c r="T57" s="1">
        <f>SUM(OSRRefT22_10x_0)</f>
        <v>145200</v>
      </c>
      <c r="U57" s="1"/>
      <c r="V57" s="5">
        <f t="shared" si="25"/>
        <v>0.32427724364342903</v>
      </c>
      <c r="W57" s="1"/>
      <c r="X57" s="1">
        <f t="shared" si="26"/>
        <v>-26679.240000000005</v>
      </c>
      <c r="Y57" s="1"/>
      <c r="Z57" s="5">
        <f t="shared" si="27"/>
        <v>-0.18374132231404963</v>
      </c>
    </row>
    <row r="58" spans="1:26" s="24" customFormat="1" hidden="1" outlineLevel="2" x14ac:dyDescent="0.25">
      <c r="A58" s="26"/>
      <c r="B58" s="11" t="str">
        <f>CONCATENATE("          ", "6371", " - ", "COMPUTER SOFTWARE MAINTENANCE")</f>
        <v xml:space="preserve">          6371 - COMPUTER SOFTWARE MAINTENANCE</v>
      </c>
      <c r="C58" s="11"/>
      <c r="D58" s="7"/>
      <c r="E58" s="2"/>
      <c r="F58" s="6">
        <f t="shared" si="20"/>
        <v>0</v>
      </c>
      <c r="G58" s="2"/>
      <c r="H58" s="7"/>
      <c r="I58" s="2"/>
      <c r="J58" s="6">
        <f t="shared" si="21"/>
        <v>0</v>
      </c>
      <c r="K58" s="2"/>
      <c r="L58" s="7">
        <f t="shared" si="22"/>
        <v>0</v>
      </c>
      <c r="M58" s="2"/>
      <c r="N58" s="6">
        <f t="shared" si="23"/>
        <v>0</v>
      </c>
      <c r="O58" s="11"/>
      <c r="P58" s="7">
        <v>437.31</v>
      </c>
      <c r="Q58" s="2"/>
      <c r="R58" s="6">
        <f t="shared" si="24"/>
        <v>1.0186582809224318E-3</v>
      </c>
      <c r="S58" s="2"/>
      <c r="T58" s="7">
        <v>125000</v>
      </c>
      <c r="U58" s="2"/>
      <c r="V58" s="6">
        <f t="shared" si="25"/>
        <v>0.2791642937701696</v>
      </c>
      <c r="W58" s="2"/>
      <c r="X58" s="7">
        <f t="shared" si="26"/>
        <v>-124562.69</v>
      </c>
      <c r="Y58" s="2"/>
      <c r="Z58" s="6">
        <f t="shared" si="27"/>
        <v>-0.99650152000000003</v>
      </c>
    </row>
    <row r="59" spans="1:26" s="24" customFormat="1" hidden="1" outlineLevel="2" x14ac:dyDescent="0.25">
      <c r="A59" s="26"/>
      <c r="B59" s="11" t="str">
        <f>CONCATENATE("          ", "6372", " - ", "COMPUTER HARDWARE MAINTENANCE")</f>
        <v xml:space="preserve">          6372 - COMPUTER HARDWARE MAINTENANCE</v>
      </c>
      <c r="C59" s="11"/>
      <c r="D59" s="7"/>
      <c r="E59" s="2"/>
      <c r="F59" s="6">
        <f t="shared" si="20"/>
        <v>0</v>
      </c>
      <c r="G59" s="2"/>
      <c r="H59" s="7">
        <v>200</v>
      </c>
      <c r="I59" s="2"/>
      <c r="J59" s="6">
        <f t="shared" si="21"/>
        <v>8.7397308162908589E-3</v>
      </c>
      <c r="K59" s="2"/>
      <c r="L59" s="7">
        <f t="shared" si="22"/>
        <v>-200</v>
      </c>
      <c r="M59" s="2"/>
      <c r="N59" s="6">
        <f t="shared" si="23"/>
        <v>-1</v>
      </c>
      <c r="O59" s="11"/>
      <c r="P59" s="7"/>
      <c r="Q59" s="2"/>
      <c r="R59" s="6">
        <f t="shared" si="24"/>
        <v>0</v>
      </c>
      <c r="S59" s="2"/>
      <c r="T59" s="7">
        <v>20200</v>
      </c>
      <c r="U59" s="2"/>
      <c r="V59" s="6">
        <f t="shared" si="25"/>
        <v>4.5112949873259409E-2</v>
      </c>
      <c r="W59" s="2"/>
      <c r="X59" s="7">
        <f t="shared" si="26"/>
        <v>-20200</v>
      </c>
      <c r="Y59" s="2"/>
      <c r="Z59" s="6">
        <f t="shared" si="27"/>
        <v>-1</v>
      </c>
    </row>
    <row r="60" spans="1:26" s="24" customFormat="1" hidden="1" outlineLevel="2" x14ac:dyDescent="0.25">
      <c r="A60" s="26"/>
      <c r="B60" s="11" t="str">
        <f>CONCATENATE("          ", "6373", " - ", "MAINTENANCE CONTRACTS")</f>
        <v xml:space="preserve">          6373 - MAINTENANCE CONTRACTS</v>
      </c>
      <c r="C60" s="11"/>
      <c r="D60" s="7"/>
      <c r="E60" s="2"/>
      <c r="F60" s="6">
        <f t="shared" si="20"/>
        <v>0</v>
      </c>
      <c r="G60" s="2"/>
      <c r="H60" s="7"/>
      <c r="I60" s="2"/>
      <c r="J60" s="6">
        <f t="shared" si="21"/>
        <v>0</v>
      </c>
      <c r="K60" s="2"/>
      <c r="L60" s="7">
        <f t="shared" si="22"/>
        <v>0</v>
      </c>
      <c r="M60" s="2"/>
      <c r="N60" s="6">
        <f t="shared" si="23"/>
        <v>0</v>
      </c>
      <c r="O60" s="11"/>
      <c r="P60" s="7">
        <v>117094</v>
      </c>
      <c r="Q60" s="2"/>
      <c r="R60" s="6">
        <f t="shared" si="24"/>
        <v>0.27275564873049152</v>
      </c>
      <c r="S60" s="2"/>
      <c r="T60" s="7"/>
      <c r="U60" s="2"/>
      <c r="V60" s="6">
        <f t="shared" si="25"/>
        <v>0</v>
      </c>
      <c r="W60" s="2"/>
      <c r="X60" s="7">
        <f t="shared" si="26"/>
        <v>117094</v>
      </c>
      <c r="Y60" s="2"/>
      <c r="Z60" s="6">
        <f t="shared" si="27"/>
        <v>0</v>
      </c>
    </row>
    <row r="61" spans="1:26" s="24" customFormat="1" hidden="1" outlineLevel="2" x14ac:dyDescent="0.25">
      <c r="A61" s="26"/>
      <c r="B61" s="11" t="str">
        <f>CONCATENATE("          ", "6375", " - ", "OUTSIDE REPAIRS &amp; MAINTENANCE")</f>
        <v xml:space="preserve">          6375 - OUTSIDE REPAIRS &amp; MAINTENANCE</v>
      </c>
      <c r="C61" s="11"/>
      <c r="D61" s="7"/>
      <c r="E61" s="2"/>
      <c r="F61" s="6">
        <f t="shared" si="20"/>
        <v>0</v>
      </c>
      <c r="G61" s="2"/>
      <c r="H61" s="7"/>
      <c r="I61" s="2"/>
      <c r="J61" s="6">
        <f t="shared" si="21"/>
        <v>0</v>
      </c>
      <c r="K61" s="2"/>
      <c r="L61" s="7">
        <f t="shared" si="22"/>
        <v>0</v>
      </c>
      <c r="M61" s="2"/>
      <c r="N61" s="6">
        <f t="shared" si="23"/>
        <v>0</v>
      </c>
      <c r="O61" s="11"/>
      <c r="P61" s="7">
        <v>989.45</v>
      </c>
      <c r="Q61" s="2"/>
      <c r="R61" s="6">
        <f t="shared" si="24"/>
        <v>2.3047985092010249E-3</v>
      </c>
      <c r="S61" s="2"/>
      <c r="T61" s="7"/>
      <c r="U61" s="2"/>
      <c r="V61" s="6">
        <f t="shared" si="25"/>
        <v>0</v>
      </c>
      <c r="W61" s="2"/>
      <c r="X61" s="7">
        <f t="shared" si="26"/>
        <v>989.45</v>
      </c>
      <c r="Y61" s="2"/>
      <c r="Z61" s="6">
        <f t="shared" si="27"/>
        <v>0</v>
      </c>
    </row>
    <row r="62" spans="1:26" s="27" customFormat="1" outlineLevel="1" collapsed="1" x14ac:dyDescent="0.25">
      <c r="A62" s="25"/>
      <c r="B62" s="12" t="str">
        <f>CONCATENATE("     ","Subscriptions &amp; Dues                              ")</f>
        <v xml:space="preserve">     Subscriptions &amp; Dues                              </v>
      </c>
      <c r="C62" s="12"/>
      <c r="D62" s="1">
        <f>SUM(OSRRefD22_11x_0)</f>
        <v>915</v>
      </c>
      <c r="E62" s="1"/>
      <c r="F62" s="5">
        <f t="shared" ref="F62:F67" si="28">IF(D$12=0,0,D62/D$12)</f>
        <v>3.748156644273308E-2</v>
      </c>
      <c r="G62" s="1"/>
      <c r="H62" s="1">
        <f>SUM(OSRRefH22_11x_0)</f>
        <v>0</v>
      </c>
      <c r="I62" s="1"/>
      <c r="J62" s="5">
        <f t="shared" ref="J62:J67" si="29">IF(H$12=0,0,H62/H$12)</f>
        <v>0</v>
      </c>
      <c r="K62" s="1"/>
      <c r="L62" s="1">
        <f t="shared" ref="L62:L67" si="30">+D62-H62</f>
        <v>915</v>
      </c>
      <c r="M62" s="1"/>
      <c r="N62" s="5">
        <f t="shared" ref="N62:N67" si="31">IF(H62=0,0,L62/H62)</f>
        <v>0</v>
      </c>
      <c r="O62" s="12"/>
      <c r="P62" s="1">
        <f>SUM(OSRRefP22_11x_0)</f>
        <v>1740</v>
      </c>
      <c r="Q62" s="1"/>
      <c r="R62" s="5">
        <f t="shared" ref="R62:R67" si="32">IF(P$12=0,0,P62/P$12)</f>
        <v>4.0531097134870716E-3</v>
      </c>
      <c r="S62" s="1"/>
      <c r="T62" s="1">
        <f>SUM(OSRRefT22_11x_0)</f>
        <v>850</v>
      </c>
      <c r="U62" s="1"/>
      <c r="V62" s="5">
        <f t="shared" ref="V62:V67" si="33">IF(T$12=0,0,T62/T$12)</f>
        <v>1.8983171976371534E-3</v>
      </c>
      <c r="W62" s="1"/>
      <c r="X62" s="1">
        <f t="shared" ref="X62:X67" si="34">+P62-T62</f>
        <v>890</v>
      </c>
      <c r="Y62" s="1"/>
      <c r="Z62" s="5">
        <f t="shared" ref="Z62:Z67" si="35">IF(T62=0,0,X62/T62)</f>
        <v>1.0470588235294118</v>
      </c>
    </row>
    <row r="63" spans="1:26" s="24" customFormat="1" hidden="1" outlineLevel="2" x14ac:dyDescent="0.25">
      <c r="A63" s="26"/>
      <c r="B63" s="11" t="str">
        <f>CONCATENATE("          ", "6258", " - ", "MEMBERSHIP DUES")</f>
        <v xml:space="preserve">          6258 - MEMBERSHIP DUES</v>
      </c>
      <c r="C63" s="11"/>
      <c r="D63" s="7">
        <v>915</v>
      </c>
      <c r="E63" s="2"/>
      <c r="F63" s="6">
        <f t="shared" si="28"/>
        <v>3.748156644273308E-2</v>
      </c>
      <c r="G63" s="2"/>
      <c r="H63" s="7"/>
      <c r="I63" s="2"/>
      <c r="J63" s="6">
        <f t="shared" si="29"/>
        <v>0</v>
      </c>
      <c r="K63" s="2"/>
      <c r="L63" s="7">
        <f t="shared" si="30"/>
        <v>915</v>
      </c>
      <c r="M63" s="2"/>
      <c r="N63" s="6">
        <f t="shared" si="31"/>
        <v>0</v>
      </c>
      <c r="O63" s="11"/>
      <c r="P63" s="7">
        <v>1740</v>
      </c>
      <c r="Q63" s="2"/>
      <c r="R63" s="6">
        <f t="shared" si="32"/>
        <v>4.0531097134870716E-3</v>
      </c>
      <c r="S63" s="2"/>
      <c r="T63" s="7">
        <v>850</v>
      </c>
      <c r="U63" s="2"/>
      <c r="V63" s="6">
        <f t="shared" si="33"/>
        <v>1.8983171976371534E-3</v>
      </c>
      <c r="W63" s="2"/>
      <c r="X63" s="7">
        <f t="shared" si="34"/>
        <v>890</v>
      </c>
      <c r="Y63" s="2"/>
      <c r="Z63" s="6">
        <f t="shared" si="35"/>
        <v>1.0470588235294118</v>
      </c>
    </row>
    <row r="64" spans="1:26" s="27" customFormat="1" outlineLevel="1" collapsed="1" x14ac:dyDescent="0.25">
      <c r="A64" s="25"/>
      <c r="B64" s="12" t="str">
        <f>CONCATENATE("     ","Supplies                                          ")</f>
        <v xml:space="preserve">     Supplies                                          </v>
      </c>
      <c r="C64" s="12"/>
      <c r="D64" s="1">
        <f>SUM(OSRRefD22_12x_0)</f>
        <v>5.78</v>
      </c>
      <c r="E64" s="1"/>
      <c r="F64" s="5">
        <f t="shared" si="28"/>
        <v>2.3676880222841227E-4</v>
      </c>
      <c r="G64" s="1"/>
      <c r="H64" s="1">
        <f>SUM(OSRRefH22_12x_0)</f>
        <v>7000</v>
      </c>
      <c r="I64" s="1"/>
      <c r="J64" s="5">
        <f t="shared" si="29"/>
        <v>0.30589057857018004</v>
      </c>
      <c r="K64" s="1"/>
      <c r="L64" s="1">
        <f t="shared" si="30"/>
        <v>-6994.22</v>
      </c>
      <c r="M64" s="1"/>
      <c r="N64" s="5">
        <f t="shared" si="31"/>
        <v>-0.99917428571428579</v>
      </c>
      <c r="O64" s="12"/>
      <c r="P64" s="1">
        <f>SUM(OSRRefP22_12x_0)</f>
        <v>24962.36</v>
      </c>
      <c r="Q64" s="1"/>
      <c r="R64" s="5">
        <f t="shared" si="32"/>
        <v>5.8146657349173077E-2</v>
      </c>
      <c r="S64" s="1"/>
      <c r="T64" s="1">
        <f>SUM(OSRRefT22_12x_0)</f>
        <v>77100</v>
      </c>
      <c r="U64" s="1"/>
      <c r="V64" s="5">
        <f t="shared" si="33"/>
        <v>0.17218853639744061</v>
      </c>
      <c r="W64" s="1"/>
      <c r="X64" s="1">
        <f t="shared" si="34"/>
        <v>-52137.64</v>
      </c>
      <c r="Y64" s="1"/>
      <c r="Z64" s="5">
        <f t="shared" si="35"/>
        <v>-0.67623398184176398</v>
      </c>
    </row>
    <row r="65" spans="1:26" s="24" customFormat="1" hidden="1" outlineLevel="2" x14ac:dyDescent="0.25">
      <c r="A65" s="26"/>
      <c r="B65" s="11" t="str">
        <f>CONCATENATE("          ", "6234", " - ", "EXPENDABLE SUPPLIES &amp; EQUIPMEN")</f>
        <v xml:space="preserve">          6234 - EXPENDABLE SUPPLIES &amp; EQUIPMEN</v>
      </c>
      <c r="C65" s="11"/>
      <c r="D65" s="7"/>
      <c r="E65" s="2"/>
      <c r="F65" s="6">
        <f t="shared" si="28"/>
        <v>0</v>
      </c>
      <c r="G65" s="2"/>
      <c r="H65" s="7">
        <v>7000</v>
      </c>
      <c r="I65" s="2"/>
      <c r="J65" s="6">
        <f t="shared" si="29"/>
        <v>0.30589057857018004</v>
      </c>
      <c r="K65" s="2"/>
      <c r="L65" s="7">
        <f t="shared" si="30"/>
        <v>-7000</v>
      </c>
      <c r="M65" s="2"/>
      <c r="N65" s="6">
        <f t="shared" si="31"/>
        <v>-1</v>
      </c>
      <c r="O65" s="11"/>
      <c r="P65" s="7">
        <v>413.27</v>
      </c>
      <c r="Q65" s="2"/>
      <c r="R65" s="6">
        <f t="shared" si="32"/>
        <v>9.6266014442115066E-4</v>
      </c>
      <c r="S65" s="2"/>
      <c r="T65" s="7">
        <v>77100</v>
      </c>
      <c r="U65" s="2"/>
      <c r="V65" s="6">
        <f t="shared" si="33"/>
        <v>0.17218853639744061</v>
      </c>
      <c r="W65" s="2"/>
      <c r="X65" s="7">
        <f t="shared" si="34"/>
        <v>-76686.73</v>
      </c>
      <c r="Y65" s="2"/>
      <c r="Z65" s="6">
        <f t="shared" si="35"/>
        <v>-0.99463981841763938</v>
      </c>
    </row>
    <row r="66" spans="1:26" s="24" customFormat="1" hidden="1" outlineLevel="2" x14ac:dyDescent="0.25">
      <c r="A66" s="26"/>
      <c r="B66" s="11" t="str">
        <f>CONCATENATE("          ", "6241", " - ", "OFFICE EXPENSE")</f>
        <v xml:space="preserve">          6241 - OFFICE EXPENSE</v>
      </c>
      <c r="C66" s="11"/>
      <c r="D66" s="7">
        <v>5.78</v>
      </c>
      <c r="E66" s="2"/>
      <c r="F66" s="6">
        <f t="shared" si="28"/>
        <v>2.3676880222841227E-4</v>
      </c>
      <c r="G66" s="2"/>
      <c r="H66" s="7"/>
      <c r="I66" s="2"/>
      <c r="J66" s="6">
        <f t="shared" si="29"/>
        <v>0</v>
      </c>
      <c r="K66" s="2"/>
      <c r="L66" s="7">
        <f t="shared" si="30"/>
        <v>5.78</v>
      </c>
      <c r="M66" s="2"/>
      <c r="N66" s="6">
        <f t="shared" si="31"/>
        <v>0</v>
      </c>
      <c r="O66" s="11"/>
      <c r="P66" s="7">
        <v>24345.57</v>
      </c>
      <c r="Q66" s="2"/>
      <c r="R66" s="6">
        <f t="shared" si="32"/>
        <v>5.6709923130677846E-2</v>
      </c>
      <c r="S66" s="2"/>
      <c r="T66" s="7"/>
      <c r="U66" s="2"/>
      <c r="V66" s="6">
        <f t="shared" si="33"/>
        <v>0</v>
      </c>
      <c r="W66" s="2"/>
      <c r="X66" s="7">
        <f t="shared" si="34"/>
        <v>24345.57</v>
      </c>
      <c r="Y66" s="2"/>
      <c r="Z66" s="6">
        <f t="shared" si="35"/>
        <v>0</v>
      </c>
    </row>
    <row r="67" spans="1:26" s="24" customFormat="1" hidden="1" outlineLevel="2" x14ac:dyDescent="0.25">
      <c r="A67" s="26"/>
      <c r="B67" s="11" t="str">
        <f>CONCATENATE("          ", "6245", " - ", "PRINTING")</f>
        <v xml:space="preserve">          6245 - PRINTING</v>
      </c>
      <c r="C67" s="11"/>
      <c r="D67" s="7"/>
      <c r="E67" s="2"/>
      <c r="F67" s="6">
        <f t="shared" si="28"/>
        <v>0</v>
      </c>
      <c r="G67" s="2"/>
      <c r="H67" s="7"/>
      <c r="I67" s="2"/>
      <c r="J67" s="6">
        <f t="shared" si="29"/>
        <v>0</v>
      </c>
      <c r="K67" s="2"/>
      <c r="L67" s="7">
        <f t="shared" si="30"/>
        <v>0</v>
      </c>
      <c r="M67" s="2"/>
      <c r="N67" s="6">
        <f t="shared" si="31"/>
        <v>0</v>
      </c>
      <c r="O67" s="11"/>
      <c r="P67" s="7">
        <v>203.52</v>
      </c>
      <c r="Q67" s="2"/>
      <c r="R67" s="6">
        <f t="shared" si="32"/>
        <v>4.7407407407407408E-4</v>
      </c>
      <c r="S67" s="2"/>
      <c r="T67" s="7"/>
      <c r="U67" s="2"/>
      <c r="V67" s="6">
        <f t="shared" si="33"/>
        <v>0</v>
      </c>
      <c r="W67" s="2"/>
      <c r="X67" s="7">
        <f t="shared" si="34"/>
        <v>203.52</v>
      </c>
      <c r="Y67" s="2"/>
      <c r="Z67" s="6">
        <f t="shared" si="35"/>
        <v>0</v>
      </c>
    </row>
    <row r="68" spans="1:26" s="27" customFormat="1" outlineLevel="1" collapsed="1" x14ac:dyDescent="0.25">
      <c r="A68" s="25"/>
      <c r="B68" s="12" t="str">
        <f>CONCATENATE("     ","Telephone/Data Lines                              ")</f>
        <v xml:space="preserve">     Telephone/Data Lines                              </v>
      </c>
      <c r="C68" s="12"/>
      <c r="D68" s="1">
        <f>SUM(OSRRefD22_13x_0)</f>
        <v>203.95</v>
      </c>
      <c r="E68" s="1"/>
      <c r="F68" s="5">
        <f t="shared" ref="F68:F71" si="36">IF(D$12=0,0,D68/D$12)</f>
        <v>8.3544977879731266E-3</v>
      </c>
      <c r="G68" s="1"/>
      <c r="H68" s="1">
        <f>SUM(OSRRefH22_13x_0)</f>
        <v>350</v>
      </c>
      <c r="I68" s="1"/>
      <c r="J68" s="5">
        <f t="shared" ref="J68:J71" si="37">IF(H$12=0,0,H68/H$12)</f>
        <v>1.5294528928509002E-2</v>
      </c>
      <c r="K68" s="1"/>
      <c r="L68" s="1">
        <f t="shared" ref="L68:L71" si="38">+D68-H68</f>
        <v>-146.05000000000001</v>
      </c>
      <c r="M68" s="1"/>
      <c r="N68" s="5">
        <f t="shared" ref="N68:N71" si="39">IF(H68=0,0,L68/H68)</f>
        <v>-0.41728571428571432</v>
      </c>
      <c r="O68" s="12"/>
      <c r="P68" s="1">
        <f>SUM(OSRRefP22_13x_0)</f>
        <v>2097.5500000000002</v>
      </c>
      <c r="Q68" s="1"/>
      <c r="R68" s="5">
        <f t="shared" ref="R68:R71" si="40">IF(P$12=0,0,P68/P$12)</f>
        <v>4.8859771721406946E-3</v>
      </c>
      <c r="S68" s="1"/>
      <c r="T68" s="1">
        <f>SUM(OSRRefT22_13x_0)</f>
        <v>3850</v>
      </c>
      <c r="U68" s="1"/>
      <c r="V68" s="5">
        <f t="shared" ref="V68:V71" si="41">IF(T$12=0,0,T68/T$12)</f>
        <v>8.5982602481212249E-3</v>
      </c>
      <c r="W68" s="1"/>
      <c r="X68" s="1">
        <f t="shared" ref="X68:X71" si="42">+P68-T68</f>
        <v>-1752.4499999999998</v>
      </c>
      <c r="Y68" s="1"/>
      <c r="Z68" s="5">
        <f t="shared" ref="Z68:Z71" si="43">IF(T68=0,0,X68/T68)</f>
        <v>-0.45518181818181813</v>
      </c>
    </row>
    <row r="69" spans="1:26" s="24" customFormat="1" hidden="1" outlineLevel="2" x14ac:dyDescent="0.25">
      <c r="A69" s="26"/>
      <c r="B69" s="11" t="str">
        <f>CONCATENATE("          ", "6309", " - ", "TELEPHONE")</f>
        <v xml:space="preserve">          6309 - TELEPHONE</v>
      </c>
      <c r="C69" s="11"/>
      <c r="D69" s="7">
        <v>203.95</v>
      </c>
      <c r="E69" s="2"/>
      <c r="F69" s="6">
        <f t="shared" si="36"/>
        <v>8.3544977879731266E-3</v>
      </c>
      <c r="G69" s="2"/>
      <c r="H69" s="7">
        <v>350</v>
      </c>
      <c r="I69" s="2"/>
      <c r="J69" s="6">
        <f t="shared" si="37"/>
        <v>1.5294528928509002E-2</v>
      </c>
      <c r="K69" s="2"/>
      <c r="L69" s="7">
        <f t="shared" si="38"/>
        <v>-146.05000000000001</v>
      </c>
      <c r="M69" s="2"/>
      <c r="N69" s="6">
        <f t="shared" si="39"/>
        <v>-0.41728571428571432</v>
      </c>
      <c r="O69" s="11"/>
      <c r="P69" s="7">
        <v>2097.5500000000002</v>
      </c>
      <c r="Q69" s="2"/>
      <c r="R69" s="6">
        <f t="shared" si="40"/>
        <v>4.8859771721406946E-3</v>
      </c>
      <c r="S69" s="2"/>
      <c r="T69" s="7">
        <v>3850</v>
      </c>
      <c r="U69" s="2"/>
      <c r="V69" s="6">
        <f t="shared" si="41"/>
        <v>8.5982602481212249E-3</v>
      </c>
      <c r="W69" s="2"/>
      <c r="X69" s="7">
        <f t="shared" si="42"/>
        <v>-1752.4499999999998</v>
      </c>
      <c r="Y69" s="2"/>
      <c r="Z69" s="6">
        <f t="shared" si="43"/>
        <v>-0.45518181818181813</v>
      </c>
    </row>
    <row r="70" spans="1:26" s="27" customFormat="1" outlineLevel="1" collapsed="1" x14ac:dyDescent="0.25">
      <c r="A70" s="25"/>
      <c r="B70" s="12" t="str">
        <f>CONCATENATE("     ","Training                                          ")</f>
        <v xml:space="preserve">     Training                                          </v>
      </c>
      <c r="C70" s="12"/>
      <c r="D70" s="1">
        <f>SUM(OSRRefD22_14x_0)</f>
        <v>0</v>
      </c>
      <c r="E70" s="1"/>
      <c r="F70" s="5">
        <f t="shared" si="36"/>
        <v>0</v>
      </c>
      <c r="G70" s="1"/>
      <c r="H70" s="1">
        <f>SUM(OSRRefH22_14x_0)</f>
        <v>0</v>
      </c>
      <c r="I70" s="1"/>
      <c r="J70" s="5">
        <f t="shared" si="37"/>
        <v>0</v>
      </c>
      <c r="K70" s="1"/>
      <c r="L70" s="1">
        <f t="shared" si="38"/>
        <v>0</v>
      </c>
      <c r="M70" s="1"/>
      <c r="N70" s="5">
        <f t="shared" si="39"/>
        <v>0</v>
      </c>
      <c r="O70" s="12"/>
      <c r="P70" s="1">
        <f>SUM(OSRRefP22_14x_0)</f>
        <v>3186.24</v>
      </c>
      <c r="Q70" s="1"/>
      <c r="R70" s="5">
        <f t="shared" si="40"/>
        <v>7.4219426974143953E-3</v>
      </c>
      <c r="S70" s="1"/>
      <c r="T70" s="1">
        <f>SUM(OSRRefT22_14x_0)</f>
        <v>13000</v>
      </c>
      <c r="U70" s="1"/>
      <c r="V70" s="5">
        <f t="shared" si="41"/>
        <v>2.9033086552097642E-2</v>
      </c>
      <c r="W70" s="1"/>
      <c r="X70" s="1">
        <f t="shared" si="42"/>
        <v>-9813.76</v>
      </c>
      <c r="Y70" s="1"/>
      <c r="Z70" s="5">
        <f t="shared" si="43"/>
        <v>-0.7549046153846154</v>
      </c>
    </row>
    <row r="71" spans="1:26" s="24" customFormat="1" hidden="1" outlineLevel="2" x14ac:dyDescent="0.25">
      <c r="A71" s="26"/>
      <c r="B71" s="11" t="str">
        <f>CONCATENATE("          ", "6376", " - ", "TRAINING")</f>
        <v xml:space="preserve">          6376 - TRAINING</v>
      </c>
      <c r="C71" s="11"/>
      <c r="D71" s="7"/>
      <c r="E71" s="2"/>
      <c r="F71" s="6">
        <f t="shared" si="36"/>
        <v>0</v>
      </c>
      <c r="G71" s="2"/>
      <c r="H71" s="7"/>
      <c r="I71" s="2"/>
      <c r="J71" s="6">
        <f t="shared" si="37"/>
        <v>0</v>
      </c>
      <c r="K71" s="2"/>
      <c r="L71" s="7">
        <f t="shared" si="38"/>
        <v>0</v>
      </c>
      <c r="M71" s="2"/>
      <c r="N71" s="6">
        <f t="shared" si="39"/>
        <v>0</v>
      </c>
      <c r="O71" s="11"/>
      <c r="P71" s="7">
        <v>3186.24</v>
      </c>
      <c r="Q71" s="2"/>
      <c r="R71" s="6">
        <f t="shared" si="40"/>
        <v>7.4219426974143953E-3</v>
      </c>
      <c r="S71" s="2"/>
      <c r="T71" s="7">
        <v>13000</v>
      </c>
      <c r="U71" s="2"/>
      <c r="V71" s="6">
        <f t="shared" si="41"/>
        <v>2.9033086552097642E-2</v>
      </c>
      <c r="W71" s="2"/>
      <c r="X71" s="7">
        <f t="shared" si="42"/>
        <v>-9813.76</v>
      </c>
      <c r="Y71" s="2"/>
      <c r="Z71" s="6">
        <f t="shared" si="43"/>
        <v>-0.7549046153846154</v>
      </c>
    </row>
    <row r="72" spans="1:26" s="62" customFormat="1" x14ac:dyDescent="0.25">
      <c r="A72" s="36"/>
      <c r="B72" s="36"/>
      <c r="C72" s="36"/>
      <c r="D72" s="1"/>
      <c r="E72" s="1"/>
      <c r="F72" s="5"/>
      <c r="G72" s="1"/>
      <c r="H72" s="1"/>
      <c r="I72" s="1"/>
      <c r="J72" s="5"/>
      <c r="K72" s="1"/>
      <c r="L72" s="1"/>
      <c r="M72" s="1"/>
      <c r="N72" s="5"/>
      <c r="O72" s="36"/>
      <c r="P72" s="1"/>
      <c r="Q72" s="1"/>
      <c r="R72" s="5"/>
      <c r="S72" s="1"/>
      <c r="T72" s="1"/>
      <c r="U72" s="1"/>
      <c r="V72" s="5"/>
      <c r="W72" s="1"/>
      <c r="X72" s="1"/>
      <c r="Y72" s="1"/>
      <c r="Z72" s="5"/>
    </row>
    <row r="73" spans="1:26" s="23" customFormat="1" collapsed="1" x14ac:dyDescent="0.25">
      <c r="A73" s="10"/>
      <c r="B73" s="28" t="s">
        <v>0</v>
      </c>
      <c r="C73" s="10"/>
      <c r="D73" s="4">
        <f>SUM(OSRRefD25x_0)</f>
        <v>152.96</v>
      </c>
      <c r="E73" s="4"/>
      <c r="F73" s="13">
        <f t="shared" ref="F73:F74" si="44">IF(D$12=0,0,D73/D$12)</f>
        <v>6.2657709323283633E-3</v>
      </c>
      <c r="G73" s="4"/>
      <c r="H73" s="4">
        <f>SUM(OSRRefH25x_0)</f>
        <v>3000</v>
      </c>
      <c r="I73" s="4"/>
      <c r="J73" s="13">
        <f t="shared" ref="J73:J74" si="45">IF(H$12=0,0,H73/H$12)</f>
        <v>0.13109596224436287</v>
      </c>
      <c r="K73" s="4"/>
      <c r="L73" s="4">
        <f t="shared" ref="L73:L74" si="46">+D73-H73</f>
        <v>-2847.04</v>
      </c>
      <c r="M73" s="4"/>
      <c r="N73" s="13">
        <f t="shared" ref="N73:N74" si="47">IF(H73=0,0,L73/H73)</f>
        <v>-0.94901333333333338</v>
      </c>
      <c r="O73" s="10"/>
      <c r="P73" s="4">
        <f>SUM(OSRRefP25x_0)</f>
        <v>20670.71</v>
      </c>
      <c r="Q73" s="4"/>
      <c r="R73" s="13">
        <f t="shared" ref="R73:R74" si="48">IF(P$12=0,0,P73/P$12)</f>
        <v>4.8149802003261119E-2</v>
      </c>
      <c r="S73" s="4"/>
      <c r="T73" s="4">
        <f>SUM(OSRRefT25x_0)</f>
        <v>33150</v>
      </c>
      <c r="U73" s="4"/>
      <c r="V73" s="13">
        <f t="shared" ref="V73:V74" si="49">IF(T$12=0,0,T73/T$12)</f>
        <v>7.403437070784899E-2</v>
      </c>
      <c r="W73" s="4"/>
      <c r="X73" s="4">
        <f t="shared" ref="X73:X74" si="50">+P73-T73</f>
        <v>-12479.29</v>
      </c>
      <c r="Y73" s="4"/>
      <c r="Z73" s="13">
        <f t="shared" ref="Z73:Z74" si="51">IF(T73=0,0,X73/T73)</f>
        <v>-0.37644917043740578</v>
      </c>
    </row>
    <row r="74" spans="1:26" s="24" customFormat="1" hidden="1" outlineLevel="1" x14ac:dyDescent="0.25">
      <c r="A74" s="44"/>
      <c r="B74" s="11" t="str">
        <f>CONCATENATE("          ", "9150", " - ", "MISC. INCOME")</f>
        <v xml:space="preserve">          9150 - MISC. INCOME</v>
      </c>
      <c r="C74" s="11"/>
      <c r="D74" s="2">
        <f>--152.96</f>
        <v>152.96</v>
      </c>
      <c r="E74" s="2"/>
      <c r="F74" s="19">
        <f t="shared" si="44"/>
        <v>6.2657709323283633E-3</v>
      </c>
      <c r="G74" s="2"/>
      <c r="H74" s="2">
        <v>3000</v>
      </c>
      <c r="I74" s="2"/>
      <c r="J74" s="19">
        <f t="shared" si="45"/>
        <v>0.13109596224436287</v>
      </c>
      <c r="K74" s="2"/>
      <c r="L74" s="2">
        <f t="shared" si="46"/>
        <v>-2847.04</v>
      </c>
      <c r="M74" s="2"/>
      <c r="N74" s="19">
        <f t="shared" si="47"/>
        <v>-0.94901333333333338</v>
      </c>
      <c r="O74" s="11"/>
      <c r="P74" s="2">
        <f>--20670.71</f>
        <v>20670.71</v>
      </c>
      <c r="Q74" s="2"/>
      <c r="R74" s="19">
        <f t="shared" si="48"/>
        <v>4.8149802003261119E-2</v>
      </c>
      <c r="S74" s="2"/>
      <c r="T74" s="2">
        <v>33150</v>
      </c>
      <c r="U74" s="2"/>
      <c r="V74" s="19">
        <f t="shared" si="49"/>
        <v>7.403437070784899E-2</v>
      </c>
      <c r="W74" s="2"/>
      <c r="X74" s="2">
        <f t="shared" si="50"/>
        <v>-12479.29</v>
      </c>
      <c r="Y74" s="2"/>
      <c r="Z74" s="19">
        <f t="shared" si="51"/>
        <v>-0.37644917043740578</v>
      </c>
    </row>
    <row r="75" spans="1:26" x14ac:dyDescent="0.25">
      <c r="A75" s="9"/>
      <c r="B75" s="10"/>
      <c r="C75" s="10"/>
      <c r="D75" s="3"/>
      <c r="E75" s="3"/>
      <c r="F75" s="8"/>
      <c r="G75" s="3"/>
      <c r="H75" s="3"/>
      <c r="I75" s="3"/>
      <c r="J75" s="8"/>
      <c r="K75" s="3"/>
      <c r="L75" s="3"/>
      <c r="M75" s="3"/>
      <c r="N75" s="8"/>
      <c r="O75" s="10"/>
      <c r="P75" s="3"/>
      <c r="Q75" s="3"/>
      <c r="R75" s="8"/>
      <c r="S75" s="3"/>
      <c r="T75" s="3"/>
      <c r="U75" s="3"/>
      <c r="V75" s="8"/>
      <c r="W75" s="3"/>
      <c r="X75" s="3"/>
      <c r="Y75" s="3"/>
      <c r="Z75" s="8"/>
    </row>
    <row r="76" spans="1:26" s="23" customFormat="1" x14ac:dyDescent="0.25">
      <c r="A76" s="10"/>
      <c r="B76" s="29" t="s">
        <v>3</v>
      </c>
      <c r="C76" s="29"/>
      <c r="D76" s="20">
        <f>+D17-D19+D73</f>
        <v>5307.5900000000047</v>
      </c>
      <c r="E76" s="14"/>
      <c r="F76" s="22">
        <f>IF(D$12=0,0,D76/D$12)</f>
        <v>0.21741725380960203</v>
      </c>
      <c r="G76" s="14"/>
      <c r="H76" s="20">
        <f>+H17-H19+H73</f>
        <v>3002.0494991538435</v>
      </c>
      <c r="I76" s="14"/>
      <c r="J76" s="22">
        <f>IF(H$12=0,0,H76/H$12)</f>
        <v>0.13118552259892691</v>
      </c>
      <c r="K76" s="16"/>
      <c r="L76" s="20">
        <f>+D76-H76</f>
        <v>2305.5405008461612</v>
      </c>
      <c r="M76" s="16"/>
      <c r="N76" s="22">
        <f>IF(H76=0,0,L76/H76)</f>
        <v>0.76798883612545366</v>
      </c>
      <c r="O76" s="28"/>
      <c r="P76" s="20">
        <f>+P17-P19+P73</f>
        <v>45972.21999999995</v>
      </c>
      <c r="Q76" s="14"/>
      <c r="R76" s="22">
        <f>IF(P$12=0,0,P76/P$12)</f>
        <v>0.10708646634055427</v>
      </c>
      <c r="S76" s="14"/>
      <c r="T76" s="20">
        <f>+T17-T19+T73</f>
        <v>58740.875209846185</v>
      </c>
      <c r="U76" s="14"/>
      <c r="V76" s="22">
        <f>IF(T$12=0,0,T76/T$12)</f>
        <v>0.13118683954718699</v>
      </c>
      <c r="W76" s="16"/>
      <c r="X76" s="20">
        <f>+P76-T76</f>
        <v>-12768.655209846234</v>
      </c>
      <c r="Y76" s="16"/>
      <c r="Z76" s="22">
        <f>IF(T76=0,0,X76/T76)</f>
        <v>-0.21737257342917396</v>
      </c>
    </row>
    <row r="77" spans="1:26" x14ac:dyDescent="0.25">
      <c r="A77" s="9"/>
      <c r="B77" s="10"/>
      <c r="C77" s="9"/>
      <c r="D77" s="3"/>
      <c r="E77" s="3"/>
      <c r="F77" s="8"/>
      <c r="G77" s="3"/>
      <c r="H77" s="3"/>
      <c r="I77" s="3"/>
      <c r="J77" s="8"/>
      <c r="K77" s="3"/>
      <c r="L77" s="3"/>
      <c r="M77" s="3"/>
      <c r="N77" s="8"/>
      <c r="P77" s="3"/>
      <c r="Q77" s="3"/>
      <c r="R77" s="8"/>
      <c r="S77" s="3"/>
      <c r="T77" s="3"/>
      <c r="U77" s="3"/>
      <c r="V77" s="8"/>
      <c r="W77" s="3"/>
      <c r="X77" s="3"/>
      <c r="Y77" s="3"/>
      <c r="Z77" s="8"/>
    </row>
    <row r="78" spans="1:26" s="23" customFormat="1" x14ac:dyDescent="0.25">
      <c r="A78" s="52"/>
      <c r="B78" s="10" t="s">
        <v>14</v>
      </c>
      <c r="C78" s="10"/>
      <c r="D78" s="4">
        <v>4863.6899999999996</v>
      </c>
      <c r="E78" s="4"/>
      <c r="F78" s="13">
        <f>IF(D$12=0,0,D78/D$12)</f>
        <v>0.19923357365230213</v>
      </c>
      <c r="G78" s="4"/>
      <c r="H78" s="4">
        <v>2219</v>
      </c>
      <c r="I78" s="4"/>
      <c r="J78" s="13">
        <f>IF(H$12=0,0,H78/H$12)</f>
        <v>9.6967313406747066E-2</v>
      </c>
      <c r="K78" s="4"/>
      <c r="L78" s="4">
        <f>+D78-H78</f>
        <v>2644.6899999999996</v>
      </c>
      <c r="M78" s="4"/>
      <c r="N78" s="13">
        <f>IF(H78=0,0,L78/H78)</f>
        <v>1.1918386660657951</v>
      </c>
      <c r="O78" s="10"/>
      <c r="P78" s="4">
        <v>50835.82</v>
      </c>
      <c r="Q78" s="4"/>
      <c r="R78" s="13">
        <f>IF(P$12=0,0,P78/P$12)</f>
        <v>0.11841560680177032</v>
      </c>
      <c r="S78" s="4"/>
      <c r="T78" s="4">
        <v>51863</v>
      </c>
      <c r="U78" s="4"/>
      <c r="V78" s="13">
        <f>IF(T$12=0,0,T78/T$12)</f>
        <v>0.11582638214241846</v>
      </c>
      <c r="W78" s="4"/>
      <c r="X78" s="4">
        <f>+P78-T78</f>
        <v>-1027.1800000000003</v>
      </c>
      <c r="Y78" s="4"/>
      <c r="Z78" s="13">
        <f>IF(T78=0,0,X78/T78)</f>
        <v>-1.9805641787015799E-2</v>
      </c>
    </row>
    <row r="79" spans="1:26" x14ac:dyDescent="0.25">
      <c r="A79" s="9"/>
      <c r="B79" s="10"/>
      <c r="C79" s="10"/>
      <c r="D79" s="3"/>
      <c r="E79" s="3"/>
      <c r="F79" s="8"/>
      <c r="G79" s="3"/>
      <c r="H79" s="3"/>
      <c r="I79" s="3"/>
      <c r="J79" s="8"/>
      <c r="K79" s="3"/>
      <c r="L79" s="3"/>
      <c r="M79" s="3"/>
      <c r="N79" s="8"/>
      <c r="O79" s="10"/>
      <c r="P79" s="3"/>
      <c r="Q79" s="3"/>
      <c r="R79" s="8"/>
      <c r="S79" s="3"/>
      <c r="T79" s="3"/>
      <c r="U79" s="3"/>
      <c r="V79" s="8"/>
      <c r="W79" s="3"/>
      <c r="X79" s="3"/>
      <c r="Y79" s="3"/>
      <c r="Z79" s="8"/>
    </row>
    <row r="80" spans="1:26" s="23" customFormat="1" ht="15.75" thickBot="1" x14ac:dyDescent="0.3">
      <c r="A80" s="10"/>
      <c r="B80" s="29" t="s">
        <v>4</v>
      </c>
      <c r="C80" s="29"/>
      <c r="D80" s="35">
        <f>+D76-D78</f>
        <v>443.90000000000509</v>
      </c>
      <c r="E80" s="14"/>
      <c r="F80" s="32">
        <f>IF(D$12=0,0,D80/D$12)</f>
        <v>1.8183680157299896E-2</v>
      </c>
      <c r="G80" s="14"/>
      <c r="H80" s="35">
        <f>+H76-H78</f>
        <v>783.0494991538435</v>
      </c>
      <c r="I80" s="14"/>
      <c r="J80" s="32">
        <f>IF(H$12=0,0,H80/H$12)</f>
        <v>3.4218209192179841E-2</v>
      </c>
      <c r="K80" s="16"/>
      <c r="L80" s="35">
        <f>D80-H80</f>
        <v>-339.14949915383841</v>
      </c>
      <c r="M80" s="16"/>
      <c r="N80" s="32">
        <f>IF(H80=0,0,L80/H80)</f>
        <v>-0.43311374251604834</v>
      </c>
      <c r="O80" s="28"/>
      <c r="P80" s="35">
        <f>+P76-P78</f>
        <v>-4863.6000000000495</v>
      </c>
      <c r="Q80" s="14"/>
      <c r="R80" s="32">
        <f>IF(P$12=0,0,P80/P$12)</f>
        <v>-1.1329140461216048E-2</v>
      </c>
      <c r="S80" s="14"/>
      <c r="T80" s="35">
        <f>+T76-T78</f>
        <v>6877.8752098461846</v>
      </c>
      <c r="U80" s="14"/>
      <c r="V80" s="32">
        <f>IF(T$12=0,0,T80/T$12)</f>
        <v>1.5360457404768539E-2</v>
      </c>
      <c r="W80" s="16"/>
      <c r="X80" s="35">
        <f>P80-T80</f>
        <v>-11741.475209846234</v>
      </c>
      <c r="Y80" s="16"/>
      <c r="Z80" s="32">
        <f>IF(T80=0,0,X80/T80)</f>
        <v>-1.7071369938549406</v>
      </c>
    </row>
    <row r="81" spans="1:26" ht="15.75" thickTop="1" x14ac:dyDescent="0.25">
      <c r="A81" s="9"/>
      <c r="B81" s="9"/>
      <c r="C81" s="9"/>
      <c r="D81" s="3"/>
      <c r="E81" s="3"/>
      <c r="F81" s="8"/>
      <c r="G81" s="3"/>
      <c r="H81" s="3"/>
      <c r="I81" s="3"/>
      <c r="J81" s="8"/>
      <c r="K81" s="3"/>
      <c r="L81" s="3"/>
      <c r="M81" s="3"/>
      <c r="N81" s="8"/>
      <c r="P81" s="3"/>
      <c r="Q81" s="3"/>
      <c r="R81" s="8"/>
      <c r="S81" s="3"/>
      <c r="T81" s="3"/>
      <c r="U81" s="3"/>
      <c r="V81" s="8"/>
      <c r="W81" s="3"/>
      <c r="X81" s="3"/>
      <c r="Y81" s="3"/>
      <c r="Z81" s="8"/>
    </row>
    <row r="82" spans="1:26" x14ac:dyDescent="0.25">
      <c r="A82" s="9"/>
      <c r="B82" s="9"/>
      <c r="C82" s="9"/>
      <c r="D82" s="3"/>
      <c r="E82" s="3"/>
      <c r="F82" s="8"/>
      <c r="G82" s="3"/>
      <c r="H82" s="3"/>
      <c r="I82" s="3"/>
      <c r="J82" s="8"/>
      <c r="K82" s="3"/>
      <c r="L82" s="3"/>
      <c r="M82" s="3"/>
      <c r="N82" s="8"/>
      <c r="P82" s="3"/>
      <c r="Q82" s="3"/>
      <c r="R82" s="8"/>
      <c r="S82" s="3"/>
      <c r="T82" s="3"/>
      <c r="U82" s="3"/>
      <c r="V82" s="8"/>
      <c r="W82" s="3"/>
      <c r="X82" s="3"/>
      <c r="Y82" s="3"/>
      <c r="Z82" s="8"/>
    </row>
    <row r="83" spans="1:26" s="23" customFormat="1" ht="15.75" thickBot="1" x14ac:dyDescent="0.3">
      <c r="A83" s="10"/>
      <c r="B83" s="29" t="s">
        <v>5</v>
      </c>
      <c r="C83" s="29"/>
      <c r="D83" s="34">
        <f>SUM(D80:D82)</f>
        <v>443.90000000000509</v>
      </c>
      <c r="E83" s="14"/>
      <c r="F83" s="31">
        <f>IF(D$12=0,0,D83/D$12)</f>
        <v>1.8183680157299896E-2</v>
      </c>
      <c r="G83" s="14"/>
      <c r="H83" s="34">
        <f>SUM(H80:H82)</f>
        <v>783.0494991538435</v>
      </c>
      <c r="I83" s="14"/>
      <c r="J83" s="31">
        <f>IF(H$12=0,0,H83/H$12)</f>
        <v>3.4218209192179841E-2</v>
      </c>
      <c r="K83" s="16"/>
      <c r="L83" s="34">
        <f>+D83-H83</f>
        <v>-339.14949915383841</v>
      </c>
      <c r="M83" s="16"/>
      <c r="N83" s="31">
        <f>IF(H83=0,0,L83/H83)</f>
        <v>-0.43311374251604834</v>
      </c>
      <c r="O83" s="28"/>
      <c r="P83" s="34">
        <f>SUM(P80:P82)</f>
        <v>-4863.6000000000495</v>
      </c>
      <c r="Q83" s="14"/>
      <c r="R83" s="31">
        <f>IF(P$12=0,0,P83/P$12)</f>
        <v>-1.1329140461216048E-2</v>
      </c>
      <c r="S83" s="14"/>
      <c r="T83" s="34">
        <f>SUM(T80:T82)</f>
        <v>6877.8752098461846</v>
      </c>
      <c r="U83" s="14"/>
      <c r="V83" s="31">
        <f>IF(T$12=0,0,T83/T$12)</f>
        <v>1.5360457404768539E-2</v>
      </c>
      <c r="W83" s="16"/>
      <c r="X83" s="34">
        <f>+P83-T83</f>
        <v>-11741.475209846234</v>
      </c>
      <c r="Y83" s="16"/>
      <c r="Z83" s="31">
        <f>IF(T83=0,0,X83/T83)</f>
        <v>-1.7071369938549406</v>
      </c>
    </row>
    <row r="84" spans="1:26" ht="15.75" thickTop="1" x14ac:dyDescent="0.25">
      <c r="A84" s="9"/>
      <c r="C84" s="9"/>
      <c r="D84" s="18"/>
      <c r="E84" s="18"/>
      <c r="G84" s="18"/>
      <c r="H84" s="18"/>
      <c r="I84" s="18"/>
      <c r="J84" s="42"/>
      <c r="K84" s="18"/>
      <c r="L84" s="18"/>
      <c r="M84" s="18"/>
      <c r="P84" s="18"/>
      <c r="Q84" s="18"/>
      <c r="R84" s="42"/>
      <c r="S84" s="18"/>
      <c r="T84" s="18"/>
      <c r="U84" s="18"/>
      <c r="V84" s="42"/>
      <c r="W84" s="18"/>
      <c r="X84" s="18"/>
    </row>
    <row r="85" spans="1:26" x14ac:dyDescent="0.25">
      <c r="A85" s="9"/>
      <c r="B85" s="59">
        <v>43992.371266122682</v>
      </c>
      <c r="D85" s="18"/>
      <c r="E85" s="18"/>
      <c r="G85" s="18"/>
      <c r="H85" s="18"/>
      <c r="I85" s="18"/>
      <c r="J85" s="42"/>
      <c r="K85" s="18"/>
      <c r="L85" s="18"/>
      <c r="M85" s="18"/>
      <c r="P85" s="18"/>
      <c r="Q85" s="18"/>
      <c r="R85" s="42"/>
      <c r="S85" s="18"/>
      <c r="T85" s="18"/>
      <c r="U85" s="18"/>
      <c r="V85" s="42"/>
      <c r="W85" s="18"/>
      <c r="X85" s="18"/>
    </row>
    <row r="86" spans="1:26" x14ac:dyDescent="0.25">
      <c r="A86" s="9"/>
      <c r="B86" s="56" t="s">
        <v>314</v>
      </c>
      <c r="D86" s="18"/>
      <c r="E86" s="18"/>
      <c r="G86" s="18"/>
      <c r="H86" s="18"/>
      <c r="I86" s="18"/>
      <c r="J86" s="42"/>
      <c r="K86" s="18"/>
      <c r="L86" s="18"/>
      <c r="M86" s="18"/>
      <c r="P86" s="18"/>
      <c r="Q86" s="18"/>
      <c r="R86" s="42"/>
      <c r="S86" s="18"/>
      <c r="T86" s="18"/>
      <c r="U86" s="18"/>
      <c r="V86" s="42"/>
      <c r="W86" s="18"/>
      <c r="X86" s="18"/>
    </row>
    <row r="87" spans="1:26" x14ac:dyDescent="0.25">
      <c r="A87" s="9"/>
      <c r="B87" s="54"/>
      <c r="D87" s="18"/>
      <c r="E87" s="18"/>
      <c r="G87" s="18"/>
      <c r="H87" s="18"/>
      <c r="I87" s="18"/>
      <c r="J87" s="42"/>
      <c r="K87" s="18"/>
      <c r="L87" s="18"/>
      <c r="M87" s="18"/>
      <c r="P87" s="18"/>
      <c r="Q87" s="18"/>
      <c r="R87" s="42"/>
      <c r="S87" s="18"/>
      <c r="T87" s="18"/>
      <c r="U87" s="18"/>
      <c r="V87" s="42"/>
      <c r="W87" s="18"/>
      <c r="X87" s="18"/>
    </row>
    <row r="88" spans="1:26" x14ac:dyDescent="0.25">
      <c r="D88" s="18"/>
      <c r="E88" s="18"/>
      <c r="G88" s="18"/>
      <c r="H88" s="18"/>
      <c r="I88" s="18"/>
      <c r="J88" s="42"/>
      <c r="K88" s="18"/>
      <c r="L88" s="18"/>
      <c r="M88" s="18"/>
      <c r="P88" s="18"/>
      <c r="Q88" s="18"/>
      <c r="R88" s="42"/>
      <c r="S88" s="18"/>
      <c r="T88" s="18"/>
      <c r="U88" s="18"/>
      <c r="V88" s="42"/>
      <c r="W88" s="18"/>
      <c r="X88" s="18"/>
    </row>
  </sheetData>
  <pageMargins left="0.25" right="0.25" top="0.75" bottom="0.75" header="0.3" footer="0.3"/>
  <pageSetup scale="55" fitToWidth="2" orientation="landscape"/>
  <drawing r:id="rId1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88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63" t="s">
        <v>13</v>
      </c>
    </row>
    <row r="3" spans="1:26" x14ac:dyDescent="0.25">
      <c r="D3" s="63" t="s">
        <v>296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61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63" t="str">
        <f>CONCATENATE("Period ",RIGHT(202011,2),", ",2020)</f>
        <v>Period 11, 2020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61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4">
        <v>43981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61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51"/>
      <c r="C6" s="51"/>
      <c r="D6" s="23" t="str">
        <f>CONCATENATE("Department ","501", " - ", "ID Card Services")</f>
        <v>Department 501 - ID Card Services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57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5" t="s">
        <v>294</v>
      </c>
      <c r="E9" s="15"/>
      <c r="F9" s="38"/>
      <c r="G9" s="15"/>
      <c r="H9" s="15"/>
      <c r="I9" s="15"/>
      <c r="J9" s="46"/>
      <c r="K9" s="15"/>
      <c r="L9" s="15"/>
      <c r="M9" s="15"/>
      <c r="N9" s="38"/>
      <c r="P9" s="15" t="s">
        <v>295</v>
      </c>
      <c r="Q9" s="15"/>
      <c r="R9" s="38"/>
      <c r="S9" s="15"/>
      <c r="T9" s="15"/>
      <c r="U9" s="15"/>
      <c r="V9" s="46"/>
      <c r="W9" s="15"/>
      <c r="X9" s="15"/>
      <c r="Y9" s="15"/>
      <c r="Z9" s="38"/>
    </row>
    <row r="10" spans="1:26" x14ac:dyDescent="0.25">
      <c r="A10" s="10"/>
      <c r="B10" s="55"/>
      <c r="C10" s="10"/>
      <c r="D10" s="43" t="s">
        <v>10</v>
      </c>
      <c r="E10" s="33"/>
      <c r="F10" s="40" t="s">
        <v>15</v>
      </c>
      <c r="G10" s="33"/>
      <c r="H10" s="47" t="s">
        <v>11</v>
      </c>
      <c r="I10" s="33"/>
      <c r="J10" s="45" t="s">
        <v>16</v>
      </c>
      <c r="K10" s="10"/>
      <c r="L10" s="43" t="s">
        <v>12</v>
      </c>
      <c r="M10" s="10"/>
      <c r="N10" s="40" t="s">
        <v>17</v>
      </c>
      <c r="O10" s="10"/>
      <c r="P10" s="53" t="s">
        <v>10</v>
      </c>
      <c r="Q10" s="33"/>
      <c r="R10" s="40" t="s">
        <v>15</v>
      </c>
      <c r="S10" s="33"/>
      <c r="T10" s="47" t="s">
        <v>11</v>
      </c>
      <c r="U10" s="33"/>
      <c r="V10" s="45" t="s">
        <v>16</v>
      </c>
      <c r="W10" s="10"/>
      <c r="X10" s="43" t="s">
        <v>12</v>
      </c>
      <c r="Y10" s="10"/>
      <c r="Z10" s="40" t="s">
        <v>17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24412</v>
      </c>
      <c r="E12" s="4"/>
      <c r="F12" s="13"/>
      <c r="G12" s="4"/>
      <c r="H12" s="4">
        <f>SUM(OSRRefH13x_0)</f>
        <v>22884</v>
      </c>
      <c r="I12" s="4"/>
      <c r="J12" s="13"/>
      <c r="K12" s="4"/>
      <c r="L12" s="4">
        <f t="shared" ref="L12:L13" si="0">+D12-H12</f>
        <v>1528</v>
      </c>
      <c r="M12" s="4"/>
      <c r="N12" s="13">
        <f t="shared" ref="N12:N13" si="1">IF(H12=0,0,L12/H12)</f>
        <v>6.6771543436462161E-2</v>
      </c>
      <c r="O12" s="10"/>
      <c r="P12" s="4">
        <f>SUM(OSRRefP13x_0)</f>
        <v>429300</v>
      </c>
      <c r="Q12" s="4"/>
      <c r="R12" s="13"/>
      <c r="S12" s="4"/>
      <c r="T12" s="4">
        <f>SUM(OSRRefT13x_0)</f>
        <v>447765</v>
      </c>
      <c r="U12" s="4"/>
      <c r="V12" s="13"/>
      <c r="W12" s="4"/>
      <c r="X12" s="4">
        <f t="shared" ref="X12:X13" si="2">+P12-T12</f>
        <v>-18465</v>
      </c>
      <c r="Y12" s="4"/>
      <c r="Z12" s="13">
        <f t="shared" ref="Z12:Z13" si="3">IF(T12=0,0,X12/T12)</f>
        <v>-4.1238149475729458E-2</v>
      </c>
    </row>
    <row r="13" spans="1:26" s="24" customFormat="1" hidden="1" outlineLevel="1" x14ac:dyDescent="0.25">
      <c r="A13" s="44"/>
      <c r="B13" s="11" t="str">
        <f>CONCATENATE("          ", "4100", " - ", "NON-TAXABLE SALES")</f>
        <v xml:space="preserve">          4100 - NON-TAXABLE SALES</v>
      </c>
      <c r="C13" s="11"/>
      <c r="D13" s="2">
        <f>--24412</f>
        <v>24412</v>
      </c>
      <c r="E13" s="2"/>
      <c r="F13" s="19"/>
      <c r="G13" s="2"/>
      <c r="H13" s="2">
        <v>22884</v>
      </c>
      <c r="I13" s="2"/>
      <c r="J13" s="19"/>
      <c r="K13" s="2"/>
      <c r="L13" s="2">
        <f t="shared" si="0"/>
        <v>1528</v>
      </c>
      <c r="M13" s="2"/>
      <c r="N13" s="19">
        <f t="shared" si="1"/>
        <v>6.6771543436462161E-2</v>
      </c>
      <c r="O13" s="11"/>
      <c r="P13" s="2">
        <f>--429300</f>
        <v>429300</v>
      </c>
      <c r="Q13" s="2"/>
      <c r="R13" s="19"/>
      <c r="S13" s="2"/>
      <c r="T13" s="2">
        <v>447765</v>
      </c>
      <c r="U13" s="2"/>
      <c r="V13" s="19"/>
      <c r="W13" s="2"/>
      <c r="X13" s="2">
        <f t="shared" si="2"/>
        <v>-18465</v>
      </c>
      <c r="Y13" s="2"/>
      <c r="Z13" s="19">
        <f t="shared" si="3"/>
        <v>-4.1238149475729458E-2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x14ac:dyDescent="0.25">
      <c r="A15" s="10"/>
      <c r="B15" s="28" t="s">
        <v>8</v>
      </c>
      <c r="C15" s="10"/>
      <c r="D15" s="4">
        <f>SUM(0)</f>
        <v>0</v>
      </c>
      <c r="E15" s="4"/>
      <c r="F15" s="13">
        <f>IF(D$12=0,0,D15/D$12)</f>
        <v>0</v>
      </c>
      <c r="G15" s="4"/>
      <c r="H15" s="4">
        <f>SUM(0)</f>
        <v>0</v>
      </c>
      <c r="I15" s="4"/>
      <c r="J15" s="13">
        <f>IF(H$12=0,0,H15/H$12)</f>
        <v>0</v>
      </c>
      <c r="K15" s="4"/>
      <c r="L15" s="4">
        <f>+D15-H15</f>
        <v>0</v>
      </c>
      <c r="M15" s="4"/>
      <c r="N15" s="13">
        <f>IF(H15=0,0,L15/H15)</f>
        <v>0</v>
      </c>
      <c r="O15" s="10"/>
      <c r="P15" s="4">
        <f>SUM(0)</f>
        <v>0</v>
      </c>
      <c r="Q15" s="4"/>
      <c r="R15" s="13">
        <f>IF(P$12=0,0,P15/P$12)</f>
        <v>0</v>
      </c>
      <c r="S15" s="4"/>
      <c r="T15" s="4">
        <f>SUM(0)</f>
        <v>0</v>
      </c>
      <c r="U15" s="4"/>
      <c r="V15" s="13">
        <f>IF(T$12=0,0,T15/T$12)</f>
        <v>0</v>
      </c>
      <c r="W15" s="4"/>
      <c r="X15" s="4">
        <f>+P15-T15</f>
        <v>0</v>
      </c>
      <c r="Y15" s="4"/>
      <c r="Z15" s="13">
        <f>IF(T15=0,0,X15/T15)</f>
        <v>0</v>
      </c>
    </row>
    <row r="16" spans="1:26" x14ac:dyDescent="0.25">
      <c r="A16" s="9"/>
      <c r="B16" s="10"/>
      <c r="C16" s="10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O16" s="10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3" customFormat="1" x14ac:dyDescent="0.25">
      <c r="A17" s="10"/>
      <c r="B17" s="29" t="s">
        <v>6</v>
      </c>
      <c r="C17" s="29"/>
      <c r="D17" s="20">
        <f>D12-D15</f>
        <v>24412</v>
      </c>
      <c r="E17" s="14"/>
      <c r="F17" s="22">
        <f>IF(D$12=0,0,D17/D$12)</f>
        <v>1</v>
      </c>
      <c r="G17" s="14"/>
      <c r="H17" s="20">
        <f>H12-H15</f>
        <v>22884</v>
      </c>
      <c r="I17" s="14"/>
      <c r="J17" s="22">
        <f>IF(H$12=0,0,H17/H$12)</f>
        <v>1</v>
      </c>
      <c r="K17" s="16"/>
      <c r="L17" s="20">
        <f>+D17-H17</f>
        <v>1528</v>
      </c>
      <c r="M17" s="16"/>
      <c r="N17" s="22">
        <f>IF(H17=0,0,L17/H17)</f>
        <v>6.6771543436462161E-2</v>
      </c>
      <c r="O17" s="28"/>
      <c r="P17" s="20">
        <f>P12-P15</f>
        <v>429300</v>
      </c>
      <c r="Q17" s="14"/>
      <c r="R17" s="22">
        <f>IF(P$12=0,0,P17/P$12)</f>
        <v>1</v>
      </c>
      <c r="S17" s="14"/>
      <c r="T17" s="20">
        <f>T12-T15</f>
        <v>447765</v>
      </c>
      <c r="U17" s="14"/>
      <c r="V17" s="22">
        <f>IF(T$12=0,0,T17/T$12)</f>
        <v>1</v>
      </c>
      <c r="W17" s="16"/>
      <c r="X17" s="20">
        <f>+P17-T17</f>
        <v>-18465</v>
      </c>
      <c r="Y17" s="16"/>
      <c r="Z17" s="22">
        <f>IF(T17=0,0,X17/T17)</f>
        <v>-4.1238149475729458E-2</v>
      </c>
    </row>
    <row r="18" spans="1:26" x14ac:dyDescent="0.25">
      <c r="A18" s="9"/>
      <c r="B18" s="10"/>
      <c r="C18" s="9"/>
      <c r="D18" s="1"/>
      <c r="E18" s="1"/>
      <c r="F18" s="5"/>
      <c r="G18" s="1"/>
      <c r="H18" s="1"/>
      <c r="I18" s="1"/>
      <c r="J18" s="5"/>
      <c r="K18" s="1"/>
      <c r="L18" s="1"/>
      <c r="M18" s="1"/>
      <c r="N18" s="5"/>
      <c r="O18" s="36"/>
      <c r="P18" s="1"/>
      <c r="Q18" s="1"/>
      <c r="R18" s="5"/>
      <c r="S18" s="1"/>
      <c r="T18" s="1"/>
      <c r="U18" s="1"/>
      <c r="V18" s="5"/>
      <c r="W18" s="1"/>
      <c r="X18" s="1"/>
      <c r="Y18" s="1"/>
      <c r="Z18" s="5"/>
    </row>
    <row r="19" spans="1:26" s="23" customFormat="1" x14ac:dyDescent="0.25">
      <c r="A19" s="10"/>
      <c r="B19" s="28" t="s">
        <v>9</v>
      </c>
      <c r="C19" s="10"/>
      <c r="D19" s="21">
        <f>SUM(OSRRefD22x_0)</f>
        <v>19257.369999999995</v>
      </c>
      <c r="E19" s="21"/>
      <c r="F19" s="30">
        <f t="shared" ref="F19:F29" si="4">IF(D$12=0,0,D19/D$12)</f>
        <v>0.7888485171227263</v>
      </c>
      <c r="G19" s="21"/>
      <c r="H19" s="21">
        <f>SUM(OSRRefH22x_0)</f>
        <v>22881.950500846157</v>
      </c>
      <c r="I19" s="21"/>
      <c r="J19" s="30">
        <f t="shared" ref="J19:J29" si="5">IF(H$12=0,0,H19/H$12)</f>
        <v>0.99991043964543591</v>
      </c>
      <c r="K19" s="4"/>
      <c r="L19" s="21">
        <f t="shared" ref="L19:L29" si="6">+D19-H19</f>
        <v>-3624.5805008461612</v>
      </c>
      <c r="M19" s="4"/>
      <c r="N19" s="30">
        <f t="shared" ref="N19:N29" si="7">IF(H19=0,0,L19/H19)</f>
        <v>-0.15840347616835054</v>
      </c>
      <c r="O19" s="10"/>
      <c r="P19" s="21">
        <f>SUM(OSRRefP22x_0)</f>
        <v>403998.49000000005</v>
      </c>
      <c r="Q19" s="21"/>
      <c r="R19" s="30">
        <f t="shared" ref="R19:R29" si="8">IF(P$12=0,0,P19/P$12)</f>
        <v>0.94106333566270683</v>
      </c>
      <c r="S19" s="21"/>
      <c r="T19" s="21">
        <f>SUM(OSRRefT22x_0)</f>
        <v>422174.12479015382</v>
      </c>
      <c r="U19" s="21"/>
      <c r="V19" s="30">
        <f t="shared" ref="V19:V29" si="9">IF(T$12=0,0,T19/T$12)</f>
        <v>0.942847531160662</v>
      </c>
      <c r="W19" s="4"/>
      <c r="X19" s="21">
        <f t="shared" ref="X19:X29" si="10">+P19-T19</f>
        <v>-18175.634790153767</v>
      </c>
      <c r="Y19" s="4"/>
      <c r="Z19" s="30">
        <f t="shared" ref="Z19:Z29" si="11">IF(T19=0,0,X19/T19)</f>
        <v>-4.3052460401707855E-2</v>
      </c>
    </row>
    <row r="20" spans="1:26" s="27" customFormat="1" outlineLevel="1" collapsed="1" x14ac:dyDescent="0.25">
      <c r="A20" s="25"/>
      <c r="B20" s="12" t="str">
        <f>CONCATENATE("     ","*Benefits                                         ")</f>
        <v xml:space="preserve">     *Benefits                                         </v>
      </c>
      <c r="C20" s="12"/>
      <c r="D20" s="1">
        <f>SUM(OSRRefD22_0x_0)</f>
        <v>3729.01</v>
      </c>
      <c r="E20" s="1"/>
      <c r="F20" s="5">
        <f t="shared" si="4"/>
        <v>0.15275315418646568</v>
      </c>
      <c r="G20" s="1"/>
      <c r="H20" s="1">
        <f>SUM(OSRRefH22_0x_0)</f>
        <v>986.32203930769242</v>
      </c>
      <c r="I20" s="1"/>
      <c r="J20" s="5">
        <f t="shared" si="5"/>
        <v>4.3100945608621412E-2</v>
      </c>
      <c r="K20" s="1"/>
      <c r="L20" s="1">
        <f t="shared" si="6"/>
        <v>2742.6879606923076</v>
      </c>
      <c r="M20" s="1"/>
      <c r="N20" s="5">
        <f t="shared" si="7"/>
        <v>2.7807225747661715</v>
      </c>
      <c r="O20" s="12"/>
      <c r="P20" s="1">
        <f>SUM(OSRRefP22_0x_0)</f>
        <v>48770.64</v>
      </c>
      <c r="Q20" s="1"/>
      <c r="R20" s="5">
        <f t="shared" si="8"/>
        <v>0.11360503144654088</v>
      </c>
      <c r="S20" s="1"/>
      <c r="T20" s="1">
        <f>SUM(OSRRefT22_0x_0)</f>
        <v>13409.703251692303</v>
      </c>
      <c r="U20" s="1"/>
      <c r="V20" s="5">
        <f t="shared" si="9"/>
        <v>2.9948082703409831E-2</v>
      </c>
      <c r="W20" s="1"/>
      <c r="X20" s="1">
        <f t="shared" si="10"/>
        <v>35360.936748307693</v>
      </c>
      <c r="Y20" s="1"/>
      <c r="Z20" s="5">
        <f t="shared" si="11"/>
        <v>2.636966388040328</v>
      </c>
    </row>
    <row r="21" spans="1:26" s="24" customFormat="1" hidden="1" outlineLevel="2" x14ac:dyDescent="0.25">
      <c r="A21" s="26"/>
      <c r="B21" s="11" t="str">
        <f>CONCATENATE("          ", "6111", " - ", "F.I.C.A.")</f>
        <v xml:space="preserve">          6111 - F.I.C.A.</v>
      </c>
      <c r="C21" s="11"/>
      <c r="D21" s="7">
        <v>918.68</v>
      </c>
      <c r="E21" s="2"/>
      <c r="F21" s="6">
        <f t="shared" si="4"/>
        <v>3.7632311977715875E-2</v>
      </c>
      <c r="G21" s="2"/>
      <c r="H21" s="7">
        <v>283.01206084615399</v>
      </c>
      <c r="I21" s="2"/>
      <c r="J21" s="6">
        <f t="shared" si="5"/>
        <v>1.2367246147795576E-2</v>
      </c>
      <c r="K21" s="2"/>
      <c r="L21" s="7">
        <f t="shared" si="6"/>
        <v>635.66793915384596</v>
      </c>
      <c r="M21" s="2"/>
      <c r="N21" s="6">
        <f t="shared" si="7"/>
        <v>2.2460807403518981</v>
      </c>
      <c r="O21" s="11"/>
      <c r="P21" s="7">
        <v>12066.38</v>
      </c>
      <c r="Q21" s="2"/>
      <c r="R21" s="6">
        <f t="shared" si="8"/>
        <v>2.8107104588865593E-2</v>
      </c>
      <c r="S21" s="2"/>
      <c r="T21" s="7">
        <v>4820.0619101538432</v>
      </c>
      <c r="U21" s="2"/>
      <c r="V21" s="6">
        <f t="shared" si="9"/>
        <v>1.0764713432612739E-2</v>
      </c>
      <c r="W21" s="2"/>
      <c r="X21" s="7">
        <f t="shared" si="10"/>
        <v>7246.318089846156</v>
      </c>
      <c r="Y21" s="2"/>
      <c r="Z21" s="6">
        <f t="shared" si="11"/>
        <v>1.5033661859365772</v>
      </c>
    </row>
    <row r="22" spans="1:26" s="24" customFormat="1" hidden="1" outlineLevel="2" x14ac:dyDescent="0.25">
      <c r="A22" s="26"/>
      <c r="B22" s="11" t="str">
        <f>CONCATENATE("          ", "6112", " - ", "COMPENSATION INSURANCE")</f>
        <v xml:space="preserve">          6112 - COMPENSATION INSURANCE</v>
      </c>
      <c r="C22" s="11"/>
      <c r="D22" s="7">
        <v>113.76</v>
      </c>
      <c r="E22" s="2"/>
      <c r="F22" s="6">
        <f t="shared" si="4"/>
        <v>4.6600032770768478E-3</v>
      </c>
      <c r="G22" s="2"/>
      <c r="H22" s="7">
        <v>203.500523076923</v>
      </c>
      <c r="I22" s="2"/>
      <c r="J22" s="6">
        <f t="shared" si="5"/>
        <v>8.8926989633334643E-3</v>
      </c>
      <c r="K22" s="2"/>
      <c r="L22" s="7">
        <f t="shared" si="6"/>
        <v>-89.740523076922997</v>
      </c>
      <c r="M22" s="2"/>
      <c r="N22" s="6">
        <f t="shared" si="7"/>
        <v>-0.44098423787835261</v>
      </c>
      <c r="O22" s="11"/>
      <c r="P22" s="7">
        <v>662.29</v>
      </c>
      <c r="Q22" s="2"/>
      <c r="R22" s="6">
        <f t="shared" si="8"/>
        <v>1.5427207081295132E-3</v>
      </c>
      <c r="S22" s="2"/>
      <c r="T22" s="7">
        <v>2499.9752769230772</v>
      </c>
      <c r="U22" s="2"/>
      <c r="V22" s="6">
        <f t="shared" si="9"/>
        <v>5.5832306610009205E-3</v>
      </c>
      <c r="W22" s="2"/>
      <c r="X22" s="7">
        <f t="shared" si="10"/>
        <v>-1837.6852769230773</v>
      </c>
      <c r="Y22" s="2"/>
      <c r="Z22" s="6">
        <f t="shared" si="11"/>
        <v>-0.73508138015863334</v>
      </c>
    </row>
    <row r="23" spans="1:26" s="24" customFormat="1" hidden="1" outlineLevel="2" x14ac:dyDescent="0.25">
      <c r="A23" s="26"/>
      <c r="B23" s="11" t="str">
        <f>CONCATENATE("          ", "6113", " - ", "GROUP INSURANCE")</f>
        <v xml:space="preserve">          6113 - GROUP INSURANCE</v>
      </c>
      <c r="C23" s="11"/>
      <c r="D23" s="7">
        <v>1285.8599999999999</v>
      </c>
      <c r="E23" s="2"/>
      <c r="F23" s="6">
        <f t="shared" si="4"/>
        <v>5.2673275438309027E-2</v>
      </c>
      <c r="G23" s="2"/>
      <c r="H23" s="7">
        <v>138.1</v>
      </c>
      <c r="I23" s="2"/>
      <c r="J23" s="6">
        <f t="shared" si="5"/>
        <v>6.0347841286488377E-3</v>
      </c>
      <c r="K23" s="2"/>
      <c r="L23" s="7">
        <f t="shared" si="6"/>
        <v>1147.76</v>
      </c>
      <c r="M23" s="2"/>
      <c r="N23" s="6">
        <f t="shared" si="7"/>
        <v>8.311078928312817</v>
      </c>
      <c r="O23" s="11"/>
      <c r="P23" s="7">
        <v>13927.73</v>
      </c>
      <c r="Q23" s="2"/>
      <c r="R23" s="6">
        <f t="shared" si="8"/>
        <v>3.2442883764267412E-2</v>
      </c>
      <c r="S23" s="2"/>
      <c r="T23" s="7">
        <v>1519.1</v>
      </c>
      <c r="U23" s="2"/>
      <c r="V23" s="6">
        <f t="shared" si="9"/>
        <v>3.3926278293301172E-3</v>
      </c>
      <c r="W23" s="2"/>
      <c r="X23" s="7">
        <f t="shared" si="10"/>
        <v>12408.63</v>
      </c>
      <c r="Y23" s="2"/>
      <c r="Z23" s="6">
        <f t="shared" si="11"/>
        <v>8.168408926337964</v>
      </c>
    </row>
    <row r="24" spans="1:26" s="24" customFormat="1" hidden="1" outlineLevel="2" x14ac:dyDescent="0.25">
      <c r="A24" s="26"/>
      <c r="B24" s="11" t="str">
        <f>CONCATENATE("          ", "6114", " - ", "STATE UNEMPLOYMENT INSURANCE")</f>
        <v xml:space="preserve">          6114 - STATE UNEMPLOYMENT INSURANCE</v>
      </c>
      <c r="C24" s="11"/>
      <c r="D24" s="7">
        <v>46.17</v>
      </c>
      <c r="E24" s="2"/>
      <c r="F24" s="6">
        <f t="shared" si="4"/>
        <v>1.8912829755857775E-3</v>
      </c>
      <c r="G24" s="2"/>
      <c r="H24" s="7">
        <v>27.847439999999999</v>
      </c>
      <c r="I24" s="2"/>
      <c r="J24" s="6">
        <f t="shared" si="5"/>
        <v>1.2168956476140535E-3</v>
      </c>
      <c r="K24" s="2"/>
      <c r="L24" s="7">
        <f t="shared" si="6"/>
        <v>18.322560000000003</v>
      </c>
      <c r="M24" s="2"/>
      <c r="N24" s="6">
        <f t="shared" si="7"/>
        <v>0.65796209633632408</v>
      </c>
      <c r="O24" s="11"/>
      <c r="P24" s="7">
        <v>495.12</v>
      </c>
      <c r="Q24" s="2"/>
      <c r="R24" s="6">
        <f t="shared" si="8"/>
        <v>1.1533193570929421E-3</v>
      </c>
      <c r="S24" s="2"/>
      <c r="T24" s="7">
        <v>342.10187999999999</v>
      </c>
      <c r="U24" s="2"/>
      <c r="V24" s="6">
        <f t="shared" si="9"/>
        <v>7.6402103782117852E-4</v>
      </c>
      <c r="W24" s="2"/>
      <c r="X24" s="7">
        <f t="shared" si="10"/>
        <v>153.01812000000001</v>
      </c>
      <c r="Y24" s="2"/>
      <c r="Z24" s="6">
        <f t="shared" si="11"/>
        <v>0.44728815872043737</v>
      </c>
    </row>
    <row r="25" spans="1:26" s="24" customFormat="1" hidden="1" outlineLevel="2" x14ac:dyDescent="0.25">
      <c r="A25" s="26"/>
      <c r="B25" s="11" t="str">
        <f>CONCATENATE("          ", "6115", " - ", "P.E.R.S.")</f>
        <v xml:space="preserve">          6115 - P.E.R.S.</v>
      </c>
      <c r="C25" s="11"/>
      <c r="D25" s="7">
        <v>550.21</v>
      </c>
      <c r="E25" s="2"/>
      <c r="F25" s="6">
        <f t="shared" si="4"/>
        <v>2.2538505652957563E-2</v>
      </c>
      <c r="G25" s="2"/>
      <c r="H25" s="7">
        <v>56.936630769230796</v>
      </c>
      <c r="I25" s="2"/>
      <c r="J25" s="6">
        <f t="shared" si="5"/>
        <v>2.4880541325481031E-3</v>
      </c>
      <c r="K25" s="2"/>
      <c r="L25" s="7">
        <f t="shared" si="6"/>
        <v>493.27336923076922</v>
      </c>
      <c r="M25" s="2"/>
      <c r="N25" s="6">
        <f t="shared" si="7"/>
        <v>8.6635503816523638</v>
      </c>
      <c r="O25" s="11"/>
      <c r="P25" s="7">
        <v>7759.08</v>
      </c>
      <c r="Q25" s="2"/>
      <c r="R25" s="6">
        <f t="shared" si="8"/>
        <v>1.8073794549266248E-2</v>
      </c>
      <c r="S25" s="2"/>
      <c r="T25" s="7">
        <v>683.23956923076958</v>
      </c>
      <c r="U25" s="2"/>
      <c r="V25" s="6">
        <f t="shared" si="9"/>
        <v>1.5258887345611417E-3</v>
      </c>
      <c r="W25" s="2"/>
      <c r="X25" s="7">
        <f t="shared" si="10"/>
        <v>7075.8404307692308</v>
      </c>
      <c r="Y25" s="2"/>
      <c r="Z25" s="6">
        <f t="shared" si="11"/>
        <v>10.356309484147149</v>
      </c>
    </row>
    <row r="26" spans="1:26" s="24" customFormat="1" hidden="1" outlineLevel="2" x14ac:dyDescent="0.25">
      <c r="A26" s="26"/>
      <c r="B26" s="11" t="str">
        <f>CONCATENATE("          ", "6116", " - ", "EDUCATIONAL BENEFITS")</f>
        <v xml:space="preserve">          6116 - EDUCATIONAL BENEFITS</v>
      </c>
      <c r="C26" s="11"/>
      <c r="D26" s="7"/>
      <c r="E26" s="2"/>
      <c r="F26" s="6">
        <f t="shared" si="4"/>
        <v>0</v>
      </c>
      <c r="G26" s="2"/>
      <c r="H26" s="7">
        <v>0</v>
      </c>
      <c r="I26" s="2"/>
      <c r="J26" s="6">
        <f t="shared" si="5"/>
        <v>0</v>
      </c>
      <c r="K26" s="2"/>
      <c r="L26" s="7">
        <f t="shared" si="6"/>
        <v>0</v>
      </c>
      <c r="M26" s="2"/>
      <c r="N26" s="6">
        <f t="shared" si="7"/>
        <v>0</v>
      </c>
      <c r="O26" s="11"/>
      <c r="P26" s="7"/>
      <c r="Q26" s="2"/>
      <c r="R26" s="6">
        <f t="shared" si="8"/>
        <v>0</v>
      </c>
      <c r="S26" s="2"/>
      <c r="T26" s="7">
        <v>0</v>
      </c>
      <c r="U26" s="2"/>
      <c r="V26" s="6">
        <f t="shared" si="9"/>
        <v>0</v>
      </c>
      <c r="W26" s="2"/>
      <c r="X26" s="7">
        <f t="shared" si="10"/>
        <v>0</v>
      </c>
      <c r="Y26" s="2"/>
      <c r="Z26" s="6">
        <f t="shared" si="11"/>
        <v>0</v>
      </c>
    </row>
    <row r="27" spans="1:26" s="24" customFormat="1" hidden="1" outlineLevel="2" x14ac:dyDescent="0.25">
      <c r="A27" s="26"/>
      <c r="B27" s="11" t="str">
        <f>CONCATENATE("          ", "6118", " - ", "VACATION")</f>
        <v xml:space="preserve">          6118 - VACATION</v>
      </c>
      <c r="C27" s="11"/>
      <c r="D27" s="7">
        <v>484.71</v>
      </c>
      <c r="E27" s="2"/>
      <c r="F27" s="6">
        <f t="shared" si="4"/>
        <v>1.9855398984106175E-2</v>
      </c>
      <c r="G27" s="2"/>
      <c r="H27" s="7">
        <v>33.102692307692301</v>
      </c>
      <c r="I27" s="2"/>
      <c r="J27" s="6">
        <f t="shared" si="5"/>
        <v>1.4465431003186638E-3</v>
      </c>
      <c r="K27" s="2"/>
      <c r="L27" s="7">
        <f t="shared" si="6"/>
        <v>451.6073076923077</v>
      </c>
      <c r="M27" s="2"/>
      <c r="N27" s="6">
        <f t="shared" si="7"/>
        <v>13.642615636655167</v>
      </c>
      <c r="O27" s="11"/>
      <c r="P27" s="7">
        <v>7948.51</v>
      </c>
      <c r="Q27" s="2"/>
      <c r="R27" s="6">
        <f t="shared" si="8"/>
        <v>1.8515047752154672E-2</v>
      </c>
      <c r="S27" s="2"/>
      <c r="T27" s="7">
        <v>397.2323076923077</v>
      </c>
      <c r="U27" s="2"/>
      <c r="V27" s="6">
        <f t="shared" si="9"/>
        <v>8.8714461311694239E-4</v>
      </c>
      <c r="W27" s="2"/>
      <c r="X27" s="7">
        <f t="shared" si="10"/>
        <v>7551.2776923076926</v>
      </c>
      <c r="Y27" s="2"/>
      <c r="Z27" s="6">
        <f t="shared" si="11"/>
        <v>19.009726918176149</v>
      </c>
    </row>
    <row r="28" spans="1:26" s="24" customFormat="1" hidden="1" outlineLevel="2" x14ac:dyDescent="0.25">
      <c r="A28" s="26"/>
      <c r="B28" s="11" t="str">
        <f>CONCATENATE("          ", "6119", " - ", "SICK LEAVE")</f>
        <v xml:space="preserve">          6119 - SICK LEAVE</v>
      </c>
      <c r="C28" s="11"/>
      <c r="D28" s="7">
        <v>281.62</v>
      </c>
      <c r="E28" s="2"/>
      <c r="F28" s="6">
        <f t="shared" si="4"/>
        <v>1.1536129772243159E-2</v>
      </c>
      <c r="G28" s="2"/>
      <c r="H28" s="7">
        <v>93.822692307692307</v>
      </c>
      <c r="I28" s="2"/>
      <c r="J28" s="6">
        <f t="shared" si="5"/>
        <v>4.0999253761445685E-3</v>
      </c>
      <c r="K28" s="2"/>
      <c r="L28" s="7">
        <f t="shared" si="6"/>
        <v>187.7973076923077</v>
      </c>
      <c r="M28" s="2"/>
      <c r="N28" s="6">
        <f t="shared" si="7"/>
        <v>2.0016192572733349</v>
      </c>
      <c r="O28" s="11"/>
      <c r="P28" s="7">
        <v>4542.84</v>
      </c>
      <c r="Q28" s="2"/>
      <c r="R28" s="6">
        <f t="shared" si="8"/>
        <v>1.0581970649895179E-2</v>
      </c>
      <c r="S28" s="2"/>
      <c r="T28" s="7">
        <v>1497.9923076923058</v>
      </c>
      <c r="U28" s="2"/>
      <c r="V28" s="6">
        <f t="shared" si="9"/>
        <v>3.3454877172005531E-3</v>
      </c>
      <c r="W28" s="2"/>
      <c r="X28" s="7">
        <f t="shared" si="10"/>
        <v>3044.8476923076942</v>
      </c>
      <c r="Y28" s="2"/>
      <c r="Z28" s="6">
        <f t="shared" si="11"/>
        <v>2.0326190439511382</v>
      </c>
    </row>
    <row r="29" spans="1:26" s="24" customFormat="1" hidden="1" outlineLevel="2" x14ac:dyDescent="0.25">
      <c r="A29" s="26"/>
      <c r="B29" s="11" t="str">
        <f>CONCATENATE("          ", "6156", " - ", "EMPLOYEE MEALS")</f>
        <v xml:space="preserve">          6156 - EMPLOYEE MEALS</v>
      </c>
      <c r="C29" s="11"/>
      <c r="D29" s="7">
        <v>48</v>
      </c>
      <c r="E29" s="2"/>
      <c r="F29" s="6">
        <f t="shared" si="4"/>
        <v>1.9662461084712438E-3</v>
      </c>
      <c r="G29" s="2"/>
      <c r="H29" s="7">
        <v>150</v>
      </c>
      <c r="I29" s="2"/>
      <c r="J29" s="6">
        <f t="shared" si="5"/>
        <v>6.5547981122181433E-3</v>
      </c>
      <c r="K29" s="2"/>
      <c r="L29" s="7">
        <f t="shared" si="6"/>
        <v>-102</v>
      </c>
      <c r="M29" s="2"/>
      <c r="N29" s="6">
        <f t="shared" si="7"/>
        <v>-0.68</v>
      </c>
      <c r="O29" s="11"/>
      <c r="P29" s="7">
        <v>1368.69</v>
      </c>
      <c r="Q29" s="2"/>
      <c r="R29" s="6">
        <f t="shared" si="8"/>
        <v>3.1881900768693221E-3</v>
      </c>
      <c r="S29" s="2"/>
      <c r="T29" s="7">
        <v>1650</v>
      </c>
      <c r="U29" s="2"/>
      <c r="V29" s="6">
        <f t="shared" si="9"/>
        <v>3.6849686777662388E-3</v>
      </c>
      <c r="W29" s="2"/>
      <c r="X29" s="7">
        <f t="shared" si="10"/>
        <v>-281.30999999999995</v>
      </c>
      <c r="Y29" s="2"/>
      <c r="Z29" s="6">
        <f t="shared" si="11"/>
        <v>-0.17049090909090905</v>
      </c>
    </row>
    <row r="30" spans="1:26" s="27" customFormat="1" outlineLevel="1" collapsed="1" x14ac:dyDescent="0.25">
      <c r="A30" s="25"/>
      <c r="B30" s="12" t="str">
        <f>CONCATENATE("     ","*Payroll                                          ")</f>
        <v xml:space="preserve">     *Payroll                                          </v>
      </c>
      <c r="C30" s="12"/>
      <c r="D30" s="1">
        <f>SUM(OSRRefD22_1x_0)</f>
        <v>11619.55</v>
      </c>
      <c r="E30" s="1"/>
      <c r="F30" s="5">
        <f t="shared" ref="F30:F40" si="12">IF(D$12=0,0,D30/D$12)</f>
        <v>0.47597697853514664</v>
      </c>
      <c r="G30" s="1"/>
      <c r="H30" s="1">
        <f>SUM(OSRRefH22_1x_0)</f>
        <v>10583.628461538461</v>
      </c>
      <c r="I30" s="1"/>
      <c r="J30" s="5">
        <f t="shared" ref="J30:J40" si="13">IF(H$12=0,0,H30/H$12)</f>
        <v>0.46249031906740345</v>
      </c>
      <c r="K30" s="1"/>
      <c r="L30" s="1">
        <f t="shared" ref="L30:L40" si="14">+D30-H30</f>
        <v>1035.9215384615381</v>
      </c>
      <c r="M30" s="1"/>
      <c r="N30" s="5">
        <f t="shared" ref="N30:N40" si="15">IF(H30=0,0,L30/H30)</f>
        <v>9.7879620607066758E-2</v>
      </c>
      <c r="O30" s="12"/>
      <c r="P30" s="1">
        <f>SUM(OSRRefP22_1x_0)</f>
        <v>177189.44999999998</v>
      </c>
      <c r="Q30" s="1"/>
      <c r="R30" s="5">
        <f t="shared" ref="R30:R40" si="16">IF(P$12=0,0,P30/P$12)</f>
        <v>0.41274039133473089</v>
      </c>
      <c r="S30" s="1"/>
      <c r="T30" s="1">
        <f>SUM(OSRRefT22_1x_0)</f>
        <v>129682.42153846154</v>
      </c>
      <c r="U30" s="1"/>
      <c r="V30" s="5">
        <f t="shared" ref="V30:V40" si="17">IF(T$12=0,0,T30/T$12)</f>
        <v>0.28962161298552042</v>
      </c>
      <c r="W30" s="1"/>
      <c r="X30" s="1">
        <f t="shared" ref="X30:X40" si="18">+P30-T30</f>
        <v>47507.028461538444</v>
      </c>
      <c r="Y30" s="1"/>
      <c r="Z30" s="5">
        <f t="shared" ref="Z30:Z40" si="19">IF(T30=0,0,X30/T30)</f>
        <v>0.36633360094566625</v>
      </c>
    </row>
    <row r="31" spans="1:26" s="24" customFormat="1" hidden="1" outlineLevel="2" x14ac:dyDescent="0.25">
      <c r="A31" s="26"/>
      <c r="B31" s="11" t="str">
        <f>CONCATENATE("          ", "6001", " - ", "ADMINISTRATIVE SALARIES")</f>
        <v xml:space="preserve">          6001 - ADMINISTRATIVE SALARIES</v>
      </c>
      <c r="C31" s="11"/>
      <c r="D31" s="7"/>
      <c r="E31" s="2"/>
      <c r="F31" s="6">
        <f t="shared" si="12"/>
        <v>0</v>
      </c>
      <c r="G31" s="2"/>
      <c r="H31" s="7">
        <v>0</v>
      </c>
      <c r="I31" s="2"/>
      <c r="J31" s="6">
        <f t="shared" si="13"/>
        <v>0</v>
      </c>
      <c r="K31" s="2"/>
      <c r="L31" s="7">
        <f t="shared" si="14"/>
        <v>0</v>
      </c>
      <c r="M31" s="2"/>
      <c r="N31" s="6">
        <f t="shared" si="15"/>
        <v>0</v>
      </c>
      <c r="O31" s="11"/>
      <c r="P31" s="7"/>
      <c r="Q31" s="2"/>
      <c r="R31" s="6">
        <f t="shared" si="16"/>
        <v>0</v>
      </c>
      <c r="S31" s="2"/>
      <c r="T31" s="7">
        <v>0</v>
      </c>
      <c r="U31" s="2"/>
      <c r="V31" s="6">
        <f t="shared" si="17"/>
        <v>0</v>
      </c>
      <c r="W31" s="2"/>
      <c r="X31" s="7">
        <f t="shared" si="18"/>
        <v>0</v>
      </c>
      <c r="Y31" s="2"/>
      <c r="Z31" s="6">
        <f t="shared" si="19"/>
        <v>0</v>
      </c>
    </row>
    <row r="32" spans="1:26" s="24" customFormat="1" hidden="1" outlineLevel="2" x14ac:dyDescent="0.25">
      <c r="A32" s="26"/>
      <c r="B32" s="11" t="str">
        <f>CONCATENATE("          ", "6002", " - ", "STAFF SALARIES")</f>
        <v xml:space="preserve">          6002 - STAFF SALARIES</v>
      </c>
      <c r="C32" s="11"/>
      <c r="D32" s="7">
        <v>5649.22</v>
      </c>
      <c r="E32" s="2"/>
      <c r="F32" s="6">
        <f t="shared" si="12"/>
        <v>0.23141160085203999</v>
      </c>
      <c r="G32" s="2"/>
      <c r="H32" s="7">
        <v>595.84846153846195</v>
      </c>
      <c r="I32" s="2"/>
      <c r="J32" s="6">
        <f t="shared" si="13"/>
        <v>2.603777580573597E-2</v>
      </c>
      <c r="K32" s="2"/>
      <c r="L32" s="7">
        <f t="shared" si="14"/>
        <v>5053.371538461538</v>
      </c>
      <c r="M32" s="2"/>
      <c r="N32" s="6">
        <f t="shared" si="15"/>
        <v>8.4809676698902461</v>
      </c>
      <c r="O32" s="11"/>
      <c r="P32" s="7">
        <v>64280.81</v>
      </c>
      <c r="Q32" s="2"/>
      <c r="R32" s="6">
        <f t="shared" si="16"/>
        <v>0.14973400885161892</v>
      </c>
      <c r="S32" s="2"/>
      <c r="T32" s="7">
        <v>7150.181538461542</v>
      </c>
      <c r="U32" s="2"/>
      <c r="V32" s="6">
        <f t="shared" si="17"/>
        <v>1.5968603036104971E-2</v>
      </c>
      <c r="W32" s="2"/>
      <c r="X32" s="7">
        <f t="shared" si="18"/>
        <v>57130.628461538457</v>
      </c>
      <c r="Y32" s="2"/>
      <c r="Z32" s="6">
        <f t="shared" si="19"/>
        <v>7.9900948184639917</v>
      </c>
    </row>
    <row r="33" spans="1:26" s="24" customFormat="1" hidden="1" outlineLevel="2" x14ac:dyDescent="0.25">
      <c r="A33" s="26"/>
      <c r="B33" s="11" t="str">
        <f>CONCATENATE("          ", "6003", " - ", "STAFF HOURLY-9 MONTH")</f>
        <v xml:space="preserve">          6003 - STAFF HOURLY-9 MONTH</v>
      </c>
      <c r="C33" s="11"/>
      <c r="D33" s="7"/>
      <c r="E33" s="2"/>
      <c r="F33" s="6">
        <f t="shared" si="12"/>
        <v>0</v>
      </c>
      <c r="G33" s="2"/>
      <c r="H33" s="7">
        <v>0</v>
      </c>
      <c r="I33" s="2"/>
      <c r="J33" s="6">
        <f t="shared" si="13"/>
        <v>0</v>
      </c>
      <c r="K33" s="2"/>
      <c r="L33" s="7">
        <f t="shared" si="14"/>
        <v>0</v>
      </c>
      <c r="M33" s="2"/>
      <c r="N33" s="6">
        <f t="shared" si="15"/>
        <v>0</v>
      </c>
      <c r="O33" s="11"/>
      <c r="P33" s="7"/>
      <c r="Q33" s="2"/>
      <c r="R33" s="6">
        <f t="shared" si="16"/>
        <v>0</v>
      </c>
      <c r="S33" s="2"/>
      <c r="T33" s="7">
        <v>0</v>
      </c>
      <c r="U33" s="2"/>
      <c r="V33" s="6">
        <f t="shared" si="17"/>
        <v>0</v>
      </c>
      <c r="W33" s="2"/>
      <c r="X33" s="7">
        <f t="shared" si="18"/>
        <v>0</v>
      </c>
      <c r="Y33" s="2"/>
      <c r="Z33" s="6">
        <f t="shared" si="19"/>
        <v>0</v>
      </c>
    </row>
    <row r="34" spans="1:26" s="24" customFormat="1" hidden="1" outlineLevel="2" x14ac:dyDescent="0.25">
      <c r="A34" s="26"/>
      <c r="B34" s="11" t="str">
        <f>CONCATENATE("          ", "6004", " - ", "STAFF HOURLY")</f>
        <v xml:space="preserve">          6004 - STAFF HOURLY</v>
      </c>
      <c r="C34" s="11"/>
      <c r="D34" s="7"/>
      <c r="E34" s="2"/>
      <c r="F34" s="6">
        <f t="shared" si="12"/>
        <v>0</v>
      </c>
      <c r="G34" s="2"/>
      <c r="H34" s="7">
        <v>2975.28</v>
      </c>
      <c r="I34" s="2"/>
      <c r="J34" s="6">
        <f t="shared" si="13"/>
        <v>0.13001573151546933</v>
      </c>
      <c r="K34" s="2"/>
      <c r="L34" s="7">
        <f t="shared" si="14"/>
        <v>-2975.28</v>
      </c>
      <c r="M34" s="2"/>
      <c r="N34" s="6">
        <f t="shared" si="15"/>
        <v>-1</v>
      </c>
      <c r="O34" s="11"/>
      <c r="P34" s="7"/>
      <c r="Q34" s="2"/>
      <c r="R34" s="6">
        <f t="shared" si="16"/>
        <v>0</v>
      </c>
      <c r="S34" s="2"/>
      <c r="T34" s="7">
        <v>33945.24</v>
      </c>
      <c r="U34" s="2"/>
      <c r="V34" s="6">
        <f t="shared" si="17"/>
        <v>7.5810391611671302E-2</v>
      </c>
      <c r="W34" s="2"/>
      <c r="X34" s="7">
        <f t="shared" si="18"/>
        <v>-33945.24</v>
      </c>
      <c r="Y34" s="2"/>
      <c r="Z34" s="6">
        <f t="shared" si="19"/>
        <v>-1</v>
      </c>
    </row>
    <row r="35" spans="1:26" s="24" customFormat="1" hidden="1" outlineLevel="2" x14ac:dyDescent="0.25">
      <c r="A35" s="26"/>
      <c r="B35" s="11" t="str">
        <f>CONCATENATE("          ", "6005", " - ", "TEMPORARY WAGES-HOURLY")</f>
        <v xml:space="preserve">          6005 - TEMPORARY WAGES-HOURLY</v>
      </c>
      <c r="C35" s="11"/>
      <c r="D35" s="7">
        <v>5970.33</v>
      </c>
      <c r="E35" s="2"/>
      <c r="F35" s="6">
        <f t="shared" si="12"/>
        <v>0.24456537768310666</v>
      </c>
      <c r="G35" s="2"/>
      <c r="H35" s="7">
        <v>0</v>
      </c>
      <c r="I35" s="2"/>
      <c r="J35" s="6">
        <f t="shared" si="13"/>
        <v>0</v>
      </c>
      <c r="K35" s="2"/>
      <c r="L35" s="7">
        <f t="shared" si="14"/>
        <v>5970.33</v>
      </c>
      <c r="M35" s="2"/>
      <c r="N35" s="6">
        <f t="shared" si="15"/>
        <v>0</v>
      </c>
      <c r="O35" s="11"/>
      <c r="P35" s="7">
        <v>81200.490000000005</v>
      </c>
      <c r="Q35" s="2"/>
      <c r="R35" s="6">
        <f t="shared" si="16"/>
        <v>0.18914626135569532</v>
      </c>
      <c r="S35" s="2"/>
      <c r="T35" s="7">
        <v>0</v>
      </c>
      <c r="U35" s="2"/>
      <c r="V35" s="6">
        <f t="shared" si="17"/>
        <v>0</v>
      </c>
      <c r="W35" s="2"/>
      <c r="X35" s="7">
        <f t="shared" si="18"/>
        <v>81200.490000000005</v>
      </c>
      <c r="Y35" s="2"/>
      <c r="Z35" s="6">
        <f t="shared" si="19"/>
        <v>0</v>
      </c>
    </row>
    <row r="36" spans="1:26" s="24" customFormat="1" hidden="1" outlineLevel="2" x14ac:dyDescent="0.25">
      <c r="A36" s="26"/>
      <c r="B36" s="11" t="str">
        <f>CONCATENATE("          ", "6006", " - ", "TEMPORARY PART TIME")</f>
        <v xml:space="preserve">          6006 - TEMPORARY PART TIME</v>
      </c>
      <c r="C36" s="11"/>
      <c r="D36" s="7"/>
      <c r="E36" s="2"/>
      <c r="F36" s="6">
        <f t="shared" si="12"/>
        <v>0</v>
      </c>
      <c r="G36" s="2"/>
      <c r="H36" s="7">
        <v>0</v>
      </c>
      <c r="I36" s="2"/>
      <c r="J36" s="6">
        <f t="shared" si="13"/>
        <v>0</v>
      </c>
      <c r="K36" s="2"/>
      <c r="L36" s="7">
        <f t="shared" si="14"/>
        <v>0</v>
      </c>
      <c r="M36" s="2"/>
      <c r="N36" s="6">
        <f t="shared" si="15"/>
        <v>0</v>
      </c>
      <c r="O36" s="11"/>
      <c r="P36" s="7"/>
      <c r="Q36" s="2"/>
      <c r="R36" s="6">
        <f t="shared" si="16"/>
        <v>0</v>
      </c>
      <c r="S36" s="2"/>
      <c r="T36" s="7">
        <v>0</v>
      </c>
      <c r="U36" s="2"/>
      <c r="V36" s="6">
        <f t="shared" si="17"/>
        <v>0</v>
      </c>
      <c r="W36" s="2"/>
      <c r="X36" s="7">
        <f t="shared" si="18"/>
        <v>0</v>
      </c>
      <c r="Y36" s="2"/>
      <c r="Z36" s="6">
        <f t="shared" si="19"/>
        <v>0</v>
      </c>
    </row>
    <row r="37" spans="1:26" s="24" customFormat="1" hidden="1" outlineLevel="2" x14ac:dyDescent="0.25">
      <c r="A37" s="26"/>
      <c r="B37" s="11" t="str">
        <f>CONCATENATE("          ", "6007", " - ", "STUDENT HOURLY")</f>
        <v xml:space="preserve">          6007 - STUDENT HOURLY</v>
      </c>
      <c r="C37" s="11"/>
      <c r="D37" s="7"/>
      <c r="E37" s="2"/>
      <c r="F37" s="6">
        <f t="shared" si="12"/>
        <v>0</v>
      </c>
      <c r="G37" s="2"/>
      <c r="H37" s="7">
        <v>0</v>
      </c>
      <c r="I37" s="2"/>
      <c r="J37" s="6">
        <f t="shared" si="13"/>
        <v>0</v>
      </c>
      <c r="K37" s="2"/>
      <c r="L37" s="7">
        <f t="shared" si="14"/>
        <v>0</v>
      </c>
      <c r="M37" s="2"/>
      <c r="N37" s="6">
        <f t="shared" si="15"/>
        <v>0</v>
      </c>
      <c r="O37" s="11"/>
      <c r="P37" s="7">
        <v>25787.41</v>
      </c>
      <c r="Q37" s="2"/>
      <c r="R37" s="6">
        <f t="shared" si="16"/>
        <v>6.0068506871651522E-2</v>
      </c>
      <c r="S37" s="2"/>
      <c r="T37" s="7">
        <v>19992</v>
      </c>
      <c r="U37" s="2"/>
      <c r="V37" s="6">
        <f t="shared" si="17"/>
        <v>4.464842048842585E-2</v>
      </c>
      <c r="W37" s="2"/>
      <c r="X37" s="7">
        <f t="shared" si="18"/>
        <v>5795.41</v>
      </c>
      <c r="Y37" s="2"/>
      <c r="Z37" s="6">
        <f t="shared" si="19"/>
        <v>0.28988645458183271</v>
      </c>
    </row>
    <row r="38" spans="1:26" s="24" customFormat="1" hidden="1" outlineLevel="2" x14ac:dyDescent="0.25">
      <c r="A38" s="26"/>
      <c r="B38" s="11" t="str">
        <f>CONCATENATE("          ", "6008", " - ", "STUDENT HOURLY-FICA EXEMPT")</f>
        <v xml:space="preserve">          6008 - STUDENT HOURLY-FICA EXEMPT</v>
      </c>
      <c r="C38" s="11"/>
      <c r="D38" s="7"/>
      <c r="E38" s="2"/>
      <c r="F38" s="6">
        <f t="shared" si="12"/>
        <v>0</v>
      </c>
      <c r="G38" s="2"/>
      <c r="H38" s="7">
        <v>7012.5</v>
      </c>
      <c r="I38" s="2"/>
      <c r="J38" s="6">
        <f t="shared" si="13"/>
        <v>0.30643681174619819</v>
      </c>
      <c r="K38" s="2"/>
      <c r="L38" s="7">
        <f t="shared" si="14"/>
        <v>-7012.5</v>
      </c>
      <c r="M38" s="2"/>
      <c r="N38" s="6">
        <f t="shared" si="15"/>
        <v>-1</v>
      </c>
      <c r="O38" s="11"/>
      <c r="P38" s="7">
        <v>5920.74</v>
      </c>
      <c r="Q38" s="2"/>
      <c r="R38" s="6">
        <f t="shared" si="16"/>
        <v>1.3791614255765198E-2</v>
      </c>
      <c r="S38" s="2"/>
      <c r="T38" s="7">
        <v>68595</v>
      </c>
      <c r="U38" s="2"/>
      <c r="V38" s="6">
        <f t="shared" si="17"/>
        <v>0.15319419784931829</v>
      </c>
      <c r="W38" s="2"/>
      <c r="X38" s="7">
        <f t="shared" si="18"/>
        <v>-62674.26</v>
      </c>
      <c r="Y38" s="2"/>
      <c r="Z38" s="6">
        <f t="shared" si="19"/>
        <v>-0.91368554559370219</v>
      </c>
    </row>
    <row r="39" spans="1:26" s="24" customFormat="1" hidden="1" outlineLevel="2" x14ac:dyDescent="0.25">
      <c r="A39" s="26"/>
      <c r="B39" s="11" t="str">
        <f>CONCATENATE("          ", "6009", " - ", "TEMPORARY-SEASONAL")</f>
        <v xml:space="preserve">          6009 - TEMPORARY-SEASONAL</v>
      </c>
      <c r="C39" s="11"/>
      <c r="D39" s="7"/>
      <c r="E39" s="2"/>
      <c r="F39" s="6">
        <f t="shared" si="12"/>
        <v>0</v>
      </c>
      <c r="G39" s="2"/>
      <c r="H39" s="7">
        <v>0</v>
      </c>
      <c r="I39" s="2"/>
      <c r="J39" s="6">
        <f t="shared" si="13"/>
        <v>0</v>
      </c>
      <c r="K39" s="2"/>
      <c r="L39" s="7">
        <f t="shared" si="14"/>
        <v>0</v>
      </c>
      <c r="M39" s="2"/>
      <c r="N39" s="6">
        <f t="shared" si="15"/>
        <v>0</v>
      </c>
      <c r="O39" s="11"/>
      <c r="P39" s="7"/>
      <c r="Q39" s="2"/>
      <c r="R39" s="6">
        <f t="shared" si="16"/>
        <v>0</v>
      </c>
      <c r="S39" s="2"/>
      <c r="T39" s="7">
        <v>0</v>
      </c>
      <c r="U39" s="2"/>
      <c r="V39" s="6">
        <f t="shared" si="17"/>
        <v>0</v>
      </c>
      <c r="W39" s="2"/>
      <c r="X39" s="7">
        <f t="shared" si="18"/>
        <v>0</v>
      </c>
      <c r="Y39" s="2"/>
      <c r="Z39" s="6">
        <f t="shared" si="19"/>
        <v>0</v>
      </c>
    </row>
    <row r="40" spans="1:26" s="24" customFormat="1" hidden="1" outlineLevel="2" x14ac:dyDescent="0.25">
      <c r="A40" s="26"/>
      <c r="B40" s="11" t="str">
        <f>CONCATENATE("          ", "6010", " - ", "GRATUITY")</f>
        <v xml:space="preserve">          6010 - GRATUITY</v>
      </c>
      <c r="C40" s="11"/>
      <c r="D40" s="7"/>
      <c r="E40" s="2"/>
      <c r="F40" s="6">
        <f t="shared" si="12"/>
        <v>0</v>
      </c>
      <c r="G40" s="2"/>
      <c r="H40" s="7">
        <v>0</v>
      </c>
      <c r="I40" s="2"/>
      <c r="J40" s="6">
        <f t="shared" si="13"/>
        <v>0</v>
      </c>
      <c r="K40" s="2"/>
      <c r="L40" s="7">
        <f t="shared" si="14"/>
        <v>0</v>
      </c>
      <c r="M40" s="2"/>
      <c r="N40" s="6">
        <f t="shared" si="15"/>
        <v>0</v>
      </c>
      <c r="O40" s="11"/>
      <c r="P40" s="7"/>
      <c r="Q40" s="2"/>
      <c r="R40" s="6">
        <f t="shared" si="16"/>
        <v>0</v>
      </c>
      <c r="S40" s="2"/>
      <c r="T40" s="7">
        <v>0</v>
      </c>
      <c r="U40" s="2"/>
      <c r="V40" s="6">
        <f t="shared" si="17"/>
        <v>0</v>
      </c>
      <c r="W40" s="2"/>
      <c r="X40" s="7">
        <f t="shared" si="18"/>
        <v>0</v>
      </c>
      <c r="Y40" s="2"/>
      <c r="Z40" s="6">
        <f t="shared" si="19"/>
        <v>0</v>
      </c>
    </row>
    <row r="41" spans="1:26" s="27" customFormat="1" outlineLevel="1" collapsed="1" x14ac:dyDescent="0.25">
      <c r="A41" s="25"/>
      <c r="B41" s="12" t="str">
        <f>CONCATENATE("     ","Advertising/Promo                                 ")</f>
        <v xml:space="preserve">     Advertising/Promo                                 </v>
      </c>
      <c r="C41" s="12"/>
      <c r="D41" s="1">
        <f>SUM(OSRRefD22_2x_0)</f>
        <v>1911.81</v>
      </c>
      <c r="E41" s="1"/>
      <c r="F41" s="5">
        <f t="shared" ref="F41:F61" si="20">IF(D$12=0,0,D41/D$12)</f>
        <v>7.8314353596591835E-2</v>
      </c>
      <c r="G41" s="1"/>
      <c r="H41" s="1">
        <f>SUM(OSRRefH22_2x_0)</f>
        <v>400</v>
      </c>
      <c r="I41" s="1"/>
      <c r="J41" s="5">
        <f t="shared" ref="J41:J61" si="21">IF(H$12=0,0,H41/H$12)</f>
        <v>1.7479461632581718E-2</v>
      </c>
      <c r="K41" s="1"/>
      <c r="L41" s="1">
        <f t="shared" ref="L41:L61" si="22">+D41-H41</f>
        <v>1511.81</v>
      </c>
      <c r="M41" s="1"/>
      <c r="N41" s="5">
        <f t="shared" ref="N41:N61" si="23">IF(H41=0,0,L41/H41)</f>
        <v>3.779525</v>
      </c>
      <c r="O41" s="12"/>
      <c r="P41" s="1">
        <f>SUM(OSRRefP22_2x_0)</f>
        <v>2066.92</v>
      </c>
      <c r="Q41" s="1"/>
      <c r="R41" s="5">
        <f t="shared" ref="R41:R61" si="24">IF(P$12=0,0,P41/P$12)</f>
        <v>4.8146284649429301E-3</v>
      </c>
      <c r="S41" s="1"/>
      <c r="T41" s="1">
        <f>SUM(OSRRefT22_2x_0)</f>
        <v>4400</v>
      </c>
      <c r="U41" s="1"/>
      <c r="V41" s="5">
        <f t="shared" ref="V41:V61" si="25">IF(T$12=0,0,T41/T$12)</f>
        <v>9.8265831407099713E-3</v>
      </c>
      <c r="W41" s="1"/>
      <c r="X41" s="1">
        <f t="shared" ref="X41:X61" si="26">+P41-T41</f>
        <v>-2333.08</v>
      </c>
      <c r="Y41" s="1"/>
      <c r="Z41" s="5">
        <f t="shared" ref="Z41:Z61" si="27">IF(T41=0,0,X41/T41)</f>
        <v>-0.53024545454545458</v>
      </c>
    </row>
    <row r="42" spans="1:26" s="24" customFormat="1" hidden="1" outlineLevel="2" x14ac:dyDescent="0.25">
      <c r="A42" s="26"/>
      <c r="B42" s="11" t="str">
        <f>CONCATENATE("          ", "6362", " - ", "ADVERTISING EXPENSE")</f>
        <v xml:space="preserve">          6362 - ADVERTISING EXPENSE</v>
      </c>
      <c r="C42" s="11"/>
      <c r="D42" s="7">
        <v>1911.81</v>
      </c>
      <c r="E42" s="2"/>
      <c r="F42" s="6">
        <f t="shared" si="20"/>
        <v>7.8314353596591835E-2</v>
      </c>
      <c r="G42" s="2"/>
      <c r="H42" s="7">
        <v>400</v>
      </c>
      <c r="I42" s="2"/>
      <c r="J42" s="6">
        <f t="shared" si="21"/>
        <v>1.7479461632581718E-2</v>
      </c>
      <c r="K42" s="2"/>
      <c r="L42" s="7">
        <f t="shared" si="22"/>
        <v>1511.81</v>
      </c>
      <c r="M42" s="2"/>
      <c r="N42" s="6">
        <f t="shared" si="23"/>
        <v>3.779525</v>
      </c>
      <c r="O42" s="11"/>
      <c r="P42" s="7">
        <v>2066.92</v>
      </c>
      <c r="Q42" s="2"/>
      <c r="R42" s="6">
        <f t="shared" si="24"/>
        <v>4.8146284649429301E-3</v>
      </c>
      <c r="S42" s="2"/>
      <c r="T42" s="7">
        <v>4400</v>
      </c>
      <c r="U42" s="2"/>
      <c r="V42" s="6">
        <f t="shared" si="25"/>
        <v>9.8265831407099713E-3</v>
      </c>
      <c r="W42" s="2"/>
      <c r="X42" s="7">
        <f t="shared" si="26"/>
        <v>-2333.08</v>
      </c>
      <c r="Y42" s="2"/>
      <c r="Z42" s="6">
        <f t="shared" si="27"/>
        <v>-0.53024545454545458</v>
      </c>
    </row>
    <row r="43" spans="1:26" s="27" customFormat="1" outlineLevel="1" collapsed="1" x14ac:dyDescent="0.25">
      <c r="A43" s="25"/>
      <c r="B43" s="12" t="str">
        <f>CONCATENATE("     ","Bank/card Fees                                    ")</f>
        <v xml:space="preserve">     Bank/card Fees                                    </v>
      </c>
      <c r="C43" s="12"/>
      <c r="D43" s="1">
        <f>SUM(OSRRefD22_3x_0)</f>
        <v>43.26</v>
      </c>
      <c r="E43" s="1"/>
      <c r="F43" s="5">
        <f t="shared" si="20"/>
        <v>1.7720793052597083E-3</v>
      </c>
      <c r="G43" s="1"/>
      <c r="H43" s="1">
        <f>SUM(OSRRefH22_3x_0)</f>
        <v>2000</v>
      </c>
      <c r="I43" s="1"/>
      <c r="J43" s="5">
        <f t="shared" si="21"/>
        <v>8.7397308162908582E-2</v>
      </c>
      <c r="K43" s="1"/>
      <c r="L43" s="1">
        <f t="shared" si="22"/>
        <v>-1956.74</v>
      </c>
      <c r="M43" s="1"/>
      <c r="N43" s="5">
        <f t="shared" si="23"/>
        <v>-0.97836999999999996</v>
      </c>
      <c r="O43" s="12"/>
      <c r="P43" s="1">
        <f>SUM(OSRRefP22_3x_0)</f>
        <v>17833.88</v>
      </c>
      <c r="Q43" s="1"/>
      <c r="R43" s="5">
        <f t="shared" si="24"/>
        <v>4.1541765665036111E-2</v>
      </c>
      <c r="S43" s="1"/>
      <c r="T43" s="1">
        <f>SUM(OSRRefT22_3x_0)</f>
        <v>19700</v>
      </c>
      <c r="U43" s="1"/>
      <c r="V43" s="5">
        <f t="shared" si="25"/>
        <v>4.3996292698178729E-2</v>
      </c>
      <c r="W43" s="1"/>
      <c r="X43" s="1">
        <f t="shared" si="26"/>
        <v>-1866.119999999999</v>
      </c>
      <c r="Y43" s="1"/>
      <c r="Z43" s="5">
        <f t="shared" si="27"/>
        <v>-9.4726903553299435E-2</v>
      </c>
    </row>
    <row r="44" spans="1:26" s="24" customFormat="1" hidden="1" outlineLevel="2" x14ac:dyDescent="0.25">
      <c r="A44" s="26"/>
      <c r="B44" s="11" t="str">
        <f>CONCATENATE("          ", "6381", " - ", "BANK/CREDIT CARD FEES")</f>
        <v xml:space="preserve">          6381 - BANK/CREDIT CARD FEES</v>
      </c>
      <c r="C44" s="11"/>
      <c r="D44" s="7">
        <v>43.26</v>
      </c>
      <c r="E44" s="2"/>
      <c r="F44" s="6">
        <f t="shared" si="20"/>
        <v>1.7720793052597083E-3</v>
      </c>
      <c r="G44" s="2"/>
      <c r="H44" s="7">
        <v>2000</v>
      </c>
      <c r="I44" s="2"/>
      <c r="J44" s="6">
        <f t="shared" si="21"/>
        <v>8.7397308162908582E-2</v>
      </c>
      <c r="K44" s="2"/>
      <c r="L44" s="7">
        <f t="shared" si="22"/>
        <v>-1956.74</v>
      </c>
      <c r="M44" s="2"/>
      <c r="N44" s="6">
        <f t="shared" si="23"/>
        <v>-0.97836999999999996</v>
      </c>
      <c r="O44" s="11"/>
      <c r="P44" s="7">
        <v>17833.88</v>
      </c>
      <c r="Q44" s="2"/>
      <c r="R44" s="6">
        <f t="shared" si="24"/>
        <v>4.1541765665036111E-2</v>
      </c>
      <c r="S44" s="2"/>
      <c r="T44" s="7">
        <v>19700</v>
      </c>
      <c r="U44" s="2"/>
      <c r="V44" s="6">
        <f t="shared" si="25"/>
        <v>4.3996292698178729E-2</v>
      </c>
      <c r="W44" s="2"/>
      <c r="X44" s="7">
        <f t="shared" si="26"/>
        <v>-1866.119999999999</v>
      </c>
      <c r="Y44" s="2"/>
      <c r="Z44" s="6">
        <f t="shared" si="27"/>
        <v>-9.4726903553299435E-2</v>
      </c>
    </row>
    <row r="45" spans="1:26" s="27" customFormat="1" outlineLevel="1" collapsed="1" x14ac:dyDescent="0.25">
      <c r="A45" s="25"/>
      <c r="B45" s="12" t="str">
        <f>CONCATENATE("     ","Employees' Appreciation                           ")</f>
        <v xml:space="preserve">     Employees' Appreciation                           </v>
      </c>
      <c r="C45" s="12"/>
      <c r="D45" s="1">
        <f>SUM(OSRRefD22_4x_0)</f>
        <v>0</v>
      </c>
      <c r="E45" s="1"/>
      <c r="F45" s="5">
        <f t="shared" si="20"/>
        <v>0</v>
      </c>
      <c r="G45" s="1"/>
      <c r="H45" s="1">
        <f>SUM(OSRRefH22_4x_0)</f>
        <v>75</v>
      </c>
      <c r="I45" s="1"/>
      <c r="J45" s="5">
        <f t="shared" si="21"/>
        <v>3.2773990561090717E-3</v>
      </c>
      <c r="K45" s="1"/>
      <c r="L45" s="1">
        <f t="shared" si="22"/>
        <v>-75</v>
      </c>
      <c r="M45" s="1"/>
      <c r="N45" s="5">
        <f t="shared" si="23"/>
        <v>-1</v>
      </c>
      <c r="O45" s="12"/>
      <c r="P45" s="1">
        <f>SUM(OSRRefP22_4x_0)</f>
        <v>64.239999999999995</v>
      </c>
      <c r="Q45" s="1"/>
      <c r="R45" s="5">
        <f t="shared" si="24"/>
        <v>1.4963894712322385E-4</v>
      </c>
      <c r="S45" s="1"/>
      <c r="T45" s="1">
        <f>SUM(OSRRefT22_4x_0)</f>
        <v>825</v>
      </c>
      <c r="U45" s="1"/>
      <c r="V45" s="5">
        <f t="shared" si="25"/>
        <v>1.8424843388831194E-3</v>
      </c>
      <c r="W45" s="1"/>
      <c r="X45" s="1">
        <f t="shared" si="26"/>
        <v>-760.76</v>
      </c>
      <c r="Y45" s="1"/>
      <c r="Z45" s="5">
        <f t="shared" si="27"/>
        <v>-0.92213333333333336</v>
      </c>
    </row>
    <row r="46" spans="1:26" s="24" customFormat="1" hidden="1" outlineLevel="2" x14ac:dyDescent="0.25">
      <c r="A46" s="26"/>
      <c r="B46" s="11" t="str">
        <f>CONCATENATE("          ", "6277", " - ", "EMPLOYEE APPRECIATION")</f>
        <v xml:space="preserve">          6277 - EMPLOYEE APPRECIATION</v>
      </c>
      <c r="C46" s="11"/>
      <c r="D46" s="7"/>
      <c r="E46" s="2"/>
      <c r="F46" s="6">
        <f t="shared" si="20"/>
        <v>0</v>
      </c>
      <c r="G46" s="2"/>
      <c r="H46" s="7">
        <v>75</v>
      </c>
      <c r="I46" s="2"/>
      <c r="J46" s="6">
        <f t="shared" si="21"/>
        <v>3.2773990561090717E-3</v>
      </c>
      <c r="K46" s="2"/>
      <c r="L46" s="7">
        <f t="shared" si="22"/>
        <v>-75</v>
      </c>
      <c r="M46" s="2"/>
      <c r="N46" s="6">
        <f t="shared" si="23"/>
        <v>-1</v>
      </c>
      <c r="O46" s="11"/>
      <c r="P46" s="7">
        <v>64.239999999999995</v>
      </c>
      <c r="Q46" s="2"/>
      <c r="R46" s="6">
        <f t="shared" si="24"/>
        <v>1.4963894712322385E-4</v>
      </c>
      <c r="S46" s="2"/>
      <c r="T46" s="7">
        <v>825</v>
      </c>
      <c r="U46" s="2"/>
      <c r="V46" s="6">
        <f t="shared" si="25"/>
        <v>1.8424843388831194E-3</v>
      </c>
      <c r="W46" s="2"/>
      <c r="X46" s="7">
        <f t="shared" si="26"/>
        <v>-760.76</v>
      </c>
      <c r="Y46" s="2"/>
      <c r="Z46" s="6">
        <f t="shared" si="27"/>
        <v>-0.92213333333333336</v>
      </c>
    </row>
    <row r="47" spans="1:26" s="27" customFormat="1" outlineLevel="1" collapsed="1" x14ac:dyDescent="0.25">
      <c r="A47" s="25"/>
      <c r="B47" s="12" t="str">
        <f>CONCATENATE("     ","Freight out/Postage                               ")</f>
        <v xml:space="preserve">     Freight out/Postage                               </v>
      </c>
      <c r="C47" s="12"/>
      <c r="D47" s="1">
        <f>SUM(OSRRefD22_5x_0)</f>
        <v>0</v>
      </c>
      <c r="E47" s="1"/>
      <c r="F47" s="5">
        <f t="shared" si="20"/>
        <v>0</v>
      </c>
      <c r="G47" s="1"/>
      <c r="H47" s="1">
        <f>SUM(OSRRefH22_5x_0)</f>
        <v>10</v>
      </c>
      <c r="I47" s="1"/>
      <c r="J47" s="5">
        <f t="shared" si="21"/>
        <v>4.3698654081454294E-4</v>
      </c>
      <c r="K47" s="1"/>
      <c r="L47" s="1">
        <f t="shared" si="22"/>
        <v>-10</v>
      </c>
      <c r="M47" s="1"/>
      <c r="N47" s="5">
        <f t="shared" si="23"/>
        <v>-1</v>
      </c>
      <c r="O47" s="12"/>
      <c r="P47" s="1">
        <f>SUM(OSRRefP22_5x_0)</f>
        <v>0</v>
      </c>
      <c r="Q47" s="1"/>
      <c r="R47" s="5">
        <f t="shared" si="24"/>
        <v>0</v>
      </c>
      <c r="S47" s="1"/>
      <c r="T47" s="1">
        <f>SUM(OSRRefT22_5x_0)</f>
        <v>110</v>
      </c>
      <c r="U47" s="1"/>
      <c r="V47" s="5">
        <f t="shared" si="25"/>
        <v>2.4566457851774926E-4</v>
      </c>
      <c r="W47" s="1"/>
      <c r="X47" s="1">
        <f t="shared" si="26"/>
        <v>-110</v>
      </c>
      <c r="Y47" s="1"/>
      <c r="Z47" s="5">
        <f t="shared" si="27"/>
        <v>-1</v>
      </c>
    </row>
    <row r="48" spans="1:26" s="24" customFormat="1" hidden="1" outlineLevel="2" x14ac:dyDescent="0.25">
      <c r="A48" s="26"/>
      <c r="B48" s="11" t="str">
        <f>CONCATENATE("          ", "6307", " - ", "POSTAGE")</f>
        <v xml:space="preserve">          6307 - POSTAGE</v>
      </c>
      <c r="C48" s="11"/>
      <c r="D48" s="7"/>
      <c r="E48" s="2"/>
      <c r="F48" s="6">
        <f t="shared" si="20"/>
        <v>0</v>
      </c>
      <c r="G48" s="2"/>
      <c r="H48" s="7">
        <v>10</v>
      </c>
      <c r="I48" s="2"/>
      <c r="J48" s="6">
        <f t="shared" si="21"/>
        <v>4.3698654081454294E-4</v>
      </c>
      <c r="K48" s="2"/>
      <c r="L48" s="7">
        <f t="shared" si="22"/>
        <v>-10</v>
      </c>
      <c r="M48" s="2"/>
      <c r="N48" s="6">
        <f t="shared" si="23"/>
        <v>-1</v>
      </c>
      <c r="O48" s="11"/>
      <c r="P48" s="7"/>
      <c r="Q48" s="2"/>
      <c r="R48" s="6">
        <f t="shared" si="24"/>
        <v>0</v>
      </c>
      <c r="S48" s="2"/>
      <c r="T48" s="7">
        <v>110</v>
      </c>
      <c r="U48" s="2"/>
      <c r="V48" s="6">
        <f t="shared" si="25"/>
        <v>2.4566457851774926E-4</v>
      </c>
      <c r="W48" s="2"/>
      <c r="X48" s="7">
        <f t="shared" si="26"/>
        <v>-110</v>
      </c>
      <c r="Y48" s="2"/>
      <c r="Z48" s="6">
        <f t="shared" si="27"/>
        <v>-1</v>
      </c>
    </row>
    <row r="49" spans="1:26" s="27" customFormat="1" outlineLevel="1" collapsed="1" x14ac:dyDescent="0.25">
      <c r="A49" s="25"/>
      <c r="B49" s="12" t="str">
        <f>CONCATENATE("     ","General                                           ")</f>
        <v xml:space="preserve">     General                                           </v>
      </c>
      <c r="C49" s="12"/>
      <c r="D49" s="1">
        <f>SUM(OSRRefD22_6x_0)</f>
        <v>0</v>
      </c>
      <c r="E49" s="1"/>
      <c r="F49" s="5">
        <f t="shared" si="20"/>
        <v>0</v>
      </c>
      <c r="G49" s="1"/>
      <c r="H49" s="1">
        <f>SUM(OSRRefH22_6x_0)</f>
        <v>50</v>
      </c>
      <c r="I49" s="1"/>
      <c r="J49" s="5">
        <f t="shared" si="21"/>
        <v>2.1849327040727147E-3</v>
      </c>
      <c r="K49" s="1"/>
      <c r="L49" s="1">
        <f t="shared" si="22"/>
        <v>-50</v>
      </c>
      <c r="M49" s="1"/>
      <c r="N49" s="5">
        <f t="shared" si="23"/>
        <v>-1</v>
      </c>
      <c r="O49" s="12"/>
      <c r="P49" s="1">
        <f>SUM(OSRRefP22_6x_0)</f>
        <v>47.34</v>
      </c>
      <c r="Q49" s="1"/>
      <c r="R49" s="5">
        <f t="shared" si="24"/>
        <v>1.1027253668763104E-4</v>
      </c>
      <c r="S49" s="1"/>
      <c r="T49" s="1">
        <f>SUM(OSRRefT22_6x_0)</f>
        <v>550</v>
      </c>
      <c r="U49" s="1"/>
      <c r="V49" s="5">
        <f t="shared" si="25"/>
        <v>1.2283228925887464E-3</v>
      </c>
      <c r="W49" s="1"/>
      <c r="X49" s="1">
        <f t="shared" si="26"/>
        <v>-502.65999999999997</v>
      </c>
      <c r="Y49" s="1"/>
      <c r="Z49" s="5">
        <f t="shared" si="27"/>
        <v>-0.9139272727272727</v>
      </c>
    </row>
    <row r="50" spans="1:26" s="24" customFormat="1" hidden="1" outlineLevel="2" x14ac:dyDescent="0.25">
      <c r="A50" s="26"/>
      <c r="B50" s="11" t="str">
        <f>CONCATENATE("          ", "6279", " - ", "GENERAL EXPENSE")</f>
        <v xml:space="preserve">          6279 - GENERAL EXPENSE</v>
      </c>
      <c r="C50" s="11"/>
      <c r="D50" s="7"/>
      <c r="E50" s="2"/>
      <c r="F50" s="6">
        <f t="shared" si="20"/>
        <v>0</v>
      </c>
      <c r="G50" s="2"/>
      <c r="H50" s="7">
        <v>50</v>
      </c>
      <c r="I50" s="2"/>
      <c r="J50" s="6">
        <f t="shared" si="21"/>
        <v>2.1849327040727147E-3</v>
      </c>
      <c r="K50" s="2"/>
      <c r="L50" s="7">
        <f t="shared" si="22"/>
        <v>-50</v>
      </c>
      <c r="M50" s="2"/>
      <c r="N50" s="6">
        <f t="shared" si="23"/>
        <v>-1</v>
      </c>
      <c r="O50" s="11"/>
      <c r="P50" s="7">
        <v>47.34</v>
      </c>
      <c r="Q50" s="2"/>
      <c r="R50" s="6">
        <f t="shared" si="24"/>
        <v>1.1027253668763104E-4</v>
      </c>
      <c r="S50" s="2"/>
      <c r="T50" s="7">
        <v>550</v>
      </c>
      <c r="U50" s="2"/>
      <c r="V50" s="6">
        <f t="shared" si="25"/>
        <v>1.2283228925887464E-3</v>
      </c>
      <c r="W50" s="2"/>
      <c r="X50" s="7">
        <f t="shared" si="26"/>
        <v>-502.65999999999997</v>
      </c>
      <c r="Y50" s="2"/>
      <c r="Z50" s="6">
        <f t="shared" si="27"/>
        <v>-0.9139272727272727</v>
      </c>
    </row>
    <row r="51" spans="1:26" s="27" customFormat="1" outlineLevel="1" collapsed="1" x14ac:dyDescent="0.25">
      <c r="A51" s="25"/>
      <c r="B51" s="12" t="str">
        <f>CONCATENATE("     ","Insurance                                         ")</f>
        <v xml:space="preserve">     Insurance                                         </v>
      </c>
      <c r="C51" s="12"/>
      <c r="D51" s="1">
        <f>SUM(OSRRefD22_7x_0)</f>
        <v>29.01</v>
      </c>
      <c r="E51" s="1"/>
      <c r="F51" s="5">
        <f t="shared" si="20"/>
        <v>1.1883499918073079E-3</v>
      </c>
      <c r="G51" s="1"/>
      <c r="H51" s="1">
        <f>SUM(OSRRefH22_7x_0)</f>
        <v>27</v>
      </c>
      <c r="I51" s="1"/>
      <c r="J51" s="5">
        <f t="shared" si="21"/>
        <v>1.1798636601992659E-3</v>
      </c>
      <c r="K51" s="1"/>
      <c r="L51" s="1">
        <f t="shared" si="22"/>
        <v>2.0100000000000016</v>
      </c>
      <c r="M51" s="1"/>
      <c r="N51" s="5">
        <f t="shared" si="23"/>
        <v>7.4444444444444507E-2</v>
      </c>
      <c r="O51" s="12"/>
      <c r="P51" s="1">
        <f>SUM(OSRRefP22_7x_0)</f>
        <v>319.11</v>
      </c>
      <c r="Q51" s="1"/>
      <c r="R51" s="5">
        <f t="shared" si="24"/>
        <v>7.4332634521313769E-4</v>
      </c>
      <c r="S51" s="1"/>
      <c r="T51" s="1">
        <f>SUM(OSRRefT22_7x_0)</f>
        <v>297</v>
      </c>
      <c r="U51" s="1"/>
      <c r="V51" s="5">
        <f t="shared" si="25"/>
        <v>6.6329436199792299E-4</v>
      </c>
      <c r="W51" s="1"/>
      <c r="X51" s="1">
        <f t="shared" si="26"/>
        <v>22.110000000000014</v>
      </c>
      <c r="Y51" s="1"/>
      <c r="Z51" s="5">
        <f t="shared" si="27"/>
        <v>7.4444444444444494E-2</v>
      </c>
    </row>
    <row r="52" spans="1:26" s="24" customFormat="1" hidden="1" outlineLevel="2" x14ac:dyDescent="0.25">
      <c r="A52" s="26"/>
      <c r="B52" s="11" t="str">
        <f>CONCATENATE("          ", "6314", " - ", "LIABILITY INSURANCE")</f>
        <v xml:space="preserve">          6314 - LIABILITY INSURANCE</v>
      </c>
      <c r="C52" s="11"/>
      <c r="D52" s="7">
        <v>29.01</v>
      </c>
      <c r="E52" s="2"/>
      <c r="F52" s="6">
        <f t="shared" si="20"/>
        <v>1.1883499918073079E-3</v>
      </c>
      <c r="G52" s="2"/>
      <c r="H52" s="7">
        <v>27</v>
      </c>
      <c r="I52" s="2"/>
      <c r="J52" s="6">
        <f t="shared" si="21"/>
        <v>1.1798636601992659E-3</v>
      </c>
      <c r="K52" s="2"/>
      <c r="L52" s="7">
        <f t="shared" si="22"/>
        <v>2.0100000000000016</v>
      </c>
      <c r="M52" s="2"/>
      <c r="N52" s="6">
        <f t="shared" si="23"/>
        <v>7.4444444444444507E-2</v>
      </c>
      <c r="O52" s="11"/>
      <c r="P52" s="7">
        <v>319.11</v>
      </c>
      <c r="Q52" s="2"/>
      <c r="R52" s="6">
        <f t="shared" si="24"/>
        <v>7.4332634521313769E-4</v>
      </c>
      <c r="S52" s="2"/>
      <c r="T52" s="7">
        <v>297</v>
      </c>
      <c r="U52" s="2"/>
      <c r="V52" s="6">
        <f t="shared" si="25"/>
        <v>6.6329436199792299E-4</v>
      </c>
      <c r="W52" s="2"/>
      <c r="X52" s="7">
        <f t="shared" si="26"/>
        <v>22.110000000000014</v>
      </c>
      <c r="Y52" s="2"/>
      <c r="Z52" s="6">
        <f t="shared" si="27"/>
        <v>7.4444444444444494E-2</v>
      </c>
    </row>
    <row r="53" spans="1:26" s="27" customFormat="1" outlineLevel="1" collapsed="1" x14ac:dyDescent="0.25">
      <c r="A53" s="25"/>
      <c r="B53" s="12" t="str">
        <f>CONCATENATE("     ","Professional Services                             ")</f>
        <v xml:space="preserve">     Professional Services                             </v>
      </c>
      <c r="C53" s="12"/>
      <c r="D53" s="1">
        <f>SUM(OSRRefD22_8x_0)</f>
        <v>0</v>
      </c>
      <c r="E53" s="1"/>
      <c r="F53" s="5">
        <f t="shared" si="20"/>
        <v>0</v>
      </c>
      <c r="G53" s="1"/>
      <c r="H53" s="1">
        <f>SUM(OSRRefH22_8x_0)</f>
        <v>400</v>
      </c>
      <c r="I53" s="1"/>
      <c r="J53" s="5">
        <f t="shared" si="21"/>
        <v>1.7479461632581718E-2</v>
      </c>
      <c r="K53" s="1"/>
      <c r="L53" s="1">
        <f t="shared" si="22"/>
        <v>-400</v>
      </c>
      <c r="M53" s="1"/>
      <c r="N53" s="5">
        <f t="shared" si="23"/>
        <v>-1</v>
      </c>
      <c r="O53" s="12"/>
      <c r="P53" s="1">
        <f>SUM(OSRRefP22_8x_0)</f>
        <v>0</v>
      </c>
      <c r="Q53" s="1"/>
      <c r="R53" s="5">
        <f t="shared" si="24"/>
        <v>0</v>
      </c>
      <c r="S53" s="1"/>
      <c r="T53" s="1">
        <f>SUM(OSRRefT22_8x_0)</f>
        <v>4400</v>
      </c>
      <c r="U53" s="1"/>
      <c r="V53" s="5">
        <f t="shared" si="25"/>
        <v>9.8265831407099713E-3</v>
      </c>
      <c r="W53" s="1"/>
      <c r="X53" s="1">
        <f t="shared" si="26"/>
        <v>-4400</v>
      </c>
      <c r="Y53" s="1"/>
      <c r="Z53" s="5">
        <f t="shared" si="27"/>
        <v>-1</v>
      </c>
    </row>
    <row r="54" spans="1:26" s="24" customFormat="1" hidden="1" outlineLevel="2" x14ac:dyDescent="0.25">
      <c r="A54" s="26"/>
      <c r="B54" s="11" t="str">
        <f>CONCATENATE("          ", "6336", " - ", "PROFESSIONAL SERVICES")</f>
        <v xml:space="preserve">          6336 - PROFESSIONAL SERVICES</v>
      </c>
      <c r="C54" s="11"/>
      <c r="D54" s="7"/>
      <c r="E54" s="2"/>
      <c r="F54" s="6">
        <f t="shared" si="20"/>
        <v>0</v>
      </c>
      <c r="G54" s="2"/>
      <c r="H54" s="7">
        <v>400</v>
      </c>
      <c r="I54" s="2"/>
      <c r="J54" s="6">
        <f t="shared" si="21"/>
        <v>1.7479461632581718E-2</v>
      </c>
      <c r="K54" s="2"/>
      <c r="L54" s="7">
        <f t="shared" si="22"/>
        <v>-400</v>
      </c>
      <c r="M54" s="2"/>
      <c r="N54" s="6">
        <f t="shared" si="23"/>
        <v>-1</v>
      </c>
      <c r="O54" s="11"/>
      <c r="P54" s="7"/>
      <c r="Q54" s="2"/>
      <c r="R54" s="6">
        <f t="shared" si="24"/>
        <v>0</v>
      </c>
      <c r="S54" s="2"/>
      <c r="T54" s="7">
        <v>4400</v>
      </c>
      <c r="U54" s="2"/>
      <c r="V54" s="6">
        <f t="shared" si="25"/>
        <v>9.8265831407099713E-3</v>
      </c>
      <c r="W54" s="2"/>
      <c r="X54" s="7">
        <f t="shared" si="26"/>
        <v>-4400</v>
      </c>
      <c r="Y54" s="2"/>
      <c r="Z54" s="6">
        <f t="shared" si="27"/>
        <v>-1</v>
      </c>
    </row>
    <row r="55" spans="1:26" s="27" customFormat="1" outlineLevel="1" collapsed="1" x14ac:dyDescent="0.25">
      <c r="A55" s="25"/>
      <c r="B55" s="12" t="str">
        <f>CONCATENATE("     ","Rent                                              ")</f>
        <v xml:space="preserve">     Rent                                              </v>
      </c>
      <c r="C55" s="12"/>
      <c r="D55" s="1">
        <f>SUM(OSRRefD22_9x_0)</f>
        <v>800</v>
      </c>
      <c r="E55" s="1"/>
      <c r="F55" s="5">
        <f t="shared" si="20"/>
        <v>3.2770768474520727E-2</v>
      </c>
      <c r="G55" s="1"/>
      <c r="H55" s="1">
        <f>SUM(OSRRefH22_9x_0)</f>
        <v>800</v>
      </c>
      <c r="I55" s="1"/>
      <c r="J55" s="5">
        <f t="shared" si="21"/>
        <v>3.4958923265163436E-2</v>
      </c>
      <c r="K55" s="1"/>
      <c r="L55" s="1">
        <f t="shared" si="22"/>
        <v>0</v>
      </c>
      <c r="M55" s="1"/>
      <c r="N55" s="5">
        <f t="shared" si="23"/>
        <v>0</v>
      </c>
      <c r="O55" s="12"/>
      <c r="P55" s="1">
        <f>SUM(OSRRefP22_9x_0)</f>
        <v>7200</v>
      </c>
      <c r="Q55" s="1"/>
      <c r="R55" s="5">
        <f t="shared" si="24"/>
        <v>1.6771488469601678E-2</v>
      </c>
      <c r="S55" s="1"/>
      <c r="T55" s="1">
        <f>SUM(OSRRefT22_9x_0)</f>
        <v>8800</v>
      </c>
      <c r="U55" s="1"/>
      <c r="V55" s="5">
        <f t="shared" si="25"/>
        <v>1.9653166281419943E-2</v>
      </c>
      <c r="W55" s="1"/>
      <c r="X55" s="1">
        <f t="shared" si="26"/>
        <v>-1600</v>
      </c>
      <c r="Y55" s="1"/>
      <c r="Z55" s="5">
        <f t="shared" si="27"/>
        <v>-0.18181818181818182</v>
      </c>
    </row>
    <row r="56" spans="1:26" s="24" customFormat="1" hidden="1" outlineLevel="2" x14ac:dyDescent="0.25">
      <c r="A56" s="26"/>
      <c r="B56" s="11" t="str">
        <f>CONCATENATE("          ", "6273", " - ", "RENT")</f>
        <v xml:space="preserve">          6273 - RENT</v>
      </c>
      <c r="C56" s="11"/>
      <c r="D56" s="7">
        <v>800</v>
      </c>
      <c r="E56" s="2"/>
      <c r="F56" s="6">
        <f t="shared" si="20"/>
        <v>3.2770768474520727E-2</v>
      </c>
      <c r="G56" s="2"/>
      <c r="H56" s="7">
        <v>800</v>
      </c>
      <c r="I56" s="2"/>
      <c r="J56" s="6">
        <f t="shared" si="21"/>
        <v>3.4958923265163436E-2</v>
      </c>
      <c r="K56" s="2"/>
      <c r="L56" s="7">
        <f t="shared" si="22"/>
        <v>0</v>
      </c>
      <c r="M56" s="2"/>
      <c r="N56" s="6">
        <f t="shared" si="23"/>
        <v>0</v>
      </c>
      <c r="O56" s="11"/>
      <c r="P56" s="7">
        <v>7200</v>
      </c>
      <c r="Q56" s="2"/>
      <c r="R56" s="6">
        <f t="shared" si="24"/>
        <v>1.6771488469601678E-2</v>
      </c>
      <c r="S56" s="2"/>
      <c r="T56" s="7">
        <v>8800</v>
      </c>
      <c r="U56" s="2"/>
      <c r="V56" s="6">
        <f t="shared" si="25"/>
        <v>1.9653166281419943E-2</v>
      </c>
      <c r="W56" s="2"/>
      <c r="X56" s="7">
        <f t="shared" si="26"/>
        <v>-1600</v>
      </c>
      <c r="Y56" s="2"/>
      <c r="Z56" s="6">
        <f t="shared" si="27"/>
        <v>-0.18181818181818182</v>
      </c>
    </row>
    <row r="57" spans="1:26" s="27" customFormat="1" outlineLevel="1" collapsed="1" x14ac:dyDescent="0.25">
      <c r="A57" s="25"/>
      <c r="B57" s="12" t="str">
        <f>CONCATENATE("     ","Repair and Maintenance                            ")</f>
        <v xml:space="preserve">     Repair and Maintenance                            </v>
      </c>
      <c r="C57" s="12"/>
      <c r="D57" s="1">
        <f>SUM(OSRRefD22_10x_0)</f>
        <v>0</v>
      </c>
      <c r="E57" s="1"/>
      <c r="F57" s="5">
        <f t="shared" si="20"/>
        <v>0</v>
      </c>
      <c r="G57" s="1"/>
      <c r="H57" s="1">
        <f>SUM(OSRRefH22_10x_0)</f>
        <v>200</v>
      </c>
      <c r="I57" s="1"/>
      <c r="J57" s="5">
        <f t="shared" si="21"/>
        <v>8.7397308162908589E-3</v>
      </c>
      <c r="K57" s="1"/>
      <c r="L57" s="1">
        <f t="shared" si="22"/>
        <v>-200</v>
      </c>
      <c r="M57" s="1"/>
      <c r="N57" s="5">
        <f t="shared" si="23"/>
        <v>-1</v>
      </c>
      <c r="O57" s="12"/>
      <c r="P57" s="1">
        <f>SUM(OSRRefP22_10x_0)</f>
        <v>118520.76</v>
      </c>
      <c r="Q57" s="1"/>
      <c r="R57" s="5">
        <f t="shared" si="24"/>
        <v>0.27607910552061493</v>
      </c>
      <c r="S57" s="1"/>
      <c r="T57" s="1">
        <f>SUM(OSRRefT22_10x_0)</f>
        <v>145200</v>
      </c>
      <c r="U57" s="1"/>
      <c r="V57" s="5">
        <f t="shared" si="25"/>
        <v>0.32427724364342903</v>
      </c>
      <c r="W57" s="1"/>
      <c r="X57" s="1">
        <f t="shared" si="26"/>
        <v>-26679.240000000005</v>
      </c>
      <c r="Y57" s="1"/>
      <c r="Z57" s="5">
        <f t="shared" si="27"/>
        <v>-0.18374132231404963</v>
      </c>
    </row>
    <row r="58" spans="1:26" s="24" customFormat="1" hidden="1" outlineLevel="2" x14ac:dyDescent="0.25">
      <c r="A58" s="26"/>
      <c r="B58" s="11" t="str">
        <f>CONCATENATE("          ", "6371", " - ", "COMPUTER SOFTWARE MAINTENANCE")</f>
        <v xml:space="preserve">          6371 - COMPUTER SOFTWARE MAINTENANCE</v>
      </c>
      <c r="C58" s="11"/>
      <c r="D58" s="7"/>
      <c r="E58" s="2"/>
      <c r="F58" s="6">
        <f t="shared" si="20"/>
        <v>0</v>
      </c>
      <c r="G58" s="2"/>
      <c r="H58" s="7"/>
      <c r="I58" s="2"/>
      <c r="J58" s="6">
        <f t="shared" si="21"/>
        <v>0</v>
      </c>
      <c r="K58" s="2"/>
      <c r="L58" s="7">
        <f t="shared" si="22"/>
        <v>0</v>
      </c>
      <c r="M58" s="2"/>
      <c r="N58" s="6">
        <f t="shared" si="23"/>
        <v>0</v>
      </c>
      <c r="O58" s="11"/>
      <c r="P58" s="7">
        <v>437.31</v>
      </c>
      <c r="Q58" s="2"/>
      <c r="R58" s="6">
        <f t="shared" si="24"/>
        <v>1.0186582809224318E-3</v>
      </c>
      <c r="S58" s="2"/>
      <c r="T58" s="7">
        <v>125000</v>
      </c>
      <c r="U58" s="2"/>
      <c r="V58" s="6">
        <f t="shared" si="25"/>
        <v>0.2791642937701696</v>
      </c>
      <c r="W58" s="2"/>
      <c r="X58" s="7">
        <f t="shared" si="26"/>
        <v>-124562.69</v>
      </c>
      <c r="Y58" s="2"/>
      <c r="Z58" s="6">
        <f t="shared" si="27"/>
        <v>-0.99650152000000003</v>
      </c>
    </row>
    <row r="59" spans="1:26" s="24" customFormat="1" hidden="1" outlineLevel="2" x14ac:dyDescent="0.25">
      <c r="A59" s="26"/>
      <c r="B59" s="11" t="str">
        <f>CONCATENATE("          ", "6372", " - ", "COMPUTER HARDWARE MAINTENANCE")</f>
        <v xml:space="preserve">          6372 - COMPUTER HARDWARE MAINTENANCE</v>
      </c>
      <c r="C59" s="11"/>
      <c r="D59" s="7"/>
      <c r="E59" s="2"/>
      <c r="F59" s="6">
        <f t="shared" si="20"/>
        <v>0</v>
      </c>
      <c r="G59" s="2"/>
      <c r="H59" s="7">
        <v>200</v>
      </c>
      <c r="I59" s="2"/>
      <c r="J59" s="6">
        <f t="shared" si="21"/>
        <v>8.7397308162908589E-3</v>
      </c>
      <c r="K59" s="2"/>
      <c r="L59" s="7">
        <f t="shared" si="22"/>
        <v>-200</v>
      </c>
      <c r="M59" s="2"/>
      <c r="N59" s="6">
        <f t="shared" si="23"/>
        <v>-1</v>
      </c>
      <c r="O59" s="11"/>
      <c r="P59" s="7"/>
      <c r="Q59" s="2"/>
      <c r="R59" s="6">
        <f t="shared" si="24"/>
        <v>0</v>
      </c>
      <c r="S59" s="2"/>
      <c r="T59" s="7">
        <v>20200</v>
      </c>
      <c r="U59" s="2"/>
      <c r="V59" s="6">
        <f t="shared" si="25"/>
        <v>4.5112949873259409E-2</v>
      </c>
      <c r="W59" s="2"/>
      <c r="X59" s="7">
        <f t="shared" si="26"/>
        <v>-20200</v>
      </c>
      <c r="Y59" s="2"/>
      <c r="Z59" s="6">
        <f t="shared" si="27"/>
        <v>-1</v>
      </c>
    </row>
    <row r="60" spans="1:26" s="24" customFormat="1" hidden="1" outlineLevel="2" x14ac:dyDescent="0.25">
      <c r="A60" s="26"/>
      <c r="B60" s="11" t="str">
        <f>CONCATENATE("          ", "6373", " - ", "MAINTENANCE CONTRACTS")</f>
        <v xml:space="preserve">          6373 - MAINTENANCE CONTRACTS</v>
      </c>
      <c r="C60" s="11"/>
      <c r="D60" s="7"/>
      <c r="E60" s="2"/>
      <c r="F60" s="6">
        <f t="shared" si="20"/>
        <v>0</v>
      </c>
      <c r="G60" s="2"/>
      <c r="H60" s="7"/>
      <c r="I60" s="2"/>
      <c r="J60" s="6">
        <f t="shared" si="21"/>
        <v>0</v>
      </c>
      <c r="K60" s="2"/>
      <c r="L60" s="7">
        <f t="shared" si="22"/>
        <v>0</v>
      </c>
      <c r="M60" s="2"/>
      <c r="N60" s="6">
        <f t="shared" si="23"/>
        <v>0</v>
      </c>
      <c r="O60" s="11"/>
      <c r="P60" s="7">
        <v>117094</v>
      </c>
      <c r="Q60" s="2"/>
      <c r="R60" s="6">
        <f t="shared" si="24"/>
        <v>0.27275564873049152</v>
      </c>
      <c r="S60" s="2"/>
      <c r="T60" s="7"/>
      <c r="U60" s="2"/>
      <c r="V60" s="6">
        <f t="shared" si="25"/>
        <v>0</v>
      </c>
      <c r="W60" s="2"/>
      <c r="X60" s="7">
        <f t="shared" si="26"/>
        <v>117094</v>
      </c>
      <c r="Y60" s="2"/>
      <c r="Z60" s="6">
        <f t="shared" si="27"/>
        <v>0</v>
      </c>
    </row>
    <row r="61" spans="1:26" s="24" customFormat="1" hidden="1" outlineLevel="2" x14ac:dyDescent="0.25">
      <c r="A61" s="26"/>
      <c r="B61" s="11" t="str">
        <f>CONCATENATE("          ", "6375", " - ", "OUTSIDE REPAIRS &amp; MAINTENANCE")</f>
        <v xml:space="preserve">          6375 - OUTSIDE REPAIRS &amp; MAINTENANCE</v>
      </c>
      <c r="C61" s="11"/>
      <c r="D61" s="7"/>
      <c r="E61" s="2"/>
      <c r="F61" s="6">
        <f t="shared" si="20"/>
        <v>0</v>
      </c>
      <c r="G61" s="2"/>
      <c r="H61" s="7"/>
      <c r="I61" s="2"/>
      <c r="J61" s="6">
        <f t="shared" si="21"/>
        <v>0</v>
      </c>
      <c r="K61" s="2"/>
      <c r="L61" s="7">
        <f t="shared" si="22"/>
        <v>0</v>
      </c>
      <c r="M61" s="2"/>
      <c r="N61" s="6">
        <f t="shared" si="23"/>
        <v>0</v>
      </c>
      <c r="O61" s="11"/>
      <c r="P61" s="7">
        <v>989.45</v>
      </c>
      <c r="Q61" s="2"/>
      <c r="R61" s="6">
        <f t="shared" si="24"/>
        <v>2.3047985092010249E-3</v>
      </c>
      <c r="S61" s="2"/>
      <c r="T61" s="7"/>
      <c r="U61" s="2"/>
      <c r="V61" s="6">
        <f t="shared" si="25"/>
        <v>0</v>
      </c>
      <c r="W61" s="2"/>
      <c r="X61" s="7">
        <f t="shared" si="26"/>
        <v>989.45</v>
      </c>
      <c r="Y61" s="2"/>
      <c r="Z61" s="6">
        <f t="shared" si="27"/>
        <v>0</v>
      </c>
    </row>
    <row r="62" spans="1:26" s="27" customFormat="1" outlineLevel="1" collapsed="1" x14ac:dyDescent="0.25">
      <c r="A62" s="25"/>
      <c r="B62" s="12" t="str">
        <f>CONCATENATE("     ","Subscriptions &amp; Dues                              ")</f>
        <v xml:space="preserve">     Subscriptions &amp; Dues                              </v>
      </c>
      <c r="C62" s="12"/>
      <c r="D62" s="1">
        <f>SUM(OSRRefD22_11x_0)</f>
        <v>915</v>
      </c>
      <c r="E62" s="1"/>
      <c r="F62" s="5">
        <f t="shared" ref="F62:F67" si="28">IF(D$12=0,0,D62/D$12)</f>
        <v>3.748156644273308E-2</v>
      </c>
      <c r="G62" s="1"/>
      <c r="H62" s="1">
        <f>SUM(OSRRefH22_11x_0)</f>
        <v>0</v>
      </c>
      <c r="I62" s="1"/>
      <c r="J62" s="5">
        <f t="shared" ref="J62:J67" si="29">IF(H$12=0,0,H62/H$12)</f>
        <v>0</v>
      </c>
      <c r="K62" s="1"/>
      <c r="L62" s="1">
        <f t="shared" ref="L62:L67" si="30">+D62-H62</f>
        <v>915</v>
      </c>
      <c r="M62" s="1"/>
      <c r="N62" s="5">
        <f t="shared" ref="N62:N67" si="31">IF(H62=0,0,L62/H62)</f>
        <v>0</v>
      </c>
      <c r="O62" s="12"/>
      <c r="P62" s="1">
        <f>SUM(OSRRefP22_11x_0)</f>
        <v>1740</v>
      </c>
      <c r="Q62" s="1"/>
      <c r="R62" s="5">
        <f t="shared" ref="R62:R67" si="32">IF(P$12=0,0,P62/P$12)</f>
        <v>4.0531097134870716E-3</v>
      </c>
      <c r="S62" s="1"/>
      <c r="T62" s="1">
        <f>SUM(OSRRefT22_11x_0)</f>
        <v>850</v>
      </c>
      <c r="U62" s="1"/>
      <c r="V62" s="5">
        <f t="shared" ref="V62:V67" si="33">IF(T$12=0,0,T62/T$12)</f>
        <v>1.8983171976371534E-3</v>
      </c>
      <c r="W62" s="1"/>
      <c r="X62" s="1">
        <f t="shared" ref="X62:X67" si="34">+P62-T62</f>
        <v>890</v>
      </c>
      <c r="Y62" s="1"/>
      <c r="Z62" s="5">
        <f t="shared" ref="Z62:Z67" si="35">IF(T62=0,0,X62/T62)</f>
        <v>1.0470588235294118</v>
      </c>
    </row>
    <row r="63" spans="1:26" s="24" customFormat="1" hidden="1" outlineLevel="2" x14ac:dyDescent="0.25">
      <c r="A63" s="26"/>
      <c r="B63" s="11" t="str">
        <f>CONCATENATE("          ", "6258", " - ", "MEMBERSHIP DUES")</f>
        <v xml:space="preserve">          6258 - MEMBERSHIP DUES</v>
      </c>
      <c r="C63" s="11"/>
      <c r="D63" s="7">
        <v>915</v>
      </c>
      <c r="E63" s="2"/>
      <c r="F63" s="6">
        <f t="shared" si="28"/>
        <v>3.748156644273308E-2</v>
      </c>
      <c r="G63" s="2"/>
      <c r="H63" s="7"/>
      <c r="I63" s="2"/>
      <c r="J63" s="6">
        <f t="shared" si="29"/>
        <v>0</v>
      </c>
      <c r="K63" s="2"/>
      <c r="L63" s="7">
        <f t="shared" si="30"/>
        <v>915</v>
      </c>
      <c r="M63" s="2"/>
      <c r="N63" s="6">
        <f t="shared" si="31"/>
        <v>0</v>
      </c>
      <c r="O63" s="11"/>
      <c r="P63" s="7">
        <v>1740</v>
      </c>
      <c r="Q63" s="2"/>
      <c r="R63" s="6">
        <f t="shared" si="32"/>
        <v>4.0531097134870716E-3</v>
      </c>
      <c r="S63" s="2"/>
      <c r="T63" s="7">
        <v>850</v>
      </c>
      <c r="U63" s="2"/>
      <c r="V63" s="6">
        <f t="shared" si="33"/>
        <v>1.8983171976371534E-3</v>
      </c>
      <c r="W63" s="2"/>
      <c r="X63" s="7">
        <f t="shared" si="34"/>
        <v>890</v>
      </c>
      <c r="Y63" s="2"/>
      <c r="Z63" s="6">
        <f t="shared" si="35"/>
        <v>1.0470588235294118</v>
      </c>
    </row>
    <row r="64" spans="1:26" s="27" customFormat="1" outlineLevel="1" collapsed="1" x14ac:dyDescent="0.25">
      <c r="A64" s="25"/>
      <c r="B64" s="12" t="str">
        <f>CONCATENATE("     ","Supplies                                          ")</f>
        <v xml:space="preserve">     Supplies                                          </v>
      </c>
      <c r="C64" s="12"/>
      <c r="D64" s="1">
        <f>SUM(OSRRefD22_12x_0)</f>
        <v>5.78</v>
      </c>
      <c r="E64" s="1"/>
      <c r="F64" s="5">
        <f t="shared" si="28"/>
        <v>2.3676880222841227E-4</v>
      </c>
      <c r="G64" s="1"/>
      <c r="H64" s="1">
        <f>SUM(OSRRefH22_12x_0)</f>
        <v>7000</v>
      </c>
      <c r="I64" s="1"/>
      <c r="J64" s="5">
        <f t="shared" si="29"/>
        <v>0.30589057857018004</v>
      </c>
      <c r="K64" s="1"/>
      <c r="L64" s="1">
        <f t="shared" si="30"/>
        <v>-6994.22</v>
      </c>
      <c r="M64" s="1"/>
      <c r="N64" s="5">
        <f t="shared" si="31"/>
        <v>-0.99917428571428579</v>
      </c>
      <c r="O64" s="12"/>
      <c r="P64" s="1">
        <f>SUM(OSRRefP22_12x_0)</f>
        <v>24962.36</v>
      </c>
      <c r="Q64" s="1"/>
      <c r="R64" s="5">
        <f t="shared" si="32"/>
        <v>5.8146657349173077E-2</v>
      </c>
      <c r="S64" s="1"/>
      <c r="T64" s="1">
        <f>SUM(OSRRefT22_12x_0)</f>
        <v>77100</v>
      </c>
      <c r="U64" s="1"/>
      <c r="V64" s="5">
        <f t="shared" si="33"/>
        <v>0.17218853639744061</v>
      </c>
      <c r="W64" s="1"/>
      <c r="X64" s="1">
        <f t="shared" si="34"/>
        <v>-52137.64</v>
      </c>
      <c r="Y64" s="1"/>
      <c r="Z64" s="5">
        <f t="shared" si="35"/>
        <v>-0.67623398184176398</v>
      </c>
    </row>
    <row r="65" spans="1:26" s="24" customFormat="1" hidden="1" outlineLevel="2" x14ac:dyDescent="0.25">
      <c r="A65" s="26"/>
      <c r="B65" s="11" t="str">
        <f>CONCATENATE("          ", "6234", " - ", "EXPENDABLE SUPPLIES &amp; EQUIPMEN")</f>
        <v xml:space="preserve">          6234 - EXPENDABLE SUPPLIES &amp; EQUIPMEN</v>
      </c>
      <c r="C65" s="11"/>
      <c r="D65" s="7"/>
      <c r="E65" s="2"/>
      <c r="F65" s="6">
        <f t="shared" si="28"/>
        <v>0</v>
      </c>
      <c r="G65" s="2"/>
      <c r="H65" s="7">
        <v>7000</v>
      </c>
      <c r="I65" s="2"/>
      <c r="J65" s="6">
        <f t="shared" si="29"/>
        <v>0.30589057857018004</v>
      </c>
      <c r="K65" s="2"/>
      <c r="L65" s="7">
        <f t="shared" si="30"/>
        <v>-7000</v>
      </c>
      <c r="M65" s="2"/>
      <c r="N65" s="6">
        <f t="shared" si="31"/>
        <v>-1</v>
      </c>
      <c r="O65" s="11"/>
      <c r="P65" s="7">
        <v>413.27</v>
      </c>
      <c r="Q65" s="2"/>
      <c r="R65" s="6">
        <f t="shared" si="32"/>
        <v>9.6266014442115066E-4</v>
      </c>
      <c r="S65" s="2"/>
      <c r="T65" s="7">
        <v>77100</v>
      </c>
      <c r="U65" s="2"/>
      <c r="V65" s="6">
        <f t="shared" si="33"/>
        <v>0.17218853639744061</v>
      </c>
      <c r="W65" s="2"/>
      <c r="X65" s="7">
        <f t="shared" si="34"/>
        <v>-76686.73</v>
      </c>
      <c r="Y65" s="2"/>
      <c r="Z65" s="6">
        <f t="shared" si="35"/>
        <v>-0.99463981841763938</v>
      </c>
    </row>
    <row r="66" spans="1:26" s="24" customFormat="1" hidden="1" outlineLevel="2" x14ac:dyDescent="0.25">
      <c r="A66" s="26"/>
      <c r="B66" s="11" t="str">
        <f>CONCATENATE("          ", "6241", " - ", "OFFICE EXPENSE")</f>
        <v xml:space="preserve">          6241 - OFFICE EXPENSE</v>
      </c>
      <c r="C66" s="11"/>
      <c r="D66" s="7">
        <v>5.78</v>
      </c>
      <c r="E66" s="2"/>
      <c r="F66" s="6">
        <f t="shared" si="28"/>
        <v>2.3676880222841227E-4</v>
      </c>
      <c r="G66" s="2"/>
      <c r="H66" s="7"/>
      <c r="I66" s="2"/>
      <c r="J66" s="6">
        <f t="shared" si="29"/>
        <v>0</v>
      </c>
      <c r="K66" s="2"/>
      <c r="L66" s="7">
        <f t="shared" si="30"/>
        <v>5.78</v>
      </c>
      <c r="M66" s="2"/>
      <c r="N66" s="6">
        <f t="shared" si="31"/>
        <v>0</v>
      </c>
      <c r="O66" s="11"/>
      <c r="P66" s="7">
        <v>24345.57</v>
      </c>
      <c r="Q66" s="2"/>
      <c r="R66" s="6">
        <f t="shared" si="32"/>
        <v>5.6709923130677846E-2</v>
      </c>
      <c r="S66" s="2"/>
      <c r="T66" s="7"/>
      <c r="U66" s="2"/>
      <c r="V66" s="6">
        <f t="shared" si="33"/>
        <v>0</v>
      </c>
      <c r="W66" s="2"/>
      <c r="X66" s="7">
        <f t="shared" si="34"/>
        <v>24345.57</v>
      </c>
      <c r="Y66" s="2"/>
      <c r="Z66" s="6">
        <f t="shared" si="35"/>
        <v>0</v>
      </c>
    </row>
    <row r="67" spans="1:26" s="24" customFormat="1" hidden="1" outlineLevel="2" x14ac:dyDescent="0.25">
      <c r="A67" s="26"/>
      <c r="B67" s="11" t="str">
        <f>CONCATENATE("          ", "6245", " - ", "PRINTING")</f>
        <v xml:space="preserve">          6245 - PRINTING</v>
      </c>
      <c r="C67" s="11"/>
      <c r="D67" s="7"/>
      <c r="E67" s="2"/>
      <c r="F67" s="6">
        <f t="shared" si="28"/>
        <v>0</v>
      </c>
      <c r="G67" s="2"/>
      <c r="H67" s="7"/>
      <c r="I67" s="2"/>
      <c r="J67" s="6">
        <f t="shared" si="29"/>
        <v>0</v>
      </c>
      <c r="K67" s="2"/>
      <c r="L67" s="7">
        <f t="shared" si="30"/>
        <v>0</v>
      </c>
      <c r="M67" s="2"/>
      <c r="N67" s="6">
        <f t="shared" si="31"/>
        <v>0</v>
      </c>
      <c r="O67" s="11"/>
      <c r="P67" s="7">
        <v>203.52</v>
      </c>
      <c r="Q67" s="2"/>
      <c r="R67" s="6">
        <f t="shared" si="32"/>
        <v>4.7407407407407408E-4</v>
      </c>
      <c r="S67" s="2"/>
      <c r="T67" s="7"/>
      <c r="U67" s="2"/>
      <c r="V67" s="6">
        <f t="shared" si="33"/>
        <v>0</v>
      </c>
      <c r="W67" s="2"/>
      <c r="X67" s="7">
        <f t="shared" si="34"/>
        <v>203.52</v>
      </c>
      <c r="Y67" s="2"/>
      <c r="Z67" s="6">
        <f t="shared" si="35"/>
        <v>0</v>
      </c>
    </row>
    <row r="68" spans="1:26" s="27" customFormat="1" outlineLevel="1" collapsed="1" x14ac:dyDescent="0.25">
      <c r="A68" s="25"/>
      <c r="B68" s="12" t="str">
        <f>CONCATENATE("     ","Telephone/Data Lines                              ")</f>
        <v xml:space="preserve">     Telephone/Data Lines                              </v>
      </c>
      <c r="C68" s="12"/>
      <c r="D68" s="1">
        <f>SUM(OSRRefD22_13x_0)</f>
        <v>203.95</v>
      </c>
      <c r="E68" s="1"/>
      <c r="F68" s="5">
        <f t="shared" ref="F68:F71" si="36">IF(D$12=0,0,D68/D$12)</f>
        <v>8.3544977879731266E-3</v>
      </c>
      <c r="G68" s="1"/>
      <c r="H68" s="1">
        <f>SUM(OSRRefH22_13x_0)</f>
        <v>350</v>
      </c>
      <c r="I68" s="1"/>
      <c r="J68" s="5">
        <f t="shared" ref="J68:J71" si="37">IF(H$12=0,0,H68/H$12)</f>
        <v>1.5294528928509002E-2</v>
      </c>
      <c r="K68" s="1"/>
      <c r="L68" s="1">
        <f t="shared" ref="L68:L71" si="38">+D68-H68</f>
        <v>-146.05000000000001</v>
      </c>
      <c r="M68" s="1"/>
      <c r="N68" s="5">
        <f t="shared" ref="N68:N71" si="39">IF(H68=0,0,L68/H68)</f>
        <v>-0.41728571428571432</v>
      </c>
      <c r="O68" s="12"/>
      <c r="P68" s="1">
        <f>SUM(OSRRefP22_13x_0)</f>
        <v>2097.5500000000002</v>
      </c>
      <c r="Q68" s="1"/>
      <c r="R68" s="5">
        <f t="shared" ref="R68:R71" si="40">IF(P$12=0,0,P68/P$12)</f>
        <v>4.8859771721406946E-3</v>
      </c>
      <c r="S68" s="1"/>
      <c r="T68" s="1">
        <f>SUM(OSRRefT22_13x_0)</f>
        <v>3850</v>
      </c>
      <c r="U68" s="1"/>
      <c r="V68" s="5">
        <f t="shared" ref="V68:V71" si="41">IF(T$12=0,0,T68/T$12)</f>
        <v>8.5982602481212249E-3</v>
      </c>
      <c r="W68" s="1"/>
      <c r="X68" s="1">
        <f t="shared" ref="X68:X71" si="42">+P68-T68</f>
        <v>-1752.4499999999998</v>
      </c>
      <c r="Y68" s="1"/>
      <c r="Z68" s="5">
        <f t="shared" ref="Z68:Z71" si="43">IF(T68=0,0,X68/T68)</f>
        <v>-0.45518181818181813</v>
      </c>
    </row>
    <row r="69" spans="1:26" s="24" customFormat="1" hidden="1" outlineLevel="2" x14ac:dyDescent="0.25">
      <c r="A69" s="26"/>
      <c r="B69" s="11" t="str">
        <f>CONCATENATE("          ", "6309", " - ", "TELEPHONE")</f>
        <v xml:space="preserve">          6309 - TELEPHONE</v>
      </c>
      <c r="C69" s="11"/>
      <c r="D69" s="7">
        <v>203.95</v>
      </c>
      <c r="E69" s="2"/>
      <c r="F69" s="6">
        <f t="shared" si="36"/>
        <v>8.3544977879731266E-3</v>
      </c>
      <c r="G69" s="2"/>
      <c r="H69" s="7">
        <v>350</v>
      </c>
      <c r="I69" s="2"/>
      <c r="J69" s="6">
        <f t="shared" si="37"/>
        <v>1.5294528928509002E-2</v>
      </c>
      <c r="K69" s="2"/>
      <c r="L69" s="7">
        <f t="shared" si="38"/>
        <v>-146.05000000000001</v>
      </c>
      <c r="M69" s="2"/>
      <c r="N69" s="6">
        <f t="shared" si="39"/>
        <v>-0.41728571428571432</v>
      </c>
      <c r="O69" s="11"/>
      <c r="P69" s="7">
        <v>2097.5500000000002</v>
      </c>
      <c r="Q69" s="2"/>
      <c r="R69" s="6">
        <f t="shared" si="40"/>
        <v>4.8859771721406946E-3</v>
      </c>
      <c r="S69" s="2"/>
      <c r="T69" s="7">
        <v>3850</v>
      </c>
      <c r="U69" s="2"/>
      <c r="V69" s="6">
        <f t="shared" si="41"/>
        <v>8.5982602481212249E-3</v>
      </c>
      <c r="W69" s="2"/>
      <c r="X69" s="7">
        <f t="shared" si="42"/>
        <v>-1752.4499999999998</v>
      </c>
      <c r="Y69" s="2"/>
      <c r="Z69" s="6">
        <f t="shared" si="43"/>
        <v>-0.45518181818181813</v>
      </c>
    </row>
    <row r="70" spans="1:26" s="27" customFormat="1" outlineLevel="1" collapsed="1" x14ac:dyDescent="0.25">
      <c r="A70" s="25"/>
      <c r="B70" s="12" t="str">
        <f>CONCATENATE("     ","Training                                          ")</f>
        <v xml:space="preserve">     Training                                          </v>
      </c>
      <c r="C70" s="12"/>
      <c r="D70" s="1">
        <f>SUM(OSRRefD22_14x_0)</f>
        <v>0</v>
      </c>
      <c r="E70" s="1"/>
      <c r="F70" s="5">
        <f t="shared" si="36"/>
        <v>0</v>
      </c>
      <c r="G70" s="1"/>
      <c r="H70" s="1">
        <f>SUM(OSRRefH22_14x_0)</f>
        <v>0</v>
      </c>
      <c r="I70" s="1"/>
      <c r="J70" s="5">
        <f t="shared" si="37"/>
        <v>0</v>
      </c>
      <c r="K70" s="1"/>
      <c r="L70" s="1">
        <f t="shared" si="38"/>
        <v>0</v>
      </c>
      <c r="M70" s="1"/>
      <c r="N70" s="5">
        <f t="shared" si="39"/>
        <v>0</v>
      </c>
      <c r="O70" s="12"/>
      <c r="P70" s="1">
        <f>SUM(OSRRefP22_14x_0)</f>
        <v>3186.24</v>
      </c>
      <c r="Q70" s="1"/>
      <c r="R70" s="5">
        <f t="shared" si="40"/>
        <v>7.4219426974143953E-3</v>
      </c>
      <c r="S70" s="1"/>
      <c r="T70" s="1">
        <f>SUM(OSRRefT22_14x_0)</f>
        <v>13000</v>
      </c>
      <c r="U70" s="1"/>
      <c r="V70" s="5">
        <f t="shared" si="41"/>
        <v>2.9033086552097642E-2</v>
      </c>
      <c r="W70" s="1"/>
      <c r="X70" s="1">
        <f t="shared" si="42"/>
        <v>-9813.76</v>
      </c>
      <c r="Y70" s="1"/>
      <c r="Z70" s="5">
        <f t="shared" si="43"/>
        <v>-0.7549046153846154</v>
      </c>
    </row>
    <row r="71" spans="1:26" s="24" customFormat="1" hidden="1" outlineLevel="2" x14ac:dyDescent="0.25">
      <c r="A71" s="26"/>
      <c r="B71" s="11" t="str">
        <f>CONCATENATE("          ", "6376", " - ", "TRAINING")</f>
        <v xml:space="preserve">          6376 - TRAINING</v>
      </c>
      <c r="C71" s="11"/>
      <c r="D71" s="7"/>
      <c r="E71" s="2"/>
      <c r="F71" s="6">
        <f t="shared" si="36"/>
        <v>0</v>
      </c>
      <c r="G71" s="2"/>
      <c r="H71" s="7"/>
      <c r="I71" s="2"/>
      <c r="J71" s="6">
        <f t="shared" si="37"/>
        <v>0</v>
      </c>
      <c r="K71" s="2"/>
      <c r="L71" s="7">
        <f t="shared" si="38"/>
        <v>0</v>
      </c>
      <c r="M71" s="2"/>
      <c r="N71" s="6">
        <f t="shared" si="39"/>
        <v>0</v>
      </c>
      <c r="O71" s="11"/>
      <c r="P71" s="7">
        <v>3186.24</v>
      </c>
      <c r="Q71" s="2"/>
      <c r="R71" s="6">
        <f t="shared" si="40"/>
        <v>7.4219426974143953E-3</v>
      </c>
      <c r="S71" s="2"/>
      <c r="T71" s="7">
        <v>13000</v>
      </c>
      <c r="U71" s="2"/>
      <c r="V71" s="6">
        <f t="shared" si="41"/>
        <v>2.9033086552097642E-2</v>
      </c>
      <c r="W71" s="2"/>
      <c r="X71" s="7">
        <f t="shared" si="42"/>
        <v>-9813.76</v>
      </c>
      <c r="Y71" s="2"/>
      <c r="Z71" s="6">
        <f t="shared" si="43"/>
        <v>-0.7549046153846154</v>
      </c>
    </row>
    <row r="72" spans="1:26" s="62" customFormat="1" x14ac:dyDescent="0.25">
      <c r="A72" s="36"/>
      <c r="B72" s="36"/>
      <c r="C72" s="36"/>
      <c r="D72" s="1"/>
      <c r="E72" s="1"/>
      <c r="F72" s="5"/>
      <c r="G72" s="1"/>
      <c r="H72" s="1"/>
      <c r="I72" s="1"/>
      <c r="J72" s="5"/>
      <c r="K72" s="1"/>
      <c r="L72" s="1"/>
      <c r="M72" s="1"/>
      <c r="N72" s="5"/>
      <c r="O72" s="36"/>
      <c r="P72" s="1"/>
      <c r="Q72" s="1"/>
      <c r="R72" s="5"/>
      <c r="S72" s="1"/>
      <c r="T72" s="1"/>
      <c r="U72" s="1"/>
      <c r="V72" s="5"/>
      <c r="W72" s="1"/>
      <c r="X72" s="1"/>
      <c r="Y72" s="1"/>
      <c r="Z72" s="5"/>
    </row>
    <row r="73" spans="1:26" s="23" customFormat="1" collapsed="1" x14ac:dyDescent="0.25">
      <c r="A73" s="10"/>
      <c r="B73" s="28" t="s">
        <v>0</v>
      </c>
      <c r="C73" s="10"/>
      <c r="D73" s="4">
        <f>SUM(OSRRefD25x_0)</f>
        <v>152.96</v>
      </c>
      <c r="E73" s="4"/>
      <c r="F73" s="13">
        <f t="shared" ref="F73:F74" si="44">IF(D$12=0,0,D73/D$12)</f>
        <v>6.2657709323283633E-3</v>
      </c>
      <c r="G73" s="4"/>
      <c r="H73" s="4">
        <f>SUM(OSRRefH25x_0)</f>
        <v>3000</v>
      </c>
      <c r="I73" s="4"/>
      <c r="J73" s="13">
        <f t="shared" ref="J73:J74" si="45">IF(H$12=0,0,H73/H$12)</f>
        <v>0.13109596224436287</v>
      </c>
      <c r="K73" s="4"/>
      <c r="L73" s="4">
        <f t="shared" ref="L73:L74" si="46">+D73-H73</f>
        <v>-2847.04</v>
      </c>
      <c r="M73" s="4"/>
      <c r="N73" s="13">
        <f t="shared" ref="N73:N74" si="47">IF(H73=0,0,L73/H73)</f>
        <v>-0.94901333333333338</v>
      </c>
      <c r="O73" s="10"/>
      <c r="P73" s="4">
        <f>SUM(OSRRefP25x_0)</f>
        <v>20670.71</v>
      </c>
      <c r="Q73" s="4"/>
      <c r="R73" s="13">
        <f t="shared" ref="R73:R74" si="48">IF(P$12=0,0,P73/P$12)</f>
        <v>4.8149802003261119E-2</v>
      </c>
      <c r="S73" s="4"/>
      <c r="T73" s="4">
        <f>SUM(OSRRefT25x_0)</f>
        <v>33150</v>
      </c>
      <c r="U73" s="4"/>
      <c r="V73" s="13">
        <f t="shared" ref="V73:V74" si="49">IF(T$12=0,0,T73/T$12)</f>
        <v>7.403437070784899E-2</v>
      </c>
      <c r="W73" s="4"/>
      <c r="X73" s="4">
        <f t="shared" ref="X73:X74" si="50">+P73-T73</f>
        <v>-12479.29</v>
      </c>
      <c r="Y73" s="4"/>
      <c r="Z73" s="13">
        <f t="shared" ref="Z73:Z74" si="51">IF(T73=0,0,X73/T73)</f>
        <v>-0.37644917043740578</v>
      </c>
    </row>
    <row r="74" spans="1:26" s="24" customFormat="1" hidden="1" outlineLevel="1" x14ac:dyDescent="0.25">
      <c r="A74" s="44"/>
      <c r="B74" s="11" t="str">
        <f>CONCATENATE("          ", "9150", " - ", "MISC. INCOME")</f>
        <v xml:space="preserve">          9150 - MISC. INCOME</v>
      </c>
      <c r="C74" s="11"/>
      <c r="D74" s="2">
        <f>--152.96</f>
        <v>152.96</v>
      </c>
      <c r="E74" s="2"/>
      <c r="F74" s="19">
        <f t="shared" si="44"/>
        <v>6.2657709323283633E-3</v>
      </c>
      <c r="G74" s="2"/>
      <c r="H74" s="2">
        <v>3000</v>
      </c>
      <c r="I74" s="2"/>
      <c r="J74" s="19">
        <f t="shared" si="45"/>
        <v>0.13109596224436287</v>
      </c>
      <c r="K74" s="2"/>
      <c r="L74" s="2">
        <f t="shared" si="46"/>
        <v>-2847.04</v>
      </c>
      <c r="M74" s="2"/>
      <c r="N74" s="19">
        <f t="shared" si="47"/>
        <v>-0.94901333333333338</v>
      </c>
      <c r="O74" s="11"/>
      <c r="P74" s="2">
        <f>--20670.71</f>
        <v>20670.71</v>
      </c>
      <c r="Q74" s="2"/>
      <c r="R74" s="19">
        <f t="shared" si="48"/>
        <v>4.8149802003261119E-2</v>
      </c>
      <c r="S74" s="2"/>
      <c r="T74" s="2">
        <v>33150</v>
      </c>
      <c r="U74" s="2"/>
      <c r="V74" s="19">
        <f t="shared" si="49"/>
        <v>7.403437070784899E-2</v>
      </c>
      <c r="W74" s="2"/>
      <c r="X74" s="2">
        <f t="shared" si="50"/>
        <v>-12479.29</v>
      </c>
      <c r="Y74" s="2"/>
      <c r="Z74" s="19">
        <f t="shared" si="51"/>
        <v>-0.37644917043740578</v>
      </c>
    </row>
    <row r="75" spans="1:26" x14ac:dyDescent="0.25">
      <c r="A75" s="9"/>
      <c r="B75" s="10"/>
      <c r="C75" s="10"/>
      <c r="D75" s="3"/>
      <c r="E75" s="3"/>
      <c r="F75" s="8"/>
      <c r="G75" s="3"/>
      <c r="H75" s="3"/>
      <c r="I75" s="3"/>
      <c r="J75" s="8"/>
      <c r="K75" s="3"/>
      <c r="L75" s="3"/>
      <c r="M75" s="3"/>
      <c r="N75" s="8"/>
      <c r="O75" s="10"/>
      <c r="P75" s="3"/>
      <c r="Q75" s="3"/>
      <c r="R75" s="8"/>
      <c r="S75" s="3"/>
      <c r="T75" s="3"/>
      <c r="U75" s="3"/>
      <c r="V75" s="8"/>
      <c r="W75" s="3"/>
      <c r="X75" s="3"/>
      <c r="Y75" s="3"/>
      <c r="Z75" s="8"/>
    </row>
    <row r="76" spans="1:26" s="23" customFormat="1" x14ac:dyDescent="0.25">
      <c r="A76" s="10"/>
      <c r="B76" s="29" t="s">
        <v>3</v>
      </c>
      <c r="C76" s="29"/>
      <c r="D76" s="20">
        <f>+D17-D19+D73</f>
        <v>5307.5900000000047</v>
      </c>
      <c r="E76" s="14"/>
      <c r="F76" s="22">
        <f>IF(D$12=0,0,D76/D$12)</f>
        <v>0.21741725380960203</v>
      </c>
      <c r="G76" s="14"/>
      <c r="H76" s="20">
        <f>+H17-H19+H73</f>
        <v>3002.0494991538435</v>
      </c>
      <c r="I76" s="14"/>
      <c r="J76" s="22">
        <f>IF(H$12=0,0,H76/H$12)</f>
        <v>0.13118552259892691</v>
      </c>
      <c r="K76" s="16"/>
      <c r="L76" s="20">
        <f>+D76-H76</f>
        <v>2305.5405008461612</v>
      </c>
      <c r="M76" s="16"/>
      <c r="N76" s="22">
        <f>IF(H76=0,0,L76/H76)</f>
        <v>0.76798883612545366</v>
      </c>
      <c r="O76" s="28"/>
      <c r="P76" s="20">
        <f>+P17-P19+P73</f>
        <v>45972.21999999995</v>
      </c>
      <c r="Q76" s="14"/>
      <c r="R76" s="22">
        <f>IF(P$12=0,0,P76/P$12)</f>
        <v>0.10708646634055427</v>
      </c>
      <c r="S76" s="14"/>
      <c r="T76" s="20">
        <f>+T17-T19+T73</f>
        <v>58740.875209846185</v>
      </c>
      <c r="U76" s="14"/>
      <c r="V76" s="22">
        <f>IF(T$12=0,0,T76/T$12)</f>
        <v>0.13118683954718699</v>
      </c>
      <c r="W76" s="16"/>
      <c r="X76" s="20">
        <f>+P76-T76</f>
        <v>-12768.655209846234</v>
      </c>
      <c r="Y76" s="16"/>
      <c r="Z76" s="22">
        <f>IF(T76=0,0,X76/T76)</f>
        <v>-0.21737257342917396</v>
      </c>
    </row>
    <row r="77" spans="1:26" x14ac:dyDescent="0.25">
      <c r="A77" s="9"/>
      <c r="B77" s="10"/>
      <c r="C77" s="9"/>
      <c r="D77" s="3"/>
      <c r="E77" s="3"/>
      <c r="F77" s="8"/>
      <c r="G77" s="3"/>
      <c r="H77" s="3"/>
      <c r="I77" s="3"/>
      <c r="J77" s="8"/>
      <c r="K77" s="3"/>
      <c r="L77" s="3"/>
      <c r="M77" s="3"/>
      <c r="N77" s="8"/>
      <c r="P77" s="3"/>
      <c r="Q77" s="3"/>
      <c r="R77" s="8"/>
      <c r="S77" s="3"/>
      <c r="T77" s="3"/>
      <c r="U77" s="3"/>
      <c r="V77" s="8"/>
      <c r="W77" s="3"/>
      <c r="X77" s="3"/>
      <c r="Y77" s="3"/>
      <c r="Z77" s="8"/>
    </row>
    <row r="78" spans="1:26" s="23" customFormat="1" x14ac:dyDescent="0.25">
      <c r="A78" s="52"/>
      <c r="B78" s="10" t="s">
        <v>14</v>
      </c>
      <c r="C78" s="10"/>
      <c r="D78" s="4">
        <v>4863.6899999999996</v>
      </c>
      <c r="E78" s="4"/>
      <c r="F78" s="13">
        <f>IF(D$12=0,0,D78/D$12)</f>
        <v>0.19923357365230213</v>
      </c>
      <c r="G78" s="4"/>
      <c r="H78" s="4">
        <v>2219</v>
      </c>
      <c r="I78" s="4"/>
      <c r="J78" s="13">
        <f>IF(H$12=0,0,H78/H$12)</f>
        <v>9.6967313406747066E-2</v>
      </c>
      <c r="K78" s="4"/>
      <c r="L78" s="4">
        <f>+D78-H78</f>
        <v>2644.6899999999996</v>
      </c>
      <c r="M78" s="4"/>
      <c r="N78" s="13">
        <f>IF(H78=0,0,L78/H78)</f>
        <v>1.1918386660657951</v>
      </c>
      <c r="O78" s="10"/>
      <c r="P78" s="4">
        <v>50835.82</v>
      </c>
      <c r="Q78" s="4"/>
      <c r="R78" s="13">
        <f>IF(P$12=0,0,P78/P$12)</f>
        <v>0.11841560680177032</v>
      </c>
      <c r="S78" s="4"/>
      <c r="T78" s="4">
        <v>51863</v>
      </c>
      <c r="U78" s="4"/>
      <c r="V78" s="13">
        <f>IF(T$12=0,0,T78/T$12)</f>
        <v>0.11582638214241846</v>
      </c>
      <c r="W78" s="4"/>
      <c r="X78" s="4">
        <f>+P78-T78</f>
        <v>-1027.1800000000003</v>
      </c>
      <c r="Y78" s="4"/>
      <c r="Z78" s="13">
        <f>IF(T78=0,0,X78/T78)</f>
        <v>-1.9805641787015799E-2</v>
      </c>
    </row>
    <row r="79" spans="1:26" x14ac:dyDescent="0.25">
      <c r="A79" s="9"/>
      <c r="B79" s="10"/>
      <c r="C79" s="10"/>
      <c r="D79" s="3"/>
      <c r="E79" s="3"/>
      <c r="F79" s="8"/>
      <c r="G79" s="3"/>
      <c r="H79" s="3"/>
      <c r="I79" s="3"/>
      <c r="J79" s="8"/>
      <c r="K79" s="3"/>
      <c r="L79" s="3"/>
      <c r="M79" s="3"/>
      <c r="N79" s="8"/>
      <c r="O79" s="10"/>
      <c r="P79" s="3"/>
      <c r="Q79" s="3"/>
      <c r="R79" s="8"/>
      <c r="S79" s="3"/>
      <c r="T79" s="3"/>
      <c r="U79" s="3"/>
      <c r="V79" s="8"/>
      <c r="W79" s="3"/>
      <c r="X79" s="3"/>
      <c r="Y79" s="3"/>
      <c r="Z79" s="8"/>
    </row>
    <row r="80" spans="1:26" s="23" customFormat="1" ht="15.75" thickBot="1" x14ac:dyDescent="0.3">
      <c r="A80" s="10"/>
      <c r="B80" s="29" t="s">
        <v>4</v>
      </c>
      <c r="C80" s="29"/>
      <c r="D80" s="35">
        <f>+D76-D78</f>
        <v>443.90000000000509</v>
      </c>
      <c r="E80" s="14"/>
      <c r="F80" s="32">
        <f>IF(D$12=0,0,D80/D$12)</f>
        <v>1.8183680157299896E-2</v>
      </c>
      <c r="G80" s="14"/>
      <c r="H80" s="35">
        <f>+H76-H78</f>
        <v>783.0494991538435</v>
      </c>
      <c r="I80" s="14"/>
      <c r="J80" s="32">
        <f>IF(H$12=0,0,H80/H$12)</f>
        <v>3.4218209192179841E-2</v>
      </c>
      <c r="K80" s="16"/>
      <c r="L80" s="35">
        <f>D80-H80</f>
        <v>-339.14949915383841</v>
      </c>
      <c r="M80" s="16"/>
      <c r="N80" s="32">
        <f>IF(H80=0,0,L80/H80)</f>
        <v>-0.43311374251604834</v>
      </c>
      <c r="O80" s="28"/>
      <c r="P80" s="35">
        <f>+P76-P78</f>
        <v>-4863.6000000000495</v>
      </c>
      <c r="Q80" s="14"/>
      <c r="R80" s="32">
        <f>IF(P$12=0,0,P80/P$12)</f>
        <v>-1.1329140461216048E-2</v>
      </c>
      <c r="S80" s="14"/>
      <c r="T80" s="35">
        <f>+T76-T78</f>
        <v>6877.8752098461846</v>
      </c>
      <c r="U80" s="14"/>
      <c r="V80" s="32">
        <f>IF(T$12=0,0,T80/T$12)</f>
        <v>1.5360457404768539E-2</v>
      </c>
      <c r="W80" s="16"/>
      <c r="X80" s="35">
        <f>P80-T80</f>
        <v>-11741.475209846234</v>
      </c>
      <c r="Y80" s="16"/>
      <c r="Z80" s="32">
        <f>IF(T80=0,0,X80/T80)</f>
        <v>-1.7071369938549406</v>
      </c>
    </row>
    <row r="81" spans="1:26" ht="15.75" thickTop="1" x14ac:dyDescent="0.25">
      <c r="A81" s="9"/>
      <c r="B81" s="9"/>
      <c r="C81" s="9"/>
      <c r="D81" s="3"/>
      <c r="E81" s="3"/>
      <c r="F81" s="8"/>
      <c r="G81" s="3"/>
      <c r="H81" s="3"/>
      <c r="I81" s="3"/>
      <c r="J81" s="8"/>
      <c r="K81" s="3"/>
      <c r="L81" s="3"/>
      <c r="M81" s="3"/>
      <c r="N81" s="8"/>
      <c r="P81" s="3"/>
      <c r="Q81" s="3"/>
      <c r="R81" s="8"/>
      <c r="S81" s="3"/>
      <c r="T81" s="3"/>
      <c r="U81" s="3"/>
      <c r="V81" s="8"/>
      <c r="W81" s="3"/>
      <c r="X81" s="3"/>
      <c r="Y81" s="3"/>
      <c r="Z81" s="8"/>
    </row>
    <row r="82" spans="1:26" x14ac:dyDescent="0.25">
      <c r="A82" s="9"/>
      <c r="B82" s="9"/>
      <c r="C82" s="9"/>
      <c r="D82" s="3"/>
      <c r="E82" s="3"/>
      <c r="F82" s="8"/>
      <c r="G82" s="3"/>
      <c r="H82" s="3"/>
      <c r="I82" s="3"/>
      <c r="J82" s="8"/>
      <c r="K82" s="3"/>
      <c r="L82" s="3"/>
      <c r="M82" s="3"/>
      <c r="N82" s="8"/>
      <c r="P82" s="3"/>
      <c r="Q82" s="3"/>
      <c r="R82" s="8"/>
      <c r="S82" s="3"/>
      <c r="T82" s="3"/>
      <c r="U82" s="3"/>
      <c r="V82" s="8"/>
      <c r="W82" s="3"/>
      <c r="X82" s="3"/>
      <c r="Y82" s="3"/>
      <c r="Z82" s="8"/>
    </row>
    <row r="83" spans="1:26" s="23" customFormat="1" ht="15.75" thickBot="1" x14ac:dyDescent="0.3">
      <c r="A83" s="10"/>
      <c r="B83" s="29" t="s">
        <v>5</v>
      </c>
      <c r="C83" s="29"/>
      <c r="D83" s="34">
        <f>SUM(D80:D82)</f>
        <v>443.90000000000509</v>
      </c>
      <c r="E83" s="14"/>
      <c r="F83" s="31">
        <f>IF(D$12=0,0,D83/D$12)</f>
        <v>1.8183680157299896E-2</v>
      </c>
      <c r="G83" s="14"/>
      <c r="H83" s="34">
        <f>SUM(H80:H82)</f>
        <v>783.0494991538435</v>
      </c>
      <c r="I83" s="14"/>
      <c r="J83" s="31">
        <f>IF(H$12=0,0,H83/H$12)</f>
        <v>3.4218209192179841E-2</v>
      </c>
      <c r="K83" s="16"/>
      <c r="L83" s="34">
        <f>+D83-H83</f>
        <v>-339.14949915383841</v>
      </c>
      <c r="M83" s="16"/>
      <c r="N83" s="31">
        <f>IF(H83=0,0,L83/H83)</f>
        <v>-0.43311374251604834</v>
      </c>
      <c r="O83" s="28"/>
      <c r="P83" s="34">
        <f>SUM(P80:P82)</f>
        <v>-4863.6000000000495</v>
      </c>
      <c r="Q83" s="14"/>
      <c r="R83" s="31">
        <f>IF(P$12=0,0,P83/P$12)</f>
        <v>-1.1329140461216048E-2</v>
      </c>
      <c r="S83" s="14"/>
      <c r="T83" s="34">
        <f>SUM(T80:T82)</f>
        <v>6877.8752098461846</v>
      </c>
      <c r="U83" s="14"/>
      <c r="V83" s="31">
        <f>IF(T$12=0,0,T83/T$12)</f>
        <v>1.5360457404768539E-2</v>
      </c>
      <c r="W83" s="16"/>
      <c r="X83" s="34">
        <f>+P83-T83</f>
        <v>-11741.475209846234</v>
      </c>
      <c r="Y83" s="16"/>
      <c r="Z83" s="31">
        <f>IF(T83=0,0,X83/T83)</f>
        <v>-1.7071369938549406</v>
      </c>
    </row>
    <row r="84" spans="1:26" ht="15.75" thickTop="1" x14ac:dyDescent="0.25">
      <c r="A84" s="9"/>
      <c r="C84" s="9"/>
      <c r="D84" s="18"/>
      <c r="E84" s="18"/>
      <c r="G84" s="18"/>
      <c r="H84" s="18"/>
      <c r="I84" s="18"/>
      <c r="J84" s="42"/>
      <c r="K84" s="18"/>
      <c r="L84" s="18"/>
      <c r="M84" s="18"/>
      <c r="P84" s="18"/>
      <c r="Q84" s="18"/>
      <c r="R84" s="42"/>
      <c r="S84" s="18"/>
      <c r="T84" s="18"/>
      <c r="U84" s="18"/>
      <c r="V84" s="42"/>
      <c r="W84" s="18"/>
      <c r="X84" s="18"/>
    </row>
    <row r="85" spans="1:26" x14ac:dyDescent="0.25">
      <c r="A85" s="9"/>
      <c r="B85" s="59">
        <v>43992.372348761572</v>
      </c>
      <c r="D85" s="18"/>
      <c r="E85" s="18"/>
      <c r="G85" s="18"/>
      <c r="H85" s="18"/>
      <c r="I85" s="18"/>
      <c r="J85" s="42"/>
      <c r="K85" s="18"/>
      <c r="L85" s="18"/>
      <c r="M85" s="18"/>
      <c r="P85" s="18"/>
      <c r="Q85" s="18"/>
      <c r="R85" s="42"/>
      <c r="S85" s="18"/>
      <c r="T85" s="18"/>
      <c r="U85" s="18"/>
      <c r="V85" s="42"/>
      <c r="W85" s="18"/>
      <c r="X85" s="18"/>
    </row>
    <row r="86" spans="1:26" x14ac:dyDescent="0.25">
      <c r="A86" s="9"/>
      <c r="B86" s="56" t="s">
        <v>314</v>
      </c>
      <c r="D86" s="18"/>
      <c r="E86" s="18"/>
      <c r="G86" s="18"/>
      <c r="H86" s="18"/>
      <c r="I86" s="18"/>
      <c r="J86" s="42"/>
      <c r="K86" s="18"/>
      <c r="L86" s="18"/>
      <c r="M86" s="18"/>
      <c r="P86" s="18"/>
      <c r="Q86" s="18"/>
      <c r="R86" s="42"/>
      <c r="S86" s="18"/>
      <c r="T86" s="18"/>
      <c r="U86" s="18"/>
      <c r="V86" s="42"/>
      <c r="W86" s="18"/>
      <c r="X86" s="18"/>
    </row>
    <row r="87" spans="1:26" x14ac:dyDescent="0.25">
      <c r="A87" s="9"/>
      <c r="B87" s="54"/>
      <c r="D87" s="18"/>
      <c r="E87" s="18"/>
      <c r="G87" s="18"/>
      <c r="H87" s="18"/>
      <c r="I87" s="18"/>
      <c r="J87" s="42"/>
      <c r="K87" s="18"/>
      <c r="L87" s="18"/>
      <c r="M87" s="18"/>
      <c r="P87" s="18"/>
      <c r="Q87" s="18"/>
      <c r="R87" s="42"/>
      <c r="S87" s="18"/>
      <c r="T87" s="18"/>
      <c r="U87" s="18"/>
      <c r="V87" s="42"/>
      <c r="W87" s="18"/>
      <c r="X87" s="18"/>
    </row>
    <row r="88" spans="1:26" x14ac:dyDescent="0.25">
      <c r="D88" s="18"/>
      <c r="E88" s="18"/>
      <c r="G88" s="18"/>
      <c r="H88" s="18"/>
      <c r="I88" s="18"/>
      <c r="J88" s="42"/>
      <c r="K88" s="18"/>
      <c r="L88" s="18"/>
      <c r="M88" s="18"/>
      <c r="P88" s="18"/>
      <c r="Q88" s="18"/>
      <c r="R88" s="42"/>
      <c r="S88" s="18"/>
      <c r="T88" s="18"/>
      <c r="U88" s="18"/>
      <c r="V88" s="42"/>
      <c r="W88" s="18"/>
      <c r="X88" s="18"/>
    </row>
  </sheetData>
  <pageMargins left="0.25" right="0.25" top="0.75" bottom="0.75" header="0.3" footer="0.3"/>
  <pageSetup scale="55" fitToWidth="2" orientation="landscape"/>
  <drawing r:id="rId1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63" t="s">
        <v>13</v>
      </c>
    </row>
    <row r="3" spans="1:26" x14ac:dyDescent="0.25">
      <c r="D3" s="63" t="s">
        <v>296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61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63" t="e">
        <f ca="1">CONCATENATE("Period ",RIGHT(_xll.OneStop.ReportPlayer.OSRFunctions.OSRGet("Period","PeriodId"),2),", ",_xll.OneStop.ReportPlayer.OSRFunctions.OSRGet("Period","Year"))</f>
        <v>#NAME?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61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5" t="e">
        <f ca="1">_xll.OneStop.ReportPlayer.OSRFunctions.OSRGet("Period","PeriodEnd")</f>
        <v>#NAME?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61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51"/>
      <c r="C6" s="51"/>
      <c r="D6" s="23" t="e">
        <f ca="1">CONCATENATE("Department ",_xll.OneStop.ReportPlayer.OSRFunctions.OSRGet("d_dim0","Code"), " - ", _xll.OneStop.ReportPlayer.OSRFunctions.OSRGet("d_dim0","Description"))</f>
        <v>#NAME?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57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5" t="s">
        <v>294</v>
      </c>
      <c r="E9" s="15"/>
      <c r="F9" s="38"/>
      <c r="G9" s="15"/>
      <c r="H9" s="15"/>
      <c r="I9" s="15"/>
      <c r="J9" s="46"/>
      <c r="K9" s="15"/>
      <c r="L9" s="15"/>
      <c r="M9" s="15"/>
      <c r="N9" s="38"/>
      <c r="P9" s="15" t="s">
        <v>295</v>
      </c>
      <c r="Q9" s="15"/>
      <c r="R9" s="38"/>
      <c r="S9" s="15"/>
      <c r="T9" s="15"/>
      <c r="U9" s="15"/>
      <c r="V9" s="46"/>
      <c r="W9" s="15"/>
      <c r="X9" s="15"/>
      <c r="Y9" s="15"/>
      <c r="Z9" s="38"/>
    </row>
    <row r="10" spans="1:26" x14ac:dyDescent="0.25">
      <c r="A10" s="10"/>
      <c r="B10" s="55"/>
      <c r="C10" s="10"/>
      <c r="D10" s="43" t="s">
        <v>10</v>
      </c>
      <c r="E10" s="33"/>
      <c r="F10" s="40" t="s">
        <v>15</v>
      </c>
      <c r="G10" s="33"/>
      <c r="H10" s="47" t="s">
        <v>11</v>
      </c>
      <c r="I10" s="33"/>
      <c r="J10" s="45" t="s">
        <v>16</v>
      </c>
      <c r="K10" s="10"/>
      <c r="L10" s="43" t="s">
        <v>12</v>
      </c>
      <c r="M10" s="10"/>
      <c r="N10" s="40" t="s">
        <v>17</v>
      </c>
      <c r="O10" s="10"/>
      <c r="P10" s="53" t="s">
        <v>10</v>
      </c>
      <c r="Q10" s="33"/>
      <c r="R10" s="40" t="s">
        <v>15</v>
      </c>
      <c r="S10" s="33"/>
      <c r="T10" s="47" t="s">
        <v>11</v>
      </c>
      <c r="U10" s="33"/>
      <c r="V10" s="45" t="s">
        <v>16</v>
      </c>
      <c r="W10" s="10"/>
      <c r="X10" s="43" t="s">
        <v>12</v>
      </c>
      <c r="Y10" s="10"/>
      <c r="Z10" s="40" t="s">
        <v>17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 t="e">
        <f ca="1">SUM(_xll.OneStop.ReportPlayer.OSRFunctions.OSRRef(D13))</f>
        <v>#NAME?</v>
      </c>
      <c r="E12" s="4"/>
      <c r="F12" s="13"/>
      <c r="G12" s="4"/>
      <c r="H12" s="4" t="e">
        <f ca="1">SUM(_xll.OneStop.ReportPlayer.OSRFunctions.OSRRef(H13))</f>
        <v>#NAME?</v>
      </c>
      <c r="I12" s="4"/>
      <c r="J12" s="13"/>
      <c r="K12" s="4"/>
      <c r="L12" s="4" t="e">
        <f t="shared" ref="L12:L13" ca="1" si="0">+D12-H12</f>
        <v>#NAME?</v>
      </c>
      <c r="M12" s="4"/>
      <c r="N12" s="13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3"/>
      <c r="S12" s="4"/>
      <c r="T12" s="4" t="e">
        <f ca="1">SUM(_xll.OneStop.ReportPlayer.OSRFunctions.OSRRef(T13))</f>
        <v>#NAME?</v>
      </c>
      <c r="U12" s="4"/>
      <c r="V12" s="13"/>
      <c r="W12" s="4"/>
      <c r="X12" s="4" t="e">
        <f t="shared" ref="X12:X13" ca="1" si="2">+P12-T12</f>
        <v>#NAME?</v>
      </c>
      <c r="Y12" s="4"/>
      <c r="Z12" s="13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8</v>
      </c>
      <c r="C15" s="10"/>
      <c r="D15" s="4" t="e">
        <f ca="1">SUM(_xll.OneStop.ReportPlayer.OSRFunctions.OSRRef(D16))</f>
        <v>#NAME?</v>
      </c>
      <c r="E15" s="4"/>
      <c r="F15" s="13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3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3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3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3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3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6</v>
      </c>
      <c r="C18" s="29"/>
      <c r="D18" s="20" t="e">
        <f ca="1">D12-D15</f>
        <v>#NAME?</v>
      </c>
      <c r="E18" s="14"/>
      <c r="F18" s="22" t="e">
        <f ca="1">IF(D$12=0,0,D18/D$12)</f>
        <v>#NAME?</v>
      </c>
      <c r="G18" s="14"/>
      <c r="H18" s="20" t="e">
        <f ca="1">H12-H15</f>
        <v>#NAME?</v>
      </c>
      <c r="I18" s="14"/>
      <c r="J18" s="22" t="e">
        <f ca="1">IF(H$12=0,0,H18/H$12)</f>
        <v>#NAME?</v>
      </c>
      <c r="K18" s="16"/>
      <c r="L18" s="20" t="e">
        <f ca="1">+D18-H18</f>
        <v>#NAME?</v>
      </c>
      <c r="M18" s="16"/>
      <c r="N18" s="22" t="e">
        <f ca="1">IF(H18=0,0,L18/H18)</f>
        <v>#NAME?</v>
      </c>
      <c r="O18" s="28"/>
      <c r="P18" s="20" t="e">
        <f ca="1">P12-P15</f>
        <v>#NAME?</v>
      </c>
      <c r="Q18" s="14"/>
      <c r="R18" s="22" t="e">
        <f ca="1">IF(P$12=0,0,P18/P$12)</f>
        <v>#NAME?</v>
      </c>
      <c r="S18" s="14"/>
      <c r="T18" s="20" t="e">
        <f ca="1">T12-T15</f>
        <v>#NAME?</v>
      </c>
      <c r="U18" s="14"/>
      <c r="V18" s="22" t="e">
        <f ca="1">IF(T$12=0,0,T18/T$12)</f>
        <v>#NAME?</v>
      </c>
      <c r="W18" s="16"/>
      <c r="X18" s="20" t="e">
        <f ca="1">+P18-T18</f>
        <v>#NAME?</v>
      </c>
      <c r="Y18" s="16"/>
      <c r="Z18" s="22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9</v>
      </c>
      <c r="C20" s="10"/>
      <c r="D20" s="21" t="e">
        <f ca="1">SUM(_xll.OneStop.ReportPlayer.OSRFunctions.OSRRef(D22))</f>
        <v>#NAME?</v>
      </c>
      <c r="E20" s="21"/>
      <c r="F20" s="30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0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0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0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0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0" t="e">
        <f t="shared" ref="Z20:Z22" ca="1" si="19">IF(T20=0,0,X20/T20)</f>
        <v>#NAME?</v>
      </c>
    </row>
    <row r="21" spans="1:26" s="27" customFormat="1" outlineLevel="1" collapsed="1" x14ac:dyDescent="0.25">
      <c r="A21" s="25"/>
      <c r="B21" s="12" t="e">
        <f ca="1">CONCATENATE("     ",_xll.OneStop.ReportPlayer.OSRFunctions.OSRGet("d_Account","AccountCategory"))</f>
        <v>#NAME?</v>
      </c>
      <c r="C21" s="12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2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6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62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8" t="s">
        <v>0</v>
      </c>
      <c r="C24" s="10"/>
      <c r="D24" s="4" t="e">
        <f ca="1">SUM(_xll.OneStop.ReportPlayer.OSRFunctions.OSRRef(D25))</f>
        <v>#NAME?</v>
      </c>
      <c r="E24" s="4"/>
      <c r="F24" s="13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3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3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3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3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3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3</v>
      </c>
      <c r="C27" s="29"/>
      <c r="D27" s="20" t="e">
        <f ca="1">+D18-D20+D24</f>
        <v>#NAME?</v>
      </c>
      <c r="E27" s="14"/>
      <c r="F27" s="22" t="e">
        <f ca="1">IF(D$12=0,0,D27/D$12)</f>
        <v>#NAME?</v>
      </c>
      <c r="G27" s="14"/>
      <c r="H27" s="20" t="e">
        <f ca="1">+H18-H20+H24</f>
        <v>#NAME?</v>
      </c>
      <c r="I27" s="14"/>
      <c r="J27" s="22" t="e">
        <f ca="1">IF(H$12=0,0,H27/H$12)</f>
        <v>#NAME?</v>
      </c>
      <c r="K27" s="16"/>
      <c r="L27" s="20" t="e">
        <f ca="1">+D27-H27</f>
        <v>#NAME?</v>
      </c>
      <c r="M27" s="16"/>
      <c r="N27" s="22" t="e">
        <f ca="1">IF(H27=0,0,L27/H27)</f>
        <v>#NAME?</v>
      </c>
      <c r="O27" s="28"/>
      <c r="P27" s="20" t="e">
        <f ca="1">+P18-P20+P24</f>
        <v>#NAME?</v>
      </c>
      <c r="Q27" s="14"/>
      <c r="R27" s="22" t="e">
        <f ca="1">IF(P$12=0,0,P27/P$12)</f>
        <v>#NAME?</v>
      </c>
      <c r="S27" s="14"/>
      <c r="T27" s="20" t="e">
        <f ca="1">+T18-T20+T24</f>
        <v>#NAME?</v>
      </c>
      <c r="U27" s="14"/>
      <c r="V27" s="22" t="e">
        <f ca="1">IF(T$12=0,0,T27/T$12)</f>
        <v>#NAME?</v>
      </c>
      <c r="W27" s="16"/>
      <c r="X27" s="20" t="e">
        <f ca="1">+P27-T27</f>
        <v>#NAME?</v>
      </c>
      <c r="Y27" s="16"/>
      <c r="Z27" s="22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3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3" t="e">
        <f ca="1">IF(H$12=0,0,H29/H$12)</f>
        <v>#NAME?</v>
      </c>
      <c r="K29" s="4"/>
      <c r="L29" s="4" t="e">
        <f ca="1">+D29-H29</f>
        <v>#NAME?</v>
      </c>
      <c r="M29" s="4"/>
      <c r="N29" s="13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3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3" t="e">
        <f ca="1">IF(T$12=0,0,T29/T$12)</f>
        <v>#NAME?</v>
      </c>
      <c r="W29" s="4"/>
      <c r="X29" s="4" t="e">
        <f ca="1">+P29-T29</f>
        <v>#NAME?</v>
      </c>
      <c r="Y29" s="4"/>
      <c r="Z29" s="13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4</v>
      </c>
      <c r="C31" s="29"/>
      <c r="D31" s="35" t="e">
        <f ca="1">+D27-D29</f>
        <v>#NAME?</v>
      </c>
      <c r="E31" s="14"/>
      <c r="F31" s="32" t="e">
        <f ca="1">IF(D$12=0,0,D31/D$12)</f>
        <v>#NAME?</v>
      </c>
      <c r="G31" s="14"/>
      <c r="H31" s="35" t="e">
        <f ca="1">+H27-H29</f>
        <v>#NAME?</v>
      </c>
      <c r="I31" s="14"/>
      <c r="J31" s="32" t="e">
        <f ca="1">IF(H$12=0,0,H31/H$12)</f>
        <v>#NAME?</v>
      </c>
      <c r="K31" s="16"/>
      <c r="L31" s="35" t="e">
        <f ca="1">D31-H31</f>
        <v>#NAME?</v>
      </c>
      <c r="M31" s="16"/>
      <c r="N31" s="32" t="e">
        <f ca="1">IF(H31=0,0,L31/H31)</f>
        <v>#NAME?</v>
      </c>
      <c r="O31" s="28"/>
      <c r="P31" s="35" t="e">
        <f ca="1">+P27-P29</f>
        <v>#NAME?</v>
      </c>
      <c r="Q31" s="14"/>
      <c r="R31" s="32" t="e">
        <f ca="1">IF(P$12=0,0,P31/P$12)</f>
        <v>#NAME?</v>
      </c>
      <c r="S31" s="14"/>
      <c r="T31" s="35" t="e">
        <f ca="1">+T27-T29</f>
        <v>#NAME?</v>
      </c>
      <c r="U31" s="14"/>
      <c r="V31" s="32" t="e">
        <f ca="1">IF(T$12=0,0,T31/T$12)</f>
        <v>#NAME?</v>
      </c>
      <c r="W31" s="16"/>
      <c r="X31" s="35" t="e">
        <f ca="1">P31-T31</f>
        <v>#NAME?</v>
      </c>
      <c r="Y31" s="16"/>
      <c r="Z31" s="32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3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3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3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3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3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3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3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3" t="e">
        <f t="shared" ca="1" si="29"/>
        <v>#NAME?</v>
      </c>
      <c r="K34" s="4"/>
      <c r="L34" s="4" t="e">
        <f t="shared" ca="1" si="30"/>
        <v>#NAME?</v>
      </c>
      <c r="M34" s="4"/>
      <c r="N34" s="13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3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3" t="e">
        <f t="shared" ca="1" si="33"/>
        <v>#NAME?</v>
      </c>
      <c r="W34" s="4"/>
      <c r="X34" s="4" t="e">
        <f t="shared" ca="1" si="34"/>
        <v>#NAME?</v>
      </c>
      <c r="Y34" s="4"/>
      <c r="Z34" s="13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5</v>
      </c>
      <c r="C36" s="29"/>
      <c r="D36" s="34" t="e">
        <f ca="1">SUM(D31:D35)</f>
        <v>#NAME?</v>
      </c>
      <c r="E36" s="14"/>
      <c r="F36" s="31" t="e">
        <f ca="1">IF(D$12=0,0,D36/D$12)</f>
        <v>#NAME?</v>
      </c>
      <c r="G36" s="14"/>
      <c r="H36" s="34" t="e">
        <f ca="1">SUM(H31:H35)</f>
        <v>#NAME?</v>
      </c>
      <c r="I36" s="14"/>
      <c r="J36" s="31" t="e">
        <f ca="1">IF(H$12=0,0,H36/H$12)</f>
        <v>#NAME?</v>
      </c>
      <c r="K36" s="16"/>
      <c r="L36" s="34" t="e">
        <f ca="1">+D36-H36</f>
        <v>#NAME?</v>
      </c>
      <c r="M36" s="16"/>
      <c r="N36" s="31" t="e">
        <f ca="1">IF(H36=0,0,L36/H36)</f>
        <v>#NAME?</v>
      </c>
      <c r="O36" s="28"/>
      <c r="P36" s="34" t="e">
        <f ca="1">SUM(P31:P35)</f>
        <v>#NAME?</v>
      </c>
      <c r="Q36" s="14"/>
      <c r="R36" s="31" t="e">
        <f ca="1">IF(P$12=0,0,P36/P$12)</f>
        <v>#NAME?</v>
      </c>
      <c r="S36" s="14"/>
      <c r="T36" s="34" t="e">
        <f ca="1">SUM(T31:T35)</f>
        <v>#NAME?</v>
      </c>
      <c r="U36" s="14"/>
      <c r="V36" s="31" t="e">
        <f ca="1">IF(T$12=0,0,T36/T$12)</f>
        <v>#NAME?</v>
      </c>
      <c r="W36" s="16"/>
      <c r="X36" s="34" t="e">
        <f ca="1">+P36-T36</f>
        <v>#NAME?</v>
      </c>
      <c r="Y36" s="16"/>
      <c r="Z36" s="31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59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56" t="e">
        <f ca="1">_xll.OneStop.ReportPlayer.OSRFunctions.OSRGet("User","UserId")</f>
        <v>#NAME?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54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101</vt:i4>
      </vt:variant>
      <vt:variant>
        <vt:lpstr>Named Ranges</vt:lpstr>
      </vt:variant>
      <vt:variant>
        <vt:i4>4530</vt:i4>
      </vt:variant>
    </vt:vector>
  </HeadingPairs>
  <TitlesOfParts>
    <vt:vector size="4631" baseType="lpstr">
      <vt:lpstr>Interface</vt:lpstr>
      <vt:lpstr>DataSetting</vt:lpstr>
      <vt:lpstr>Summary</vt:lpstr>
      <vt:lpstr>OSR_Summary_18VAVWG</vt:lpstr>
      <vt:lpstr>OSR_Current ...69b7dd8c_1IEQKFK</vt:lpstr>
      <vt:lpstr>OSR_Div 1_7H47HR</vt:lpstr>
      <vt:lpstr>OSR_Div 3 (2)...4cb81c06_PBSMLS</vt:lpstr>
      <vt:lpstr>OSR_Div 2_1PQ800A</vt:lpstr>
      <vt:lpstr>OSR_Div 1 (2)...789fe994_2NV3KA</vt:lpstr>
      <vt:lpstr>OSR_Div 3_18723PH</vt:lpstr>
      <vt:lpstr>OSR_300 (2)_7...54cb56fc_UFX0O2</vt:lpstr>
      <vt:lpstr>OSR_300_IYZXI6</vt:lpstr>
      <vt:lpstr>OSR_310 (2)_5...3d931dee_QNK8R2</vt:lpstr>
      <vt:lpstr>OSR_300 &amp; 317_1C00ID4</vt:lpstr>
      <vt:lpstr>OSR_300 (2)_...6aa5a22d_14M6XO4</vt:lpstr>
      <vt:lpstr>OSR_310_1CMTOSB</vt:lpstr>
      <vt:lpstr>OSR_300 (2)_e...5d0da5bf_6BPGAO</vt:lpstr>
      <vt:lpstr>OSR_330_10VFP5Y</vt:lpstr>
      <vt:lpstr>OSR_310 (2)_...6e684f08_1FLCNJG</vt:lpstr>
      <vt:lpstr>OSR_308_UAWDAG</vt:lpstr>
      <vt:lpstr>OSR_330 (2)_...8a14c83e_1NSH7XI</vt:lpstr>
      <vt:lpstr>OSR_331_10VKQAJ</vt:lpstr>
      <vt:lpstr>OSR_308 (2)_...47685838_1YQW4QY</vt:lpstr>
      <vt:lpstr>OSR_332_6NDVBW</vt:lpstr>
      <vt:lpstr>OSR_331 (2)_...7280af70_1P5SPLT</vt:lpstr>
      <vt:lpstr>OSR_Div 4_1740TMT</vt:lpstr>
      <vt:lpstr>OSR_310 (2)_...8cac1423_1JTU33X</vt:lpstr>
      <vt:lpstr>OSR_310 &amp; 491_1NGRCS9</vt:lpstr>
      <vt:lpstr>OSR_491 (2)_...853a34aa_1UNC34K</vt:lpstr>
      <vt:lpstr>OSR_491_9Z9JH5</vt:lpstr>
      <vt:lpstr>OSR_Div 4 (2...2533da42_174R6QX</vt:lpstr>
      <vt:lpstr>OSR_492_943FP1</vt:lpstr>
      <vt:lpstr>OSR_Div 4 (2)...1a9a4454_CQFRNE</vt:lpstr>
      <vt:lpstr>OSR_Div 5_16NAZO2</vt:lpstr>
      <vt:lpstr>OSR_492 (2)_...cd97c6a6_13HYXEV</vt:lpstr>
      <vt:lpstr>OSR_Div 6_P37YY7</vt:lpstr>
      <vt:lpstr>OSR_Div 5 (2)...32d16c57_IVJ1QO</vt:lpstr>
      <vt:lpstr>Div 1</vt:lpstr>
      <vt:lpstr>100</vt:lpstr>
      <vt:lpstr>Div 2</vt:lpstr>
      <vt:lpstr>200</vt:lpstr>
      <vt:lpstr>201</vt:lpstr>
      <vt:lpstr>202</vt:lpstr>
      <vt:lpstr>203</vt:lpstr>
      <vt:lpstr>204</vt:lpstr>
      <vt:lpstr>205</vt:lpstr>
      <vt:lpstr>206</vt:lpstr>
      <vt:lpstr>Div 3</vt:lpstr>
      <vt:lpstr>300</vt:lpstr>
      <vt:lpstr>300 &amp; 317</vt:lpstr>
      <vt:lpstr>301</vt:lpstr>
      <vt:lpstr>306</vt:lpstr>
      <vt:lpstr>330</vt:lpstr>
      <vt:lpstr>307</vt:lpstr>
      <vt:lpstr>314</vt:lpstr>
      <vt:lpstr>308</vt:lpstr>
      <vt:lpstr>311</vt:lpstr>
      <vt:lpstr>324</vt:lpstr>
      <vt:lpstr>331</vt:lpstr>
      <vt:lpstr>315</vt:lpstr>
      <vt:lpstr>326</vt:lpstr>
      <vt:lpstr>332</vt:lpstr>
      <vt:lpstr>316</vt:lpstr>
      <vt:lpstr>320</vt:lpstr>
      <vt:lpstr>Div 6</vt:lpstr>
      <vt:lpstr>317</vt:lpstr>
      <vt:lpstr>310</vt:lpstr>
      <vt:lpstr>309</vt:lpstr>
      <vt:lpstr>313</vt:lpstr>
      <vt:lpstr>321</vt:lpstr>
      <vt:lpstr>322</vt:lpstr>
      <vt:lpstr>323</vt:lpstr>
      <vt:lpstr>327</vt:lpstr>
      <vt:lpstr>Div 4</vt:lpstr>
      <vt:lpstr>310 &amp; 491</vt:lpstr>
      <vt:lpstr>491</vt:lpstr>
      <vt:lpstr>405</vt:lpstr>
      <vt:lpstr>406</vt:lpstr>
      <vt:lpstr>411</vt:lpstr>
      <vt:lpstr>412</vt:lpstr>
      <vt:lpstr>420</vt:lpstr>
      <vt:lpstr>413</vt:lpstr>
      <vt:lpstr>414</vt:lpstr>
      <vt:lpstr>415</vt:lpstr>
      <vt:lpstr>418</vt:lpstr>
      <vt:lpstr>423</vt:lpstr>
      <vt:lpstr>424</vt:lpstr>
      <vt:lpstr>425</vt:lpstr>
      <vt:lpstr>455</vt:lpstr>
      <vt:lpstr>492</vt:lpstr>
      <vt:lpstr>430</vt:lpstr>
      <vt:lpstr>433</vt:lpstr>
      <vt:lpstr>435</vt:lpstr>
      <vt:lpstr>444</vt:lpstr>
      <vt:lpstr>445</vt:lpstr>
      <vt:lpstr>450</vt:lpstr>
      <vt:lpstr>Div 5</vt:lpstr>
      <vt:lpstr>501</vt:lpstr>
      <vt:lpstr>Dept</vt:lpstr>
      <vt:lpstr>OSR_Dept_Y0WUKY</vt:lpstr>
      <vt:lpstr>OSR_Summary (...56e5d78f_5JEYZH</vt:lpstr>
      <vt:lpstr>'204'!OSRRefD13x_0</vt:lpstr>
      <vt:lpstr>'300'!OSRRefD13x_0</vt:lpstr>
      <vt:lpstr>'300 &amp; 317'!OSRRefD13x_0</vt:lpstr>
      <vt:lpstr>'307'!OSRRefD13x_0</vt:lpstr>
      <vt:lpstr>'308'!OSRRefD13x_0</vt:lpstr>
      <vt:lpstr>'309'!OSRRefD13x_0</vt:lpstr>
      <vt:lpstr>'310'!OSRRefD13x_0</vt:lpstr>
      <vt:lpstr>'310 &amp; 491'!OSRRefD13x_0</vt:lpstr>
      <vt:lpstr>'311'!OSRRefD13x_0</vt:lpstr>
      <vt:lpstr>'313'!OSRRefD13x_0</vt:lpstr>
      <vt:lpstr>'314'!OSRRefD13x_0</vt:lpstr>
      <vt:lpstr>'315'!OSRRefD13x_0</vt:lpstr>
      <vt:lpstr>'316'!OSRRefD13x_0</vt:lpstr>
      <vt:lpstr>'317'!OSRRefD13x_0</vt:lpstr>
      <vt:lpstr>'320'!OSRRefD13x_0</vt:lpstr>
      <vt:lpstr>'321'!OSRRefD13x_0</vt:lpstr>
      <vt:lpstr>'322'!OSRRefD13x_0</vt:lpstr>
      <vt:lpstr>'324'!OSRRefD13x_0</vt:lpstr>
      <vt:lpstr>'326'!OSRRefD13x_0</vt:lpstr>
      <vt:lpstr>'327'!OSRRefD13x_0</vt:lpstr>
      <vt:lpstr>'330'!OSRRefD13x_0</vt:lpstr>
      <vt:lpstr>'331'!OSRRefD13x_0</vt:lpstr>
      <vt:lpstr>'332'!OSRRefD13x_0</vt:lpstr>
      <vt:lpstr>'405'!OSRRefD13x_0</vt:lpstr>
      <vt:lpstr>'406'!OSRRefD13x_0</vt:lpstr>
      <vt:lpstr>'412'!OSRRefD13x_0</vt:lpstr>
      <vt:lpstr>'413'!OSRRefD13x_0</vt:lpstr>
      <vt:lpstr>'414'!OSRRefD13x_0</vt:lpstr>
      <vt:lpstr>'415'!OSRRefD13x_0</vt:lpstr>
      <vt:lpstr>'418'!OSRRefD13x_0</vt:lpstr>
      <vt:lpstr>'420'!OSRRefD13x_0</vt:lpstr>
      <vt:lpstr>'424'!OSRRefD13x_0</vt:lpstr>
      <vt:lpstr>'425'!OSRRefD13x_0</vt:lpstr>
      <vt:lpstr>'433'!OSRRefD13x_0</vt:lpstr>
      <vt:lpstr>'435'!OSRRefD13x_0</vt:lpstr>
      <vt:lpstr>'444'!OSRRefD13x_0</vt:lpstr>
      <vt:lpstr>'450'!OSRRefD13x_0</vt:lpstr>
      <vt:lpstr>'491'!OSRRefD13x_0</vt:lpstr>
      <vt:lpstr>'492'!OSRRefD13x_0</vt:lpstr>
      <vt:lpstr>'501'!OSRRefD13x_0</vt:lpstr>
      <vt:lpstr>'Div 2'!OSRRefD13x_0</vt:lpstr>
      <vt:lpstr>'Div 3'!OSRRefD13x_0</vt:lpstr>
      <vt:lpstr>'Div 4'!OSRRefD13x_0</vt:lpstr>
      <vt:lpstr>'Div 5'!OSRRefD13x_0</vt:lpstr>
      <vt:lpstr>'Div 6'!OSRRefD13x_0</vt:lpstr>
      <vt:lpstr>Summary!OSRRefD13x_0</vt:lpstr>
      <vt:lpstr>'300'!OSRRefD16x_0</vt:lpstr>
      <vt:lpstr>'300 &amp; 317'!OSRRefD16x_0</vt:lpstr>
      <vt:lpstr>'307'!OSRRefD16x_0</vt:lpstr>
      <vt:lpstr>'308'!OSRRefD16x_0</vt:lpstr>
      <vt:lpstr>'309'!OSRRefD16x_0</vt:lpstr>
      <vt:lpstr>'310'!OSRRefD16x_0</vt:lpstr>
      <vt:lpstr>'310 &amp; 491'!OSRRefD16x_0</vt:lpstr>
      <vt:lpstr>'311'!OSRRefD16x_0</vt:lpstr>
      <vt:lpstr>'313'!OSRRefD16x_0</vt:lpstr>
      <vt:lpstr>'314'!OSRRefD16x_0</vt:lpstr>
      <vt:lpstr>'315'!OSRRefD16x_0</vt:lpstr>
      <vt:lpstr>'317'!OSRRefD16x_0</vt:lpstr>
      <vt:lpstr>'320'!OSRRefD16x_0</vt:lpstr>
      <vt:lpstr>'321'!OSRRefD16x_0</vt:lpstr>
      <vt:lpstr>'322'!OSRRefD16x_0</vt:lpstr>
      <vt:lpstr>'324'!OSRRefD16x_0</vt:lpstr>
      <vt:lpstr>'326'!OSRRefD16x_0</vt:lpstr>
      <vt:lpstr>'327'!OSRRefD16x_0</vt:lpstr>
      <vt:lpstr>'330'!OSRRefD16x_0</vt:lpstr>
      <vt:lpstr>'331'!OSRRefD16x_0</vt:lpstr>
      <vt:lpstr>'332'!OSRRefD16x_0</vt:lpstr>
      <vt:lpstr>'405'!OSRRefD16x_0</vt:lpstr>
      <vt:lpstr>'406'!OSRRefD16x_0</vt:lpstr>
      <vt:lpstr>'412'!OSRRefD16x_0</vt:lpstr>
      <vt:lpstr>'413'!OSRRefD16x_0</vt:lpstr>
      <vt:lpstr>'414'!OSRRefD16x_0</vt:lpstr>
      <vt:lpstr>'415'!OSRRefD16x_0</vt:lpstr>
      <vt:lpstr>'418'!OSRRefD16x_0</vt:lpstr>
      <vt:lpstr>'420'!OSRRefD16x_0</vt:lpstr>
      <vt:lpstr>'423'!OSRRefD16x_0</vt:lpstr>
      <vt:lpstr>'424'!OSRRefD16x_0</vt:lpstr>
      <vt:lpstr>'425'!OSRRefD16x_0</vt:lpstr>
      <vt:lpstr>'433'!OSRRefD16x_0</vt:lpstr>
      <vt:lpstr>'435'!OSRRefD16x_0</vt:lpstr>
      <vt:lpstr>'444'!OSRRefD16x_0</vt:lpstr>
      <vt:lpstr>'450'!OSRRefD16x_0</vt:lpstr>
      <vt:lpstr>'491'!OSRRefD16x_0</vt:lpstr>
      <vt:lpstr>'492'!OSRRefD16x_0</vt:lpstr>
      <vt:lpstr>'Div 3'!OSRRefD16x_0</vt:lpstr>
      <vt:lpstr>'Div 4'!OSRRefD16x_0</vt:lpstr>
      <vt:lpstr>'Div 6'!OSRRefD16x_0</vt:lpstr>
      <vt:lpstr>Summary!OSRRefD16x_0</vt:lpstr>
      <vt:lpstr>'200'!OSRRefD22_0x_0</vt:lpstr>
      <vt:lpstr>'201'!OSRRefD22_0x_0</vt:lpstr>
      <vt:lpstr>'202'!OSRRefD22_0x_0</vt:lpstr>
      <vt:lpstr>'203'!OSRRefD22_0x_0</vt:lpstr>
      <vt:lpstr>'204'!OSRRefD22_0x_0</vt:lpstr>
      <vt:lpstr>'205'!OSRRefD22_0x_0</vt:lpstr>
      <vt:lpstr>'206'!OSRRefD22_0x_0</vt:lpstr>
      <vt:lpstr>'300'!OSRRefD22_0x_0</vt:lpstr>
      <vt:lpstr>'300 &amp; 317'!OSRRefD22_0x_0</vt:lpstr>
      <vt:lpstr>'301'!OSRRefD22_0x_0</vt:lpstr>
      <vt:lpstr>'306'!OSRRefD22_0x_0</vt:lpstr>
      <vt:lpstr>'307'!OSRRefD22_0x_0</vt:lpstr>
      <vt:lpstr>'308'!OSRRefD22_0x_0</vt:lpstr>
      <vt:lpstr>'309'!OSRRefD22_0x_0</vt:lpstr>
      <vt:lpstr>'310'!OSRRefD22_0x_0</vt:lpstr>
      <vt:lpstr>'310 &amp; 491'!OSRRefD22_0x_0</vt:lpstr>
      <vt:lpstr>'311'!OSRRefD22_0x_0</vt:lpstr>
      <vt:lpstr>'313'!OSRRefD22_0x_0</vt:lpstr>
      <vt:lpstr>'314'!OSRRefD22_0x_0</vt:lpstr>
      <vt:lpstr>'315'!OSRRefD22_0x_0</vt:lpstr>
      <vt:lpstr>'316'!OSRRefD22_0x_0</vt:lpstr>
      <vt:lpstr>'317'!OSRRefD22_0x_0</vt:lpstr>
      <vt:lpstr>'320'!OSRRefD22_0x_0</vt:lpstr>
      <vt:lpstr>'321'!OSRRefD22_0x_0</vt:lpstr>
      <vt:lpstr>'322'!OSRRefD22_0x_0</vt:lpstr>
      <vt:lpstr>'326'!OSRRefD22_0x_0</vt:lpstr>
      <vt:lpstr>'327'!OSRRefD22_0x_0</vt:lpstr>
      <vt:lpstr>'330'!OSRRefD22_0x_0</vt:lpstr>
      <vt:lpstr>'331'!OSRRefD22_0x_0</vt:lpstr>
      <vt:lpstr>'332'!OSRRefD22_0x_0</vt:lpstr>
      <vt:lpstr>'405'!OSRRefD22_0x_0</vt:lpstr>
      <vt:lpstr>'406'!OSRRefD22_0x_0</vt:lpstr>
      <vt:lpstr>'411'!OSRRefD22_0x_0</vt:lpstr>
      <vt:lpstr>'412'!OSRRefD22_0x_0</vt:lpstr>
      <vt:lpstr>'413'!OSRRefD22_0x_0</vt:lpstr>
      <vt:lpstr>'414'!OSRRefD22_0x_0</vt:lpstr>
      <vt:lpstr>'415'!OSRRefD22_0x_0</vt:lpstr>
      <vt:lpstr>'418'!OSRRefD22_0x_0</vt:lpstr>
      <vt:lpstr>'420'!OSRRefD22_0x_0</vt:lpstr>
      <vt:lpstr>'423'!OSRRefD22_0x_0</vt:lpstr>
      <vt:lpstr>'424'!OSRRefD22_0x_0</vt:lpstr>
      <vt:lpstr>'425'!OSRRefD22_0x_0</vt:lpstr>
      <vt:lpstr>'430'!OSRRefD22_0x_0</vt:lpstr>
      <vt:lpstr>'433'!OSRRefD22_0x_0</vt:lpstr>
      <vt:lpstr>'435'!OSRRefD22_0x_0</vt:lpstr>
      <vt:lpstr>'444'!OSRRefD22_0x_0</vt:lpstr>
      <vt:lpstr>'450'!OSRRefD22_0x_0</vt:lpstr>
      <vt:lpstr>'455'!OSRRefD22_0x_0</vt:lpstr>
      <vt:lpstr>'491'!OSRRefD22_0x_0</vt:lpstr>
      <vt:lpstr>'492'!OSRRefD22_0x_0</vt:lpstr>
      <vt:lpstr>'501'!OSRRefD22_0x_0</vt:lpstr>
      <vt:lpstr>'Div 2'!OSRRefD22_0x_0</vt:lpstr>
      <vt:lpstr>'Div 3'!OSRRefD22_0x_0</vt:lpstr>
      <vt:lpstr>'Div 4'!OSRRefD22_0x_0</vt:lpstr>
      <vt:lpstr>'Div 5'!OSRRefD22_0x_0</vt:lpstr>
      <vt:lpstr>'Div 6'!OSRRefD22_0x_0</vt:lpstr>
      <vt:lpstr>Summary!OSRRefD22_0x_0</vt:lpstr>
      <vt:lpstr>'201'!OSRRefD22_10x_0</vt:lpstr>
      <vt:lpstr>'202'!OSRRefD22_10x_0</vt:lpstr>
      <vt:lpstr>'203'!OSRRefD22_10x_0</vt:lpstr>
      <vt:lpstr>'204'!OSRRefD22_10x_0</vt:lpstr>
      <vt:lpstr>'206'!OSRRefD22_10x_0</vt:lpstr>
      <vt:lpstr>'300'!OSRRefD22_10x_0</vt:lpstr>
      <vt:lpstr>'300 &amp; 317'!OSRRefD22_10x_0</vt:lpstr>
      <vt:lpstr>'301'!OSRRefD22_10x_0</vt:lpstr>
      <vt:lpstr>'306'!OSRRefD22_10x_0</vt:lpstr>
      <vt:lpstr>'307'!OSRRefD22_10x_0</vt:lpstr>
      <vt:lpstr>'308'!OSRRefD22_10x_0</vt:lpstr>
      <vt:lpstr>'309'!OSRRefD22_10x_0</vt:lpstr>
      <vt:lpstr>'310'!OSRRefD22_10x_0</vt:lpstr>
      <vt:lpstr>'310 &amp; 491'!OSRRefD22_10x_0</vt:lpstr>
      <vt:lpstr>'311'!OSRRefD22_10x_0</vt:lpstr>
      <vt:lpstr>'313'!OSRRefD22_10x_0</vt:lpstr>
      <vt:lpstr>'314'!OSRRefD22_10x_0</vt:lpstr>
      <vt:lpstr>'315'!OSRRefD22_10x_0</vt:lpstr>
      <vt:lpstr>'316'!OSRRefD22_10x_0</vt:lpstr>
      <vt:lpstr>'317'!OSRRefD22_10x_0</vt:lpstr>
      <vt:lpstr>'321'!OSRRefD22_10x_0</vt:lpstr>
      <vt:lpstr>'322'!OSRRefD22_10x_0</vt:lpstr>
      <vt:lpstr>'326'!OSRRefD22_10x_0</vt:lpstr>
      <vt:lpstr>'330'!OSRRefD22_10x_0</vt:lpstr>
      <vt:lpstr>'331'!OSRRefD22_10x_0</vt:lpstr>
      <vt:lpstr>'332'!OSRRefD22_10x_0</vt:lpstr>
      <vt:lpstr>'405'!OSRRefD22_10x_0</vt:lpstr>
      <vt:lpstr>'406'!OSRRefD22_10x_0</vt:lpstr>
      <vt:lpstr>'411'!OSRRefD22_10x_0</vt:lpstr>
      <vt:lpstr>'412'!OSRRefD22_10x_0</vt:lpstr>
      <vt:lpstr>'413'!OSRRefD22_10x_0</vt:lpstr>
      <vt:lpstr>'414'!OSRRefD22_10x_0</vt:lpstr>
      <vt:lpstr>'415'!OSRRefD22_10x_0</vt:lpstr>
      <vt:lpstr>'418'!OSRRefD22_10x_0</vt:lpstr>
      <vt:lpstr>'424'!OSRRefD22_10x_0</vt:lpstr>
      <vt:lpstr>'425'!OSRRefD22_10x_0</vt:lpstr>
      <vt:lpstr>'430'!OSRRefD22_10x_0</vt:lpstr>
      <vt:lpstr>'433'!OSRRefD22_10x_0</vt:lpstr>
      <vt:lpstr>'444'!OSRRefD22_10x_0</vt:lpstr>
      <vt:lpstr>'450'!OSRRefD22_10x_0</vt:lpstr>
      <vt:lpstr>'491'!OSRRefD22_10x_0</vt:lpstr>
      <vt:lpstr>'492'!OSRRefD22_10x_0</vt:lpstr>
      <vt:lpstr>'501'!OSRRefD22_10x_0</vt:lpstr>
      <vt:lpstr>'Div 2'!OSRRefD22_10x_0</vt:lpstr>
      <vt:lpstr>'Div 3'!OSRRefD22_10x_0</vt:lpstr>
      <vt:lpstr>'Div 4'!OSRRefD22_10x_0</vt:lpstr>
      <vt:lpstr>'Div 5'!OSRRefD22_10x_0</vt:lpstr>
      <vt:lpstr>'Div 6'!OSRRefD22_10x_0</vt:lpstr>
      <vt:lpstr>Summary!OSRRefD22_10x_0</vt:lpstr>
      <vt:lpstr>'201'!OSRRefD22_11x_0</vt:lpstr>
      <vt:lpstr>'202'!OSRRefD22_11x_0</vt:lpstr>
      <vt:lpstr>'203'!OSRRefD22_11x_0</vt:lpstr>
      <vt:lpstr>'204'!OSRRefD22_11x_0</vt:lpstr>
      <vt:lpstr>'300'!OSRRefD22_11x_0</vt:lpstr>
      <vt:lpstr>'300 &amp; 317'!OSRRefD22_11x_0</vt:lpstr>
      <vt:lpstr>'301'!OSRRefD22_11x_0</vt:lpstr>
      <vt:lpstr>'307'!OSRRefD22_11x_0</vt:lpstr>
      <vt:lpstr>'308'!OSRRefD22_11x_0</vt:lpstr>
      <vt:lpstr>'309'!OSRRefD22_11x_0</vt:lpstr>
      <vt:lpstr>'310'!OSRRefD22_11x_0</vt:lpstr>
      <vt:lpstr>'310 &amp; 491'!OSRRefD22_11x_0</vt:lpstr>
      <vt:lpstr>'311'!OSRRefD22_11x_0</vt:lpstr>
      <vt:lpstr>'313'!OSRRefD22_11x_0</vt:lpstr>
      <vt:lpstr>'315'!OSRRefD22_11x_0</vt:lpstr>
      <vt:lpstr>'316'!OSRRefD22_11x_0</vt:lpstr>
      <vt:lpstr>'317'!OSRRefD22_11x_0</vt:lpstr>
      <vt:lpstr>'321'!OSRRefD22_11x_0</vt:lpstr>
      <vt:lpstr>'322'!OSRRefD22_11x_0</vt:lpstr>
      <vt:lpstr>'326'!OSRRefD22_11x_0</vt:lpstr>
      <vt:lpstr>'330'!OSRRefD22_11x_0</vt:lpstr>
      <vt:lpstr>'331'!OSRRefD22_11x_0</vt:lpstr>
      <vt:lpstr>'332'!OSRRefD22_11x_0</vt:lpstr>
      <vt:lpstr>'405'!OSRRefD22_11x_0</vt:lpstr>
      <vt:lpstr>'406'!OSRRefD22_11x_0</vt:lpstr>
      <vt:lpstr>'411'!OSRRefD22_11x_0</vt:lpstr>
      <vt:lpstr>'412'!OSRRefD22_11x_0</vt:lpstr>
      <vt:lpstr>'413'!OSRRefD22_11x_0</vt:lpstr>
      <vt:lpstr>'414'!OSRRefD22_11x_0</vt:lpstr>
      <vt:lpstr>'415'!OSRRefD22_11x_0</vt:lpstr>
      <vt:lpstr>'418'!OSRRefD22_11x_0</vt:lpstr>
      <vt:lpstr>'424'!OSRRefD22_11x_0</vt:lpstr>
      <vt:lpstr>'425'!OSRRefD22_11x_0</vt:lpstr>
      <vt:lpstr>'433'!OSRRefD22_11x_0</vt:lpstr>
      <vt:lpstr>'444'!OSRRefD22_11x_0</vt:lpstr>
      <vt:lpstr>'450'!OSRRefD22_11x_0</vt:lpstr>
      <vt:lpstr>'491'!OSRRefD22_11x_0</vt:lpstr>
      <vt:lpstr>'492'!OSRRefD22_11x_0</vt:lpstr>
      <vt:lpstr>'501'!OSRRefD22_11x_0</vt:lpstr>
      <vt:lpstr>'Div 2'!OSRRefD22_11x_0</vt:lpstr>
      <vt:lpstr>'Div 3'!OSRRefD22_11x_0</vt:lpstr>
      <vt:lpstr>'Div 4'!OSRRefD22_11x_0</vt:lpstr>
      <vt:lpstr>'Div 5'!OSRRefD22_11x_0</vt:lpstr>
      <vt:lpstr>'Div 6'!OSRRefD22_11x_0</vt:lpstr>
      <vt:lpstr>Summary!OSRRefD22_11x_0</vt:lpstr>
      <vt:lpstr>'201'!OSRRefD22_12x_0</vt:lpstr>
      <vt:lpstr>'202'!OSRRefD22_12x_0</vt:lpstr>
      <vt:lpstr>'203'!OSRRefD22_12x_0</vt:lpstr>
      <vt:lpstr>'204'!OSRRefD22_12x_0</vt:lpstr>
      <vt:lpstr>'300'!OSRRefD22_12x_0</vt:lpstr>
      <vt:lpstr>'300 &amp; 317'!OSRRefD22_12x_0</vt:lpstr>
      <vt:lpstr>'301'!OSRRefD22_12x_0</vt:lpstr>
      <vt:lpstr>'307'!OSRRefD22_12x_0</vt:lpstr>
      <vt:lpstr>'308'!OSRRefD22_12x_0</vt:lpstr>
      <vt:lpstr>'309'!OSRRefD22_12x_0</vt:lpstr>
      <vt:lpstr>'310'!OSRRefD22_12x_0</vt:lpstr>
      <vt:lpstr>'310 &amp; 491'!OSRRefD22_12x_0</vt:lpstr>
      <vt:lpstr>'311'!OSRRefD22_12x_0</vt:lpstr>
      <vt:lpstr>'313'!OSRRefD22_12x_0</vt:lpstr>
      <vt:lpstr>'315'!OSRRefD22_12x_0</vt:lpstr>
      <vt:lpstr>'316'!OSRRefD22_12x_0</vt:lpstr>
      <vt:lpstr>'317'!OSRRefD22_12x_0</vt:lpstr>
      <vt:lpstr>'321'!OSRRefD22_12x_0</vt:lpstr>
      <vt:lpstr>'326'!OSRRefD22_12x_0</vt:lpstr>
      <vt:lpstr>'330'!OSRRefD22_12x_0</vt:lpstr>
      <vt:lpstr>'331'!OSRRefD22_12x_0</vt:lpstr>
      <vt:lpstr>'332'!OSRRefD22_12x_0</vt:lpstr>
      <vt:lpstr>'405'!OSRRefD22_12x_0</vt:lpstr>
      <vt:lpstr>'406'!OSRRefD22_12x_0</vt:lpstr>
      <vt:lpstr>'411'!OSRRefD22_12x_0</vt:lpstr>
      <vt:lpstr>'412'!OSRRefD22_12x_0</vt:lpstr>
      <vt:lpstr>'413'!OSRRefD22_12x_0</vt:lpstr>
      <vt:lpstr>'414'!OSRRefD22_12x_0</vt:lpstr>
      <vt:lpstr>'415'!OSRRefD22_12x_0</vt:lpstr>
      <vt:lpstr>'418'!OSRRefD22_12x_0</vt:lpstr>
      <vt:lpstr>'424'!OSRRefD22_12x_0</vt:lpstr>
      <vt:lpstr>'425'!OSRRefD22_12x_0</vt:lpstr>
      <vt:lpstr>'433'!OSRRefD22_12x_0</vt:lpstr>
      <vt:lpstr>'444'!OSRRefD22_12x_0</vt:lpstr>
      <vt:lpstr>'450'!OSRRefD22_12x_0</vt:lpstr>
      <vt:lpstr>'491'!OSRRefD22_12x_0</vt:lpstr>
      <vt:lpstr>'492'!OSRRefD22_12x_0</vt:lpstr>
      <vt:lpstr>'501'!OSRRefD22_12x_0</vt:lpstr>
      <vt:lpstr>'Div 2'!OSRRefD22_12x_0</vt:lpstr>
      <vt:lpstr>'Div 3'!OSRRefD22_12x_0</vt:lpstr>
      <vt:lpstr>'Div 4'!OSRRefD22_12x_0</vt:lpstr>
      <vt:lpstr>'Div 5'!OSRRefD22_12x_0</vt:lpstr>
      <vt:lpstr>'Div 6'!OSRRefD22_12x_0</vt:lpstr>
      <vt:lpstr>Summary!OSRRefD22_12x_0</vt:lpstr>
      <vt:lpstr>'201'!OSRRefD22_13x_0</vt:lpstr>
      <vt:lpstr>'202'!OSRRefD22_13x_0</vt:lpstr>
      <vt:lpstr>'203'!OSRRefD22_13x_0</vt:lpstr>
      <vt:lpstr>'300'!OSRRefD22_13x_0</vt:lpstr>
      <vt:lpstr>'300 &amp; 317'!OSRRefD22_13x_0</vt:lpstr>
      <vt:lpstr>'301'!OSRRefD22_13x_0</vt:lpstr>
      <vt:lpstr>'308'!OSRRefD22_13x_0</vt:lpstr>
      <vt:lpstr>'309'!OSRRefD22_13x_0</vt:lpstr>
      <vt:lpstr>'310'!OSRRefD22_13x_0</vt:lpstr>
      <vt:lpstr>'310 &amp; 491'!OSRRefD22_13x_0</vt:lpstr>
      <vt:lpstr>'311'!OSRRefD22_13x_0</vt:lpstr>
      <vt:lpstr>'313'!OSRRefD22_13x_0</vt:lpstr>
      <vt:lpstr>'315'!OSRRefD22_13x_0</vt:lpstr>
      <vt:lpstr>'316'!OSRRefD22_13x_0</vt:lpstr>
      <vt:lpstr>'317'!OSRRefD22_13x_0</vt:lpstr>
      <vt:lpstr>'321'!OSRRefD22_13x_0</vt:lpstr>
      <vt:lpstr>'326'!OSRRefD22_13x_0</vt:lpstr>
      <vt:lpstr>'330'!OSRRefD22_13x_0</vt:lpstr>
      <vt:lpstr>'331'!OSRRefD22_13x_0</vt:lpstr>
      <vt:lpstr>'332'!OSRRefD22_13x_0</vt:lpstr>
      <vt:lpstr>'405'!OSRRefD22_13x_0</vt:lpstr>
      <vt:lpstr>'406'!OSRRefD22_13x_0</vt:lpstr>
      <vt:lpstr>'411'!OSRRefD22_13x_0</vt:lpstr>
      <vt:lpstr>'412'!OSRRefD22_13x_0</vt:lpstr>
      <vt:lpstr>'413'!OSRRefD22_13x_0</vt:lpstr>
      <vt:lpstr>'414'!OSRRefD22_13x_0</vt:lpstr>
      <vt:lpstr>'415'!OSRRefD22_13x_0</vt:lpstr>
      <vt:lpstr>'418'!OSRRefD22_13x_0</vt:lpstr>
      <vt:lpstr>'425'!OSRRefD22_13x_0</vt:lpstr>
      <vt:lpstr>'433'!OSRRefD22_13x_0</vt:lpstr>
      <vt:lpstr>'444'!OSRRefD22_13x_0</vt:lpstr>
      <vt:lpstr>'450'!OSRRefD22_13x_0</vt:lpstr>
      <vt:lpstr>'491'!OSRRefD22_13x_0</vt:lpstr>
      <vt:lpstr>'492'!OSRRefD22_13x_0</vt:lpstr>
      <vt:lpstr>'501'!OSRRefD22_13x_0</vt:lpstr>
      <vt:lpstr>'Div 2'!OSRRefD22_13x_0</vt:lpstr>
      <vt:lpstr>'Div 3'!OSRRefD22_13x_0</vt:lpstr>
      <vt:lpstr>'Div 4'!OSRRefD22_13x_0</vt:lpstr>
      <vt:lpstr>'Div 5'!OSRRefD22_13x_0</vt:lpstr>
      <vt:lpstr>'Div 6'!OSRRefD22_13x_0</vt:lpstr>
      <vt:lpstr>Summary!OSRRefD22_13x_0</vt:lpstr>
      <vt:lpstr>'201'!OSRRefD22_14x_0</vt:lpstr>
      <vt:lpstr>'202'!OSRRefD22_14x_0</vt:lpstr>
      <vt:lpstr>'203'!OSRRefD22_14x_0</vt:lpstr>
      <vt:lpstr>'300'!OSRRefD22_14x_0</vt:lpstr>
      <vt:lpstr>'300 &amp; 317'!OSRRefD22_14x_0</vt:lpstr>
      <vt:lpstr>'301'!OSRRefD22_14x_0</vt:lpstr>
      <vt:lpstr>'308'!OSRRefD22_14x_0</vt:lpstr>
      <vt:lpstr>'310'!OSRRefD22_14x_0</vt:lpstr>
      <vt:lpstr>'310 &amp; 491'!OSRRefD22_14x_0</vt:lpstr>
      <vt:lpstr>'311'!OSRRefD22_14x_0</vt:lpstr>
      <vt:lpstr>'313'!OSRRefD22_14x_0</vt:lpstr>
      <vt:lpstr>'315'!OSRRefD22_14x_0</vt:lpstr>
      <vt:lpstr>'321'!OSRRefD22_14x_0</vt:lpstr>
      <vt:lpstr>'326'!OSRRefD22_14x_0</vt:lpstr>
      <vt:lpstr>'330'!OSRRefD22_14x_0</vt:lpstr>
      <vt:lpstr>'331'!OSRRefD22_14x_0</vt:lpstr>
      <vt:lpstr>'332'!OSRRefD22_14x_0</vt:lpstr>
      <vt:lpstr>'405'!OSRRefD22_14x_0</vt:lpstr>
      <vt:lpstr>'406'!OSRRefD22_14x_0</vt:lpstr>
      <vt:lpstr>'411'!OSRRefD22_14x_0</vt:lpstr>
      <vt:lpstr>'412'!OSRRefD22_14x_0</vt:lpstr>
      <vt:lpstr>'414'!OSRRefD22_14x_0</vt:lpstr>
      <vt:lpstr>'415'!OSRRefD22_14x_0</vt:lpstr>
      <vt:lpstr>'418'!OSRRefD22_14x_0</vt:lpstr>
      <vt:lpstr>'425'!OSRRefD22_14x_0</vt:lpstr>
      <vt:lpstr>'433'!OSRRefD22_14x_0</vt:lpstr>
      <vt:lpstr>'444'!OSRRefD22_14x_0</vt:lpstr>
      <vt:lpstr>'450'!OSRRefD22_14x_0</vt:lpstr>
      <vt:lpstr>'491'!OSRRefD22_14x_0</vt:lpstr>
      <vt:lpstr>'492'!OSRRefD22_14x_0</vt:lpstr>
      <vt:lpstr>'501'!OSRRefD22_14x_0</vt:lpstr>
      <vt:lpstr>'Div 2'!OSRRefD22_14x_0</vt:lpstr>
      <vt:lpstr>'Div 3'!OSRRefD22_14x_0</vt:lpstr>
      <vt:lpstr>'Div 4'!OSRRefD22_14x_0</vt:lpstr>
      <vt:lpstr>'Div 5'!OSRRefD22_14x_0</vt:lpstr>
      <vt:lpstr>Summary!OSRRefD22_14x_0</vt:lpstr>
      <vt:lpstr>'201'!OSRRefD22_15x_0</vt:lpstr>
      <vt:lpstr>'202'!OSRRefD22_15x_0</vt:lpstr>
      <vt:lpstr>'203'!OSRRefD22_15x_0</vt:lpstr>
      <vt:lpstr>'300'!OSRRefD22_15x_0</vt:lpstr>
      <vt:lpstr>'300 &amp; 317'!OSRRefD22_15x_0</vt:lpstr>
      <vt:lpstr>'301'!OSRRefD22_15x_0</vt:lpstr>
      <vt:lpstr>'310'!OSRRefD22_15x_0</vt:lpstr>
      <vt:lpstr>'310 &amp; 491'!OSRRefD22_15x_0</vt:lpstr>
      <vt:lpstr>'315'!OSRRefD22_15x_0</vt:lpstr>
      <vt:lpstr>'326'!OSRRefD22_15x_0</vt:lpstr>
      <vt:lpstr>'330'!OSRRefD22_15x_0</vt:lpstr>
      <vt:lpstr>'331'!OSRRefD22_15x_0</vt:lpstr>
      <vt:lpstr>'405'!OSRRefD22_15x_0</vt:lpstr>
      <vt:lpstr>'411'!OSRRefD22_15x_0</vt:lpstr>
      <vt:lpstr>'412'!OSRRefD22_15x_0</vt:lpstr>
      <vt:lpstr>'414'!OSRRefD22_15x_0</vt:lpstr>
      <vt:lpstr>'415'!OSRRefD22_15x_0</vt:lpstr>
      <vt:lpstr>'418'!OSRRefD22_15x_0</vt:lpstr>
      <vt:lpstr>'425'!OSRRefD22_15x_0</vt:lpstr>
      <vt:lpstr>'433'!OSRRefD22_15x_0</vt:lpstr>
      <vt:lpstr>'444'!OSRRefD22_15x_0</vt:lpstr>
      <vt:lpstr>'450'!OSRRefD22_15x_0</vt:lpstr>
      <vt:lpstr>'491'!OSRRefD22_15x_0</vt:lpstr>
      <vt:lpstr>'492'!OSRRefD22_15x_0</vt:lpstr>
      <vt:lpstr>'Div 2'!OSRRefD22_15x_0</vt:lpstr>
      <vt:lpstr>'Div 3'!OSRRefD22_15x_0</vt:lpstr>
      <vt:lpstr>'Div 4'!OSRRefD22_15x_0</vt:lpstr>
      <vt:lpstr>Summary!OSRRefD22_15x_0</vt:lpstr>
      <vt:lpstr>'201'!OSRRefD22_16x_0</vt:lpstr>
      <vt:lpstr>'202'!OSRRefD22_16x_0</vt:lpstr>
      <vt:lpstr>'300'!OSRRefD22_16x_0</vt:lpstr>
      <vt:lpstr>'300 &amp; 317'!OSRRefD22_16x_0</vt:lpstr>
      <vt:lpstr>'301'!OSRRefD22_16x_0</vt:lpstr>
      <vt:lpstr>'310'!OSRRefD22_16x_0</vt:lpstr>
      <vt:lpstr>'310 &amp; 491'!OSRRefD22_16x_0</vt:lpstr>
      <vt:lpstr>'326'!OSRRefD22_16x_0</vt:lpstr>
      <vt:lpstr>'331'!OSRRefD22_16x_0</vt:lpstr>
      <vt:lpstr>'405'!OSRRefD22_16x_0</vt:lpstr>
      <vt:lpstr>'411'!OSRRefD22_16x_0</vt:lpstr>
      <vt:lpstr>'415'!OSRRefD22_16x_0</vt:lpstr>
      <vt:lpstr>'418'!OSRRefD22_16x_0</vt:lpstr>
      <vt:lpstr>'425'!OSRRefD22_16x_0</vt:lpstr>
      <vt:lpstr>'444'!OSRRefD22_16x_0</vt:lpstr>
      <vt:lpstr>'450'!OSRRefD22_16x_0</vt:lpstr>
      <vt:lpstr>'491'!OSRRefD22_16x_0</vt:lpstr>
      <vt:lpstr>'492'!OSRRefD22_16x_0</vt:lpstr>
      <vt:lpstr>'Div 2'!OSRRefD22_16x_0</vt:lpstr>
      <vt:lpstr>'Div 3'!OSRRefD22_16x_0</vt:lpstr>
      <vt:lpstr>'Div 4'!OSRRefD22_16x_0</vt:lpstr>
      <vt:lpstr>Summary!OSRRefD22_16x_0</vt:lpstr>
      <vt:lpstr>'300'!OSRRefD22_17x_0</vt:lpstr>
      <vt:lpstr>'300 &amp; 317'!OSRRefD22_17x_0</vt:lpstr>
      <vt:lpstr>'301'!OSRRefD22_17x_0</vt:lpstr>
      <vt:lpstr>'310'!OSRRefD22_17x_0</vt:lpstr>
      <vt:lpstr>'310 &amp; 491'!OSRRefD22_17x_0</vt:lpstr>
      <vt:lpstr>'326'!OSRRefD22_17x_0</vt:lpstr>
      <vt:lpstr>'331'!OSRRefD22_17x_0</vt:lpstr>
      <vt:lpstr>'405'!OSRRefD22_17x_0</vt:lpstr>
      <vt:lpstr>'411'!OSRRefD22_17x_0</vt:lpstr>
      <vt:lpstr>'415'!OSRRefD22_17x_0</vt:lpstr>
      <vt:lpstr>'418'!OSRRefD22_17x_0</vt:lpstr>
      <vt:lpstr>'450'!OSRRefD22_17x_0</vt:lpstr>
      <vt:lpstr>'491'!OSRRefD22_17x_0</vt:lpstr>
      <vt:lpstr>'492'!OSRRefD22_17x_0</vt:lpstr>
      <vt:lpstr>'Div 2'!OSRRefD22_17x_0</vt:lpstr>
      <vt:lpstr>'Div 3'!OSRRefD22_17x_0</vt:lpstr>
      <vt:lpstr>'Div 4'!OSRRefD22_17x_0</vt:lpstr>
      <vt:lpstr>Summary!OSRRefD22_17x_0</vt:lpstr>
      <vt:lpstr>'300'!OSRRefD22_18x_0</vt:lpstr>
      <vt:lpstr>'300 &amp; 317'!OSRRefD22_18x_0</vt:lpstr>
      <vt:lpstr>'301'!OSRRefD22_18x_0</vt:lpstr>
      <vt:lpstr>'310'!OSRRefD22_18x_0</vt:lpstr>
      <vt:lpstr>'310 &amp; 491'!OSRRefD22_18x_0</vt:lpstr>
      <vt:lpstr>'326'!OSRRefD22_18x_0</vt:lpstr>
      <vt:lpstr>'331'!OSRRefD22_18x_0</vt:lpstr>
      <vt:lpstr>'405'!OSRRefD22_18x_0</vt:lpstr>
      <vt:lpstr>'411'!OSRRefD22_18x_0</vt:lpstr>
      <vt:lpstr>'415'!OSRRefD22_18x_0</vt:lpstr>
      <vt:lpstr>'491'!OSRRefD22_18x_0</vt:lpstr>
      <vt:lpstr>'492'!OSRRefD22_18x_0</vt:lpstr>
      <vt:lpstr>'Div 2'!OSRRefD22_18x_0</vt:lpstr>
      <vt:lpstr>'Div 3'!OSRRefD22_18x_0</vt:lpstr>
      <vt:lpstr>'Div 4'!OSRRefD22_18x_0</vt:lpstr>
      <vt:lpstr>Summary!OSRRefD22_18x_0</vt:lpstr>
      <vt:lpstr>'300'!OSRRefD22_19x_0</vt:lpstr>
      <vt:lpstr>'300 &amp; 317'!OSRRefD22_19x_0</vt:lpstr>
      <vt:lpstr>'301'!OSRRefD22_19x_0</vt:lpstr>
      <vt:lpstr>'310'!OSRRefD22_19x_0</vt:lpstr>
      <vt:lpstr>'310 &amp; 491'!OSRRefD22_19x_0</vt:lpstr>
      <vt:lpstr>'326'!OSRRefD22_19x_0</vt:lpstr>
      <vt:lpstr>'331'!OSRRefD22_19x_0</vt:lpstr>
      <vt:lpstr>'405'!OSRRefD22_19x_0</vt:lpstr>
      <vt:lpstr>'411'!OSRRefD22_19x_0</vt:lpstr>
      <vt:lpstr>'491'!OSRRefD22_19x_0</vt:lpstr>
      <vt:lpstr>'Div 2'!OSRRefD22_19x_0</vt:lpstr>
      <vt:lpstr>'Div 3'!OSRRefD22_19x_0</vt:lpstr>
      <vt:lpstr>'Div 4'!OSRRefD22_19x_0</vt:lpstr>
      <vt:lpstr>Summary!OSRRefD22_19x_0</vt:lpstr>
      <vt:lpstr>'200'!OSRRefD22_1x_0</vt:lpstr>
      <vt:lpstr>'201'!OSRRefD22_1x_0</vt:lpstr>
      <vt:lpstr>'202'!OSRRefD22_1x_0</vt:lpstr>
      <vt:lpstr>'203'!OSRRefD22_1x_0</vt:lpstr>
      <vt:lpstr>'204'!OSRRefD22_1x_0</vt:lpstr>
      <vt:lpstr>'205'!OSRRefD22_1x_0</vt:lpstr>
      <vt:lpstr>'206'!OSRRefD22_1x_0</vt:lpstr>
      <vt:lpstr>'300'!OSRRefD22_1x_0</vt:lpstr>
      <vt:lpstr>'300 &amp; 317'!OSRRefD22_1x_0</vt:lpstr>
      <vt:lpstr>'301'!OSRRefD22_1x_0</vt:lpstr>
      <vt:lpstr>'306'!OSRRefD22_1x_0</vt:lpstr>
      <vt:lpstr>'307'!OSRRefD22_1x_0</vt:lpstr>
      <vt:lpstr>'308'!OSRRefD22_1x_0</vt:lpstr>
      <vt:lpstr>'309'!OSRRefD22_1x_0</vt:lpstr>
      <vt:lpstr>'310'!OSRRefD22_1x_0</vt:lpstr>
      <vt:lpstr>'310 &amp; 491'!OSRRefD22_1x_0</vt:lpstr>
      <vt:lpstr>'311'!OSRRefD22_1x_0</vt:lpstr>
      <vt:lpstr>'313'!OSRRefD22_1x_0</vt:lpstr>
      <vt:lpstr>'314'!OSRRefD22_1x_0</vt:lpstr>
      <vt:lpstr>'315'!OSRRefD22_1x_0</vt:lpstr>
      <vt:lpstr>'316'!OSRRefD22_1x_0</vt:lpstr>
      <vt:lpstr>'317'!OSRRefD22_1x_0</vt:lpstr>
      <vt:lpstr>'320'!OSRRefD22_1x_0</vt:lpstr>
      <vt:lpstr>'321'!OSRRefD22_1x_0</vt:lpstr>
      <vt:lpstr>'322'!OSRRefD22_1x_0</vt:lpstr>
      <vt:lpstr>'326'!OSRRefD22_1x_0</vt:lpstr>
      <vt:lpstr>'327'!OSRRefD22_1x_0</vt:lpstr>
      <vt:lpstr>'330'!OSRRefD22_1x_0</vt:lpstr>
      <vt:lpstr>'331'!OSRRefD22_1x_0</vt:lpstr>
      <vt:lpstr>'332'!OSRRefD22_1x_0</vt:lpstr>
      <vt:lpstr>'405'!OSRRefD22_1x_0</vt:lpstr>
      <vt:lpstr>'406'!OSRRefD22_1x_0</vt:lpstr>
      <vt:lpstr>'411'!OSRRefD22_1x_0</vt:lpstr>
      <vt:lpstr>'412'!OSRRefD22_1x_0</vt:lpstr>
      <vt:lpstr>'413'!OSRRefD22_1x_0</vt:lpstr>
      <vt:lpstr>'414'!OSRRefD22_1x_0</vt:lpstr>
      <vt:lpstr>'415'!OSRRefD22_1x_0</vt:lpstr>
      <vt:lpstr>'418'!OSRRefD22_1x_0</vt:lpstr>
      <vt:lpstr>'420'!OSRRefD22_1x_0</vt:lpstr>
      <vt:lpstr>'423'!OSRRefD22_1x_0</vt:lpstr>
      <vt:lpstr>'424'!OSRRefD22_1x_0</vt:lpstr>
      <vt:lpstr>'425'!OSRRefD22_1x_0</vt:lpstr>
      <vt:lpstr>'430'!OSRRefD22_1x_0</vt:lpstr>
      <vt:lpstr>'433'!OSRRefD22_1x_0</vt:lpstr>
      <vt:lpstr>'435'!OSRRefD22_1x_0</vt:lpstr>
      <vt:lpstr>'444'!OSRRefD22_1x_0</vt:lpstr>
      <vt:lpstr>'450'!OSRRefD22_1x_0</vt:lpstr>
      <vt:lpstr>'455'!OSRRefD22_1x_0</vt:lpstr>
      <vt:lpstr>'491'!OSRRefD22_1x_0</vt:lpstr>
      <vt:lpstr>'492'!OSRRefD22_1x_0</vt:lpstr>
      <vt:lpstr>'501'!OSRRefD22_1x_0</vt:lpstr>
      <vt:lpstr>'Div 2'!OSRRefD22_1x_0</vt:lpstr>
      <vt:lpstr>'Div 3'!OSRRefD22_1x_0</vt:lpstr>
      <vt:lpstr>'Div 4'!OSRRefD22_1x_0</vt:lpstr>
      <vt:lpstr>'Div 5'!OSRRefD22_1x_0</vt:lpstr>
      <vt:lpstr>'Div 6'!OSRRefD22_1x_0</vt:lpstr>
      <vt:lpstr>Summary!OSRRefD22_1x_0</vt:lpstr>
      <vt:lpstr>'300'!OSRRefD22_20x_0</vt:lpstr>
      <vt:lpstr>'300 &amp; 317'!OSRRefD22_20x_0</vt:lpstr>
      <vt:lpstr>'301'!OSRRefD22_20x_0</vt:lpstr>
      <vt:lpstr>'310'!OSRRefD22_20x_0</vt:lpstr>
      <vt:lpstr>'310 &amp; 491'!OSRRefD22_20x_0</vt:lpstr>
      <vt:lpstr>'326'!OSRRefD22_20x_0</vt:lpstr>
      <vt:lpstr>'331'!OSRRefD22_20x_0</vt:lpstr>
      <vt:lpstr>'491'!OSRRefD22_20x_0</vt:lpstr>
      <vt:lpstr>'Div 2'!OSRRefD22_20x_0</vt:lpstr>
      <vt:lpstr>'Div 3'!OSRRefD22_20x_0</vt:lpstr>
      <vt:lpstr>'Div 4'!OSRRefD22_20x_0</vt:lpstr>
      <vt:lpstr>Summary!OSRRefD22_20x_0</vt:lpstr>
      <vt:lpstr>'300'!OSRRefD22_21x_0</vt:lpstr>
      <vt:lpstr>'300 &amp; 317'!OSRRefD22_21x_0</vt:lpstr>
      <vt:lpstr>'301'!OSRRefD22_21x_0</vt:lpstr>
      <vt:lpstr>'310'!OSRRefD22_21x_0</vt:lpstr>
      <vt:lpstr>'310 &amp; 491'!OSRRefD22_21x_0</vt:lpstr>
      <vt:lpstr>'331'!OSRRefD22_21x_0</vt:lpstr>
      <vt:lpstr>'491'!OSRRefD22_21x_0</vt:lpstr>
      <vt:lpstr>'Div 3'!OSRRefD22_21x_0</vt:lpstr>
      <vt:lpstr>'Div 4'!OSRRefD22_21x_0</vt:lpstr>
      <vt:lpstr>Summary!OSRRefD22_21x_0</vt:lpstr>
      <vt:lpstr>'300'!OSRRefD22_22x_0</vt:lpstr>
      <vt:lpstr>'300 &amp; 317'!OSRRefD22_22x_0</vt:lpstr>
      <vt:lpstr>'301'!OSRRefD22_22x_0</vt:lpstr>
      <vt:lpstr>'310'!OSRRefD22_22x_0</vt:lpstr>
      <vt:lpstr>'310 &amp; 491'!OSRRefD22_22x_0</vt:lpstr>
      <vt:lpstr>'331'!OSRRefD22_22x_0</vt:lpstr>
      <vt:lpstr>'491'!OSRRefD22_22x_0</vt:lpstr>
      <vt:lpstr>'Div 3'!OSRRefD22_22x_0</vt:lpstr>
      <vt:lpstr>'Div 4'!OSRRefD22_22x_0</vt:lpstr>
      <vt:lpstr>Summary!OSRRefD22_22x_0</vt:lpstr>
      <vt:lpstr>'300'!OSRRefD22_23x_0</vt:lpstr>
      <vt:lpstr>'300 &amp; 317'!OSRRefD22_23x_0</vt:lpstr>
      <vt:lpstr>'301'!OSRRefD22_23x_0</vt:lpstr>
      <vt:lpstr>'310'!OSRRefD22_23x_0</vt:lpstr>
      <vt:lpstr>'310 &amp; 491'!OSRRefD22_23x_0</vt:lpstr>
      <vt:lpstr>'491'!OSRRefD22_23x_0</vt:lpstr>
      <vt:lpstr>'Div 3'!OSRRefD22_23x_0</vt:lpstr>
      <vt:lpstr>'Div 4'!OSRRefD22_23x_0</vt:lpstr>
      <vt:lpstr>Summary!OSRRefD22_23x_0</vt:lpstr>
      <vt:lpstr>'300'!OSRRefD22_24x_0</vt:lpstr>
      <vt:lpstr>'300 &amp; 317'!OSRRefD22_24x_0</vt:lpstr>
      <vt:lpstr>'310 &amp; 491'!OSRRefD22_24x_0</vt:lpstr>
      <vt:lpstr>'491'!OSRRefD22_24x_0</vt:lpstr>
      <vt:lpstr>'Div 3'!OSRRefD22_24x_0</vt:lpstr>
      <vt:lpstr>'Div 4'!OSRRefD22_24x_0</vt:lpstr>
      <vt:lpstr>Summary!OSRRefD22_24x_0</vt:lpstr>
      <vt:lpstr>'310 &amp; 491'!OSRRefD22_25x_0</vt:lpstr>
      <vt:lpstr>'Div 3'!OSRRefD22_25x_0</vt:lpstr>
      <vt:lpstr>'Div 4'!OSRRefD22_25x_0</vt:lpstr>
      <vt:lpstr>Summary!OSRRefD22_25x_0</vt:lpstr>
      <vt:lpstr>'Div 3'!OSRRefD22_26x_0</vt:lpstr>
      <vt:lpstr>Summary!OSRRefD22_26x_0</vt:lpstr>
      <vt:lpstr>'200'!OSRRefD22_2x_0</vt:lpstr>
      <vt:lpstr>'201'!OSRRefD22_2x_0</vt:lpstr>
      <vt:lpstr>'202'!OSRRefD22_2x_0</vt:lpstr>
      <vt:lpstr>'203'!OSRRefD22_2x_0</vt:lpstr>
      <vt:lpstr>'204'!OSRRefD22_2x_0</vt:lpstr>
      <vt:lpstr>'205'!OSRRefD22_2x_0</vt:lpstr>
      <vt:lpstr>'206'!OSRRefD22_2x_0</vt:lpstr>
      <vt:lpstr>'300'!OSRRefD22_2x_0</vt:lpstr>
      <vt:lpstr>'300 &amp; 317'!OSRRefD22_2x_0</vt:lpstr>
      <vt:lpstr>'301'!OSRRefD22_2x_0</vt:lpstr>
      <vt:lpstr>'306'!OSRRefD22_2x_0</vt:lpstr>
      <vt:lpstr>'307'!OSRRefD22_2x_0</vt:lpstr>
      <vt:lpstr>'308'!OSRRefD22_2x_0</vt:lpstr>
      <vt:lpstr>'309'!OSRRefD22_2x_0</vt:lpstr>
      <vt:lpstr>'310'!OSRRefD22_2x_0</vt:lpstr>
      <vt:lpstr>'310 &amp; 491'!OSRRefD22_2x_0</vt:lpstr>
      <vt:lpstr>'311'!OSRRefD22_2x_0</vt:lpstr>
      <vt:lpstr>'313'!OSRRefD22_2x_0</vt:lpstr>
      <vt:lpstr>'314'!OSRRefD22_2x_0</vt:lpstr>
      <vt:lpstr>'315'!OSRRefD22_2x_0</vt:lpstr>
      <vt:lpstr>'316'!OSRRefD22_2x_0</vt:lpstr>
      <vt:lpstr>'317'!OSRRefD22_2x_0</vt:lpstr>
      <vt:lpstr>'320'!OSRRefD22_2x_0</vt:lpstr>
      <vt:lpstr>'321'!OSRRefD22_2x_0</vt:lpstr>
      <vt:lpstr>'322'!OSRRefD22_2x_0</vt:lpstr>
      <vt:lpstr>'326'!OSRRefD22_2x_0</vt:lpstr>
      <vt:lpstr>'327'!OSRRefD22_2x_0</vt:lpstr>
      <vt:lpstr>'330'!OSRRefD22_2x_0</vt:lpstr>
      <vt:lpstr>'331'!OSRRefD22_2x_0</vt:lpstr>
      <vt:lpstr>'332'!OSRRefD22_2x_0</vt:lpstr>
      <vt:lpstr>'405'!OSRRefD22_2x_0</vt:lpstr>
      <vt:lpstr>'406'!OSRRefD22_2x_0</vt:lpstr>
      <vt:lpstr>'411'!OSRRefD22_2x_0</vt:lpstr>
      <vt:lpstr>'412'!OSRRefD22_2x_0</vt:lpstr>
      <vt:lpstr>'413'!OSRRefD22_2x_0</vt:lpstr>
      <vt:lpstr>'414'!OSRRefD22_2x_0</vt:lpstr>
      <vt:lpstr>'415'!OSRRefD22_2x_0</vt:lpstr>
      <vt:lpstr>'418'!OSRRefD22_2x_0</vt:lpstr>
      <vt:lpstr>'420'!OSRRefD22_2x_0</vt:lpstr>
      <vt:lpstr>'423'!OSRRefD22_2x_0</vt:lpstr>
      <vt:lpstr>'424'!OSRRefD22_2x_0</vt:lpstr>
      <vt:lpstr>'425'!OSRRefD22_2x_0</vt:lpstr>
      <vt:lpstr>'430'!OSRRefD22_2x_0</vt:lpstr>
      <vt:lpstr>'433'!OSRRefD22_2x_0</vt:lpstr>
      <vt:lpstr>'435'!OSRRefD22_2x_0</vt:lpstr>
      <vt:lpstr>'444'!OSRRefD22_2x_0</vt:lpstr>
      <vt:lpstr>'450'!OSRRefD22_2x_0</vt:lpstr>
      <vt:lpstr>'491'!OSRRefD22_2x_0</vt:lpstr>
      <vt:lpstr>'492'!OSRRefD22_2x_0</vt:lpstr>
      <vt:lpstr>'501'!OSRRefD22_2x_0</vt:lpstr>
      <vt:lpstr>'Div 2'!OSRRefD22_2x_0</vt:lpstr>
      <vt:lpstr>'Div 3'!OSRRefD22_2x_0</vt:lpstr>
      <vt:lpstr>'Div 4'!OSRRefD22_2x_0</vt:lpstr>
      <vt:lpstr>'Div 5'!OSRRefD22_2x_0</vt:lpstr>
      <vt:lpstr>'Div 6'!OSRRefD22_2x_0</vt:lpstr>
      <vt:lpstr>Summary!OSRRefD22_2x_0</vt:lpstr>
      <vt:lpstr>'200'!OSRRefD22_3x_0</vt:lpstr>
      <vt:lpstr>'201'!OSRRefD22_3x_0</vt:lpstr>
      <vt:lpstr>'202'!OSRRefD22_3x_0</vt:lpstr>
      <vt:lpstr>'203'!OSRRefD22_3x_0</vt:lpstr>
      <vt:lpstr>'204'!OSRRefD22_3x_0</vt:lpstr>
      <vt:lpstr>'205'!OSRRefD22_3x_0</vt:lpstr>
      <vt:lpstr>'206'!OSRRefD22_3x_0</vt:lpstr>
      <vt:lpstr>'300'!OSRRefD22_3x_0</vt:lpstr>
      <vt:lpstr>'300 &amp; 317'!OSRRefD22_3x_0</vt:lpstr>
      <vt:lpstr>'301'!OSRRefD22_3x_0</vt:lpstr>
      <vt:lpstr>'306'!OSRRefD22_3x_0</vt:lpstr>
      <vt:lpstr>'307'!OSRRefD22_3x_0</vt:lpstr>
      <vt:lpstr>'308'!OSRRefD22_3x_0</vt:lpstr>
      <vt:lpstr>'309'!OSRRefD22_3x_0</vt:lpstr>
      <vt:lpstr>'310'!OSRRefD22_3x_0</vt:lpstr>
      <vt:lpstr>'310 &amp; 491'!OSRRefD22_3x_0</vt:lpstr>
      <vt:lpstr>'311'!OSRRefD22_3x_0</vt:lpstr>
      <vt:lpstr>'313'!OSRRefD22_3x_0</vt:lpstr>
      <vt:lpstr>'314'!OSRRefD22_3x_0</vt:lpstr>
      <vt:lpstr>'315'!OSRRefD22_3x_0</vt:lpstr>
      <vt:lpstr>'316'!OSRRefD22_3x_0</vt:lpstr>
      <vt:lpstr>'317'!OSRRefD22_3x_0</vt:lpstr>
      <vt:lpstr>'320'!OSRRefD22_3x_0</vt:lpstr>
      <vt:lpstr>'321'!OSRRefD22_3x_0</vt:lpstr>
      <vt:lpstr>'322'!OSRRefD22_3x_0</vt:lpstr>
      <vt:lpstr>'326'!OSRRefD22_3x_0</vt:lpstr>
      <vt:lpstr>'330'!OSRRefD22_3x_0</vt:lpstr>
      <vt:lpstr>'331'!OSRRefD22_3x_0</vt:lpstr>
      <vt:lpstr>'332'!OSRRefD22_3x_0</vt:lpstr>
      <vt:lpstr>'405'!OSRRefD22_3x_0</vt:lpstr>
      <vt:lpstr>'406'!OSRRefD22_3x_0</vt:lpstr>
      <vt:lpstr>'411'!OSRRefD22_3x_0</vt:lpstr>
      <vt:lpstr>'412'!OSRRefD22_3x_0</vt:lpstr>
      <vt:lpstr>'413'!OSRRefD22_3x_0</vt:lpstr>
      <vt:lpstr>'414'!OSRRefD22_3x_0</vt:lpstr>
      <vt:lpstr>'415'!OSRRefD22_3x_0</vt:lpstr>
      <vt:lpstr>'418'!OSRRefD22_3x_0</vt:lpstr>
      <vt:lpstr>'420'!OSRRefD22_3x_0</vt:lpstr>
      <vt:lpstr>'423'!OSRRefD22_3x_0</vt:lpstr>
      <vt:lpstr>'424'!OSRRefD22_3x_0</vt:lpstr>
      <vt:lpstr>'425'!OSRRefD22_3x_0</vt:lpstr>
      <vt:lpstr>'430'!OSRRefD22_3x_0</vt:lpstr>
      <vt:lpstr>'433'!OSRRefD22_3x_0</vt:lpstr>
      <vt:lpstr>'435'!OSRRefD22_3x_0</vt:lpstr>
      <vt:lpstr>'444'!OSRRefD22_3x_0</vt:lpstr>
      <vt:lpstr>'450'!OSRRefD22_3x_0</vt:lpstr>
      <vt:lpstr>'491'!OSRRefD22_3x_0</vt:lpstr>
      <vt:lpstr>'492'!OSRRefD22_3x_0</vt:lpstr>
      <vt:lpstr>'501'!OSRRefD22_3x_0</vt:lpstr>
      <vt:lpstr>'Div 2'!OSRRefD22_3x_0</vt:lpstr>
      <vt:lpstr>'Div 3'!OSRRefD22_3x_0</vt:lpstr>
      <vt:lpstr>'Div 4'!OSRRefD22_3x_0</vt:lpstr>
      <vt:lpstr>'Div 5'!OSRRefD22_3x_0</vt:lpstr>
      <vt:lpstr>'Div 6'!OSRRefD22_3x_0</vt:lpstr>
      <vt:lpstr>Summary!OSRRefD22_3x_0</vt:lpstr>
      <vt:lpstr>'200'!OSRRefD22_4x_0</vt:lpstr>
      <vt:lpstr>'201'!OSRRefD22_4x_0</vt:lpstr>
      <vt:lpstr>'202'!OSRRefD22_4x_0</vt:lpstr>
      <vt:lpstr>'203'!OSRRefD22_4x_0</vt:lpstr>
      <vt:lpstr>'204'!OSRRefD22_4x_0</vt:lpstr>
      <vt:lpstr>'205'!OSRRefD22_4x_0</vt:lpstr>
      <vt:lpstr>'206'!OSRRefD22_4x_0</vt:lpstr>
      <vt:lpstr>'300'!OSRRefD22_4x_0</vt:lpstr>
      <vt:lpstr>'300 &amp; 317'!OSRRefD22_4x_0</vt:lpstr>
      <vt:lpstr>'301'!OSRRefD22_4x_0</vt:lpstr>
      <vt:lpstr>'306'!OSRRefD22_4x_0</vt:lpstr>
      <vt:lpstr>'307'!OSRRefD22_4x_0</vt:lpstr>
      <vt:lpstr>'308'!OSRRefD22_4x_0</vt:lpstr>
      <vt:lpstr>'309'!OSRRefD22_4x_0</vt:lpstr>
      <vt:lpstr>'310'!OSRRefD22_4x_0</vt:lpstr>
      <vt:lpstr>'310 &amp; 491'!OSRRefD22_4x_0</vt:lpstr>
      <vt:lpstr>'311'!OSRRefD22_4x_0</vt:lpstr>
      <vt:lpstr>'313'!OSRRefD22_4x_0</vt:lpstr>
      <vt:lpstr>'314'!OSRRefD22_4x_0</vt:lpstr>
      <vt:lpstr>'315'!OSRRefD22_4x_0</vt:lpstr>
      <vt:lpstr>'316'!OSRRefD22_4x_0</vt:lpstr>
      <vt:lpstr>'317'!OSRRefD22_4x_0</vt:lpstr>
      <vt:lpstr>'320'!OSRRefD22_4x_0</vt:lpstr>
      <vt:lpstr>'321'!OSRRefD22_4x_0</vt:lpstr>
      <vt:lpstr>'322'!OSRRefD22_4x_0</vt:lpstr>
      <vt:lpstr>'326'!OSRRefD22_4x_0</vt:lpstr>
      <vt:lpstr>'330'!OSRRefD22_4x_0</vt:lpstr>
      <vt:lpstr>'331'!OSRRefD22_4x_0</vt:lpstr>
      <vt:lpstr>'332'!OSRRefD22_4x_0</vt:lpstr>
      <vt:lpstr>'405'!OSRRefD22_4x_0</vt:lpstr>
      <vt:lpstr>'406'!OSRRefD22_4x_0</vt:lpstr>
      <vt:lpstr>'411'!OSRRefD22_4x_0</vt:lpstr>
      <vt:lpstr>'412'!OSRRefD22_4x_0</vt:lpstr>
      <vt:lpstr>'413'!OSRRefD22_4x_0</vt:lpstr>
      <vt:lpstr>'414'!OSRRefD22_4x_0</vt:lpstr>
      <vt:lpstr>'415'!OSRRefD22_4x_0</vt:lpstr>
      <vt:lpstr>'418'!OSRRefD22_4x_0</vt:lpstr>
      <vt:lpstr>'420'!OSRRefD22_4x_0</vt:lpstr>
      <vt:lpstr>'423'!OSRRefD22_4x_0</vt:lpstr>
      <vt:lpstr>'424'!OSRRefD22_4x_0</vt:lpstr>
      <vt:lpstr>'425'!OSRRefD22_4x_0</vt:lpstr>
      <vt:lpstr>'430'!OSRRefD22_4x_0</vt:lpstr>
      <vt:lpstr>'433'!OSRRefD22_4x_0</vt:lpstr>
      <vt:lpstr>'435'!OSRRefD22_4x_0</vt:lpstr>
      <vt:lpstr>'444'!OSRRefD22_4x_0</vt:lpstr>
      <vt:lpstr>'450'!OSRRefD22_4x_0</vt:lpstr>
      <vt:lpstr>'491'!OSRRefD22_4x_0</vt:lpstr>
      <vt:lpstr>'492'!OSRRefD22_4x_0</vt:lpstr>
      <vt:lpstr>'501'!OSRRefD22_4x_0</vt:lpstr>
      <vt:lpstr>'Div 2'!OSRRefD22_4x_0</vt:lpstr>
      <vt:lpstr>'Div 3'!OSRRefD22_4x_0</vt:lpstr>
      <vt:lpstr>'Div 4'!OSRRefD22_4x_0</vt:lpstr>
      <vt:lpstr>'Div 5'!OSRRefD22_4x_0</vt:lpstr>
      <vt:lpstr>'Div 6'!OSRRefD22_4x_0</vt:lpstr>
      <vt:lpstr>Summary!OSRRefD22_4x_0</vt:lpstr>
      <vt:lpstr>'201'!OSRRefD22_5x_0</vt:lpstr>
      <vt:lpstr>'202'!OSRRefD22_5x_0</vt:lpstr>
      <vt:lpstr>'203'!OSRRefD22_5x_0</vt:lpstr>
      <vt:lpstr>'204'!OSRRefD22_5x_0</vt:lpstr>
      <vt:lpstr>'205'!OSRRefD22_5x_0</vt:lpstr>
      <vt:lpstr>'206'!OSRRefD22_5x_0</vt:lpstr>
      <vt:lpstr>'300'!OSRRefD22_5x_0</vt:lpstr>
      <vt:lpstr>'300 &amp; 317'!OSRRefD22_5x_0</vt:lpstr>
      <vt:lpstr>'301'!OSRRefD22_5x_0</vt:lpstr>
      <vt:lpstr>'306'!OSRRefD22_5x_0</vt:lpstr>
      <vt:lpstr>'307'!OSRRefD22_5x_0</vt:lpstr>
      <vt:lpstr>'308'!OSRRefD22_5x_0</vt:lpstr>
      <vt:lpstr>'309'!OSRRefD22_5x_0</vt:lpstr>
      <vt:lpstr>'310'!OSRRefD22_5x_0</vt:lpstr>
      <vt:lpstr>'310 &amp; 491'!OSRRefD22_5x_0</vt:lpstr>
      <vt:lpstr>'311'!OSRRefD22_5x_0</vt:lpstr>
      <vt:lpstr>'313'!OSRRefD22_5x_0</vt:lpstr>
      <vt:lpstr>'314'!OSRRefD22_5x_0</vt:lpstr>
      <vt:lpstr>'315'!OSRRefD22_5x_0</vt:lpstr>
      <vt:lpstr>'316'!OSRRefD22_5x_0</vt:lpstr>
      <vt:lpstr>'317'!OSRRefD22_5x_0</vt:lpstr>
      <vt:lpstr>'320'!OSRRefD22_5x_0</vt:lpstr>
      <vt:lpstr>'321'!OSRRefD22_5x_0</vt:lpstr>
      <vt:lpstr>'322'!OSRRefD22_5x_0</vt:lpstr>
      <vt:lpstr>'326'!OSRRefD22_5x_0</vt:lpstr>
      <vt:lpstr>'330'!OSRRefD22_5x_0</vt:lpstr>
      <vt:lpstr>'331'!OSRRefD22_5x_0</vt:lpstr>
      <vt:lpstr>'332'!OSRRefD22_5x_0</vt:lpstr>
      <vt:lpstr>'405'!OSRRefD22_5x_0</vt:lpstr>
      <vt:lpstr>'406'!OSRRefD22_5x_0</vt:lpstr>
      <vt:lpstr>'411'!OSRRefD22_5x_0</vt:lpstr>
      <vt:lpstr>'412'!OSRRefD22_5x_0</vt:lpstr>
      <vt:lpstr>'413'!OSRRefD22_5x_0</vt:lpstr>
      <vt:lpstr>'414'!OSRRefD22_5x_0</vt:lpstr>
      <vt:lpstr>'415'!OSRRefD22_5x_0</vt:lpstr>
      <vt:lpstr>'418'!OSRRefD22_5x_0</vt:lpstr>
      <vt:lpstr>'420'!OSRRefD22_5x_0</vt:lpstr>
      <vt:lpstr>'423'!OSRRefD22_5x_0</vt:lpstr>
      <vt:lpstr>'424'!OSRRefD22_5x_0</vt:lpstr>
      <vt:lpstr>'425'!OSRRefD22_5x_0</vt:lpstr>
      <vt:lpstr>'430'!OSRRefD22_5x_0</vt:lpstr>
      <vt:lpstr>'433'!OSRRefD22_5x_0</vt:lpstr>
      <vt:lpstr>'435'!OSRRefD22_5x_0</vt:lpstr>
      <vt:lpstr>'444'!OSRRefD22_5x_0</vt:lpstr>
      <vt:lpstr>'450'!OSRRefD22_5x_0</vt:lpstr>
      <vt:lpstr>'491'!OSRRefD22_5x_0</vt:lpstr>
      <vt:lpstr>'492'!OSRRefD22_5x_0</vt:lpstr>
      <vt:lpstr>'501'!OSRRefD22_5x_0</vt:lpstr>
      <vt:lpstr>'Div 2'!OSRRefD22_5x_0</vt:lpstr>
      <vt:lpstr>'Div 3'!OSRRefD22_5x_0</vt:lpstr>
      <vt:lpstr>'Div 4'!OSRRefD22_5x_0</vt:lpstr>
      <vt:lpstr>'Div 5'!OSRRefD22_5x_0</vt:lpstr>
      <vt:lpstr>'Div 6'!OSRRefD22_5x_0</vt:lpstr>
      <vt:lpstr>Summary!OSRRefD22_5x_0</vt:lpstr>
      <vt:lpstr>'201'!OSRRefD22_6x_0</vt:lpstr>
      <vt:lpstr>'202'!OSRRefD22_6x_0</vt:lpstr>
      <vt:lpstr>'203'!OSRRefD22_6x_0</vt:lpstr>
      <vt:lpstr>'204'!OSRRefD22_6x_0</vt:lpstr>
      <vt:lpstr>'205'!OSRRefD22_6x_0</vt:lpstr>
      <vt:lpstr>'206'!OSRRefD22_6x_0</vt:lpstr>
      <vt:lpstr>'300'!OSRRefD22_6x_0</vt:lpstr>
      <vt:lpstr>'300 &amp; 317'!OSRRefD22_6x_0</vt:lpstr>
      <vt:lpstr>'301'!OSRRefD22_6x_0</vt:lpstr>
      <vt:lpstr>'306'!OSRRefD22_6x_0</vt:lpstr>
      <vt:lpstr>'307'!OSRRefD22_6x_0</vt:lpstr>
      <vt:lpstr>'308'!OSRRefD22_6x_0</vt:lpstr>
      <vt:lpstr>'309'!OSRRefD22_6x_0</vt:lpstr>
      <vt:lpstr>'310'!OSRRefD22_6x_0</vt:lpstr>
      <vt:lpstr>'310 &amp; 491'!OSRRefD22_6x_0</vt:lpstr>
      <vt:lpstr>'311'!OSRRefD22_6x_0</vt:lpstr>
      <vt:lpstr>'313'!OSRRefD22_6x_0</vt:lpstr>
      <vt:lpstr>'314'!OSRRefD22_6x_0</vt:lpstr>
      <vt:lpstr>'315'!OSRRefD22_6x_0</vt:lpstr>
      <vt:lpstr>'316'!OSRRefD22_6x_0</vt:lpstr>
      <vt:lpstr>'317'!OSRRefD22_6x_0</vt:lpstr>
      <vt:lpstr>'320'!OSRRefD22_6x_0</vt:lpstr>
      <vt:lpstr>'321'!OSRRefD22_6x_0</vt:lpstr>
      <vt:lpstr>'322'!OSRRefD22_6x_0</vt:lpstr>
      <vt:lpstr>'326'!OSRRefD22_6x_0</vt:lpstr>
      <vt:lpstr>'330'!OSRRefD22_6x_0</vt:lpstr>
      <vt:lpstr>'331'!OSRRefD22_6x_0</vt:lpstr>
      <vt:lpstr>'332'!OSRRefD22_6x_0</vt:lpstr>
      <vt:lpstr>'405'!OSRRefD22_6x_0</vt:lpstr>
      <vt:lpstr>'406'!OSRRefD22_6x_0</vt:lpstr>
      <vt:lpstr>'411'!OSRRefD22_6x_0</vt:lpstr>
      <vt:lpstr>'412'!OSRRefD22_6x_0</vt:lpstr>
      <vt:lpstr>'413'!OSRRefD22_6x_0</vt:lpstr>
      <vt:lpstr>'414'!OSRRefD22_6x_0</vt:lpstr>
      <vt:lpstr>'415'!OSRRefD22_6x_0</vt:lpstr>
      <vt:lpstr>'418'!OSRRefD22_6x_0</vt:lpstr>
      <vt:lpstr>'420'!OSRRefD22_6x_0</vt:lpstr>
      <vt:lpstr>'423'!OSRRefD22_6x_0</vt:lpstr>
      <vt:lpstr>'424'!OSRRefD22_6x_0</vt:lpstr>
      <vt:lpstr>'425'!OSRRefD22_6x_0</vt:lpstr>
      <vt:lpstr>'430'!OSRRefD22_6x_0</vt:lpstr>
      <vt:lpstr>'433'!OSRRefD22_6x_0</vt:lpstr>
      <vt:lpstr>'435'!OSRRefD22_6x_0</vt:lpstr>
      <vt:lpstr>'444'!OSRRefD22_6x_0</vt:lpstr>
      <vt:lpstr>'450'!OSRRefD22_6x_0</vt:lpstr>
      <vt:lpstr>'491'!OSRRefD22_6x_0</vt:lpstr>
      <vt:lpstr>'492'!OSRRefD22_6x_0</vt:lpstr>
      <vt:lpstr>'501'!OSRRefD22_6x_0</vt:lpstr>
      <vt:lpstr>'Div 2'!OSRRefD22_6x_0</vt:lpstr>
      <vt:lpstr>'Div 3'!OSRRefD22_6x_0</vt:lpstr>
      <vt:lpstr>'Div 4'!OSRRefD22_6x_0</vt:lpstr>
      <vt:lpstr>'Div 5'!OSRRefD22_6x_0</vt:lpstr>
      <vt:lpstr>'Div 6'!OSRRefD22_6x_0</vt:lpstr>
      <vt:lpstr>Summary!OSRRefD22_6x_0</vt:lpstr>
      <vt:lpstr>'201'!OSRRefD22_7x_0</vt:lpstr>
      <vt:lpstr>'202'!OSRRefD22_7x_0</vt:lpstr>
      <vt:lpstr>'203'!OSRRefD22_7x_0</vt:lpstr>
      <vt:lpstr>'204'!OSRRefD22_7x_0</vt:lpstr>
      <vt:lpstr>'205'!OSRRefD22_7x_0</vt:lpstr>
      <vt:lpstr>'206'!OSRRefD22_7x_0</vt:lpstr>
      <vt:lpstr>'300'!OSRRefD22_7x_0</vt:lpstr>
      <vt:lpstr>'300 &amp; 317'!OSRRefD22_7x_0</vt:lpstr>
      <vt:lpstr>'301'!OSRRefD22_7x_0</vt:lpstr>
      <vt:lpstr>'306'!OSRRefD22_7x_0</vt:lpstr>
      <vt:lpstr>'307'!OSRRefD22_7x_0</vt:lpstr>
      <vt:lpstr>'308'!OSRRefD22_7x_0</vt:lpstr>
      <vt:lpstr>'309'!OSRRefD22_7x_0</vt:lpstr>
      <vt:lpstr>'310'!OSRRefD22_7x_0</vt:lpstr>
      <vt:lpstr>'310 &amp; 491'!OSRRefD22_7x_0</vt:lpstr>
      <vt:lpstr>'311'!OSRRefD22_7x_0</vt:lpstr>
      <vt:lpstr>'313'!OSRRefD22_7x_0</vt:lpstr>
      <vt:lpstr>'314'!OSRRefD22_7x_0</vt:lpstr>
      <vt:lpstr>'315'!OSRRefD22_7x_0</vt:lpstr>
      <vt:lpstr>'316'!OSRRefD22_7x_0</vt:lpstr>
      <vt:lpstr>'317'!OSRRefD22_7x_0</vt:lpstr>
      <vt:lpstr>'320'!OSRRefD22_7x_0</vt:lpstr>
      <vt:lpstr>'321'!OSRRefD22_7x_0</vt:lpstr>
      <vt:lpstr>'322'!OSRRefD22_7x_0</vt:lpstr>
      <vt:lpstr>'326'!OSRRefD22_7x_0</vt:lpstr>
      <vt:lpstr>'330'!OSRRefD22_7x_0</vt:lpstr>
      <vt:lpstr>'331'!OSRRefD22_7x_0</vt:lpstr>
      <vt:lpstr>'332'!OSRRefD22_7x_0</vt:lpstr>
      <vt:lpstr>'405'!OSRRefD22_7x_0</vt:lpstr>
      <vt:lpstr>'406'!OSRRefD22_7x_0</vt:lpstr>
      <vt:lpstr>'411'!OSRRefD22_7x_0</vt:lpstr>
      <vt:lpstr>'412'!OSRRefD22_7x_0</vt:lpstr>
      <vt:lpstr>'413'!OSRRefD22_7x_0</vt:lpstr>
      <vt:lpstr>'414'!OSRRefD22_7x_0</vt:lpstr>
      <vt:lpstr>'415'!OSRRefD22_7x_0</vt:lpstr>
      <vt:lpstr>'418'!OSRRefD22_7x_0</vt:lpstr>
      <vt:lpstr>'420'!OSRRefD22_7x_0</vt:lpstr>
      <vt:lpstr>'424'!OSRRefD22_7x_0</vt:lpstr>
      <vt:lpstr>'425'!OSRRefD22_7x_0</vt:lpstr>
      <vt:lpstr>'430'!OSRRefD22_7x_0</vt:lpstr>
      <vt:lpstr>'433'!OSRRefD22_7x_0</vt:lpstr>
      <vt:lpstr>'435'!OSRRefD22_7x_0</vt:lpstr>
      <vt:lpstr>'444'!OSRRefD22_7x_0</vt:lpstr>
      <vt:lpstr>'450'!OSRRefD22_7x_0</vt:lpstr>
      <vt:lpstr>'491'!OSRRefD22_7x_0</vt:lpstr>
      <vt:lpstr>'492'!OSRRefD22_7x_0</vt:lpstr>
      <vt:lpstr>'501'!OSRRefD22_7x_0</vt:lpstr>
      <vt:lpstr>'Div 2'!OSRRefD22_7x_0</vt:lpstr>
      <vt:lpstr>'Div 3'!OSRRefD22_7x_0</vt:lpstr>
      <vt:lpstr>'Div 4'!OSRRefD22_7x_0</vt:lpstr>
      <vt:lpstr>'Div 5'!OSRRefD22_7x_0</vt:lpstr>
      <vt:lpstr>'Div 6'!OSRRefD22_7x_0</vt:lpstr>
      <vt:lpstr>Summary!OSRRefD22_7x_0</vt:lpstr>
      <vt:lpstr>'201'!OSRRefD22_8x_0</vt:lpstr>
      <vt:lpstr>'202'!OSRRefD22_8x_0</vt:lpstr>
      <vt:lpstr>'203'!OSRRefD22_8x_0</vt:lpstr>
      <vt:lpstr>'204'!OSRRefD22_8x_0</vt:lpstr>
      <vt:lpstr>'205'!OSRRefD22_8x_0</vt:lpstr>
      <vt:lpstr>'206'!OSRRefD22_8x_0</vt:lpstr>
      <vt:lpstr>'300'!OSRRefD22_8x_0</vt:lpstr>
      <vt:lpstr>'300 &amp; 317'!OSRRefD22_8x_0</vt:lpstr>
      <vt:lpstr>'301'!OSRRefD22_8x_0</vt:lpstr>
      <vt:lpstr>'306'!OSRRefD22_8x_0</vt:lpstr>
      <vt:lpstr>'307'!OSRRefD22_8x_0</vt:lpstr>
      <vt:lpstr>'308'!OSRRefD22_8x_0</vt:lpstr>
      <vt:lpstr>'309'!OSRRefD22_8x_0</vt:lpstr>
      <vt:lpstr>'310'!OSRRefD22_8x_0</vt:lpstr>
      <vt:lpstr>'310 &amp; 491'!OSRRefD22_8x_0</vt:lpstr>
      <vt:lpstr>'311'!OSRRefD22_8x_0</vt:lpstr>
      <vt:lpstr>'313'!OSRRefD22_8x_0</vt:lpstr>
      <vt:lpstr>'314'!OSRRefD22_8x_0</vt:lpstr>
      <vt:lpstr>'315'!OSRRefD22_8x_0</vt:lpstr>
      <vt:lpstr>'316'!OSRRefD22_8x_0</vt:lpstr>
      <vt:lpstr>'317'!OSRRefD22_8x_0</vt:lpstr>
      <vt:lpstr>'320'!OSRRefD22_8x_0</vt:lpstr>
      <vt:lpstr>'321'!OSRRefD22_8x_0</vt:lpstr>
      <vt:lpstr>'322'!OSRRefD22_8x_0</vt:lpstr>
      <vt:lpstr>'326'!OSRRefD22_8x_0</vt:lpstr>
      <vt:lpstr>'330'!OSRRefD22_8x_0</vt:lpstr>
      <vt:lpstr>'331'!OSRRefD22_8x_0</vt:lpstr>
      <vt:lpstr>'332'!OSRRefD22_8x_0</vt:lpstr>
      <vt:lpstr>'405'!OSRRefD22_8x_0</vt:lpstr>
      <vt:lpstr>'406'!OSRRefD22_8x_0</vt:lpstr>
      <vt:lpstr>'411'!OSRRefD22_8x_0</vt:lpstr>
      <vt:lpstr>'412'!OSRRefD22_8x_0</vt:lpstr>
      <vt:lpstr>'413'!OSRRefD22_8x_0</vt:lpstr>
      <vt:lpstr>'414'!OSRRefD22_8x_0</vt:lpstr>
      <vt:lpstr>'415'!OSRRefD22_8x_0</vt:lpstr>
      <vt:lpstr>'418'!OSRRefD22_8x_0</vt:lpstr>
      <vt:lpstr>'424'!OSRRefD22_8x_0</vt:lpstr>
      <vt:lpstr>'425'!OSRRefD22_8x_0</vt:lpstr>
      <vt:lpstr>'430'!OSRRefD22_8x_0</vt:lpstr>
      <vt:lpstr>'433'!OSRRefD22_8x_0</vt:lpstr>
      <vt:lpstr>'435'!OSRRefD22_8x_0</vt:lpstr>
      <vt:lpstr>'444'!OSRRefD22_8x_0</vt:lpstr>
      <vt:lpstr>'450'!OSRRefD22_8x_0</vt:lpstr>
      <vt:lpstr>'491'!OSRRefD22_8x_0</vt:lpstr>
      <vt:lpstr>'492'!OSRRefD22_8x_0</vt:lpstr>
      <vt:lpstr>'501'!OSRRefD22_8x_0</vt:lpstr>
      <vt:lpstr>'Div 2'!OSRRefD22_8x_0</vt:lpstr>
      <vt:lpstr>'Div 3'!OSRRefD22_8x_0</vt:lpstr>
      <vt:lpstr>'Div 4'!OSRRefD22_8x_0</vt:lpstr>
      <vt:lpstr>'Div 5'!OSRRefD22_8x_0</vt:lpstr>
      <vt:lpstr>'Div 6'!OSRRefD22_8x_0</vt:lpstr>
      <vt:lpstr>Summary!OSRRefD22_8x_0</vt:lpstr>
      <vt:lpstr>'201'!OSRRefD22_9x_0</vt:lpstr>
      <vt:lpstr>'202'!OSRRefD22_9x_0</vt:lpstr>
      <vt:lpstr>'203'!OSRRefD22_9x_0</vt:lpstr>
      <vt:lpstr>'204'!OSRRefD22_9x_0</vt:lpstr>
      <vt:lpstr>'205'!OSRRefD22_9x_0</vt:lpstr>
      <vt:lpstr>'206'!OSRRefD22_9x_0</vt:lpstr>
      <vt:lpstr>'300'!OSRRefD22_9x_0</vt:lpstr>
      <vt:lpstr>'300 &amp; 317'!OSRRefD22_9x_0</vt:lpstr>
      <vt:lpstr>'301'!OSRRefD22_9x_0</vt:lpstr>
      <vt:lpstr>'306'!OSRRefD22_9x_0</vt:lpstr>
      <vt:lpstr>'307'!OSRRefD22_9x_0</vt:lpstr>
      <vt:lpstr>'308'!OSRRefD22_9x_0</vt:lpstr>
      <vt:lpstr>'309'!OSRRefD22_9x_0</vt:lpstr>
      <vt:lpstr>'310'!OSRRefD22_9x_0</vt:lpstr>
      <vt:lpstr>'310 &amp; 491'!OSRRefD22_9x_0</vt:lpstr>
      <vt:lpstr>'311'!OSRRefD22_9x_0</vt:lpstr>
      <vt:lpstr>'313'!OSRRefD22_9x_0</vt:lpstr>
      <vt:lpstr>'314'!OSRRefD22_9x_0</vt:lpstr>
      <vt:lpstr>'315'!OSRRefD22_9x_0</vt:lpstr>
      <vt:lpstr>'316'!OSRRefD22_9x_0</vt:lpstr>
      <vt:lpstr>'317'!OSRRefD22_9x_0</vt:lpstr>
      <vt:lpstr>'321'!OSRRefD22_9x_0</vt:lpstr>
      <vt:lpstr>'322'!OSRRefD22_9x_0</vt:lpstr>
      <vt:lpstr>'326'!OSRRefD22_9x_0</vt:lpstr>
      <vt:lpstr>'330'!OSRRefD22_9x_0</vt:lpstr>
      <vt:lpstr>'331'!OSRRefD22_9x_0</vt:lpstr>
      <vt:lpstr>'332'!OSRRefD22_9x_0</vt:lpstr>
      <vt:lpstr>'405'!OSRRefD22_9x_0</vt:lpstr>
      <vt:lpstr>'406'!OSRRefD22_9x_0</vt:lpstr>
      <vt:lpstr>'411'!OSRRefD22_9x_0</vt:lpstr>
      <vt:lpstr>'412'!OSRRefD22_9x_0</vt:lpstr>
      <vt:lpstr>'413'!OSRRefD22_9x_0</vt:lpstr>
      <vt:lpstr>'414'!OSRRefD22_9x_0</vt:lpstr>
      <vt:lpstr>'415'!OSRRefD22_9x_0</vt:lpstr>
      <vt:lpstr>'418'!OSRRefD22_9x_0</vt:lpstr>
      <vt:lpstr>'424'!OSRRefD22_9x_0</vt:lpstr>
      <vt:lpstr>'425'!OSRRefD22_9x_0</vt:lpstr>
      <vt:lpstr>'430'!OSRRefD22_9x_0</vt:lpstr>
      <vt:lpstr>'433'!OSRRefD22_9x_0</vt:lpstr>
      <vt:lpstr>'444'!OSRRefD22_9x_0</vt:lpstr>
      <vt:lpstr>'450'!OSRRefD22_9x_0</vt:lpstr>
      <vt:lpstr>'491'!OSRRefD22_9x_0</vt:lpstr>
      <vt:lpstr>'492'!OSRRefD22_9x_0</vt:lpstr>
      <vt:lpstr>'501'!OSRRefD22_9x_0</vt:lpstr>
      <vt:lpstr>'Div 2'!OSRRefD22_9x_0</vt:lpstr>
      <vt:lpstr>'Div 3'!OSRRefD22_9x_0</vt:lpstr>
      <vt:lpstr>'Div 4'!OSRRefD22_9x_0</vt:lpstr>
      <vt:lpstr>'Div 5'!OSRRefD22_9x_0</vt:lpstr>
      <vt:lpstr>'Div 6'!OSRRefD22_9x_0</vt:lpstr>
      <vt:lpstr>Summary!OSRRefD22_9x_0</vt:lpstr>
      <vt:lpstr>'200'!OSRRefD22x_0</vt:lpstr>
      <vt:lpstr>'201'!OSRRefD22x_0</vt:lpstr>
      <vt:lpstr>'202'!OSRRefD22x_0</vt:lpstr>
      <vt:lpstr>'203'!OSRRefD22x_0</vt:lpstr>
      <vt:lpstr>'204'!OSRRefD22x_0</vt:lpstr>
      <vt:lpstr>'205'!OSRRefD22x_0</vt:lpstr>
      <vt:lpstr>'206'!OSRRefD22x_0</vt:lpstr>
      <vt:lpstr>'300'!OSRRefD22x_0</vt:lpstr>
      <vt:lpstr>'300 &amp; 317'!OSRRefD22x_0</vt:lpstr>
      <vt:lpstr>'301'!OSRRefD22x_0</vt:lpstr>
      <vt:lpstr>'306'!OSRRefD22x_0</vt:lpstr>
      <vt:lpstr>'307'!OSRRefD22x_0</vt:lpstr>
      <vt:lpstr>'308'!OSRRefD22x_0</vt:lpstr>
      <vt:lpstr>'309'!OSRRefD22x_0</vt:lpstr>
      <vt:lpstr>'310'!OSRRefD22x_0</vt:lpstr>
      <vt:lpstr>'310 &amp; 491'!OSRRefD22x_0</vt:lpstr>
      <vt:lpstr>'311'!OSRRefD22x_0</vt:lpstr>
      <vt:lpstr>'313'!OSRRefD22x_0</vt:lpstr>
      <vt:lpstr>'314'!OSRRefD22x_0</vt:lpstr>
      <vt:lpstr>'315'!OSRRefD22x_0</vt:lpstr>
      <vt:lpstr>'316'!OSRRefD22x_0</vt:lpstr>
      <vt:lpstr>'317'!OSRRefD22x_0</vt:lpstr>
      <vt:lpstr>'320'!OSRRefD22x_0</vt:lpstr>
      <vt:lpstr>'321'!OSRRefD22x_0</vt:lpstr>
      <vt:lpstr>'322'!OSRRefD22x_0</vt:lpstr>
      <vt:lpstr>'326'!OSRRefD22x_0</vt:lpstr>
      <vt:lpstr>'327'!OSRRefD22x_0</vt:lpstr>
      <vt:lpstr>'330'!OSRRefD22x_0</vt:lpstr>
      <vt:lpstr>'331'!OSRRefD22x_0</vt:lpstr>
      <vt:lpstr>'332'!OSRRefD22x_0</vt:lpstr>
      <vt:lpstr>'405'!OSRRefD22x_0</vt:lpstr>
      <vt:lpstr>'406'!OSRRefD22x_0</vt:lpstr>
      <vt:lpstr>'411'!OSRRefD22x_0</vt:lpstr>
      <vt:lpstr>'412'!OSRRefD22x_0</vt:lpstr>
      <vt:lpstr>'413'!OSRRefD22x_0</vt:lpstr>
      <vt:lpstr>'414'!OSRRefD22x_0</vt:lpstr>
      <vt:lpstr>'415'!OSRRefD22x_0</vt:lpstr>
      <vt:lpstr>'418'!OSRRefD22x_0</vt:lpstr>
      <vt:lpstr>'420'!OSRRefD22x_0</vt:lpstr>
      <vt:lpstr>'423'!OSRRefD22x_0</vt:lpstr>
      <vt:lpstr>'424'!OSRRefD22x_0</vt:lpstr>
      <vt:lpstr>'425'!OSRRefD22x_0</vt:lpstr>
      <vt:lpstr>'430'!OSRRefD22x_0</vt:lpstr>
      <vt:lpstr>'433'!OSRRefD22x_0</vt:lpstr>
      <vt:lpstr>'435'!OSRRefD22x_0</vt:lpstr>
      <vt:lpstr>'444'!OSRRefD22x_0</vt:lpstr>
      <vt:lpstr>'450'!OSRRefD22x_0</vt:lpstr>
      <vt:lpstr>'455'!OSRRefD22x_0</vt:lpstr>
      <vt:lpstr>'491'!OSRRefD22x_0</vt:lpstr>
      <vt:lpstr>'492'!OSRRefD22x_0</vt:lpstr>
      <vt:lpstr>'501'!OSRRefD22x_0</vt:lpstr>
      <vt:lpstr>'Div 2'!OSRRefD22x_0</vt:lpstr>
      <vt:lpstr>'Div 3'!OSRRefD22x_0</vt:lpstr>
      <vt:lpstr>'Div 4'!OSRRefD22x_0</vt:lpstr>
      <vt:lpstr>'Div 5'!OSRRefD22x_0</vt:lpstr>
      <vt:lpstr>'Div 6'!OSRRefD22x_0</vt:lpstr>
      <vt:lpstr>Summary!OSRRefD22x_0</vt:lpstr>
      <vt:lpstr>'300'!OSRRefD25x_0</vt:lpstr>
      <vt:lpstr>'300 &amp; 317'!OSRRefD25x_0</vt:lpstr>
      <vt:lpstr>'301'!OSRRefD25x_0</vt:lpstr>
      <vt:lpstr>'307'!OSRRefD25x_0</vt:lpstr>
      <vt:lpstr>'308'!OSRRefD25x_0</vt:lpstr>
      <vt:lpstr>'310 &amp; 491'!OSRRefD25x_0</vt:lpstr>
      <vt:lpstr>'311'!OSRRefD25x_0</vt:lpstr>
      <vt:lpstr>'315'!OSRRefD25x_0</vt:lpstr>
      <vt:lpstr>'316'!OSRRefD25x_0</vt:lpstr>
      <vt:lpstr>'317'!OSRRefD25x_0</vt:lpstr>
      <vt:lpstr>'320'!OSRRefD25x_0</vt:lpstr>
      <vt:lpstr>'330'!OSRRefD25x_0</vt:lpstr>
      <vt:lpstr>'331'!OSRRefD25x_0</vt:lpstr>
      <vt:lpstr>'332'!OSRRefD25x_0</vt:lpstr>
      <vt:lpstr>'411'!OSRRefD25x_0</vt:lpstr>
      <vt:lpstr>'413'!OSRRefD25x_0</vt:lpstr>
      <vt:lpstr>'415'!OSRRefD25x_0</vt:lpstr>
      <vt:lpstr>'423'!OSRRefD25x_0</vt:lpstr>
      <vt:lpstr>'424'!OSRRefD25x_0</vt:lpstr>
      <vt:lpstr>'425'!OSRRefD25x_0</vt:lpstr>
      <vt:lpstr>'455'!OSRRefD25x_0</vt:lpstr>
      <vt:lpstr>'491'!OSRRefD25x_0</vt:lpstr>
      <vt:lpstr>'501'!OSRRefD25x_0</vt:lpstr>
      <vt:lpstr>'Div 3'!OSRRefD25x_0</vt:lpstr>
      <vt:lpstr>'Div 4'!OSRRefD25x_0</vt:lpstr>
      <vt:lpstr>'Div 5'!OSRRefD25x_0</vt:lpstr>
      <vt:lpstr>'Div 6'!OSRRefD25x_0</vt:lpstr>
      <vt:lpstr>Summary!OSRRefD25x_0</vt:lpstr>
      <vt:lpstr>'204'!OSRRefH13x_0</vt:lpstr>
      <vt:lpstr>'300'!OSRRefH13x_0</vt:lpstr>
      <vt:lpstr>'300 &amp; 317'!OSRRefH13x_0</vt:lpstr>
      <vt:lpstr>'307'!OSRRefH13x_0</vt:lpstr>
      <vt:lpstr>'308'!OSRRefH13x_0</vt:lpstr>
      <vt:lpstr>'309'!OSRRefH13x_0</vt:lpstr>
      <vt:lpstr>'310'!OSRRefH13x_0</vt:lpstr>
      <vt:lpstr>'310 &amp; 491'!OSRRefH13x_0</vt:lpstr>
      <vt:lpstr>'311'!OSRRefH13x_0</vt:lpstr>
      <vt:lpstr>'313'!OSRRefH13x_0</vt:lpstr>
      <vt:lpstr>'314'!OSRRefH13x_0</vt:lpstr>
      <vt:lpstr>'315'!OSRRefH13x_0</vt:lpstr>
      <vt:lpstr>'316'!OSRRefH13x_0</vt:lpstr>
      <vt:lpstr>'317'!OSRRefH13x_0</vt:lpstr>
      <vt:lpstr>'320'!OSRRefH13x_0</vt:lpstr>
      <vt:lpstr>'321'!OSRRefH13x_0</vt:lpstr>
      <vt:lpstr>'322'!OSRRefH13x_0</vt:lpstr>
      <vt:lpstr>'324'!OSRRefH13x_0</vt:lpstr>
      <vt:lpstr>'326'!OSRRefH13x_0</vt:lpstr>
      <vt:lpstr>'327'!OSRRefH13x_0</vt:lpstr>
      <vt:lpstr>'330'!OSRRefH13x_0</vt:lpstr>
      <vt:lpstr>'331'!OSRRefH13x_0</vt:lpstr>
      <vt:lpstr>'332'!OSRRefH13x_0</vt:lpstr>
      <vt:lpstr>'405'!OSRRefH13x_0</vt:lpstr>
      <vt:lpstr>'406'!OSRRefH13x_0</vt:lpstr>
      <vt:lpstr>'412'!OSRRefH13x_0</vt:lpstr>
      <vt:lpstr>'413'!OSRRefH13x_0</vt:lpstr>
      <vt:lpstr>'414'!OSRRefH13x_0</vt:lpstr>
      <vt:lpstr>'415'!OSRRefH13x_0</vt:lpstr>
      <vt:lpstr>'418'!OSRRefH13x_0</vt:lpstr>
      <vt:lpstr>'420'!OSRRefH13x_0</vt:lpstr>
      <vt:lpstr>'424'!OSRRefH13x_0</vt:lpstr>
      <vt:lpstr>'425'!OSRRefH13x_0</vt:lpstr>
      <vt:lpstr>'433'!OSRRefH13x_0</vt:lpstr>
      <vt:lpstr>'435'!OSRRefH13x_0</vt:lpstr>
      <vt:lpstr>'444'!OSRRefH13x_0</vt:lpstr>
      <vt:lpstr>'450'!OSRRefH13x_0</vt:lpstr>
      <vt:lpstr>'491'!OSRRefH13x_0</vt:lpstr>
      <vt:lpstr>'492'!OSRRefH13x_0</vt:lpstr>
      <vt:lpstr>'501'!OSRRefH13x_0</vt:lpstr>
      <vt:lpstr>'Div 2'!OSRRefH13x_0</vt:lpstr>
      <vt:lpstr>'Div 3'!OSRRefH13x_0</vt:lpstr>
      <vt:lpstr>'Div 4'!OSRRefH13x_0</vt:lpstr>
      <vt:lpstr>'Div 5'!OSRRefH13x_0</vt:lpstr>
      <vt:lpstr>'Div 6'!OSRRefH13x_0</vt:lpstr>
      <vt:lpstr>Summary!OSRRefH13x_0</vt:lpstr>
      <vt:lpstr>'300'!OSRRefH16x_0</vt:lpstr>
      <vt:lpstr>'300 &amp; 317'!OSRRefH16x_0</vt:lpstr>
      <vt:lpstr>'307'!OSRRefH16x_0</vt:lpstr>
      <vt:lpstr>'308'!OSRRefH16x_0</vt:lpstr>
      <vt:lpstr>'309'!OSRRefH16x_0</vt:lpstr>
      <vt:lpstr>'310'!OSRRefH16x_0</vt:lpstr>
      <vt:lpstr>'310 &amp; 491'!OSRRefH16x_0</vt:lpstr>
      <vt:lpstr>'311'!OSRRefH16x_0</vt:lpstr>
      <vt:lpstr>'313'!OSRRefH16x_0</vt:lpstr>
      <vt:lpstr>'314'!OSRRefH16x_0</vt:lpstr>
      <vt:lpstr>'315'!OSRRefH16x_0</vt:lpstr>
      <vt:lpstr>'317'!OSRRefH16x_0</vt:lpstr>
      <vt:lpstr>'320'!OSRRefH16x_0</vt:lpstr>
      <vt:lpstr>'321'!OSRRefH16x_0</vt:lpstr>
      <vt:lpstr>'322'!OSRRefH16x_0</vt:lpstr>
      <vt:lpstr>'324'!OSRRefH16x_0</vt:lpstr>
      <vt:lpstr>'326'!OSRRefH16x_0</vt:lpstr>
      <vt:lpstr>'327'!OSRRefH16x_0</vt:lpstr>
      <vt:lpstr>'330'!OSRRefH16x_0</vt:lpstr>
      <vt:lpstr>'331'!OSRRefH16x_0</vt:lpstr>
      <vt:lpstr>'332'!OSRRefH16x_0</vt:lpstr>
      <vt:lpstr>'405'!OSRRefH16x_0</vt:lpstr>
      <vt:lpstr>'406'!OSRRefH16x_0</vt:lpstr>
      <vt:lpstr>'412'!OSRRefH16x_0</vt:lpstr>
      <vt:lpstr>'413'!OSRRefH16x_0</vt:lpstr>
      <vt:lpstr>'414'!OSRRefH16x_0</vt:lpstr>
      <vt:lpstr>'415'!OSRRefH16x_0</vt:lpstr>
      <vt:lpstr>'418'!OSRRefH16x_0</vt:lpstr>
      <vt:lpstr>'420'!OSRRefH16x_0</vt:lpstr>
      <vt:lpstr>'423'!OSRRefH16x_0</vt:lpstr>
      <vt:lpstr>'424'!OSRRefH16x_0</vt:lpstr>
      <vt:lpstr>'425'!OSRRefH16x_0</vt:lpstr>
      <vt:lpstr>'433'!OSRRefH16x_0</vt:lpstr>
      <vt:lpstr>'435'!OSRRefH16x_0</vt:lpstr>
      <vt:lpstr>'444'!OSRRefH16x_0</vt:lpstr>
      <vt:lpstr>'450'!OSRRefH16x_0</vt:lpstr>
      <vt:lpstr>'491'!OSRRefH16x_0</vt:lpstr>
      <vt:lpstr>'492'!OSRRefH16x_0</vt:lpstr>
      <vt:lpstr>'Div 3'!OSRRefH16x_0</vt:lpstr>
      <vt:lpstr>'Div 4'!OSRRefH16x_0</vt:lpstr>
      <vt:lpstr>'Div 6'!OSRRefH16x_0</vt:lpstr>
      <vt:lpstr>Summary!OSRRefH16x_0</vt:lpstr>
      <vt:lpstr>'200'!OSRRefH22_0x_0</vt:lpstr>
      <vt:lpstr>'201'!OSRRefH22_0x_0</vt:lpstr>
      <vt:lpstr>'202'!OSRRefH22_0x_0</vt:lpstr>
      <vt:lpstr>'203'!OSRRefH22_0x_0</vt:lpstr>
      <vt:lpstr>'204'!OSRRefH22_0x_0</vt:lpstr>
      <vt:lpstr>'205'!OSRRefH22_0x_0</vt:lpstr>
      <vt:lpstr>'206'!OSRRefH22_0x_0</vt:lpstr>
      <vt:lpstr>'300'!OSRRefH22_0x_0</vt:lpstr>
      <vt:lpstr>'300 &amp; 317'!OSRRefH22_0x_0</vt:lpstr>
      <vt:lpstr>'301'!OSRRefH22_0x_0</vt:lpstr>
      <vt:lpstr>'306'!OSRRefH22_0x_0</vt:lpstr>
      <vt:lpstr>'307'!OSRRefH22_0x_0</vt:lpstr>
      <vt:lpstr>'308'!OSRRefH22_0x_0</vt:lpstr>
      <vt:lpstr>'309'!OSRRefH22_0x_0</vt:lpstr>
      <vt:lpstr>'310'!OSRRefH22_0x_0</vt:lpstr>
      <vt:lpstr>'310 &amp; 491'!OSRRefH22_0x_0</vt:lpstr>
      <vt:lpstr>'311'!OSRRefH22_0x_0</vt:lpstr>
      <vt:lpstr>'313'!OSRRefH22_0x_0</vt:lpstr>
      <vt:lpstr>'314'!OSRRefH22_0x_0</vt:lpstr>
      <vt:lpstr>'315'!OSRRefH22_0x_0</vt:lpstr>
      <vt:lpstr>'316'!OSRRefH22_0x_0</vt:lpstr>
      <vt:lpstr>'317'!OSRRefH22_0x_0</vt:lpstr>
      <vt:lpstr>'320'!OSRRefH22_0x_0</vt:lpstr>
      <vt:lpstr>'321'!OSRRefH22_0x_0</vt:lpstr>
      <vt:lpstr>'322'!OSRRefH22_0x_0</vt:lpstr>
      <vt:lpstr>'326'!OSRRefH22_0x_0</vt:lpstr>
      <vt:lpstr>'327'!OSRRefH22_0x_0</vt:lpstr>
      <vt:lpstr>'330'!OSRRefH22_0x_0</vt:lpstr>
      <vt:lpstr>'331'!OSRRefH22_0x_0</vt:lpstr>
      <vt:lpstr>'332'!OSRRefH22_0x_0</vt:lpstr>
      <vt:lpstr>'405'!OSRRefH22_0x_0</vt:lpstr>
      <vt:lpstr>'406'!OSRRefH22_0x_0</vt:lpstr>
      <vt:lpstr>'411'!OSRRefH22_0x_0</vt:lpstr>
      <vt:lpstr>'412'!OSRRefH22_0x_0</vt:lpstr>
      <vt:lpstr>'413'!OSRRefH22_0x_0</vt:lpstr>
      <vt:lpstr>'414'!OSRRefH22_0x_0</vt:lpstr>
      <vt:lpstr>'415'!OSRRefH22_0x_0</vt:lpstr>
      <vt:lpstr>'418'!OSRRefH22_0x_0</vt:lpstr>
      <vt:lpstr>'420'!OSRRefH22_0x_0</vt:lpstr>
      <vt:lpstr>'423'!OSRRefH22_0x_0</vt:lpstr>
      <vt:lpstr>'424'!OSRRefH22_0x_0</vt:lpstr>
      <vt:lpstr>'425'!OSRRefH22_0x_0</vt:lpstr>
      <vt:lpstr>'430'!OSRRefH22_0x_0</vt:lpstr>
      <vt:lpstr>'433'!OSRRefH22_0x_0</vt:lpstr>
      <vt:lpstr>'435'!OSRRefH22_0x_0</vt:lpstr>
      <vt:lpstr>'444'!OSRRefH22_0x_0</vt:lpstr>
      <vt:lpstr>'450'!OSRRefH22_0x_0</vt:lpstr>
      <vt:lpstr>'455'!OSRRefH22_0x_0</vt:lpstr>
      <vt:lpstr>'491'!OSRRefH22_0x_0</vt:lpstr>
      <vt:lpstr>'492'!OSRRefH22_0x_0</vt:lpstr>
      <vt:lpstr>'501'!OSRRefH22_0x_0</vt:lpstr>
      <vt:lpstr>'Div 2'!OSRRefH22_0x_0</vt:lpstr>
      <vt:lpstr>'Div 3'!OSRRefH22_0x_0</vt:lpstr>
      <vt:lpstr>'Div 4'!OSRRefH22_0x_0</vt:lpstr>
      <vt:lpstr>'Div 5'!OSRRefH22_0x_0</vt:lpstr>
      <vt:lpstr>'Div 6'!OSRRefH22_0x_0</vt:lpstr>
      <vt:lpstr>Summary!OSRRefH22_0x_0</vt:lpstr>
      <vt:lpstr>'201'!OSRRefH22_10x_0</vt:lpstr>
      <vt:lpstr>'202'!OSRRefH22_10x_0</vt:lpstr>
      <vt:lpstr>'203'!OSRRefH22_10x_0</vt:lpstr>
      <vt:lpstr>'204'!OSRRefH22_10x_0</vt:lpstr>
      <vt:lpstr>'206'!OSRRefH22_10x_0</vt:lpstr>
      <vt:lpstr>'300'!OSRRefH22_10x_0</vt:lpstr>
      <vt:lpstr>'300 &amp; 317'!OSRRefH22_10x_0</vt:lpstr>
      <vt:lpstr>'301'!OSRRefH22_10x_0</vt:lpstr>
      <vt:lpstr>'306'!OSRRefH22_10x_0</vt:lpstr>
      <vt:lpstr>'307'!OSRRefH22_10x_0</vt:lpstr>
      <vt:lpstr>'308'!OSRRefH22_10x_0</vt:lpstr>
      <vt:lpstr>'309'!OSRRefH22_10x_0</vt:lpstr>
      <vt:lpstr>'310'!OSRRefH22_10x_0</vt:lpstr>
      <vt:lpstr>'310 &amp; 491'!OSRRefH22_10x_0</vt:lpstr>
      <vt:lpstr>'311'!OSRRefH22_10x_0</vt:lpstr>
      <vt:lpstr>'313'!OSRRefH22_10x_0</vt:lpstr>
      <vt:lpstr>'314'!OSRRefH22_10x_0</vt:lpstr>
      <vt:lpstr>'315'!OSRRefH22_10x_0</vt:lpstr>
      <vt:lpstr>'316'!OSRRefH22_10x_0</vt:lpstr>
      <vt:lpstr>'317'!OSRRefH22_10x_0</vt:lpstr>
      <vt:lpstr>'321'!OSRRefH22_10x_0</vt:lpstr>
      <vt:lpstr>'322'!OSRRefH22_10x_0</vt:lpstr>
      <vt:lpstr>'326'!OSRRefH22_10x_0</vt:lpstr>
      <vt:lpstr>'330'!OSRRefH22_10x_0</vt:lpstr>
      <vt:lpstr>'331'!OSRRefH22_10x_0</vt:lpstr>
      <vt:lpstr>'332'!OSRRefH22_10x_0</vt:lpstr>
      <vt:lpstr>'405'!OSRRefH22_10x_0</vt:lpstr>
      <vt:lpstr>'406'!OSRRefH22_10x_0</vt:lpstr>
      <vt:lpstr>'411'!OSRRefH22_10x_0</vt:lpstr>
      <vt:lpstr>'412'!OSRRefH22_10x_0</vt:lpstr>
      <vt:lpstr>'413'!OSRRefH22_10x_0</vt:lpstr>
      <vt:lpstr>'414'!OSRRefH22_10x_0</vt:lpstr>
      <vt:lpstr>'415'!OSRRefH22_10x_0</vt:lpstr>
      <vt:lpstr>'418'!OSRRefH22_10x_0</vt:lpstr>
      <vt:lpstr>'424'!OSRRefH22_10x_0</vt:lpstr>
      <vt:lpstr>'425'!OSRRefH22_10x_0</vt:lpstr>
      <vt:lpstr>'430'!OSRRefH22_10x_0</vt:lpstr>
      <vt:lpstr>'433'!OSRRefH22_10x_0</vt:lpstr>
      <vt:lpstr>'444'!OSRRefH22_10x_0</vt:lpstr>
      <vt:lpstr>'450'!OSRRefH22_10x_0</vt:lpstr>
      <vt:lpstr>'491'!OSRRefH22_10x_0</vt:lpstr>
      <vt:lpstr>'492'!OSRRefH22_10x_0</vt:lpstr>
      <vt:lpstr>'501'!OSRRefH22_10x_0</vt:lpstr>
      <vt:lpstr>'Div 2'!OSRRefH22_10x_0</vt:lpstr>
      <vt:lpstr>'Div 3'!OSRRefH22_10x_0</vt:lpstr>
      <vt:lpstr>'Div 4'!OSRRefH22_10x_0</vt:lpstr>
      <vt:lpstr>'Div 5'!OSRRefH22_10x_0</vt:lpstr>
      <vt:lpstr>'Div 6'!OSRRefH22_10x_0</vt:lpstr>
      <vt:lpstr>Summary!OSRRefH22_10x_0</vt:lpstr>
      <vt:lpstr>'201'!OSRRefH22_11x_0</vt:lpstr>
      <vt:lpstr>'202'!OSRRefH22_11x_0</vt:lpstr>
      <vt:lpstr>'203'!OSRRefH22_11x_0</vt:lpstr>
      <vt:lpstr>'204'!OSRRefH22_11x_0</vt:lpstr>
      <vt:lpstr>'300'!OSRRefH22_11x_0</vt:lpstr>
      <vt:lpstr>'300 &amp; 317'!OSRRefH22_11x_0</vt:lpstr>
      <vt:lpstr>'301'!OSRRefH22_11x_0</vt:lpstr>
      <vt:lpstr>'307'!OSRRefH22_11x_0</vt:lpstr>
      <vt:lpstr>'308'!OSRRefH22_11x_0</vt:lpstr>
      <vt:lpstr>'309'!OSRRefH22_11x_0</vt:lpstr>
      <vt:lpstr>'310'!OSRRefH22_11x_0</vt:lpstr>
      <vt:lpstr>'310 &amp; 491'!OSRRefH22_11x_0</vt:lpstr>
      <vt:lpstr>'311'!OSRRefH22_11x_0</vt:lpstr>
      <vt:lpstr>'313'!OSRRefH22_11x_0</vt:lpstr>
      <vt:lpstr>'315'!OSRRefH22_11x_0</vt:lpstr>
      <vt:lpstr>'316'!OSRRefH22_11x_0</vt:lpstr>
      <vt:lpstr>'317'!OSRRefH22_11x_0</vt:lpstr>
      <vt:lpstr>'321'!OSRRefH22_11x_0</vt:lpstr>
      <vt:lpstr>'322'!OSRRefH22_11x_0</vt:lpstr>
      <vt:lpstr>'326'!OSRRefH22_11x_0</vt:lpstr>
      <vt:lpstr>'330'!OSRRefH22_11x_0</vt:lpstr>
      <vt:lpstr>'331'!OSRRefH22_11x_0</vt:lpstr>
      <vt:lpstr>'332'!OSRRefH22_11x_0</vt:lpstr>
      <vt:lpstr>'405'!OSRRefH22_11x_0</vt:lpstr>
      <vt:lpstr>'406'!OSRRefH22_11x_0</vt:lpstr>
      <vt:lpstr>'411'!OSRRefH22_11x_0</vt:lpstr>
      <vt:lpstr>'412'!OSRRefH22_11x_0</vt:lpstr>
      <vt:lpstr>'413'!OSRRefH22_11x_0</vt:lpstr>
      <vt:lpstr>'414'!OSRRefH22_11x_0</vt:lpstr>
      <vt:lpstr>'415'!OSRRefH22_11x_0</vt:lpstr>
      <vt:lpstr>'418'!OSRRefH22_11x_0</vt:lpstr>
      <vt:lpstr>'424'!OSRRefH22_11x_0</vt:lpstr>
      <vt:lpstr>'425'!OSRRefH22_11x_0</vt:lpstr>
      <vt:lpstr>'433'!OSRRefH22_11x_0</vt:lpstr>
      <vt:lpstr>'444'!OSRRefH22_11x_0</vt:lpstr>
      <vt:lpstr>'450'!OSRRefH22_11x_0</vt:lpstr>
      <vt:lpstr>'491'!OSRRefH22_11x_0</vt:lpstr>
      <vt:lpstr>'492'!OSRRefH22_11x_0</vt:lpstr>
      <vt:lpstr>'501'!OSRRefH22_11x_0</vt:lpstr>
      <vt:lpstr>'Div 2'!OSRRefH22_11x_0</vt:lpstr>
      <vt:lpstr>'Div 3'!OSRRefH22_11x_0</vt:lpstr>
      <vt:lpstr>'Div 4'!OSRRefH22_11x_0</vt:lpstr>
      <vt:lpstr>'Div 5'!OSRRefH22_11x_0</vt:lpstr>
      <vt:lpstr>'Div 6'!OSRRefH22_11x_0</vt:lpstr>
      <vt:lpstr>Summary!OSRRefH22_11x_0</vt:lpstr>
      <vt:lpstr>'201'!OSRRefH22_12x_0</vt:lpstr>
      <vt:lpstr>'202'!OSRRefH22_12x_0</vt:lpstr>
      <vt:lpstr>'203'!OSRRefH22_12x_0</vt:lpstr>
      <vt:lpstr>'204'!OSRRefH22_12x_0</vt:lpstr>
      <vt:lpstr>'300'!OSRRefH22_12x_0</vt:lpstr>
      <vt:lpstr>'300 &amp; 317'!OSRRefH22_12x_0</vt:lpstr>
      <vt:lpstr>'301'!OSRRefH22_12x_0</vt:lpstr>
      <vt:lpstr>'307'!OSRRefH22_12x_0</vt:lpstr>
      <vt:lpstr>'308'!OSRRefH22_12x_0</vt:lpstr>
      <vt:lpstr>'309'!OSRRefH22_12x_0</vt:lpstr>
      <vt:lpstr>'310'!OSRRefH22_12x_0</vt:lpstr>
      <vt:lpstr>'310 &amp; 491'!OSRRefH22_12x_0</vt:lpstr>
      <vt:lpstr>'311'!OSRRefH22_12x_0</vt:lpstr>
      <vt:lpstr>'313'!OSRRefH22_12x_0</vt:lpstr>
      <vt:lpstr>'315'!OSRRefH22_12x_0</vt:lpstr>
      <vt:lpstr>'316'!OSRRefH22_12x_0</vt:lpstr>
      <vt:lpstr>'317'!OSRRefH22_12x_0</vt:lpstr>
      <vt:lpstr>'321'!OSRRefH22_12x_0</vt:lpstr>
      <vt:lpstr>'326'!OSRRefH22_12x_0</vt:lpstr>
      <vt:lpstr>'330'!OSRRefH22_12x_0</vt:lpstr>
      <vt:lpstr>'331'!OSRRefH22_12x_0</vt:lpstr>
      <vt:lpstr>'332'!OSRRefH22_12x_0</vt:lpstr>
      <vt:lpstr>'405'!OSRRefH22_12x_0</vt:lpstr>
      <vt:lpstr>'406'!OSRRefH22_12x_0</vt:lpstr>
      <vt:lpstr>'411'!OSRRefH22_12x_0</vt:lpstr>
      <vt:lpstr>'412'!OSRRefH22_12x_0</vt:lpstr>
      <vt:lpstr>'413'!OSRRefH22_12x_0</vt:lpstr>
      <vt:lpstr>'414'!OSRRefH22_12x_0</vt:lpstr>
      <vt:lpstr>'415'!OSRRefH22_12x_0</vt:lpstr>
      <vt:lpstr>'418'!OSRRefH22_12x_0</vt:lpstr>
      <vt:lpstr>'424'!OSRRefH22_12x_0</vt:lpstr>
      <vt:lpstr>'425'!OSRRefH22_12x_0</vt:lpstr>
      <vt:lpstr>'433'!OSRRefH22_12x_0</vt:lpstr>
      <vt:lpstr>'444'!OSRRefH22_12x_0</vt:lpstr>
      <vt:lpstr>'450'!OSRRefH22_12x_0</vt:lpstr>
      <vt:lpstr>'491'!OSRRefH22_12x_0</vt:lpstr>
      <vt:lpstr>'492'!OSRRefH22_12x_0</vt:lpstr>
      <vt:lpstr>'501'!OSRRefH22_12x_0</vt:lpstr>
      <vt:lpstr>'Div 2'!OSRRefH22_12x_0</vt:lpstr>
      <vt:lpstr>'Div 3'!OSRRefH22_12x_0</vt:lpstr>
      <vt:lpstr>'Div 4'!OSRRefH22_12x_0</vt:lpstr>
      <vt:lpstr>'Div 5'!OSRRefH22_12x_0</vt:lpstr>
      <vt:lpstr>'Div 6'!OSRRefH22_12x_0</vt:lpstr>
      <vt:lpstr>Summary!OSRRefH22_12x_0</vt:lpstr>
      <vt:lpstr>'201'!OSRRefH22_13x_0</vt:lpstr>
      <vt:lpstr>'202'!OSRRefH22_13x_0</vt:lpstr>
      <vt:lpstr>'203'!OSRRefH22_13x_0</vt:lpstr>
      <vt:lpstr>'300'!OSRRefH22_13x_0</vt:lpstr>
      <vt:lpstr>'300 &amp; 317'!OSRRefH22_13x_0</vt:lpstr>
      <vt:lpstr>'301'!OSRRefH22_13x_0</vt:lpstr>
      <vt:lpstr>'308'!OSRRefH22_13x_0</vt:lpstr>
      <vt:lpstr>'309'!OSRRefH22_13x_0</vt:lpstr>
      <vt:lpstr>'310'!OSRRefH22_13x_0</vt:lpstr>
      <vt:lpstr>'310 &amp; 491'!OSRRefH22_13x_0</vt:lpstr>
      <vt:lpstr>'311'!OSRRefH22_13x_0</vt:lpstr>
      <vt:lpstr>'313'!OSRRefH22_13x_0</vt:lpstr>
      <vt:lpstr>'315'!OSRRefH22_13x_0</vt:lpstr>
      <vt:lpstr>'316'!OSRRefH22_13x_0</vt:lpstr>
      <vt:lpstr>'317'!OSRRefH22_13x_0</vt:lpstr>
      <vt:lpstr>'321'!OSRRefH22_13x_0</vt:lpstr>
      <vt:lpstr>'326'!OSRRefH22_13x_0</vt:lpstr>
      <vt:lpstr>'330'!OSRRefH22_13x_0</vt:lpstr>
      <vt:lpstr>'331'!OSRRefH22_13x_0</vt:lpstr>
      <vt:lpstr>'332'!OSRRefH22_13x_0</vt:lpstr>
      <vt:lpstr>'405'!OSRRefH22_13x_0</vt:lpstr>
      <vt:lpstr>'406'!OSRRefH22_13x_0</vt:lpstr>
      <vt:lpstr>'411'!OSRRefH22_13x_0</vt:lpstr>
      <vt:lpstr>'412'!OSRRefH22_13x_0</vt:lpstr>
      <vt:lpstr>'413'!OSRRefH22_13x_0</vt:lpstr>
      <vt:lpstr>'414'!OSRRefH22_13x_0</vt:lpstr>
      <vt:lpstr>'415'!OSRRefH22_13x_0</vt:lpstr>
      <vt:lpstr>'418'!OSRRefH22_13x_0</vt:lpstr>
      <vt:lpstr>'425'!OSRRefH22_13x_0</vt:lpstr>
      <vt:lpstr>'433'!OSRRefH22_13x_0</vt:lpstr>
      <vt:lpstr>'444'!OSRRefH22_13x_0</vt:lpstr>
      <vt:lpstr>'450'!OSRRefH22_13x_0</vt:lpstr>
      <vt:lpstr>'491'!OSRRefH22_13x_0</vt:lpstr>
      <vt:lpstr>'492'!OSRRefH22_13x_0</vt:lpstr>
      <vt:lpstr>'501'!OSRRefH22_13x_0</vt:lpstr>
      <vt:lpstr>'Div 2'!OSRRefH22_13x_0</vt:lpstr>
      <vt:lpstr>'Div 3'!OSRRefH22_13x_0</vt:lpstr>
      <vt:lpstr>'Div 4'!OSRRefH22_13x_0</vt:lpstr>
      <vt:lpstr>'Div 5'!OSRRefH22_13x_0</vt:lpstr>
      <vt:lpstr>'Div 6'!OSRRefH22_13x_0</vt:lpstr>
      <vt:lpstr>Summary!OSRRefH22_13x_0</vt:lpstr>
      <vt:lpstr>'201'!OSRRefH22_14x_0</vt:lpstr>
      <vt:lpstr>'202'!OSRRefH22_14x_0</vt:lpstr>
      <vt:lpstr>'203'!OSRRefH22_14x_0</vt:lpstr>
      <vt:lpstr>'300'!OSRRefH22_14x_0</vt:lpstr>
      <vt:lpstr>'300 &amp; 317'!OSRRefH22_14x_0</vt:lpstr>
      <vt:lpstr>'301'!OSRRefH22_14x_0</vt:lpstr>
      <vt:lpstr>'308'!OSRRefH22_14x_0</vt:lpstr>
      <vt:lpstr>'310'!OSRRefH22_14x_0</vt:lpstr>
      <vt:lpstr>'310 &amp; 491'!OSRRefH22_14x_0</vt:lpstr>
      <vt:lpstr>'311'!OSRRefH22_14x_0</vt:lpstr>
      <vt:lpstr>'313'!OSRRefH22_14x_0</vt:lpstr>
      <vt:lpstr>'315'!OSRRefH22_14x_0</vt:lpstr>
      <vt:lpstr>'321'!OSRRefH22_14x_0</vt:lpstr>
      <vt:lpstr>'326'!OSRRefH22_14x_0</vt:lpstr>
      <vt:lpstr>'330'!OSRRefH22_14x_0</vt:lpstr>
      <vt:lpstr>'331'!OSRRefH22_14x_0</vt:lpstr>
      <vt:lpstr>'332'!OSRRefH22_14x_0</vt:lpstr>
      <vt:lpstr>'405'!OSRRefH22_14x_0</vt:lpstr>
      <vt:lpstr>'406'!OSRRefH22_14x_0</vt:lpstr>
      <vt:lpstr>'411'!OSRRefH22_14x_0</vt:lpstr>
      <vt:lpstr>'412'!OSRRefH22_14x_0</vt:lpstr>
      <vt:lpstr>'414'!OSRRefH22_14x_0</vt:lpstr>
      <vt:lpstr>'415'!OSRRefH22_14x_0</vt:lpstr>
      <vt:lpstr>'418'!OSRRefH22_14x_0</vt:lpstr>
      <vt:lpstr>'425'!OSRRefH22_14x_0</vt:lpstr>
      <vt:lpstr>'433'!OSRRefH22_14x_0</vt:lpstr>
      <vt:lpstr>'444'!OSRRefH22_14x_0</vt:lpstr>
      <vt:lpstr>'450'!OSRRefH22_14x_0</vt:lpstr>
      <vt:lpstr>'491'!OSRRefH22_14x_0</vt:lpstr>
      <vt:lpstr>'492'!OSRRefH22_14x_0</vt:lpstr>
      <vt:lpstr>'501'!OSRRefH22_14x_0</vt:lpstr>
      <vt:lpstr>'Div 2'!OSRRefH22_14x_0</vt:lpstr>
      <vt:lpstr>'Div 3'!OSRRefH22_14x_0</vt:lpstr>
      <vt:lpstr>'Div 4'!OSRRefH22_14x_0</vt:lpstr>
      <vt:lpstr>'Div 5'!OSRRefH22_14x_0</vt:lpstr>
      <vt:lpstr>Summary!OSRRefH22_14x_0</vt:lpstr>
      <vt:lpstr>'201'!OSRRefH22_15x_0</vt:lpstr>
      <vt:lpstr>'202'!OSRRefH22_15x_0</vt:lpstr>
      <vt:lpstr>'203'!OSRRefH22_15x_0</vt:lpstr>
      <vt:lpstr>'300'!OSRRefH22_15x_0</vt:lpstr>
      <vt:lpstr>'300 &amp; 317'!OSRRefH22_15x_0</vt:lpstr>
      <vt:lpstr>'301'!OSRRefH22_15x_0</vt:lpstr>
      <vt:lpstr>'310'!OSRRefH22_15x_0</vt:lpstr>
      <vt:lpstr>'310 &amp; 491'!OSRRefH22_15x_0</vt:lpstr>
      <vt:lpstr>'315'!OSRRefH22_15x_0</vt:lpstr>
      <vt:lpstr>'326'!OSRRefH22_15x_0</vt:lpstr>
      <vt:lpstr>'330'!OSRRefH22_15x_0</vt:lpstr>
      <vt:lpstr>'331'!OSRRefH22_15x_0</vt:lpstr>
      <vt:lpstr>'405'!OSRRefH22_15x_0</vt:lpstr>
      <vt:lpstr>'411'!OSRRefH22_15x_0</vt:lpstr>
      <vt:lpstr>'412'!OSRRefH22_15x_0</vt:lpstr>
      <vt:lpstr>'414'!OSRRefH22_15x_0</vt:lpstr>
      <vt:lpstr>'415'!OSRRefH22_15x_0</vt:lpstr>
      <vt:lpstr>'418'!OSRRefH22_15x_0</vt:lpstr>
      <vt:lpstr>'425'!OSRRefH22_15x_0</vt:lpstr>
      <vt:lpstr>'433'!OSRRefH22_15x_0</vt:lpstr>
      <vt:lpstr>'444'!OSRRefH22_15x_0</vt:lpstr>
      <vt:lpstr>'450'!OSRRefH22_15x_0</vt:lpstr>
      <vt:lpstr>'491'!OSRRefH22_15x_0</vt:lpstr>
      <vt:lpstr>'492'!OSRRefH22_15x_0</vt:lpstr>
      <vt:lpstr>'Div 2'!OSRRefH22_15x_0</vt:lpstr>
      <vt:lpstr>'Div 3'!OSRRefH22_15x_0</vt:lpstr>
      <vt:lpstr>'Div 4'!OSRRefH22_15x_0</vt:lpstr>
      <vt:lpstr>Summary!OSRRefH22_15x_0</vt:lpstr>
      <vt:lpstr>'201'!OSRRefH22_16x_0</vt:lpstr>
      <vt:lpstr>'202'!OSRRefH22_16x_0</vt:lpstr>
      <vt:lpstr>'300'!OSRRefH22_16x_0</vt:lpstr>
      <vt:lpstr>'300 &amp; 317'!OSRRefH22_16x_0</vt:lpstr>
      <vt:lpstr>'301'!OSRRefH22_16x_0</vt:lpstr>
      <vt:lpstr>'310'!OSRRefH22_16x_0</vt:lpstr>
      <vt:lpstr>'310 &amp; 491'!OSRRefH22_16x_0</vt:lpstr>
      <vt:lpstr>'326'!OSRRefH22_16x_0</vt:lpstr>
      <vt:lpstr>'331'!OSRRefH22_16x_0</vt:lpstr>
      <vt:lpstr>'405'!OSRRefH22_16x_0</vt:lpstr>
      <vt:lpstr>'411'!OSRRefH22_16x_0</vt:lpstr>
      <vt:lpstr>'415'!OSRRefH22_16x_0</vt:lpstr>
      <vt:lpstr>'418'!OSRRefH22_16x_0</vt:lpstr>
      <vt:lpstr>'425'!OSRRefH22_16x_0</vt:lpstr>
      <vt:lpstr>'444'!OSRRefH22_16x_0</vt:lpstr>
      <vt:lpstr>'450'!OSRRefH22_16x_0</vt:lpstr>
      <vt:lpstr>'491'!OSRRefH22_16x_0</vt:lpstr>
      <vt:lpstr>'492'!OSRRefH22_16x_0</vt:lpstr>
      <vt:lpstr>'Div 2'!OSRRefH22_16x_0</vt:lpstr>
      <vt:lpstr>'Div 3'!OSRRefH22_16x_0</vt:lpstr>
      <vt:lpstr>'Div 4'!OSRRefH22_16x_0</vt:lpstr>
      <vt:lpstr>Summary!OSRRefH22_16x_0</vt:lpstr>
      <vt:lpstr>'300'!OSRRefH22_17x_0</vt:lpstr>
      <vt:lpstr>'300 &amp; 317'!OSRRefH22_17x_0</vt:lpstr>
      <vt:lpstr>'301'!OSRRefH22_17x_0</vt:lpstr>
      <vt:lpstr>'310'!OSRRefH22_17x_0</vt:lpstr>
      <vt:lpstr>'310 &amp; 491'!OSRRefH22_17x_0</vt:lpstr>
      <vt:lpstr>'326'!OSRRefH22_17x_0</vt:lpstr>
      <vt:lpstr>'331'!OSRRefH22_17x_0</vt:lpstr>
      <vt:lpstr>'405'!OSRRefH22_17x_0</vt:lpstr>
      <vt:lpstr>'411'!OSRRefH22_17x_0</vt:lpstr>
      <vt:lpstr>'415'!OSRRefH22_17x_0</vt:lpstr>
      <vt:lpstr>'418'!OSRRefH22_17x_0</vt:lpstr>
      <vt:lpstr>'450'!OSRRefH22_17x_0</vt:lpstr>
      <vt:lpstr>'491'!OSRRefH22_17x_0</vt:lpstr>
      <vt:lpstr>'492'!OSRRefH22_17x_0</vt:lpstr>
      <vt:lpstr>'Div 2'!OSRRefH22_17x_0</vt:lpstr>
      <vt:lpstr>'Div 3'!OSRRefH22_17x_0</vt:lpstr>
      <vt:lpstr>'Div 4'!OSRRefH22_17x_0</vt:lpstr>
      <vt:lpstr>Summary!OSRRefH22_17x_0</vt:lpstr>
      <vt:lpstr>'300'!OSRRefH22_18x_0</vt:lpstr>
      <vt:lpstr>'300 &amp; 317'!OSRRefH22_18x_0</vt:lpstr>
      <vt:lpstr>'301'!OSRRefH22_18x_0</vt:lpstr>
      <vt:lpstr>'310'!OSRRefH22_18x_0</vt:lpstr>
      <vt:lpstr>'310 &amp; 491'!OSRRefH22_18x_0</vt:lpstr>
      <vt:lpstr>'326'!OSRRefH22_18x_0</vt:lpstr>
      <vt:lpstr>'331'!OSRRefH22_18x_0</vt:lpstr>
      <vt:lpstr>'405'!OSRRefH22_18x_0</vt:lpstr>
      <vt:lpstr>'411'!OSRRefH22_18x_0</vt:lpstr>
      <vt:lpstr>'415'!OSRRefH22_18x_0</vt:lpstr>
      <vt:lpstr>'491'!OSRRefH22_18x_0</vt:lpstr>
      <vt:lpstr>'492'!OSRRefH22_18x_0</vt:lpstr>
      <vt:lpstr>'Div 2'!OSRRefH22_18x_0</vt:lpstr>
      <vt:lpstr>'Div 3'!OSRRefH22_18x_0</vt:lpstr>
      <vt:lpstr>'Div 4'!OSRRefH22_18x_0</vt:lpstr>
      <vt:lpstr>Summary!OSRRefH22_18x_0</vt:lpstr>
      <vt:lpstr>'300'!OSRRefH22_19x_0</vt:lpstr>
      <vt:lpstr>'300 &amp; 317'!OSRRefH22_19x_0</vt:lpstr>
      <vt:lpstr>'301'!OSRRefH22_19x_0</vt:lpstr>
      <vt:lpstr>'310'!OSRRefH22_19x_0</vt:lpstr>
      <vt:lpstr>'310 &amp; 491'!OSRRefH22_19x_0</vt:lpstr>
      <vt:lpstr>'326'!OSRRefH22_19x_0</vt:lpstr>
      <vt:lpstr>'331'!OSRRefH22_19x_0</vt:lpstr>
      <vt:lpstr>'405'!OSRRefH22_19x_0</vt:lpstr>
      <vt:lpstr>'411'!OSRRefH22_19x_0</vt:lpstr>
      <vt:lpstr>'491'!OSRRefH22_19x_0</vt:lpstr>
      <vt:lpstr>'Div 2'!OSRRefH22_19x_0</vt:lpstr>
      <vt:lpstr>'Div 3'!OSRRefH22_19x_0</vt:lpstr>
      <vt:lpstr>'Div 4'!OSRRefH22_19x_0</vt:lpstr>
      <vt:lpstr>Summary!OSRRefH22_19x_0</vt:lpstr>
      <vt:lpstr>'200'!OSRRefH22_1x_0</vt:lpstr>
      <vt:lpstr>'201'!OSRRefH22_1x_0</vt:lpstr>
      <vt:lpstr>'202'!OSRRefH22_1x_0</vt:lpstr>
      <vt:lpstr>'203'!OSRRefH22_1x_0</vt:lpstr>
      <vt:lpstr>'204'!OSRRefH22_1x_0</vt:lpstr>
      <vt:lpstr>'205'!OSRRefH22_1x_0</vt:lpstr>
      <vt:lpstr>'206'!OSRRefH22_1x_0</vt:lpstr>
      <vt:lpstr>'300'!OSRRefH22_1x_0</vt:lpstr>
      <vt:lpstr>'300 &amp; 317'!OSRRefH22_1x_0</vt:lpstr>
      <vt:lpstr>'301'!OSRRefH22_1x_0</vt:lpstr>
      <vt:lpstr>'306'!OSRRefH22_1x_0</vt:lpstr>
      <vt:lpstr>'307'!OSRRefH22_1x_0</vt:lpstr>
      <vt:lpstr>'308'!OSRRefH22_1x_0</vt:lpstr>
      <vt:lpstr>'309'!OSRRefH22_1x_0</vt:lpstr>
      <vt:lpstr>'310'!OSRRefH22_1x_0</vt:lpstr>
      <vt:lpstr>'310 &amp; 491'!OSRRefH22_1x_0</vt:lpstr>
      <vt:lpstr>'311'!OSRRefH22_1x_0</vt:lpstr>
      <vt:lpstr>'313'!OSRRefH22_1x_0</vt:lpstr>
      <vt:lpstr>'314'!OSRRefH22_1x_0</vt:lpstr>
      <vt:lpstr>'315'!OSRRefH22_1x_0</vt:lpstr>
      <vt:lpstr>'316'!OSRRefH22_1x_0</vt:lpstr>
      <vt:lpstr>'317'!OSRRefH22_1x_0</vt:lpstr>
      <vt:lpstr>'320'!OSRRefH22_1x_0</vt:lpstr>
      <vt:lpstr>'321'!OSRRefH22_1x_0</vt:lpstr>
      <vt:lpstr>'322'!OSRRefH22_1x_0</vt:lpstr>
      <vt:lpstr>'326'!OSRRefH22_1x_0</vt:lpstr>
      <vt:lpstr>'327'!OSRRefH22_1x_0</vt:lpstr>
      <vt:lpstr>'330'!OSRRefH22_1x_0</vt:lpstr>
      <vt:lpstr>'331'!OSRRefH22_1x_0</vt:lpstr>
      <vt:lpstr>'332'!OSRRefH22_1x_0</vt:lpstr>
      <vt:lpstr>'405'!OSRRefH22_1x_0</vt:lpstr>
      <vt:lpstr>'406'!OSRRefH22_1x_0</vt:lpstr>
      <vt:lpstr>'411'!OSRRefH22_1x_0</vt:lpstr>
      <vt:lpstr>'412'!OSRRefH22_1x_0</vt:lpstr>
      <vt:lpstr>'413'!OSRRefH22_1x_0</vt:lpstr>
      <vt:lpstr>'414'!OSRRefH22_1x_0</vt:lpstr>
      <vt:lpstr>'415'!OSRRefH22_1x_0</vt:lpstr>
      <vt:lpstr>'418'!OSRRefH22_1x_0</vt:lpstr>
      <vt:lpstr>'420'!OSRRefH22_1x_0</vt:lpstr>
      <vt:lpstr>'423'!OSRRefH22_1x_0</vt:lpstr>
      <vt:lpstr>'424'!OSRRefH22_1x_0</vt:lpstr>
      <vt:lpstr>'425'!OSRRefH22_1x_0</vt:lpstr>
      <vt:lpstr>'430'!OSRRefH22_1x_0</vt:lpstr>
      <vt:lpstr>'433'!OSRRefH22_1x_0</vt:lpstr>
      <vt:lpstr>'435'!OSRRefH22_1x_0</vt:lpstr>
      <vt:lpstr>'444'!OSRRefH22_1x_0</vt:lpstr>
      <vt:lpstr>'450'!OSRRefH22_1x_0</vt:lpstr>
      <vt:lpstr>'455'!OSRRefH22_1x_0</vt:lpstr>
      <vt:lpstr>'491'!OSRRefH22_1x_0</vt:lpstr>
      <vt:lpstr>'492'!OSRRefH22_1x_0</vt:lpstr>
      <vt:lpstr>'501'!OSRRefH22_1x_0</vt:lpstr>
      <vt:lpstr>'Div 2'!OSRRefH22_1x_0</vt:lpstr>
      <vt:lpstr>'Div 3'!OSRRefH22_1x_0</vt:lpstr>
      <vt:lpstr>'Div 4'!OSRRefH22_1x_0</vt:lpstr>
      <vt:lpstr>'Div 5'!OSRRefH22_1x_0</vt:lpstr>
      <vt:lpstr>'Div 6'!OSRRefH22_1x_0</vt:lpstr>
      <vt:lpstr>Summary!OSRRefH22_1x_0</vt:lpstr>
      <vt:lpstr>'300'!OSRRefH22_20x_0</vt:lpstr>
      <vt:lpstr>'300 &amp; 317'!OSRRefH22_20x_0</vt:lpstr>
      <vt:lpstr>'301'!OSRRefH22_20x_0</vt:lpstr>
      <vt:lpstr>'310'!OSRRefH22_20x_0</vt:lpstr>
      <vt:lpstr>'310 &amp; 491'!OSRRefH22_20x_0</vt:lpstr>
      <vt:lpstr>'326'!OSRRefH22_20x_0</vt:lpstr>
      <vt:lpstr>'331'!OSRRefH22_20x_0</vt:lpstr>
      <vt:lpstr>'491'!OSRRefH22_20x_0</vt:lpstr>
      <vt:lpstr>'Div 2'!OSRRefH22_20x_0</vt:lpstr>
      <vt:lpstr>'Div 3'!OSRRefH22_20x_0</vt:lpstr>
      <vt:lpstr>'Div 4'!OSRRefH22_20x_0</vt:lpstr>
      <vt:lpstr>Summary!OSRRefH22_20x_0</vt:lpstr>
      <vt:lpstr>'300'!OSRRefH22_21x_0</vt:lpstr>
      <vt:lpstr>'300 &amp; 317'!OSRRefH22_21x_0</vt:lpstr>
      <vt:lpstr>'301'!OSRRefH22_21x_0</vt:lpstr>
      <vt:lpstr>'310'!OSRRefH22_21x_0</vt:lpstr>
      <vt:lpstr>'310 &amp; 491'!OSRRefH22_21x_0</vt:lpstr>
      <vt:lpstr>'331'!OSRRefH22_21x_0</vt:lpstr>
      <vt:lpstr>'491'!OSRRefH22_21x_0</vt:lpstr>
      <vt:lpstr>'Div 3'!OSRRefH22_21x_0</vt:lpstr>
      <vt:lpstr>'Div 4'!OSRRefH22_21x_0</vt:lpstr>
      <vt:lpstr>Summary!OSRRefH22_21x_0</vt:lpstr>
      <vt:lpstr>'300'!OSRRefH22_22x_0</vt:lpstr>
      <vt:lpstr>'300 &amp; 317'!OSRRefH22_22x_0</vt:lpstr>
      <vt:lpstr>'301'!OSRRefH22_22x_0</vt:lpstr>
      <vt:lpstr>'310'!OSRRefH22_22x_0</vt:lpstr>
      <vt:lpstr>'310 &amp; 491'!OSRRefH22_22x_0</vt:lpstr>
      <vt:lpstr>'331'!OSRRefH22_22x_0</vt:lpstr>
      <vt:lpstr>'491'!OSRRefH22_22x_0</vt:lpstr>
      <vt:lpstr>'Div 3'!OSRRefH22_22x_0</vt:lpstr>
      <vt:lpstr>'Div 4'!OSRRefH22_22x_0</vt:lpstr>
      <vt:lpstr>Summary!OSRRefH22_22x_0</vt:lpstr>
      <vt:lpstr>'300'!OSRRefH22_23x_0</vt:lpstr>
      <vt:lpstr>'300 &amp; 317'!OSRRefH22_23x_0</vt:lpstr>
      <vt:lpstr>'301'!OSRRefH22_23x_0</vt:lpstr>
      <vt:lpstr>'310'!OSRRefH22_23x_0</vt:lpstr>
      <vt:lpstr>'310 &amp; 491'!OSRRefH22_23x_0</vt:lpstr>
      <vt:lpstr>'491'!OSRRefH22_23x_0</vt:lpstr>
      <vt:lpstr>'Div 3'!OSRRefH22_23x_0</vt:lpstr>
      <vt:lpstr>'Div 4'!OSRRefH22_23x_0</vt:lpstr>
      <vt:lpstr>Summary!OSRRefH22_23x_0</vt:lpstr>
      <vt:lpstr>'300'!OSRRefH22_24x_0</vt:lpstr>
      <vt:lpstr>'300 &amp; 317'!OSRRefH22_24x_0</vt:lpstr>
      <vt:lpstr>'310 &amp; 491'!OSRRefH22_24x_0</vt:lpstr>
      <vt:lpstr>'491'!OSRRefH22_24x_0</vt:lpstr>
      <vt:lpstr>'Div 3'!OSRRefH22_24x_0</vt:lpstr>
      <vt:lpstr>'Div 4'!OSRRefH22_24x_0</vt:lpstr>
      <vt:lpstr>Summary!OSRRefH22_24x_0</vt:lpstr>
      <vt:lpstr>'310 &amp; 491'!OSRRefH22_25x_0</vt:lpstr>
      <vt:lpstr>'Div 3'!OSRRefH22_25x_0</vt:lpstr>
      <vt:lpstr>'Div 4'!OSRRefH22_25x_0</vt:lpstr>
      <vt:lpstr>Summary!OSRRefH22_25x_0</vt:lpstr>
      <vt:lpstr>'Div 3'!OSRRefH22_26x_0</vt:lpstr>
      <vt:lpstr>Summary!OSRRefH22_26x_0</vt:lpstr>
      <vt:lpstr>'200'!OSRRefH22_2x_0</vt:lpstr>
      <vt:lpstr>'201'!OSRRefH22_2x_0</vt:lpstr>
      <vt:lpstr>'202'!OSRRefH22_2x_0</vt:lpstr>
      <vt:lpstr>'203'!OSRRefH22_2x_0</vt:lpstr>
      <vt:lpstr>'204'!OSRRefH22_2x_0</vt:lpstr>
      <vt:lpstr>'205'!OSRRefH22_2x_0</vt:lpstr>
      <vt:lpstr>'206'!OSRRefH22_2x_0</vt:lpstr>
      <vt:lpstr>'300'!OSRRefH22_2x_0</vt:lpstr>
      <vt:lpstr>'300 &amp; 317'!OSRRefH22_2x_0</vt:lpstr>
      <vt:lpstr>'301'!OSRRefH22_2x_0</vt:lpstr>
      <vt:lpstr>'306'!OSRRefH22_2x_0</vt:lpstr>
      <vt:lpstr>'307'!OSRRefH22_2x_0</vt:lpstr>
      <vt:lpstr>'308'!OSRRefH22_2x_0</vt:lpstr>
      <vt:lpstr>'309'!OSRRefH22_2x_0</vt:lpstr>
      <vt:lpstr>'310'!OSRRefH22_2x_0</vt:lpstr>
      <vt:lpstr>'310 &amp; 491'!OSRRefH22_2x_0</vt:lpstr>
      <vt:lpstr>'311'!OSRRefH22_2x_0</vt:lpstr>
      <vt:lpstr>'313'!OSRRefH22_2x_0</vt:lpstr>
      <vt:lpstr>'314'!OSRRefH22_2x_0</vt:lpstr>
      <vt:lpstr>'315'!OSRRefH22_2x_0</vt:lpstr>
      <vt:lpstr>'316'!OSRRefH22_2x_0</vt:lpstr>
      <vt:lpstr>'317'!OSRRefH22_2x_0</vt:lpstr>
      <vt:lpstr>'320'!OSRRefH22_2x_0</vt:lpstr>
      <vt:lpstr>'321'!OSRRefH22_2x_0</vt:lpstr>
      <vt:lpstr>'322'!OSRRefH22_2x_0</vt:lpstr>
      <vt:lpstr>'326'!OSRRefH22_2x_0</vt:lpstr>
      <vt:lpstr>'327'!OSRRefH22_2x_0</vt:lpstr>
      <vt:lpstr>'330'!OSRRefH22_2x_0</vt:lpstr>
      <vt:lpstr>'331'!OSRRefH22_2x_0</vt:lpstr>
      <vt:lpstr>'332'!OSRRefH22_2x_0</vt:lpstr>
      <vt:lpstr>'405'!OSRRefH22_2x_0</vt:lpstr>
      <vt:lpstr>'406'!OSRRefH22_2x_0</vt:lpstr>
      <vt:lpstr>'411'!OSRRefH22_2x_0</vt:lpstr>
      <vt:lpstr>'412'!OSRRefH22_2x_0</vt:lpstr>
      <vt:lpstr>'413'!OSRRefH22_2x_0</vt:lpstr>
      <vt:lpstr>'414'!OSRRefH22_2x_0</vt:lpstr>
      <vt:lpstr>'415'!OSRRefH22_2x_0</vt:lpstr>
      <vt:lpstr>'418'!OSRRefH22_2x_0</vt:lpstr>
      <vt:lpstr>'420'!OSRRefH22_2x_0</vt:lpstr>
      <vt:lpstr>'423'!OSRRefH22_2x_0</vt:lpstr>
      <vt:lpstr>'424'!OSRRefH22_2x_0</vt:lpstr>
      <vt:lpstr>'425'!OSRRefH22_2x_0</vt:lpstr>
      <vt:lpstr>'430'!OSRRefH22_2x_0</vt:lpstr>
      <vt:lpstr>'433'!OSRRefH22_2x_0</vt:lpstr>
      <vt:lpstr>'435'!OSRRefH22_2x_0</vt:lpstr>
      <vt:lpstr>'444'!OSRRefH22_2x_0</vt:lpstr>
      <vt:lpstr>'450'!OSRRefH22_2x_0</vt:lpstr>
      <vt:lpstr>'491'!OSRRefH22_2x_0</vt:lpstr>
      <vt:lpstr>'492'!OSRRefH22_2x_0</vt:lpstr>
      <vt:lpstr>'501'!OSRRefH22_2x_0</vt:lpstr>
      <vt:lpstr>'Div 2'!OSRRefH22_2x_0</vt:lpstr>
      <vt:lpstr>'Div 3'!OSRRefH22_2x_0</vt:lpstr>
      <vt:lpstr>'Div 4'!OSRRefH22_2x_0</vt:lpstr>
      <vt:lpstr>'Div 5'!OSRRefH22_2x_0</vt:lpstr>
      <vt:lpstr>'Div 6'!OSRRefH22_2x_0</vt:lpstr>
      <vt:lpstr>Summary!OSRRefH22_2x_0</vt:lpstr>
      <vt:lpstr>'200'!OSRRefH22_3x_0</vt:lpstr>
      <vt:lpstr>'201'!OSRRefH22_3x_0</vt:lpstr>
      <vt:lpstr>'202'!OSRRefH22_3x_0</vt:lpstr>
      <vt:lpstr>'203'!OSRRefH22_3x_0</vt:lpstr>
      <vt:lpstr>'204'!OSRRefH22_3x_0</vt:lpstr>
      <vt:lpstr>'205'!OSRRefH22_3x_0</vt:lpstr>
      <vt:lpstr>'206'!OSRRefH22_3x_0</vt:lpstr>
      <vt:lpstr>'300'!OSRRefH22_3x_0</vt:lpstr>
      <vt:lpstr>'300 &amp; 317'!OSRRefH22_3x_0</vt:lpstr>
      <vt:lpstr>'301'!OSRRefH22_3x_0</vt:lpstr>
      <vt:lpstr>'306'!OSRRefH22_3x_0</vt:lpstr>
      <vt:lpstr>'307'!OSRRefH22_3x_0</vt:lpstr>
      <vt:lpstr>'308'!OSRRefH22_3x_0</vt:lpstr>
      <vt:lpstr>'309'!OSRRefH22_3x_0</vt:lpstr>
      <vt:lpstr>'310'!OSRRefH22_3x_0</vt:lpstr>
      <vt:lpstr>'310 &amp; 491'!OSRRefH22_3x_0</vt:lpstr>
      <vt:lpstr>'311'!OSRRefH22_3x_0</vt:lpstr>
      <vt:lpstr>'313'!OSRRefH22_3x_0</vt:lpstr>
      <vt:lpstr>'314'!OSRRefH22_3x_0</vt:lpstr>
      <vt:lpstr>'315'!OSRRefH22_3x_0</vt:lpstr>
      <vt:lpstr>'316'!OSRRefH22_3x_0</vt:lpstr>
      <vt:lpstr>'317'!OSRRefH22_3x_0</vt:lpstr>
      <vt:lpstr>'320'!OSRRefH22_3x_0</vt:lpstr>
      <vt:lpstr>'321'!OSRRefH22_3x_0</vt:lpstr>
      <vt:lpstr>'322'!OSRRefH22_3x_0</vt:lpstr>
      <vt:lpstr>'326'!OSRRefH22_3x_0</vt:lpstr>
      <vt:lpstr>'330'!OSRRefH22_3x_0</vt:lpstr>
      <vt:lpstr>'331'!OSRRefH22_3x_0</vt:lpstr>
      <vt:lpstr>'332'!OSRRefH22_3x_0</vt:lpstr>
      <vt:lpstr>'405'!OSRRefH22_3x_0</vt:lpstr>
      <vt:lpstr>'406'!OSRRefH22_3x_0</vt:lpstr>
      <vt:lpstr>'411'!OSRRefH22_3x_0</vt:lpstr>
      <vt:lpstr>'412'!OSRRefH22_3x_0</vt:lpstr>
      <vt:lpstr>'413'!OSRRefH22_3x_0</vt:lpstr>
      <vt:lpstr>'414'!OSRRefH22_3x_0</vt:lpstr>
      <vt:lpstr>'415'!OSRRefH22_3x_0</vt:lpstr>
      <vt:lpstr>'418'!OSRRefH22_3x_0</vt:lpstr>
      <vt:lpstr>'420'!OSRRefH22_3x_0</vt:lpstr>
      <vt:lpstr>'423'!OSRRefH22_3x_0</vt:lpstr>
      <vt:lpstr>'424'!OSRRefH22_3x_0</vt:lpstr>
      <vt:lpstr>'425'!OSRRefH22_3x_0</vt:lpstr>
      <vt:lpstr>'430'!OSRRefH22_3x_0</vt:lpstr>
      <vt:lpstr>'433'!OSRRefH22_3x_0</vt:lpstr>
      <vt:lpstr>'435'!OSRRefH22_3x_0</vt:lpstr>
      <vt:lpstr>'444'!OSRRefH22_3x_0</vt:lpstr>
      <vt:lpstr>'450'!OSRRefH22_3x_0</vt:lpstr>
      <vt:lpstr>'491'!OSRRefH22_3x_0</vt:lpstr>
      <vt:lpstr>'492'!OSRRefH22_3x_0</vt:lpstr>
      <vt:lpstr>'501'!OSRRefH22_3x_0</vt:lpstr>
      <vt:lpstr>'Div 2'!OSRRefH22_3x_0</vt:lpstr>
      <vt:lpstr>'Div 3'!OSRRefH22_3x_0</vt:lpstr>
      <vt:lpstr>'Div 4'!OSRRefH22_3x_0</vt:lpstr>
      <vt:lpstr>'Div 5'!OSRRefH22_3x_0</vt:lpstr>
      <vt:lpstr>'Div 6'!OSRRefH22_3x_0</vt:lpstr>
      <vt:lpstr>Summary!OSRRefH22_3x_0</vt:lpstr>
      <vt:lpstr>'200'!OSRRefH22_4x_0</vt:lpstr>
      <vt:lpstr>'201'!OSRRefH22_4x_0</vt:lpstr>
      <vt:lpstr>'202'!OSRRefH22_4x_0</vt:lpstr>
      <vt:lpstr>'203'!OSRRefH22_4x_0</vt:lpstr>
      <vt:lpstr>'204'!OSRRefH22_4x_0</vt:lpstr>
      <vt:lpstr>'205'!OSRRefH22_4x_0</vt:lpstr>
      <vt:lpstr>'206'!OSRRefH22_4x_0</vt:lpstr>
      <vt:lpstr>'300'!OSRRefH22_4x_0</vt:lpstr>
      <vt:lpstr>'300 &amp; 317'!OSRRefH22_4x_0</vt:lpstr>
      <vt:lpstr>'301'!OSRRefH22_4x_0</vt:lpstr>
      <vt:lpstr>'306'!OSRRefH22_4x_0</vt:lpstr>
      <vt:lpstr>'307'!OSRRefH22_4x_0</vt:lpstr>
      <vt:lpstr>'308'!OSRRefH22_4x_0</vt:lpstr>
      <vt:lpstr>'309'!OSRRefH22_4x_0</vt:lpstr>
      <vt:lpstr>'310'!OSRRefH22_4x_0</vt:lpstr>
      <vt:lpstr>'310 &amp; 491'!OSRRefH22_4x_0</vt:lpstr>
      <vt:lpstr>'311'!OSRRefH22_4x_0</vt:lpstr>
      <vt:lpstr>'313'!OSRRefH22_4x_0</vt:lpstr>
      <vt:lpstr>'314'!OSRRefH22_4x_0</vt:lpstr>
      <vt:lpstr>'315'!OSRRefH22_4x_0</vt:lpstr>
      <vt:lpstr>'316'!OSRRefH22_4x_0</vt:lpstr>
      <vt:lpstr>'317'!OSRRefH22_4x_0</vt:lpstr>
      <vt:lpstr>'320'!OSRRefH22_4x_0</vt:lpstr>
      <vt:lpstr>'321'!OSRRefH22_4x_0</vt:lpstr>
      <vt:lpstr>'322'!OSRRefH22_4x_0</vt:lpstr>
      <vt:lpstr>'326'!OSRRefH22_4x_0</vt:lpstr>
      <vt:lpstr>'330'!OSRRefH22_4x_0</vt:lpstr>
      <vt:lpstr>'331'!OSRRefH22_4x_0</vt:lpstr>
      <vt:lpstr>'332'!OSRRefH22_4x_0</vt:lpstr>
      <vt:lpstr>'405'!OSRRefH22_4x_0</vt:lpstr>
      <vt:lpstr>'406'!OSRRefH22_4x_0</vt:lpstr>
      <vt:lpstr>'411'!OSRRefH22_4x_0</vt:lpstr>
      <vt:lpstr>'412'!OSRRefH22_4x_0</vt:lpstr>
      <vt:lpstr>'413'!OSRRefH22_4x_0</vt:lpstr>
      <vt:lpstr>'414'!OSRRefH22_4x_0</vt:lpstr>
      <vt:lpstr>'415'!OSRRefH22_4x_0</vt:lpstr>
      <vt:lpstr>'418'!OSRRefH22_4x_0</vt:lpstr>
      <vt:lpstr>'420'!OSRRefH22_4x_0</vt:lpstr>
      <vt:lpstr>'423'!OSRRefH22_4x_0</vt:lpstr>
      <vt:lpstr>'424'!OSRRefH22_4x_0</vt:lpstr>
      <vt:lpstr>'425'!OSRRefH22_4x_0</vt:lpstr>
      <vt:lpstr>'430'!OSRRefH22_4x_0</vt:lpstr>
      <vt:lpstr>'433'!OSRRefH22_4x_0</vt:lpstr>
      <vt:lpstr>'435'!OSRRefH22_4x_0</vt:lpstr>
      <vt:lpstr>'444'!OSRRefH22_4x_0</vt:lpstr>
      <vt:lpstr>'450'!OSRRefH22_4x_0</vt:lpstr>
      <vt:lpstr>'491'!OSRRefH22_4x_0</vt:lpstr>
      <vt:lpstr>'492'!OSRRefH22_4x_0</vt:lpstr>
      <vt:lpstr>'501'!OSRRefH22_4x_0</vt:lpstr>
      <vt:lpstr>'Div 2'!OSRRefH22_4x_0</vt:lpstr>
      <vt:lpstr>'Div 3'!OSRRefH22_4x_0</vt:lpstr>
      <vt:lpstr>'Div 4'!OSRRefH22_4x_0</vt:lpstr>
      <vt:lpstr>'Div 5'!OSRRefH22_4x_0</vt:lpstr>
      <vt:lpstr>'Div 6'!OSRRefH22_4x_0</vt:lpstr>
      <vt:lpstr>Summary!OSRRefH22_4x_0</vt:lpstr>
      <vt:lpstr>'201'!OSRRefH22_5x_0</vt:lpstr>
      <vt:lpstr>'202'!OSRRefH22_5x_0</vt:lpstr>
      <vt:lpstr>'203'!OSRRefH22_5x_0</vt:lpstr>
      <vt:lpstr>'204'!OSRRefH22_5x_0</vt:lpstr>
      <vt:lpstr>'205'!OSRRefH22_5x_0</vt:lpstr>
      <vt:lpstr>'206'!OSRRefH22_5x_0</vt:lpstr>
      <vt:lpstr>'300'!OSRRefH22_5x_0</vt:lpstr>
      <vt:lpstr>'300 &amp; 317'!OSRRefH22_5x_0</vt:lpstr>
      <vt:lpstr>'301'!OSRRefH22_5x_0</vt:lpstr>
      <vt:lpstr>'306'!OSRRefH22_5x_0</vt:lpstr>
      <vt:lpstr>'307'!OSRRefH22_5x_0</vt:lpstr>
      <vt:lpstr>'308'!OSRRefH22_5x_0</vt:lpstr>
      <vt:lpstr>'309'!OSRRefH22_5x_0</vt:lpstr>
      <vt:lpstr>'310'!OSRRefH22_5x_0</vt:lpstr>
      <vt:lpstr>'310 &amp; 491'!OSRRefH22_5x_0</vt:lpstr>
      <vt:lpstr>'311'!OSRRefH22_5x_0</vt:lpstr>
      <vt:lpstr>'313'!OSRRefH22_5x_0</vt:lpstr>
      <vt:lpstr>'314'!OSRRefH22_5x_0</vt:lpstr>
      <vt:lpstr>'315'!OSRRefH22_5x_0</vt:lpstr>
      <vt:lpstr>'316'!OSRRefH22_5x_0</vt:lpstr>
      <vt:lpstr>'317'!OSRRefH22_5x_0</vt:lpstr>
      <vt:lpstr>'320'!OSRRefH22_5x_0</vt:lpstr>
      <vt:lpstr>'321'!OSRRefH22_5x_0</vt:lpstr>
      <vt:lpstr>'322'!OSRRefH22_5x_0</vt:lpstr>
      <vt:lpstr>'326'!OSRRefH22_5x_0</vt:lpstr>
      <vt:lpstr>'330'!OSRRefH22_5x_0</vt:lpstr>
      <vt:lpstr>'331'!OSRRefH22_5x_0</vt:lpstr>
      <vt:lpstr>'332'!OSRRefH22_5x_0</vt:lpstr>
      <vt:lpstr>'405'!OSRRefH22_5x_0</vt:lpstr>
      <vt:lpstr>'406'!OSRRefH22_5x_0</vt:lpstr>
      <vt:lpstr>'411'!OSRRefH22_5x_0</vt:lpstr>
      <vt:lpstr>'412'!OSRRefH22_5x_0</vt:lpstr>
      <vt:lpstr>'413'!OSRRefH22_5x_0</vt:lpstr>
      <vt:lpstr>'414'!OSRRefH22_5x_0</vt:lpstr>
      <vt:lpstr>'415'!OSRRefH22_5x_0</vt:lpstr>
      <vt:lpstr>'418'!OSRRefH22_5x_0</vt:lpstr>
      <vt:lpstr>'420'!OSRRefH22_5x_0</vt:lpstr>
      <vt:lpstr>'423'!OSRRefH22_5x_0</vt:lpstr>
      <vt:lpstr>'424'!OSRRefH22_5x_0</vt:lpstr>
      <vt:lpstr>'425'!OSRRefH22_5x_0</vt:lpstr>
      <vt:lpstr>'430'!OSRRefH22_5x_0</vt:lpstr>
      <vt:lpstr>'433'!OSRRefH22_5x_0</vt:lpstr>
      <vt:lpstr>'435'!OSRRefH22_5x_0</vt:lpstr>
      <vt:lpstr>'444'!OSRRefH22_5x_0</vt:lpstr>
      <vt:lpstr>'450'!OSRRefH22_5x_0</vt:lpstr>
      <vt:lpstr>'491'!OSRRefH22_5x_0</vt:lpstr>
      <vt:lpstr>'492'!OSRRefH22_5x_0</vt:lpstr>
      <vt:lpstr>'501'!OSRRefH22_5x_0</vt:lpstr>
      <vt:lpstr>'Div 2'!OSRRefH22_5x_0</vt:lpstr>
      <vt:lpstr>'Div 3'!OSRRefH22_5x_0</vt:lpstr>
      <vt:lpstr>'Div 4'!OSRRefH22_5x_0</vt:lpstr>
      <vt:lpstr>'Div 5'!OSRRefH22_5x_0</vt:lpstr>
      <vt:lpstr>'Div 6'!OSRRefH22_5x_0</vt:lpstr>
      <vt:lpstr>Summary!OSRRefH22_5x_0</vt:lpstr>
      <vt:lpstr>'201'!OSRRefH22_6x_0</vt:lpstr>
      <vt:lpstr>'202'!OSRRefH22_6x_0</vt:lpstr>
      <vt:lpstr>'203'!OSRRefH22_6x_0</vt:lpstr>
      <vt:lpstr>'204'!OSRRefH22_6x_0</vt:lpstr>
      <vt:lpstr>'205'!OSRRefH22_6x_0</vt:lpstr>
      <vt:lpstr>'206'!OSRRefH22_6x_0</vt:lpstr>
      <vt:lpstr>'300'!OSRRefH22_6x_0</vt:lpstr>
      <vt:lpstr>'300 &amp; 317'!OSRRefH22_6x_0</vt:lpstr>
      <vt:lpstr>'301'!OSRRefH22_6x_0</vt:lpstr>
      <vt:lpstr>'306'!OSRRefH22_6x_0</vt:lpstr>
      <vt:lpstr>'307'!OSRRefH22_6x_0</vt:lpstr>
      <vt:lpstr>'308'!OSRRefH22_6x_0</vt:lpstr>
      <vt:lpstr>'309'!OSRRefH22_6x_0</vt:lpstr>
      <vt:lpstr>'310'!OSRRefH22_6x_0</vt:lpstr>
      <vt:lpstr>'310 &amp; 491'!OSRRefH22_6x_0</vt:lpstr>
      <vt:lpstr>'311'!OSRRefH22_6x_0</vt:lpstr>
      <vt:lpstr>'313'!OSRRefH22_6x_0</vt:lpstr>
      <vt:lpstr>'314'!OSRRefH22_6x_0</vt:lpstr>
      <vt:lpstr>'315'!OSRRefH22_6x_0</vt:lpstr>
      <vt:lpstr>'316'!OSRRefH22_6x_0</vt:lpstr>
      <vt:lpstr>'317'!OSRRefH22_6x_0</vt:lpstr>
      <vt:lpstr>'320'!OSRRefH22_6x_0</vt:lpstr>
      <vt:lpstr>'321'!OSRRefH22_6x_0</vt:lpstr>
      <vt:lpstr>'322'!OSRRefH22_6x_0</vt:lpstr>
      <vt:lpstr>'326'!OSRRefH22_6x_0</vt:lpstr>
      <vt:lpstr>'330'!OSRRefH22_6x_0</vt:lpstr>
      <vt:lpstr>'331'!OSRRefH22_6x_0</vt:lpstr>
      <vt:lpstr>'332'!OSRRefH22_6x_0</vt:lpstr>
      <vt:lpstr>'405'!OSRRefH22_6x_0</vt:lpstr>
      <vt:lpstr>'406'!OSRRefH22_6x_0</vt:lpstr>
      <vt:lpstr>'411'!OSRRefH22_6x_0</vt:lpstr>
      <vt:lpstr>'412'!OSRRefH22_6x_0</vt:lpstr>
      <vt:lpstr>'413'!OSRRefH22_6x_0</vt:lpstr>
      <vt:lpstr>'414'!OSRRefH22_6x_0</vt:lpstr>
      <vt:lpstr>'415'!OSRRefH22_6x_0</vt:lpstr>
      <vt:lpstr>'418'!OSRRefH22_6x_0</vt:lpstr>
      <vt:lpstr>'420'!OSRRefH22_6x_0</vt:lpstr>
      <vt:lpstr>'423'!OSRRefH22_6x_0</vt:lpstr>
      <vt:lpstr>'424'!OSRRefH22_6x_0</vt:lpstr>
      <vt:lpstr>'425'!OSRRefH22_6x_0</vt:lpstr>
      <vt:lpstr>'430'!OSRRefH22_6x_0</vt:lpstr>
      <vt:lpstr>'433'!OSRRefH22_6x_0</vt:lpstr>
      <vt:lpstr>'435'!OSRRefH22_6x_0</vt:lpstr>
      <vt:lpstr>'444'!OSRRefH22_6x_0</vt:lpstr>
      <vt:lpstr>'450'!OSRRefH22_6x_0</vt:lpstr>
      <vt:lpstr>'491'!OSRRefH22_6x_0</vt:lpstr>
      <vt:lpstr>'492'!OSRRefH22_6x_0</vt:lpstr>
      <vt:lpstr>'501'!OSRRefH22_6x_0</vt:lpstr>
      <vt:lpstr>'Div 2'!OSRRefH22_6x_0</vt:lpstr>
      <vt:lpstr>'Div 3'!OSRRefH22_6x_0</vt:lpstr>
      <vt:lpstr>'Div 4'!OSRRefH22_6x_0</vt:lpstr>
      <vt:lpstr>'Div 5'!OSRRefH22_6x_0</vt:lpstr>
      <vt:lpstr>'Div 6'!OSRRefH22_6x_0</vt:lpstr>
      <vt:lpstr>Summary!OSRRefH22_6x_0</vt:lpstr>
      <vt:lpstr>'201'!OSRRefH22_7x_0</vt:lpstr>
      <vt:lpstr>'202'!OSRRefH22_7x_0</vt:lpstr>
      <vt:lpstr>'203'!OSRRefH22_7x_0</vt:lpstr>
      <vt:lpstr>'204'!OSRRefH22_7x_0</vt:lpstr>
      <vt:lpstr>'205'!OSRRefH22_7x_0</vt:lpstr>
      <vt:lpstr>'206'!OSRRefH22_7x_0</vt:lpstr>
      <vt:lpstr>'300'!OSRRefH22_7x_0</vt:lpstr>
      <vt:lpstr>'300 &amp; 317'!OSRRefH22_7x_0</vt:lpstr>
      <vt:lpstr>'301'!OSRRefH22_7x_0</vt:lpstr>
      <vt:lpstr>'306'!OSRRefH22_7x_0</vt:lpstr>
      <vt:lpstr>'307'!OSRRefH22_7x_0</vt:lpstr>
      <vt:lpstr>'308'!OSRRefH22_7x_0</vt:lpstr>
      <vt:lpstr>'309'!OSRRefH22_7x_0</vt:lpstr>
      <vt:lpstr>'310'!OSRRefH22_7x_0</vt:lpstr>
      <vt:lpstr>'310 &amp; 491'!OSRRefH22_7x_0</vt:lpstr>
      <vt:lpstr>'311'!OSRRefH22_7x_0</vt:lpstr>
      <vt:lpstr>'313'!OSRRefH22_7x_0</vt:lpstr>
      <vt:lpstr>'314'!OSRRefH22_7x_0</vt:lpstr>
      <vt:lpstr>'315'!OSRRefH22_7x_0</vt:lpstr>
      <vt:lpstr>'316'!OSRRefH22_7x_0</vt:lpstr>
      <vt:lpstr>'317'!OSRRefH22_7x_0</vt:lpstr>
      <vt:lpstr>'320'!OSRRefH22_7x_0</vt:lpstr>
      <vt:lpstr>'321'!OSRRefH22_7x_0</vt:lpstr>
      <vt:lpstr>'322'!OSRRefH22_7x_0</vt:lpstr>
      <vt:lpstr>'326'!OSRRefH22_7x_0</vt:lpstr>
      <vt:lpstr>'330'!OSRRefH22_7x_0</vt:lpstr>
      <vt:lpstr>'331'!OSRRefH22_7x_0</vt:lpstr>
      <vt:lpstr>'332'!OSRRefH22_7x_0</vt:lpstr>
      <vt:lpstr>'405'!OSRRefH22_7x_0</vt:lpstr>
      <vt:lpstr>'406'!OSRRefH22_7x_0</vt:lpstr>
      <vt:lpstr>'411'!OSRRefH22_7x_0</vt:lpstr>
      <vt:lpstr>'412'!OSRRefH22_7x_0</vt:lpstr>
      <vt:lpstr>'413'!OSRRefH22_7x_0</vt:lpstr>
      <vt:lpstr>'414'!OSRRefH22_7x_0</vt:lpstr>
      <vt:lpstr>'415'!OSRRefH22_7x_0</vt:lpstr>
      <vt:lpstr>'418'!OSRRefH22_7x_0</vt:lpstr>
      <vt:lpstr>'420'!OSRRefH22_7x_0</vt:lpstr>
      <vt:lpstr>'424'!OSRRefH22_7x_0</vt:lpstr>
      <vt:lpstr>'425'!OSRRefH22_7x_0</vt:lpstr>
      <vt:lpstr>'430'!OSRRefH22_7x_0</vt:lpstr>
      <vt:lpstr>'433'!OSRRefH22_7x_0</vt:lpstr>
      <vt:lpstr>'435'!OSRRefH22_7x_0</vt:lpstr>
      <vt:lpstr>'444'!OSRRefH22_7x_0</vt:lpstr>
      <vt:lpstr>'450'!OSRRefH22_7x_0</vt:lpstr>
      <vt:lpstr>'491'!OSRRefH22_7x_0</vt:lpstr>
      <vt:lpstr>'492'!OSRRefH22_7x_0</vt:lpstr>
      <vt:lpstr>'501'!OSRRefH22_7x_0</vt:lpstr>
      <vt:lpstr>'Div 2'!OSRRefH22_7x_0</vt:lpstr>
      <vt:lpstr>'Div 3'!OSRRefH22_7x_0</vt:lpstr>
      <vt:lpstr>'Div 4'!OSRRefH22_7x_0</vt:lpstr>
      <vt:lpstr>'Div 5'!OSRRefH22_7x_0</vt:lpstr>
      <vt:lpstr>'Div 6'!OSRRefH22_7x_0</vt:lpstr>
      <vt:lpstr>Summary!OSRRefH22_7x_0</vt:lpstr>
      <vt:lpstr>'201'!OSRRefH22_8x_0</vt:lpstr>
      <vt:lpstr>'202'!OSRRefH22_8x_0</vt:lpstr>
      <vt:lpstr>'203'!OSRRefH22_8x_0</vt:lpstr>
      <vt:lpstr>'204'!OSRRefH22_8x_0</vt:lpstr>
      <vt:lpstr>'205'!OSRRefH22_8x_0</vt:lpstr>
      <vt:lpstr>'206'!OSRRefH22_8x_0</vt:lpstr>
      <vt:lpstr>'300'!OSRRefH22_8x_0</vt:lpstr>
      <vt:lpstr>'300 &amp; 317'!OSRRefH22_8x_0</vt:lpstr>
      <vt:lpstr>'301'!OSRRefH22_8x_0</vt:lpstr>
      <vt:lpstr>'306'!OSRRefH22_8x_0</vt:lpstr>
      <vt:lpstr>'307'!OSRRefH22_8x_0</vt:lpstr>
      <vt:lpstr>'308'!OSRRefH22_8x_0</vt:lpstr>
      <vt:lpstr>'309'!OSRRefH22_8x_0</vt:lpstr>
      <vt:lpstr>'310'!OSRRefH22_8x_0</vt:lpstr>
      <vt:lpstr>'310 &amp; 491'!OSRRefH22_8x_0</vt:lpstr>
      <vt:lpstr>'311'!OSRRefH22_8x_0</vt:lpstr>
      <vt:lpstr>'313'!OSRRefH22_8x_0</vt:lpstr>
      <vt:lpstr>'314'!OSRRefH22_8x_0</vt:lpstr>
      <vt:lpstr>'315'!OSRRefH22_8x_0</vt:lpstr>
      <vt:lpstr>'316'!OSRRefH22_8x_0</vt:lpstr>
      <vt:lpstr>'317'!OSRRefH22_8x_0</vt:lpstr>
      <vt:lpstr>'320'!OSRRefH22_8x_0</vt:lpstr>
      <vt:lpstr>'321'!OSRRefH22_8x_0</vt:lpstr>
      <vt:lpstr>'322'!OSRRefH22_8x_0</vt:lpstr>
      <vt:lpstr>'326'!OSRRefH22_8x_0</vt:lpstr>
      <vt:lpstr>'330'!OSRRefH22_8x_0</vt:lpstr>
      <vt:lpstr>'331'!OSRRefH22_8x_0</vt:lpstr>
      <vt:lpstr>'332'!OSRRefH22_8x_0</vt:lpstr>
      <vt:lpstr>'405'!OSRRefH22_8x_0</vt:lpstr>
      <vt:lpstr>'406'!OSRRefH22_8x_0</vt:lpstr>
      <vt:lpstr>'411'!OSRRefH22_8x_0</vt:lpstr>
      <vt:lpstr>'412'!OSRRefH22_8x_0</vt:lpstr>
      <vt:lpstr>'413'!OSRRefH22_8x_0</vt:lpstr>
      <vt:lpstr>'414'!OSRRefH22_8x_0</vt:lpstr>
      <vt:lpstr>'415'!OSRRefH22_8x_0</vt:lpstr>
      <vt:lpstr>'418'!OSRRefH22_8x_0</vt:lpstr>
      <vt:lpstr>'424'!OSRRefH22_8x_0</vt:lpstr>
      <vt:lpstr>'425'!OSRRefH22_8x_0</vt:lpstr>
      <vt:lpstr>'430'!OSRRefH22_8x_0</vt:lpstr>
      <vt:lpstr>'433'!OSRRefH22_8x_0</vt:lpstr>
      <vt:lpstr>'435'!OSRRefH22_8x_0</vt:lpstr>
      <vt:lpstr>'444'!OSRRefH22_8x_0</vt:lpstr>
      <vt:lpstr>'450'!OSRRefH22_8x_0</vt:lpstr>
      <vt:lpstr>'491'!OSRRefH22_8x_0</vt:lpstr>
      <vt:lpstr>'492'!OSRRefH22_8x_0</vt:lpstr>
      <vt:lpstr>'501'!OSRRefH22_8x_0</vt:lpstr>
      <vt:lpstr>'Div 2'!OSRRefH22_8x_0</vt:lpstr>
      <vt:lpstr>'Div 3'!OSRRefH22_8x_0</vt:lpstr>
      <vt:lpstr>'Div 4'!OSRRefH22_8x_0</vt:lpstr>
      <vt:lpstr>'Div 5'!OSRRefH22_8x_0</vt:lpstr>
      <vt:lpstr>'Div 6'!OSRRefH22_8x_0</vt:lpstr>
      <vt:lpstr>Summary!OSRRefH22_8x_0</vt:lpstr>
      <vt:lpstr>'201'!OSRRefH22_9x_0</vt:lpstr>
      <vt:lpstr>'202'!OSRRefH22_9x_0</vt:lpstr>
      <vt:lpstr>'203'!OSRRefH22_9x_0</vt:lpstr>
      <vt:lpstr>'204'!OSRRefH22_9x_0</vt:lpstr>
      <vt:lpstr>'205'!OSRRefH22_9x_0</vt:lpstr>
      <vt:lpstr>'206'!OSRRefH22_9x_0</vt:lpstr>
      <vt:lpstr>'300'!OSRRefH22_9x_0</vt:lpstr>
      <vt:lpstr>'300 &amp; 317'!OSRRefH22_9x_0</vt:lpstr>
      <vt:lpstr>'301'!OSRRefH22_9x_0</vt:lpstr>
      <vt:lpstr>'306'!OSRRefH22_9x_0</vt:lpstr>
      <vt:lpstr>'307'!OSRRefH22_9x_0</vt:lpstr>
      <vt:lpstr>'308'!OSRRefH22_9x_0</vt:lpstr>
      <vt:lpstr>'309'!OSRRefH22_9x_0</vt:lpstr>
      <vt:lpstr>'310'!OSRRefH22_9x_0</vt:lpstr>
      <vt:lpstr>'310 &amp; 491'!OSRRefH22_9x_0</vt:lpstr>
      <vt:lpstr>'311'!OSRRefH22_9x_0</vt:lpstr>
      <vt:lpstr>'313'!OSRRefH22_9x_0</vt:lpstr>
      <vt:lpstr>'314'!OSRRefH22_9x_0</vt:lpstr>
      <vt:lpstr>'315'!OSRRefH22_9x_0</vt:lpstr>
      <vt:lpstr>'316'!OSRRefH22_9x_0</vt:lpstr>
      <vt:lpstr>'317'!OSRRefH22_9x_0</vt:lpstr>
      <vt:lpstr>'321'!OSRRefH22_9x_0</vt:lpstr>
      <vt:lpstr>'322'!OSRRefH22_9x_0</vt:lpstr>
      <vt:lpstr>'326'!OSRRefH22_9x_0</vt:lpstr>
      <vt:lpstr>'330'!OSRRefH22_9x_0</vt:lpstr>
      <vt:lpstr>'331'!OSRRefH22_9x_0</vt:lpstr>
      <vt:lpstr>'332'!OSRRefH22_9x_0</vt:lpstr>
      <vt:lpstr>'405'!OSRRefH22_9x_0</vt:lpstr>
      <vt:lpstr>'406'!OSRRefH22_9x_0</vt:lpstr>
      <vt:lpstr>'411'!OSRRefH22_9x_0</vt:lpstr>
      <vt:lpstr>'412'!OSRRefH22_9x_0</vt:lpstr>
      <vt:lpstr>'413'!OSRRefH22_9x_0</vt:lpstr>
      <vt:lpstr>'414'!OSRRefH22_9x_0</vt:lpstr>
      <vt:lpstr>'415'!OSRRefH22_9x_0</vt:lpstr>
      <vt:lpstr>'418'!OSRRefH22_9x_0</vt:lpstr>
      <vt:lpstr>'424'!OSRRefH22_9x_0</vt:lpstr>
      <vt:lpstr>'425'!OSRRefH22_9x_0</vt:lpstr>
      <vt:lpstr>'430'!OSRRefH22_9x_0</vt:lpstr>
      <vt:lpstr>'433'!OSRRefH22_9x_0</vt:lpstr>
      <vt:lpstr>'444'!OSRRefH22_9x_0</vt:lpstr>
      <vt:lpstr>'450'!OSRRefH22_9x_0</vt:lpstr>
      <vt:lpstr>'491'!OSRRefH22_9x_0</vt:lpstr>
      <vt:lpstr>'492'!OSRRefH22_9x_0</vt:lpstr>
      <vt:lpstr>'501'!OSRRefH22_9x_0</vt:lpstr>
      <vt:lpstr>'Div 2'!OSRRefH22_9x_0</vt:lpstr>
      <vt:lpstr>'Div 3'!OSRRefH22_9x_0</vt:lpstr>
      <vt:lpstr>'Div 4'!OSRRefH22_9x_0</vt:lpstr>
      <vt:lpstr>'Div 5'!OSRRefH22_9x_0</vt:lpstr>
      <vt:lpstr>'Div 6'!OSRRefH22_9x_0</vt:lpstr>
      <vt:lpstr>Summary!OSRRefH22_9x_0</vt:lpstr>
      <vt:lpstr>'200'!OSRRefH22x_0</vt:lpstr>
      <vt:lpstr>'201'!OSRRefH22x_0</vt:lpstr>
      <vt:lpstr>'202'!OSRRefH22x_0</vt:lpstr>
      <vt:lpstr>'203'!OSRRefH22x_0</vt:lpstr>
      <vt:lpstr>'204'!OSRRefH22x_0</vt:lpstr>
      <vt:lpstr>'205'!OSRRefH22x_0</vt:lpstr>
      <vt:lpstr>'206'!OSRRefH22x_0</vt:lpstr>
      <vt:lpstr>'300'!OSRRefH22x_0</vt:lpstr>
      <vt:lpstr>'300 &amp; 317'!OSRRefH22x_0</vt:lpstr>
      <vt:lpstr>'301'!OSRRefH22x_0</vt:lpstr>
      <vt:lpstr>'306'!OSRRefH22x_0</vt:lpstr>
      <vt:lpstr>'307'!OSRRefH22x_0</vt:lpstr>
      <vt:lpstr>'308'!OSRRefH22x_0</vt:lpstr>
      <vt:lpstr>'309'!OSRRefH22x_0</vt:lpstr>
      <vt:lpstr>'310'!OSRRefH22x_0</vt:lpstr>
      <vt:lpstr>'310 &amp; 491'!OSRRefH22x_0</vt:lpstr>
      <vt:lpstr>'311'!OSRRefH22x_0</vt:lpstr>
      <vt:lpstr>'313'!OSRRefH22x_0</vt:lpstr>
      <vt:lpstr>'314'!OSRRefH22x_0</vt:lpstr>
      <vt:lpstr>'315'!OSRRefH22x_0</vt:lpstr>
      <vt:lpstr>'316'!OSRRefH22x_0</vt:lpstr>
      <vt:lpstr>'317'!OSRRefH22x_0</vt:lpstr>
      <vt:lpstr>'320'!OSRRefH22x_0</vt:lpstr>
      <vt:lpstr>'321'!OSRRefH22x_0</vt:lpstr>
      <vt:lpstr>'322'!OSRRefH22x_0</vt:lpstr>
      <vt:lpstr>'326'!OSRRefH22x_0</vt:lpstr>
      <vt:lpstr>'327'!OSRRefH22x_0</vt:lpstr>
      <vt:lpstr>'330'!OSRRefH22x_0</vt:lpstr>
      <vt:lpstr>'331'!OSRRefH22x_0</vt:lpstr>
      <vt:lpstr>'332'!OSRRefH22x_0</vt:lpstr>
      <vt:lpstr>'405'!OSRRefH22x_0</vt:lpstr>
      <vt:lpstr>'406'!OSRRefH22x_0</vt:lpstr>
      <vt:lpstr>'411'!OSRRefH22x_0</vt:lpstr>
      <vt:lpstr>'412'!OSRRefH22x_0</vt:lpstr>
      <vt:lpstr>'413'!OSRRefH22x_0</vt:lpstr>
      <vt:lpstr>'414'!OSRRefH22x_0</vt:lpstr>
      <vt:lpstr>'415'!OSRRefH22x_0</vt:lpstr>
      <vt:lpstr>'418'!OSRRefH22x_0</vt:lpstr>
      <vt:lpstr>'420'!OSRRefH22x_0</vt:lpstr>
      <vt:lpstr>'423'!OSRRefH22x_0</vt:lpstr>
      <vt:lpstr>'424'!OSRRefH22x_0</vt:lpstr>
      <vt:lpstr>'425'!OSRRefH22x_0</vt:lpstr>
      <vt:lpstr>'430'!OSRRefH22x_0</vt:lpstr>
      <vt:lpstr>'433'!OSRRefH22x_0</vt:lpstr>
      <vt:lpstr>'435'!OSRRefH22x_0</vt:lpstr>
      <vt:lpstr>'444'!OSRRefH22x_0</vt:lpstr>
      <vt:lpstr>'450'!OSRRefH22x_0</vt:lpstr>
      <vt:lpstr>'455'!OSRRefH22x_0</vt:lpstr>
      <vt:lpstr>'491'!OSRRefH22x_0</vt:lpstr>
      <vt:lpstr>'492'!OSRRefH22x_0</vt:lpstr>
      <vt:lpstr>'501'!OSRRefH22x_0</vt:lpstr>
      <vt:lpstr>'Div 2'!OSRRefH22x_0</vt:lpstr>
      <vt:lpstr>'Div 3'!OSRRefH22x_0</vt:lpstr>
      <vt:lpstr>'Div 4'!OSRRefH22x_0</vt:lpstr>
      <vt:lpstr>'Div 5'!OSRRefH22x_0</vt:lpstr>
      <vt:lpstr>'Div 6'!OSRRefH22x_0</vt:lpstr>
      <vt:lpstr>Summary!OSRRefH22x_0</vt:lpstr>
      <vt:lpstr>'300'!OSRRefH25x_0</vt:lpstr>
      <vt:lpstr>'300 &amp; 317'!OSRRefH25x_0</vt:lpstr>
      <vt:lpstr>'301'!OSRRefH25x_0</vt:lpstr>
      <vt:lpstr>'307'!OSRRefH25x_0</vt:lpstr>
      <vt:lpstr>'308'!OSRRefH25x_0</vt:lpstr>
      <vt:lpstr>'310 &amp; 491'!OSRRefH25x_0</vt:lpstr>
      <vt:lpstr>'311'!OSRRefH25x_0</vt:lpstr>
      <vt:lpstr>'315'!OSRRefH25x_0</vt:lpstr>
      <vt:lpstr>'316'!OSRRefH25x_0</vt:lpstr>
      <vt:lpstr>'317'!OSRRefH25x_0</vt:lpstr>
      <vt:lpstr>'320'!OSRRefH25x_0</vt:lpstr>
      <vt:lpstr>'330'!OSRRefH25x_0</vt:lpstr>
      <vt:lpstr>'331'!OSRRefH25x_0</vt:lpstr>
      <vt:lpstr>'332'!OSRRefH25x_0</vt:lpstr>
      <vt:lpstr>'411'!OSRRefH25x_0</vt:lpstr>
      <vt:lpstr>'413'!OSRRefH25x_0</vt:lpstr>
      <vt:lpstr>'415'!OSRRefH25x_0</vt:lpstr>
      <vt:lpstr>'423'!OSRRefH25x_0</vt:lpstr>
      <vt:lpstr>'424'!OSRRefH25x_0</vt:lpstr>
      <vt:lpstr>'425'!OSRRefH25x_0</vt:lpstr>
      <vt:lpstr>'455'!OSRRefH25x_0</vt:lpstr>
      <vt:lpstr>'491'!OSRRefH25x_0</vt:lpstr>
      <vt:lpstr>'501'!OSRRefH25x_0</vt:lpstr>
      <vt:lpstr>'Div 3'!OSRRefH25x_0</vt:lpstr>
      <vt:lpstr>'Div 4'!OSRRefH25x_0</vt:lpstr>
      <vt:lpstr>'Div 5'!OSRRefH25x_0</vt:lpstr>
      <vt:lpstr>'Div 6'!OSRRefH25x_0</vt:lpstr>
      <vt:lpstr>Summary!OSRRefH25x_0</vt:lpstr>
      <vt:lpstr>'204'!OSRRefP13x_0</vt:lpstr>
      <vt:lpstr>'300'!OSRRefP13x_0</vt:lpstr>
      <vt:lpstr>'300 &amp; 317'!OSRRefP13x_0</vt:lpstr>
      <vt:lpstr>'307'!OSRRefP13x_0</vt:lpstr>
      <vt:lpstr>'308'!OSRRefP13x_0</vt:lpstr>
      <vt:lpstr>'309'!OSRRefP13x_0</vt:lpstr>
      <vt:lpstr>'310'!OSRRefP13x_0</vt:lpstr>
      <vt:lpstr>'310 &amp; 491'!OSRRefP13x_0</vt:lpstr>
      <vt:lpstr>'311'!OSRRefP13x_0</vt:lpstr>
      <vt:lpstr>'313'!OSRRefP13x_0</vt:lpstr>
      <vt:lpstr>'314'!OSRRefP13x_0</vt:lpstr>
      <vt:lpstr>'315'!OSRRefP13x_0</vt:lpstr>
      <vt:lpstr>'316'!OSRRefP13x_0</vt:lpstr>
      <vt:lpstr>'317'!OSRRefP13x_0</vt:lpstr>
      <vt:lpstr>'320'!OSRRefP13x_0</vt:lpstr>
      <vt:lpstr>'321'!OSRRefP13x_0</vt:lpstr>
      <vt:lpstr>'322'!OSRRefP13x_0</vt:lpstr>
      <vt:lpstr>'324'!OSRRefP13x_0</vt:lpstr>
      <vt:lpstr>'326'!OSRRefP13x_0</vt:lpstr>
      <vt:lpstr>'327'!OSRRefP13x_0</vt:lpstr>
      <vt:lpstr>'330'!OSRRefP13x_0</vt:lpstr>
      <vt:lpstr>'331'!OSRRefP13x_0</vt:lpstr>
      <vt:lpstr>'332'!OSRRefP13x_0</vt:lpstr>
      <vt:lpstr>'405'!OSRRefP13x_0</vt:lpstr>
      <vt:lpstr>'406'!OSRRefP13x_0</vt:lpstr>
      <vt:lpstr>'412'!OSRRefP13x_0</vt:lpstr>
      <vt:lpstr>'413'!OSRRefP13x_0</vt:lpstr>
      <vt:lpstr>'414'!OSRRefP13x_0</vt:lpstr>
      <vt:lpstr>'415'!OSRRefP13x_0</vt:lpstr>
      <vt:lpstr>'418'!OSRRefP13x_0</vt:lpstr>
      <vt:lpstr>'420'!OSRRefP13x_0</vt:lpstr>
      <vt:lpstr>'424'!OSRRefP13x_0</vt:lpstr>
      <vt:lpstr>'425'!OSRRefP13x_0</vt:lpstr>
      <vt:lpstr>'433'!OSRRefP13x_0</vt:lpstr>
      <vt:lpstr>'435'!OSRRefP13x_0</vt:lpstr>
      <vt:lpstr>'444'!OSRRefP13x_0</vt:lpstr>
      <vt:lpstr>'450'!OSRRefP13x_0</vt:lpstr>
      <vt:lpstr>'491'!OSRRefP13x_0</vt:lpstr>
      <vt:lpstr>'492'!OSRRefP13x_0</vt:lpstr>
      <vt:lpstr>'501'!OSRRefP13x_0</vt:lpstr>
      <vt:lpstr>'Div 2'!OSRRefP13x_0</vt:lpstr>
      <vt:lpstr>'Div 3'!OSRRefP13x_0</vt:lpstr>
      <vt:lpstr>'Div 4'!OSRRefP13x_0</vt:lpstr>
      <vt:lpstr>'Div 5'!OSRRefP13x_0</vt:lpstr>
      <vt:lpstr>'Div 6'!OSRRefP13x_0</vt:lpstr>
      <vt:lpstr>Summary!OSRRefP13x_0</vt:lpstr>
      <vt:lpstr>'300'!OSRRefP16x_0</vt:lpstr>
      <vt:lpstr>'300 &amp; 317'!OSRRefP16x_0</vt:lpstr>
      <vt:lpstr>'307'!OSRRefP16x_0</vt:lpstr>
      <vt:lpstr>'308'!OSRRefP16x_0</vt:lpstr>
      <vt:lpstr>'309'!OSRRefP16x_0</vt:lpstr>
      <vt:lpstr>'310'!OSRRefP16x_0</vt:lpstr>
      <vt:lpstr>'310 &amp; 491'!OSRRefP16x_0</vt:lpstr>
      <vt:lpstr>'311'!OSRRefP16x_0</vt:lpstr>
      <vt:lpstr>'313'!OSRRefP16x_0</vt:lpstr>
      <vt:lpstr>'314'!OSRRefP16x_0</vt:lpstr>
      <vt:lpstr>'315'!OSRRefP16x_0</vt:lpstr>
      <vt:lpstr>'317'!OSRRefP16x_0</vt:lpstr>
      <vt:lpstr>'320'!OSRRefP16x_0</vt:lpstr>
      <vt:lpstr>'321'!OSRRefP16x_0</vt:lpstr>
      <vt:lpstr>'322'!OSRRefP16x_0</vt:lpstr>
      <vt:lpstr>'324'!OSRRefP16x_0</vt:lpstr>
      <vt:lpstr>'326'!OSRRefP16x_0</vt:lpstr>
      <vt:lpstr>'327'!OSRRefP16x_0</vt:lpstr>
      <vt:lpstr>'330'!OSRRefP16x_0</vt:lpstr>
      <vt:lpstr>'331'!OSRRefP16x_0</vt:lpstr>
      <vt:lpstr>'332'!OSRRefP16x_0</vt:lpstr>
      <vt:lpstr>'405'!OSRRefP16x_0</vt:lpstr>
      <vt:lpstr>'406'!OSRRefP16x_0</vt:lpstr>
      <vt:lpstr>'412'!OSRRefP16x_0</vt:lpstr>
      <vt:lpstr>'413'!OSRRefP16x_0</vt:lpstr>
      <vt:lpstr>'414'!OSRRefP16x_0</vt:lpstr>
      <vt:lpstr>'415'!OSRRefP16x_0</vt:lpstr>
      <vt:lpstr>'418'!OSRRefP16x_0</vt:lpstr>
      <vt:lpstr>'420'!OSRRefP16x_0</vt:lpstr>
      <vt:lpstr>'423'!OSRRefP16x_0</vt:lpstr>
      <vt:lpstr>'424'!OSRRefP16x_0</vt:lpstr>
      <vt:lpstr>'425'!OSRRefP16x_0</vt:lpstr>
      <vt:lpstr>'433'!OSRRefP16x_0</vt:lpstr>
      <vt:lpstr>'435'!OSRRefP16x_0</vt:lpstr>
      <vt:lpstr>'444'!OSRRefP16x_0</vt:lpstr>
      <vt:lpstr>'450'!OSRRefP16x_0</vt:lpstr>
      <vt:lpstr>'491'!OSRRefP16x_0</vt:lpstr>
      <vt:lpstr>'492'!OSRRefP16x_0</vt:lpstr>
      <vt:lpstr>'Div 3'!OSRRefP16x_0</vt:lpstr>
      <vt:lpstr>'Div 4'!OSRRefP16x_0</vt:lpstr>
      <vt:lpstr>'Div 6'!OSRRefP16x_0</vt:lpstr>
      <vt:lpstr>Summary!OSRRefP16x_0</vt:lpstr>
      <vt:lpstr>'200'!OSRRefP22_0x_0</vt:lpstr>
      <vt:lpstr>'201'!OSRRefP22_0x_0</vt:lpstr>
      <vt:lpstr>'202'!OSRRefP22_0x_0</vt:lpstr>
      <vt:lpstr>'203'!OSRRefP22_0x_0</vt:lpstr>
      <vt:lpstr>'204'!OSRRefP22_0x_0</vt:lpstr>
      <vt:lpstr>'205'!OSRRefP22_0x_0</vt:lpstr>
      <vt:lpstr>'206'!OSRRefP22_0x_0</vt:lpstr>
      <vt:lpstr>'300'!OSRRefP22_0x_0</vt:lpstr>
      <vt:lpstr>'300 &amp; 317'!OSRRefP22_0x_0</vt:lpstr>
      <vt:lpstr>'301'!OSRRefP22_0x_0</vt:lpstr>
      <vt:lpstr>'306'!OSRRefP22_0x_0</vt:lpstr>
      <vt:lpstr>'307'!OSRRefP22_0x_0</vt:lpstr>
      <vt:lpstr>'308'!OSRRefP22_0x_0</vt:lpstr>
      <vt:lpstr>'309'!OSRRefP22_0x_0</vt:lpstr>
      <vt:lpstr>'310'!OSRRefP22_0x_0</vt:lpstr>
      <vt:lpstr>'310 &amp; 491'!OSRRefP22_0x_0</vt:lpstr>
      <vt:lpstr>'311'!OSRRefP22_0x_0</vt:lpstr>
      <vt:lpstr>'313'!OSRRefP22_0x_0</vt:lpstr>
      <vt:lpstr>'314'!OSRRefP22_0x_0</vt:lpstr>
      <vt:lpstr>'315'!OSRRefP22_0x_0</vt:lpstr>
      <vt:lpstr>'316'!OSRRefP22_0x_0</vt:lpstr>
      <vt:lpstr>'317'!OSRRefP22_0x_0</vt:lpstr>
      <vt:lpstr>'320'!OSRRefP22_0x_0</vt:lpstr>
      <vt:lpstr>'321'!OSRRefP22_0x_0</vt:lpstr>
      <vt:lpstr>'322'!OSRRefP22_0x_0</vt:lpstr>
      <vt:lpstr>'326'!OSRRefP22_0x_0</vt:lpstr>
      <vt:lpstr>'327'!OSRRefP22_0x_0</vt:lpstr>
      <vt:lpstr>'330'!OSRRefP22_0x_0</vt:lpstr>
      <vt:lpstr>'331'!OSRRefP22_0x_0</vt:lpstr>
      <vt:lpstr>'332'!OSRRefP22_0x_0</vt:lpstr>
      <vt:lpstr>'405'!OSRRefP22_0x_0</vt:lpstr>
      <vt:lpstr>'406'!OSRRefP22_0x_0</vt:lpstr>
      <vt:lpstr>'411'!OSRRefP22_0x_0</vt:lpstr>
      <vt:lpstr>'412'!OSRRefP22_0x_0</vt:lpstr>
      <vt:lpstr>'413'!OSRRefP22_0x_0</vt:lpstr>
      <vt:lpstr>'414'!OSRRefP22_0x_0</vt:lpstr>
      <vt:lpstr>'415'!OSRRefP22_0x_0</vt:lpstr>
      <vt:lpstr>'418'!OSRRefP22_0x_0</vt:lpstr>
      <vt:lpstr>'420'!OSRRefP22_0x_0</vt:lpstr>
      <vt:lpstr>'423'!OSRRefP22_0x_0</vt:lpstr>
      <vt:lpstr>'424'!OSRRefP22_0x_0</vt:lpstr>
      <vt:lpstr>'425'!OSRRefP22_0x_0</vt:lpstr>
      <vt:lpstr>'430'!OSRRefP22_0x_0</vt:lpstr>
      <vt:lpstr>'433'!OSRRefP22_0x_0</vt:lpstr>
      <vt:lpstr>'435'!OSRRefP22_0x_0</vt:lpstr>
      <vt:lpstr>'444'!OSRRefP22_0x_0</vt:lpstr>
      <vt:lpstr>'450'!OSRRefP22_0x_0</vt:lpstr>
      <vt:lpstr>'455'!OSRRefP22_0x_0</vt:lpstr>
      <vt:lpstr>'491'!OSRRefP22_0x_0</vt:lpstr>
      <vt:lpstr>'492'!OSRRefP22_0x_0</vt:lpstr>
      <vt:lpstr>'501'!OSRRefP22_0x_0</vt:lpstr>
      <vt:lpstr>'Div 2'!OSRRefP22_0x_0</vt:lpstr>
      <vt:lpstr>'Div 3'!OSRRefP22_0x_0</vt:lpstr>
      <vt:lpstr>'Div 4'!OSRRefP22_0x_0</vt:lpstr>
      <vt:lpstr>'Div 5'!OSRRefP22_0x_0</vt:lpstr>
      <vt:lpstr>'Div 6'!OSRRefP22_0x_0</vt:lpstr>
      <vt:lpstr>Summary!OSRRefP22_0x_0</vt:lpstr>
      <vt:lpstr>'201'!OSRRefP22_10x_0</vt:lpstr>
      <vt:lpstr>'202'!OSRRefP22_10x_0</vt:lpstr>
      <vt:lpstr>'203'!OSRRefP22_10x_0</vt:lpstr>
      <vt:lpstr>'204'!OSRRefP22_10x_0</vt:lpstr>
      <vt:lpstr>'206'!OSRRefP22_10x_0</vt:lpstr>
      <vt:lpstr>'300'!OSRRefP22_10x_0</vt:lpstr>
      <vt:lpstr>'300 &amp; 317'!OSRRefP22_10x_0</vt:lpstr>
      <vt:lpstr>'301'!OSRRefP22_10x_0</vt:lpstr>
      <vt:lpstr>'306'!OSRRefP22_10x_0</vt:lpstr>
      <vt:lpstr>'307'!OSRRefP22_10x_0</vt:lpstr>
      <vt:lpstr>'308'!OSRRefP22_10x_0</vt:lpstr>
      <vt:lpstr>'309'!OSRRefP22_10x_0</vt:lpstr>
      <vt:lpstr>'310'!OSRRefP22_10x_0</vt:lpstr>
      <vt:lpstr>'310 &amp; 491'!OSRRefP22_10x_0</vt:lpstr>
      <vt:lpstr>'311'!OSRRefP22_10x_0</vt:lpstr>
      <vt:lpstr>'313'!OSRRefP22_10x_0</vt:lpstr>
      <vt:lpstr>'314'!OSRRefP22_10x_0</vt:lpstr>
      <vt:lpstr>'315'!OSRRefP22_10x_0</vt:lpstr>
      <vt:lpstr>'316'!OSRRefP22_10x_0</vt:lpstr>
      <vt:lpstr>'317'!OSRRefP22_10x_0</vt:lpstr>
      <vt:lpstr>'321'!OSRRefP22_10x_0</vt:lpstr>
      <vt:lpstr>'322'!OSRRefP22_10x_0</vt:lpstr>
      <vt:lpstr>'326'!OSRRefP22_10x_0</vt:lpstr>
      <vt:lpstr>'330'!OSRRefP22_10x_0</vt:lpstr>
      <vt:lpstr>'331'!OSRRefP22_10x_0</vt:lpstr>
      <vt:lpstr>'332'!OSRRefP22_10x_0</vt:lpstr>
      <vt:lpstr>'405'!OSRRefP22_10x_0</vt:lpstr>
      <vt:lpstr>'406'!OSRRefP22_10x_0</vt:lpstr>
      <vt:lpstr>'411'!OSRRefP22_10x_0</vt:lpstr>
      <vt:lpstr>'412'!OSRRefP22_10x_0</vt:lpstr>
      <vt:lpstr>'413'!OSRRefP22_10x_0</vt:lpstr>
      <vt:lpstr>'414'!OSRRefP22_10x_0</vt:lpstr>
      <vt:lpstr>'415'!OSRRefP22_10x_0</vt:lpstr>
      <vt:lpstr>'418'!OSRRefP22_10x_0</vt:lpstr>
      <vt:lpstr>'424'!OSRRefP22_10x_0</vt:lpstr>
      <vt:lpstr>'425'!OSRRefP22_10x_0</vt:lpstr>
      <vt:lpstr>'430'!OSRRefP22_10x_0</vt:lpstr>
      <vt:lpstr>'433'!OSRRefP22_10x_0</vt:lpstr>
      <vt:lpstr>'444'!OSRRefP22_10x_0</vt:lpstr>
      <vt:lpstr>'450'!OSRRefP22_10x_0</vt:lpstr>
      <vt:lpstr>'491'!OSRRefP22_10x_0</vt:lpstr>
      <vt:lpstr>'492'!OSRRefP22_10x_0</vt:lpstr>
      <vt:lpstr>'501'!OSRRefP22_10x_0</vt:lpstr>
      <vt:lpstr>'Div 2'!OSRRefP22_10x_0</vt:lpstr>
      <vt:lpstr>'Div 3'!OSRRefP22_10x_0</vt:lpstr>
      <vt:lpstr>'Div 4'!OSRRefP22_10x_0</vt:lpstr>
      <vt:lpstr>'Div 5'!OSRRefP22_10x_0</vt:lpstr>
      <vt:lpstr>'Div 6'!OSRRefP22_10x_0</vt:lpstr>
      <vt:lpstr>Summary!OSRRefP22_10x_0</vt:lpstr>
      <vt:lpstr>'201'!OSRRefP22_11x_0</vt:lpstr>
      <vt:lpstr>'202'!OSRRefP22_11x_0</vt:lpstr>
      <vt:lpstr>'203'!OSRRefP22_11x_0</vt:lpstr>
      <vt:lpstr>'204'!OSRRefP22_11x_0</vt:lpstr>
      <vt:lpstr>'300'!OSRRefP22_11x_0</vt:lpstr>
      <vt:lpstr>'300 &amp; 317'!OSRRefP22_11x_0</vt:lpstr>
      <vt:lpstr>'301'!OSRRefP22_11x_0</vt:lpstr>
      <vt:lpstr>'307'!OSRRefP22_11x_0</vt:lpstr>
      <vt:lpstr>'308'!OSRRefP22_11x_0</vt:lpstr>
      <vt:lpstr>'309'!OSRRefP22_11x_0</vt:lpstr>
      <vt:lpstr>'310'!OSRRefP22_11x_0</vt:lpstr>
      <vt:lpstr>'310 &amp; 491'!OSRRefP22_11x_0</vt:lpstr>
      <vt:lpstr>'311'!OSRRefP22_11x_0</vt:lpstr>
      <vt:lpstr>'313'!OSRRefP22_11x_0</vt:lpstr>
      <vt:lpstr>'315'!OSRRefP22_11x_0</vt:lpstr>
      <vt:lpstr>'316'!OSRRefP22_11x_0</vt:lpstr>
      <vt:lpstr>'317'!OSRRefP22_11x_0</vt:lpstr>
      <vt:lpstr>'321'!OSRRefP22_11x_0</vt:lpstr>
      <vt:lpstr>'322'!OSRRefP22_11x_0</vt:lpstr>
      <vt:lpstr>'326'!OSRRefP22_11x_0</vt:lpstr>
      <vt:lpstr>'330'!OSRRefP22_11x_0</vt:lpstr>
      <vt:lpstr>'331'!OSRRefP22_11x_0</vt:lpstr>
      <vt:lpstr>'332'!OSRRefP22_11x_0</vt:lpstr>
      <vt:lpstr>'405'!OSRRefP22_11x_0</vt:lpstr>
      <vt:lpstr>'406'!OSRRefP22_11x_0</vt:lpstr>
      <vt:lpstr>'411'!OSRRefP22_11x_0</vt:lpstr>
      <vt:lpstr>'412'!OSRRefP22_11x_0</vt:lpstr>
      <vt:lpstr>'413'!OSRRefP22_11x_0</vt:lpstr>
      <vt:lpstr>'414'!OSRRefP22_11x_0</vt:lpstr>
      <vt:lpstr>'415'!OSRRefP22_11x_0</vt:lpstr>
      <vt:lpstr>'418'!OSRRefP22_11x_0</vt:lpstr>
      <vt:lpstr>'424'!OSRRefP22_11x_0</vt:lpstr>
      <vt:lpstr>'425'!OSRRefP22_11x_0</vt:lpstr>
      <vt:lpstr>'433'!OSRRefP22_11x_0</vt:lpstr>
      <vt:lpstr>'444'!OSRRefP22_11x_0</vt:lpstr>
      <vt:lpstr>'450'!OSRRefP22_11x_0</vt:lpstr>
      <vt:lpstr>'491'!OSRRefP22_11x_0</vt:lpstr>
      <vt:lpstr>'492'!OSRRefP22_11x_0</vt:lpstr>
      <vt:lpstr>'501'!OSRRefP22_11x_0</vt:lpstr>
      <vt:lpstr>'Div 2'!OSRRefP22_11x_0</vt:lpstr>
      <vt:lpstr>'Div 3'!OSRRefP22_11x_0</vt:lpstr>
      <vt:lpstr>'Div 4'!OSRRefP22_11x_0</vt:lpstr>
      <vt:lpstr>'Div 5'!OSRRefP22_11x_0</vt:lpstr>
      <vt:lpstr>'Div 6'!OSRRefP22_11x_0</vt:lpstr>
      <vt:lpstr>Summary!OSRRefP22_11x_0</vt:lpstr>
      <vt:lpstr>'201'!OSRRefP22_12x_0</vt:lpstr>
      <vt:lpstr>'202'!OSRRefP22_12x_0</vt:lpstr>
      <vt:lpstr>'203'!OSRRefP22_12x_0</vt:lpstr>
      <vt:lpstr>'204'!OSRRefP22_12x_0</vt:lpstr>
      <vt:lpstr>'300'!OSRRefP22_12x_0</vt:lpstr>
      <vt:lpstr>'300 &amp; 317'!OSRRefP22_12x_0</vt:lpstr>
      <vt:lpstr>'301'!OSRRefP22_12x_0</vt:lpstr>
      <vt:lpstr>'307'!OSRRefP22_12x_0</vt:lpstr>
      <vt:lpstr>'308'!OSRRefP22_12x_0</vt:lpstr>
      <vt:lpstr>'309'!OSRRefP22_12x_0</vt:lpstr>
      <vt:lpstr>'310'!OSRRefP22_12x_0</vt:lpstr>
      <vt:lpstr>'310 &amp; 491'!OSRRefP22_12x_0</vt:lpstr>
      <vt:lpstr>'311'!OSRRefP22_12x_0</vt:lpstr>
      <vt:lpstr>'313'!OSRRefP22_12x_0</vt:lpstr>
      <vt:lpstr>'315'!OSRRefP22_12x_0</vt:lpstr>
      <vt:lpstr>'316'!OSRRefP22_12x_0</vt:lpstr>
      <vt:lpstr>'317'!OSRRefP22_12x_0</vt:lpstr>
      <vt:lpstr>'321'!OSRRefP22_12x_0</vt:lpstr>
      <vt:lpstr>'326'!OSRRefP22_12x_0</vt:lpstr>
      <vt:lpstr>'330'!OSRRefP22_12x_0</vt:lpstr>
      <vt:lpstr>'331'!OSRRefP22_12x_0</vt:lpstr>
      <vt:lpstr>'332'!OSRRefP22_12x_0</vt:lpstr>
      <vt:lpstr>'405'!OSRRefP22_12x_0</vt:lpstr>
      <vt:lpstr>'406'!OSRRefP22_12x_0</vt:lpstr>
      <vt:lpstr>'411'!OSRRefP22_12x_0</vt:lpstr>
      <vt:lpstr>'412'!OSRRefP22_12x_0</vt:lpstr>
      <vt:lpstr>'413'!OSRRefP22_12x_0</vt:lpstr>
      <vt:lpstr>'414'!OSRRefP22_12x_0</vt:lpstr>
      <vt:lpstr>'415'!OSRRefP22_12x_0</vt:lpstr>
      <vt:lpstr>'418'!OSRRefP22_12x_0</vt:lpstr>
      <vt:lpstr>'424'!OSRRefP22_12x_0</vt:lpstr>
      <vt:lpstr>'425'!OSRRefP22_12x_0</vt:lpstr>
      <vt:lpstr>'433'!OSRRefP22_12x_0</vt:lpstr>
      <vt:lpstr>'444'!OSRRefP22_12x_0</vt:lpstr>
      <vt:lpstr>'450'!OSRRefP22_12x_0</vt:lpstr>
      <vt:lpstr>'491'!OSRRefP22_12x_0</vt:lpstr>
      <vt:lpstr>'492'!OSRRefP22_12x_0</vt:lpstr>
      <vt:lpstr>'501'!OSRRefP22_12x_0</vt:lpstr>
      <vt:lpstr>'Div 2'!OSRRefP22_12x_0</vt:lpstr>
      <vt:lpstr>'Div 3'!OSRRefP22_12x_0</vt:lpstr>
      <vt:lpstr>'Div 4'!OSRRefP22_12x_0</vt:lpstr>
      <vt:lpstr>'Div 5'!OSRRefP22_12x_0</vt:lpstr>
      <vt:lpstr>'Div 6'!OSRRefP22_12x_0</vt:lpstr>
      <vt:lpstr>Summary!OSRRefP22_12x_0</vt:lpstr>
      <vt:lpstr>'201'!OSRRefP22_13x_0</vt:lpstr>
      <vt:lpstr>'202'!OSRRefP22_13x_0</vt:lpstr>
      <vt:lpstr>'203'!OSRRefP22_13x_0</vt:lpstr>
      <vt:lpstr>'300'!OSRRefP22_13x_0</vt:lpstr>
      <vt:lpstr>'300 &amp; 317'!OSRRefP22_13x_0</vt:lpstr>
      <vt:lpstr>'301'!OSRRefP22_13x_0</vt:lpstr>
      <vt:lpstr>'308'!OSRRefP22_13x_0</vt:lpstr>
      <vt:lpstr>'309'!OSRRefP22_13x_0</vt:lpstr>
      <vt:lpstr>'310'!OSRRefP22_13x_0</vt:lpstr>
      <vt:lpstr>'310 &amp; 491'!OSRRefP22_13x_0</vt:lpstr>
      <vt:lpstr>'311'!OSRRefP22_13x_0</vt:lpstr>
      <vt:lpstr>'313'!OSRRefP22_13x_0</vt:lpstr>
      <vt:lpstr>'315'!OSRRefP22_13x_0</vt:lpstr>
      <vt:lpstr>'316'!OSRRefP22_13x_0</vt:lpstr>
      <vt:lpstr>'317'!OSRRefP22_13x_0</vt:lpstr>
      <vt:lpstr>'321'!OSRRefP22_13x_0</vt:lpstr>
      <vt:lpstr>'326'!OSRRefP22_13x_0</vt:lpstr>
      <vt:lpstr>'330'!OSRRefP22_13x_0</vt:lpstr>
      <vt:lpstr>'331'!OSRRefP22_13x_0</vt:lpstr>
      <vt:lpstr>'332'!OSRRefP22_13x_0</vt:lpstr>
      <vt:lpstr>'405'!OSRRefP22_13x_0</vt:lpstr>
      <vt:lpstr>'406'!OSRRefP22_13x_0</vt:lpstr>
      <vt:lpstr>'411'!OSRRefP22_13x_0</vt:lpstr>
      <vt:lpstr>'412'!OSRRefP22_13x_0</vt:lpstr>
      <vt:lpstr>'413'!OSRRefP22_13x_0</vt:lpstr>
      <vt:lpstr>'414'!OSRRefP22_13x_0</vt:lpstr>
      <vt:lpstr>'415'!OSRRefP22_13x_0</vt:lpstr>
      <vt:lpstr>'418'!OSRRefP22_13x_0</vt:lpstr>
      <vt:lpstr>'425'!OSRRefP22_13x_0</vt:lpstr>
      <vt:lpstr>'433'!OSRRefP22_13x_0</vt:lpstr>
      <vt:lpstr>'444'!OSRRefP22_13x_0</vt:lpstr>
      <vt:lpstr>'450'!OSRRefP22_13x_0</vt:lpstr>
      <vt:lpstr>'491'!OSRRefP22_13x_0</vt:lpstr>
      <vt:lpstr>'492'!OSRRefP22_13x_0</vt:lpstr>
      <vt:lpstr>'501'!OSRRefP22_13x_0</vt:lpstr>
      <vt:lpstr>'Div 2'!OSRRefP22_13x_0</vt:lpstr>
      <vt:lpstr>'Div 3'!OSRRefP22_13x_0</vt:lpstr>
      <vt:lpstr>'Div 4'!OSRRefP22_13x_0</vt:lpstr>
      <vt:lpstr>'Div 5'!OSRRefP22_13x_0</vt:lpstr>
      <vt:lpstr>'Div 6'!OSRRefP22_13x_0</vt:lpstr>
      <vt:lpstr>Summary!OSRRefP22_13x_0</vt:lpstr>
      <vt:lpstr>'201'!OSRRefP22_14x_0</vt:lpstr>
      <vt:lpstr>'202'!OSRRefP22_14x_0</vt:lpstr>
      <vt:lpstr>'203'!OSRRefP22_14x_0</vt:lpstr>
      <vt:lpstr>'300'!OSRRefP22_14x_0</vt:lpstr>
      <vt:lpstr>'300 &amp; 317'!OSRRefP22_14x_0</vt:lpstr>
      <vt:lpstr>'301'!OSRRefP22_14x_0</vt:lpstr>
      <vt:lpstr>'308'!OSRRefP22_14x_0</vt:lpstr>
      <vt:lpstr>'310'!OSRRefP22_14x_0</vt:lpstr>
      <vt:lpstr>'310 &amp; 491'!OSRRefP22_14x_0</vt:lpstr>
      <vt:lpstr>'311'!OSRRefP22_14x_0</vt:lpstr>
      <vt:lpstr>'313'!OSRRefP22_14x_0</vt:lpstr>
      <vt:lpstr>'315'!OSRRefP22_14x_0</vt:lpstr>
      <vt:lpstr>'321'!OSRRefP22_14x_0</vt:lpstr>
      <vt:lpstr>'326'!OSRRefP22_14x_0</vt:lpstr>
      <vt:lpstr>'330'!OSRRefP22_14x_0</vt:lpstr>
      <vt:lpstr>'331'!OSRRefP22_14x_0</vt:lpstr>
      <vt:lpstr>'332'!OSRRefP22_14x_0</vt:lpstr>
      <vt:lpstr>'405'!OSRRefP22_14x_0</vt:lpstr>
      <vt:lpstr>'406'!OSRRefP22_14x_0</vt:lpstr>
      <vt:lpstr>'411'!OSRRefP22_14x_0</vt:lpstr>
      <vt:lpstr>'412'!OSRRefP22_14x_0</vt:lpstr>
      <vt:lpstr>'414'!OSRRefP22_14x_0</vt:lpstr>
      <vt:lpstr>'415'!OSRRefP22_14x_0</vt:lpstr>
      <vt:lpstr>'418'!OSRRefP22_14x_0</vt:lpstr>
      <vt:lpstr>'425'!OSRRefP22_14x_0</vt:lpstr>
      <vt:lpstr>'433'!OSRRefP22_14x_0</vt:lpstr>
      <vt:lpstr>'444'!OSRRefP22_14x_0</vt:lpstr>
      <vt:lpstr>'450'!OSRRefP22_14x_0</vt:lpstr>
      <vt:lpstr>'491'!OSRRefP22_14x_0</vt:lpstr>
      <vt:lpstr>'492'!OSRRefP22_14x_0</vt:lpstr>
      <vt:lpstr>'501'!OSRRefP22_14x_0</vt:lpstr>
      <vt:lpstr>'Div 2'!OSRRefP22_14x_0</vt:lpstr>
      <vt:lpstr>'Div 3'!OSRRefP22_14x_0</vt:lpstr>
      <vt:lpstr>'Div 4'!OSRRefP22_14x_0</vt:lpstr>
      <vt:lpstr>'Div 5'!OSRRefP22_14x_0</vt:lpstr>
      <vt:lpstr>Summary!OSRRefP22_14x_0</vt:lpstr>
      <vt:lpstr>'201'!OSRRefP22_15x_0</vt:lpstr>
      <vt:lpstr>'202'!OSRRefP22_15x_0</vt:lpstr>
      <vt:lpstr>'203'!OSRRefP22_15x_0</vt:lpstr>
      <vt:lpstr>'300'!OSRRefP22_15x_0</vt:lpstr>
      <vt:lpstr>'300 &amp; 317'!OSRRefP22_15x_0</vt:lpstr>
      <vt:lpstr>'301'!OSRRefP22_15x_0</vt:lpstr>
      <vt:lpstr>'310'!OSRRefP22_15x_0</vt:lpstr>
      <vt:lpstr>'310 &amp; 491'!OSRRefP22_15x_0</vt:lpstr>
      <vt:lpstr>'315'!OSRRefP22_15x_0</vt:lpstr>
      <vt:lpstr>'326'!OSRRefP22_15x_0</vt:lpstr>
      <vt:lpstr>'330'!OSRRefP22_15x_0</vt:lpstr>
      <vt:lpstr>'331'!OSRRefP22_15x_0</vt:lpstr>
      <vt:lpstr>'405'!OSRRefP22_15x_0</vt:lpstr>
      <vt:lpstr>'411'!OSRRefP22_15x_0</vt:lpstr>
      <vt:lpstr>'412'!OSRRefP22_15x_0</vt:lpstr>
      <vt:lpstr>'414'!OSRRefP22_15x_0</vt:lpstr>
      <vt:lpstr>'415'!OSRRefP22_15x_0</vt:lpstr>
      <vt:lpstr>'418'!OSRRefP22_15x_0</vt:lpstr>
      <vt:lpstr>'425'!OSRRefP22_15x_0</vt:lpstr>
      <vt:lpstr>'433'!OSRRefP22_15x_0</vt:lpstr>
      <vt:lpstr>'444'!OSRRefP22_15x_0</vt:lpstr>
      <vt:lpstr>'450'!OSRRefP22_15x_0</vt:lpstr>
      <vt:lpstr>'491'!OSRRefP22_15x_0</vt:lpstr>
      <vt:lpstr>'492'!OSRRefP22_15x_0</vt:lpstr>
      <vt:lpstr>'Div 2'!OSRRefP22_15x_0</vt:lpstr>
      <vt:lpstr>'Div 3'!OSRRefP22_15x_0</vt:lpstr>
      <vt:lpstr>'Div 4'!OSRRefP22_15x_0</vt:lpstr>
      <vt:lpstr>Summary!OSRRefP22_15x_0</vt:lpstr>
      <vt:lpstr>'201'!OSRRefP22_16x_0</vt:lpstr>
      <vt:lpstr>'202'!OSRRefP22_16x_0</vt:lpstr>
      <vt:lpstr>'300'!OSRRefP22_16x_0</vt:lpstr>
      <vt:lpstr>'300 &amp; 317'!OSRRefP22_16x_0</vt:lpstr>
      <vt:lpstr>'301'!OSRRefP22_16x_0</vt:lpstr>
      <vt:lpstr>'310'!OSRRefP22_16x_0</vt:lpstr>
      <vt:lpstr>'310 &amp; 491'!OSRRefP22_16x_0</vt:lpstr>
      <vt:lpstr>'326'!OSRRefP22_16x_0</vt:lpstr>
      <vt:lpstr>'331'!OSRRefP22_16x_0</vt:lpstr>
      <vt:lpstr>'405'!OSRRefP22_16x_0</vt:lpstr>
      <vt:lpstr>'411'!OSRRefP22_16x_0</vt:lpstr>
      <vt:lpstr>'415'!OSRRefP22_16x_0</vt:lpstr>
      <vt:lpstr>'418'!OSRRefP22_16x_0</vt:lpstr>
      <vt:lpstr>'425'!OSRRefP22_16x_0</vt:lpstr>
      <vt:lpstr>'444'!OSRRefP22_16x_0</vt:lpstr>
      <vt:lpstr>'450'!OSRRefP22_16x_0</vt:lpstr>
      <vt:lpstr>'491'!OSRRefP22_16x_0</vt:lpstr>
      <vt:lpstr>'492'!OSRRefP22_16x_0</vt:lpstr>
      <vt:lpstr>'Div 2'!OSRRefP22_16x_0</vt:lpstr>
      <vt:lpstr>'Div 3'!OSRRefP22_16x_0</vt:lpstr>
      <vt:lpstr>'Div 4'!OSRRefP22_16x_0</vt:lpstr>
      <vt:lpstr>Summary!OSRRefP22_16x_0</vt:lpstr>
      <vt:lpstr>'300'!OSRRefP22_17x_0</vt:lpstr>
      <vt:lpstr>'300 &amp; 317'!OSRRefP22_17x_0</vt:lpstr>
      <vt:lpstr>'301'!OSRRefP22_17x_0</vt:lpstr>
      <vt:lpstr>'310'!OSRRefP22_17x_0</vt:lpstr>
      <vt:lpstr>'310 &amp; 491'!OSRRefP22_17x_0</vt:lpstr>
      <vt:lpstr>'326'!OSRRefP22_17x_0</vt:lpstr>
      <vt:lpstr>'331'!OSRRefP22_17x_0</vt:lpstr>
      <vt:lpstr>'405'!OSRRefP22_17x_0</vt:lpstr>
      <vt:lpstr>'411'!OSRRefP22_17x_0</vt:lpstr>
      <vt:lpstr>'415'!OSRRefP22_17x_0</vt:lpstr>
      <vt:lpstr>'418'!OSRRefP22_17x_0</vt:lpstr>
      <vt:lpstr>'450'!OSRRefP22_17x_0</vt:lpstr>
      <vt:lpstr>'491'!OSRRefP22_17x_0</vt:lpstr>
      <vt:lpstr>'492'!OSRRefP22_17x_0</vt:lpstr>
      <vt:lpstr>'Div 2'!OSRRefP22_17x_0</vt:lpstr>
      <vt:lpstr>'Div 3'!OSRRefP22_17x_0</vt:lpstr>
      <vt:lpstr>'Div 4'!OSRRefP22_17x_0</vt:lpstr>
      <vt:lpstr>Summary!OSRRefP22_17x_0</vt:lpstr>
      <vt:lpstr>'300'!OSRRefP22_18x_0</vt:lpstr>
      <vt:lpstr>'300 &amp; 317'!OSRRefP22_18x_0</vt:lpstr>
      <vt:lpstr>'301'!OSRRefP22_18x_0</vt:lpstr>
      <vt:lpstr>'310'!OSRRefP22_18x_0</vt:lpstr>
      <vt:lpstr>'310 &amp; 491'!OSRRefP22_18x_0</vt:lpstr>
      <vt:lpstr>'326'!OSRRefP22_18x_0</vt:lpstr>
      <vt:lpstr>'331'!OSRRefP22_18x_0</vt:lpstr>
      <vt:lpstr>'405'!OSRRefP22_18x_0</vt:lpstr>
      <vt:lpstr>'411'!OSRRefP22_18x_0</vt:lpstr>
      <vt:lpstr>'415'!OSRRefP22_18x_0</vt:lpstr>
      <vt:lpstr>'491'!OSRRefP22_18x_0</vt:lpstr>
      <vt:lpstr>'492'!OSRRefP22_18x_0</vt:lpstr>
      <vt:lpstr>'Div 2'!OSRRefP22_18x_0</vt:lpstr>
      <vt:lpstr>'Div 3'!OSRRefP22_18x_0</vt:lpstr>
      <vt:lpstr>'Div 4'!OSRRefP22_18x_0</vt:lpstr>
      <vt:lpstr>Summary!OSRRefP22_18x_0</vt:lpstr>
      <vt:lpstr>'300'!OSRRefP22_19x_0</vt:lpstr>
      <vt:lpstr>'300 &amp; 317'!OSRRefP22_19x_0</vt:lpstr>
      <vt:lpstr>'301'!OSRRefP22_19x_0</vt:lpstr>
      <vt:lpstr>'310'!OSRRefP22_19x_0</vt:lpstr>
      <vt:lpstr>'310 &amp; 491'!OSRRefP22_19x_0</vt:lpstr>
      <vt:lpstr>'326'!OSRRefP22_19x_0</vt:lpstr>
      <vt:lpstr>'331'!OSRRefP22_19x_0</vt:lpstr>
      <vt:lpstr>'405'!OSRRefP22_19x_0</vt:lpstr>
      <vt:lpstr>'411'!OSRRefP22_19x_0</vt:lpstr>
      <vt:lpstr>'491'!OSRRefP22_19x_0</vt:lpstr>
      <vt:lpstr>'Div 2'!OSRRefP22_19x_0</vt:lpstr>
      <vt:lpstr>'Div 3'!OSRRefP22_19x_0</vt:lpstr>
      <vt:lpstr>'Div 4'!OSRRefP22_19x_0</vt:lpstr>
      <vt:lpstr>Summary!OSRRefP22_19x_0</vt:lpstr>
      <vt:lpstr>'200'!OSRRefP22_1x_0</vt:lpstr>
      <vt:lpstr>'201'!OSRRefP22_1x_0</vt:lpstr>
      <vt:lpstr>'202'!OSRRefP22_1x_0</vt:lpstr>
      <vt:lpstr>'203'!OSRRefP22_1x_0</vt:lpstr>
      <vt:lpstr>'204'!OSRRefP22_1x_0</vt:lpstr>
      <vt:lpstr>'205'!OSRRefP22_1x_0</vt:lpstr>
      <vt:lpstr>'206'!OSRRefP22_1x_0</vt:lpstr>
      <vt:lpstr>'300'!OSRRefP22_1x_0</vt:lpstr>
      <vt:lpstr>'300 &amp; 317'!OSRRefP22_1x_0</vt:lpstr>
      <vt:lpstr>'301'!OSRRefP22_1x_0</vt:lpstr>
      <vt:lpstr>'306'!OSRRefP22_1x_0</vt:lpstr>
      <vt:lpstr>'307'!OSRRefP22_1x_0</vt:lpstr>
      <vt:lpstr>'308'!OSRRefP22_1x_0</vt:lpstr>
      <vt:lpstr>'309'!OSRRefP22_1x_0</vt:lpstr>
      <vt:lpstr>'310'!OSRRefP22_1x_0</vt:lpstr>
      <vt:lpstr>'310 &amp; 491'!OSRRefP22_1x_0</vt:lpstr>
      <vt:lpstr>'311'!OSRRefP22_1x_0</vt:lpstr>
      <vt:lpstr>'313'!OSRRefP22_1x_0</vt:lpstr>
      <vt:lpstr>'314'!OSRRefP22_1x_0</vt:lpstr>
      <vt:lpstr>'315'!OSRRefP22_1x_0</vt:lpstr>
      <vt:lpstr>'316'!OSRRefP22_1x_0</vt:lpstr>
      <vt:lpstr>'317'!OSRRefP22_1x_0</vt:lpstr>
      <vt:lpstr>'320'!OSRRefP22_1x_0</vt:lpstr>
      <vt:lpstr>'321'!OSRRefP22_1x_0</vt:lpstr>
      <vt:lpstr>'322'!OSRRefP22_1x_0</vt:lpstr>
      <vt:lpstr>'326'!OSRRefP22_1x_0</vt:lpstr>
      <vt:lpstr>'327'!OSRRefP22_1x_0</vt:lpstr>
      <vt:lpstr>'330'!OSRRefP22_1x_0</vt:lpstr>
      <vt:lpstr>'331'!OSRRefP22_1x_0</vt:lpstr>
      <vt:lpstr>'332'!OSRRefP22_1x_0</vt:lpstr>
      <vt:lpstr>'405'!OSRRefP22_1x_0</vt:lpstr>
      <vt:lpstr>'406'!OSRRefP22_1x_0</vt:lpstr>
      <vt:lpstr>'411'!OSRRefP22_1x_0</vt:lpstr>
      <vt:lpstr>'412'!OSRRefP22_1x_0</vt:lpstr>
      <vt:lpstr>'413'!OSRRefP22_1x_0</vt:lpstr>
      <vt:lpstr>'414'!OSRRefP22_1x_0</vt:lpstr>
      <vt:lpstr>'415'!OSRRefP22_1x_0</vt:lpstr>
      <vt:lpstr>'418'!OSRRefP22_1x_0</vt:lpstr>
      <vt:lpstr>'420'!OSRRefP22_1x_0</vt:lpstr>
      <vt:lpstr>'423'!OSRRefP22_1x_0</vt:lpstr>
      <vt:lpstr>'424'!OSRRefP22_1x_0</vt:lpstr>
      <vt:lpstr>'425'!OSRRefP22_1x_0</vt:lpstr>
      <vt:lpstr>'430'!OSRRefP22_1x_0</vt:lpstr>
      <vt:lpstr>'433'!OSRRefP22_1x_0</vt:lpstr>
      <vt:lpstr>'435'!OSRRefP22_1x_0</vt:lpstr>
      <vt:lpstr>'444'!OSRRefP22_1x_0</vt:lpstr>
      <vt:lpstr>'450'!OSRRefP22_1x_0</vt:lpstr>
      <vt:lpstr>'455'!OSRRefP22_1x_0</vt:lpstr>
      <vt:lpstr>'491'!OSRRefP22_1x_0</vt:lpstr>
      <vt:lpstr>'492'!OSRRefP22_1x_0</vt:lpstr>
      <vt:lpstr>'501'!OSRRefP22_1x_0</vt:lpstr>
      <vt:lpstr>'Div 2'!OSRRefP22_1x_0</vt:lpstr>
      <vt:lpstr>'Div 3'!OSRRefP22_1x_0</vt:lpstr>
      <vt:lpstr>'Div 4'!OSRRefP22_1x_0</vt:lpstr>
      <vt:lpstr>'Div 5'!OSRRefP22_1x_0</vt:lpstr>
      <vt:lpstr>'Div 6'!OSRRefP22_1x_0</vt:lpstr>
      <vt:lpstr>Summary!OSRRefP22_1x_0</vt:lpstr>
      <vt:lpstr>'300'!OSRRefP22_20x_0</vt:lpstr>
      <vt:lpstr>'300 &amp; 317'!OSRRefP22_20x_0</vt:lpstr>
      <vt:lpstr>'301'!OSRRefP22_20x_0</vt:lpstr>
      <vt:lpstr>'310'!OSRRefP22_20x_0</vt:lpstr>
      <vt:lpstr>'310 &amp; 491'!OSRRefP22_20x_0</vt:lpstr>
      <vt:lpstr>'326'!OSRRefP22_20x_0</vt:lpstr>
      <vt:lpstr>'331'!OSRRefP22_20x_0</vt:lpstr>
      <vt:lpstr>'491'!OSRRefP22_20x_0</vt:lpstr>
      <vt:lpstr>'Div 2'!OSRRefP22_20x_0</vt:lpstr>
      <vt:lpstr>'Div 3'!OSRRefP22_20x_0</vt:lpstr>
      <vt:lpstr>'Div 4'!OSRRefP22_20x_0</vt:lpstr>
      <vt:lpstr>Summary!OSRRefP22_20x_0</vt:lpstr>
      <vt:lpstr>'300'!OSRRefP22_21x_0</vt:lpstr>
      <vt:lpstr>'300 &amp; 317'!OSRRefP22_21x_0</vt:lpstr>
      <vt:lpstr>'301'!OSRRefP22_21x_0</vt:lpstr>
      <vt:lpstr>'310'!OSRRefP22_21x_0</vt:lpstr>
      <vt:lpstr>'310 &amp; 491'!OSRRefP22_21x_0</vt:lpstr>
      <vt:lpstr>'331'!OSRRefP22_21x_0</vt:lpstr>
      <vt:lpstr>'491'!OSRRefP22_21x_0</vt:lpstr>
      <vt:lpstr>'Div 3'!OSRRefP22_21x_0</vt:lpstr>
      <vt:lpstr>'Div 4'!OSRRefP22_21x_0</vt:lpstr>
      <vt:lpstr>Summary!OSRRefP22_21x_0</vt:lpstr>
      <vt:lpstr>'300'!OSRRefP22_22x_0</vt:lpstr>
      <vt:lpstr>'300 &amp; 317'!OSRRefP22_22x_0</vt:lpstr>
      <vt:lpstr>'301'!OSRRefP22_22x_0</vt:lpstr>
      <vt:lpstr>'310'!OSRRefP22_22x_0</vt:lpstr>
      <vt:lpstr>'310 &amp; 491'!OSRRefP22_22x_0</vt:lpstr>
      <vt:lpstr>'331'!OSRRefP22_22x_0</vt:lpstr>
      <vt:lpstr>'491'!OSRRefP22_22x_0</vt:lpstr>
      <vt:lpstr>'Div 3'!OSRRefP22_22x_0</vt:lpstr>
      <vt:lpstr>'Div 4'!OSRRefP22_22x_0</vt:lpstr>
      <vt:lpstr>Summary!OSRRefP22_22x_0</vt:lpstr>
      <vt:lpstr>'300'!OSRRefP22_23x_0</vt:lpstr>
      <vt:lpstr>'300 &amp; 317'!OSRRefP22_23x_0</vt:lpstr>
      <vt:lpstr>'301'!OSRRefP22_23x_0</vt:lpstr>
      <vt:lpstr>'310'!OSRRefP22_23x_0</vt:lpstr>
      <vt:lpstr>'310 &amp; 491'!OSRRefP22_23x_0</vt:lpstr>
      <vt:lpstr>'491'!OSRRefP22_23x_0</vt:lpstr>
      <vt:lpstr>'Div 3'!OSRRefP22_23x_0</vt:lpstr>
      <vt:lpstr>'Div 4'!OSRRefP22_23x_0</vt:lpstr>
      <vt:lpstr>Summary!OSRRefP22_23x_0</vt:lpstr>
      <vt:lpstr>'300'!OSRRefP22_24x_0</vt:lpstr>
      <vt:lpstr>'300 &amp; 317'!OSRRefP22_24x_0</vt:lpstr>
      <vt:lpstr>'310 &amp; 491'!OSRRefP22_24x_0</vt:lpstr>
      <vt:lpstr>'491'!OSRRefP22_24x_0</vt:lpstr>
      <vt:lpstr>'Div 3'!OSRRefP22_24x_0</vt:lpstr>
      <vt:lpstr>'Div 4'!OSRRefP22_24x_0</vt:lpstr>
      <vt:lpstr>Summary!OSRRefP22_24x_0</vt:lpstr>
      <vt:lpstr>'310 &amp; 491'!OSRRefP22_25x_0</vt:lpstr>
      <vt:lpstr>'Div 3'!OSRRefP22_25x_0</vt:lpstr>
      <vt:lpstr>'Div 4'!OSRRefP22_25x_0</vt:lpstr>
      <vt:lpstr>Summary!OSRRefP22_25x_0</vt:lpstr>
      <vt:lpstr>'Div 3'!OSRRefP22_26x_0</vt:lpstr>
      <vt:lpstr>Summary!OSRRefP22_26x_0</vt:lpstr>
      <vt:lpstr>'200'!OSRRefP22_2x_0</vt:lpstr>
      <vt:lpstr>'201'!OSRRefP22_2x_0</vt:lpstr>
      <vt:lpstr>'202'!OSRRefP22_2x_0</vt:lpstr>
      <vt:lpstr>'203'!OSRRefP22_2x_0</vt:lpstr>
      <vt:lpstr>'204'!OSRRefP22_2x_0</vt:lpstr>
      <vt:lpstr>'205'!OSRRefP22_2x_0</vt:lpstr>
      <vt:lpstr>'206'!OSRRefP22_2x_0</vt:lpstr>
      <vt:lpstr>'300'!OSRRefP22_2x_0</vt:lpstr>
      <vt:lpstr>'300 &amp; 317'!OSRRefP22_2x_0</vt:lpstr>
      <vt:lpstr>'301'!OSRRefP22_2x_0</vt:lpstr>
      <vt:lpstr>'306'!OSRRefP22_2x_0</vt:lpstr>
      <vt:lpstr>'307'!OSRRefP22_2x_0</vt:lpstr>
      <vt:lpstr>'308'!OSRRefP22_2x_0</vt:lpstr>
      <vt:lpstr>'309'!OSRRefP22_2x_0</vt:lpstr>
      <vt:lpstr>'310'!OSRRefP22_2x_0</vt:lpstr>
      <vt:lpstr>'310 &amp; 491'!OSRRefP22_2x_0</vt:lpstr>
      <vt:lpstr>'311'!OSRRefP22_2x_0</vt:lpstr>
      <vt:lpstr>'313'!OSRRefP22_2x_0</vt:lpstr>
      <vt:lpstr>'314'!OSRRefP22_2x_0</vt:lpstr>
      <vt:lpstr>'315'!OSRRefP22_2x_0</vt:lpstr>
      <vt:lpstr>'316'!OSRRefP22_2x_0</vt:lpstr>
      <vt:lpstr>'317'!OSRRefP22_2x_0</vt:lpstr>
      <vt:lpstr>'320'!OSRRefP22_2x_0</vt:lpstr>
      <vt:lpstr>'321'!OSRRefP22_2x_0</vt:lpstr>
      <vt:lpstr>'322'!OSRRefP22_2x_0</vt:lpstr>
      <vt:lpstr>'326'!OSRRefP22_2x_0</vt:lpstr>
      <vt:lpstr>'327'!OSRRefP22_2x_0</vt:lpstr>
      <vt:lpstr>'330'!OSRRefP22_2x_0</vt:lpstr>
      <vt:lpstr>'331'!OSRRefP22_2x_0</vt:lpstr>
      <vt:lpstr>'332'!OSRRefP22_2x_0</vt:lpstr>
      <vt:lpstr>'405'!OSRRefP22_2x_0</vt:lpstr>
      <vt:lpstr>'406'!OSRRefP22_2x_0</vt:lpstr>
      <vt:lpstr>'411'!OSRRefP22_2x_0</vt:lpstr>
      <vt:lpstr>'412'!OSRRefP22_2x_0</vt:lpstr>
      <vt:lpstr>'413'!OSRRefP22_2x_0</vt:lpstr>
      <vt:lpstr>'414'!OSRRefP22_2x_0</vt:lpstr>
      <vt:lpstr>'415'!OSRRefP22_2x_0</vt:lpstr>
      <vt:lpstr>'418'!OSRRefP22_2x_0</vt:lpstr>
      <vt:lpstr>'420'!OSRRefP22_2x_0</vt:lpstr>
      <vt:lpstr>'423'!OSRRefP22_2x_0</vt:lpstr>
      <vt:lpstr>'424'!OSRRefP22_2x_0</vt:lpstr>
      <vt:lpstr>'425'!OSRRefP22_2x_0</vt:lpstr>
      <vt:lpstr>'430'!OSRRefP22_2x_0</vt:lpstr>
      <vt:lpstr>'433'!OSRRefP22_2x_0</vt:lpstr>
      <vt:lpstr>'435'!OSRRefP22_2x_0</vt:lpstr>
      <vt:lpstr>'444'!OSRRefP22_2x_0</vt:lpstr>
      <vt:lpstr>'450'!OSRRefP22_2x_0</vt:lpstr>
      <vt:lpstr>'491'!OSRRefP22_2x_0</vt:lpstr>
      <vt:lpstr>'492'!OSRRefP22_2x_0</vt:lpstr>
      <vt:lpstr>'501'!OSRRefP22_2x_0</vt:lpstr>
      <vt:lpstr>'Div 2'!OSRRefP22_2x_0</vt:lpstr>
      <vt:lpstr>'Div 3'!OSRRefP22_2x_0</vt:lpstr>
      <vt:lpstr>'Div 4'!OSRRefP22_2x_0</vt:lpstr>
      <vt:lpstr>'Div 5'!OSRRefP22_2x_0</vt:lpstr>
      <vt:lpstr>'Div 6'!OSRRefP22_2x_0</vt:lpstr>
      <vt:lpstr>Summary!OSRRefP22_2x_0</vt:lpstr>
      <vt:lpstr>'200'!OSRRefP22_3x_0</vt:lpstr>
      <vt:lpstr>'201'!OSRRefP22_3x_0</vt:lpstr>
      <vt:lpstr>'202'!OSRRefP22_3x_0</vt:lpstr>
      <vt:lpstr>'203'!OSRRefP22_3x_0</vt:lpstr>
      <vt:lpstr>'204'!OSRRefP22_3x_0</vt:lpstr>
      <vt:lpstr>'205'!OSRRefP22_3x_0</vt:lpstr>
      <vt:lpstr>'206'!OSRRefP22_3x_0</vt:lpstr>
      <vt:lpstr>'300'!OSRRefP22_3x_0</vt:lpstr>
      <vt:lpstr>'300 &amp; 317'!OSRRefP22_3x_0</vt:lpstr>
      <vt:lpstr>'301'!OSRRefP22_3x_0</vt:lpstr>
      <vt:lpstr>'306'!OSRRefP22_3x_0</vt:lpstr>
      <vt:lpstr>'307'!OSRRefP22_3x_0</vt:lpstr>
      <vt:lpstr>'308'!OSRRefP22_3x_0</vt:lpstr>
      <vt:lpstr>'309'!OSRRefP22_3x_0</vt:lpstr>
      <vt:lpstr>'310'!OSRRefP22_3x_0</vt:lpstr>
      <vt:lpstr>'310 &amp; 491'!OSRRefP22_3x_0</vt:lpstr>
      <vt:lpstr>'311'!OSRRefP22_3x_0</vt:lpstr>
      <vt:lpstr>'313'!OSRRefP22_3x_0</vt:lpstr>
      <vt:lpstr>'314'!OSRRefP22_3x_0</vt:lpstr>
      <vt:lpstr>'315'!OSRRefP22_3x_0</vt:lpstr>
      <vt:lpstr>'316'!OSRRefP22_3x_0</vt:lpstr>
      <vt:lpstr>'317'!OSRRefP22_3x_0</vt:lpstr>
      <vt:lpstr>'320'!OSRRefP22_3x_0</vt:lpstr>
      <vt:lpstr>'321'!OSRRefP22_3x_0</vt:lpstr>
      <vt:lpstr>'322'!OSRRefP22_3x_0</vt:lpstr>
      <vt:lpstr>'326'!OSRRefP22_3x_0</vt:lpstr>
      <vt:lpstr>'330'!OSRRefP22_3x_0</vt:lpstr>
      <vt:lpstr>'331'!OSRRefP22_3x_0</vt:lpstr>
      <vt:lpstr>'332'!OSRRefP22_3x_0</vt:lpstr>
      <vt:lpstr>'405'!OSRRefP22_3x_0</vt:lpstr>
      <vt:lpstr>'406'!OSRRefP22_3x_0</vt:lpstr>
      <vt:lpstr>'411'!OSRRefP22_3x_0</vt:lpstr>
      <vt:lpstr>'412'!OSRRefP22_3x_0</vt:lpstr>
      <vt:lpstr>'413'!OSRRefP22_3x_0</vt:lpstr>
      <vt:lpstr>'414'!OSRRefP22_3x_0</vt:lpstr>
      <vt:lpstr>'415'!OSRRefP22_3x_0</vt:lpstr>
      <vt:lpstr>'418'!OSRRefP22_3x_0</vt:lpstr>
      <vt:lpstr>'420'!OSRRefP22_3x_0</vt:lpstr>
      <vt:lpstr>'423'!OSRRefP22_3x_0</vt:lpstr>
      <vt:lpstr>'424'!OSRRefP22_3x_0</vt:lpstr>
      <vt:lpstr>'425'!OSRRefP22_3x_0</vt:lpstr>
      <vt:lpstr>'430'!OSRRefP22_3x_0</vt:lpstr>
      <vt:lpstr>'433'!OSRRefP22_3x_0</vt:lpstr>
      <vt:lpstr>'435'!OSRRefP22_3x_0</vt:lpstr>
      <vt:lpstr>'444'!OSRRefP22_3x_0</vt:lpstr>
      <vt:lpstr>'450'!OSRRefP22_3x_0</vt:lpstr>
      <vt:lpstr>'491'!OSRRefP22_3x_0</vt:lpstr>
      <vt:lpstr>'492'!OSRRefP22_3x_0</vt:lpstr>
      <vt:lpstr>'501'!OSRRefP22_3x_0</vt:lpstr>
      <vt:lpstr>'Div 2'!OSRRefP22_3x_0</vt:lpstr>
      <vt:lpstr>'Div 3'!OSRRefP22_3x_0</vt:lpstr>
      <vt:lpstr>'Div 4'!OSRRefP22_3x_0</vt:lpstr>
      <vt:lpstr>'Div 5'!OSRRefP22_3x_0</vt:lpstr>
      <vt:lpstr>'Div 6'!OSRRefP22_3x_0</vt:lpstr>
      <vt:lpstr>Summary!OSRRefP22_3x_0</vt:lpstr>
      <vt:lpstr>'200'!OSRRefP22_4x_0</vt:lpstr>
      <vt:lpstr>'201'!OSRRefP22_4x_0</vt:lpstr>
      <vt:lpstr>'202'!OSRRefP22_4x_0</vt:lpstr>
      <vt:lpstr>'203'!OSRRefP22_4x_0</vt:lpstr>
      <vt:lpstr>'204'!OSRRefP22_4x_0</vt:lpstr>
      <vt:lpstr>'205'!OSRRefP22_4x_0</vt:lpstr>
      <vt:lpstr>'206'!OSRRefP22_4x_0</vt:lpstr>
      <vt:lpstr>'300'!OSRRefP22_4x_0</vt:lpstr>
      <vt:lpstr>'300 &amp; 317'!OSRRefP22_4x_0</vt:lpstr>
      <vt:lpstr>'301'!OSRRefP22_4x_0</vt:lpstr>
      <vt:lpstr>'306'!OSRRefP22_4x_0</vt:lpstr>
      <vt:lpstr>'307'!OSRRefP22_4x_0</vt:lpstr>
      <vt:lpstr>'308'!OSRRefP22_4x_0</vt:lpstr>
      <vt:lpstr>'309'!OSRRefP22_4x_0</vt:lpstr>
      <vt:lpstr>'310'!OSRRefP22_4x_0</vt:lpstr>
      <vt:lpstr>'310 &amp; 491'!OSRRefP22_4x_0</vt:lpstr>
      <vt:lpstr>'311'!OSRRefP22_4x_0</vt:lpstr>
      <vt:lpstr>'313'!OSRRefP22_4x_0</vt:lpstr>
      <vt:lpstr>'314'!OSRRefP22_4x_0</vt:lpstr>
      <vt:lpstr>'315'!OSRRefP22_4x_0</vt:lpstr>
      <vt:lpstr>'316'!OSRRefP22_4x_0</vt:lpstr>
      <vt:lpstr>'317'!OSRRefP22_4x_0</vt:lpstr>
      <vt:lpstr>'320'!OSRRefP22_4x_0</vt:lpstr>
      <vt:lpstr>'321'!OSRRefP22_4x_0</vt:lpstr>
      <vt:lpstr>'322'!OSRRefP22_4x_0</vt:lpstr>
      <vt:lpstr>'326'!OSRRefP22_4x_0</vt:lpstr>
      <vt:lpstr>'330'!OSRRefP22_4x_0</vt:lpstr>
      <vt:lpstr>'331'!OSRRefP22_4x_0</vt:lpstr>
      <vt:lpstr>'332'!OSRRefP22_4x_0</vt:lpstr>
      <vt:lpstr>'405'!OSRRefP22_4x_0</vt:lpstr>
      <vt:lpstr>'406'!OSRRefP22_4x_0</vt:lpstr>
      <vt:lpstr>'411'!OSRRefP22_4x_0</vt:lpstr>
      <vt:lpstr>'412'!OSRRefP22_4x_0</vt:lpstr>
      <vt:lpstr>'413'!OSRRefP22_4x_0</vt:lpstr>
      <vt:lpstr>'414'!OSRRefP22_4x_0</vt:lpstr>
      <vt:lpstr>'415'!OSRRefP22_4x_0</vt:lpstr>
      <vt:lpstr>'418'!OSRRefP22_4x_0</vt:lpstr>
      <vt:lpstr>'420'!OSRRefP22_4x_0</vt:lpstr>
      <vt:lpstr>'423'!OSRRefP22_4x_0</vt:lpstr>
      <vt:lpstr>'424'!OSRRefP22_4x_0</vt:lpstr>
      <vt:lpstr>'425'!OSRRefP22_4x_0</vt:lpstr>
      <vt:lpstr>'430'!OSRRefP22_4x_0</vt:lpstr>
      <vt:lpstr>'433'!OSRRefP22_4x_0</vt:lpstr>
      <vt:lpstr>'435'!OSRRefP22_4x_0</vt:lpstr>
      <vt:lpstr>'444'!OSRRefP22_4x_0</vt:lpstr>
      <vt:lpstr>'450'!OSRRefP22_4x_0</vt:lpstr>
      <vt:lpstr>'491'!OSRRefP22_4x_0</vt:lpstr>
      <vt:lpstr>'492'!OSRRefP22_4x_0</vt:lpstr>
      <vt:lpstr>'501'!OSRRefP22_4x_0</vt:lpstr>
      <vt:lpstr>'Div 2'!OSRRefP22_4x_0</vt:lpstr>
      <vt:lpstr>'Div 3'!OSRRefP22_4x_0</vt:lpstr>
      <vt:lpstr>'Div 4'!OSRRefP22_4x_0</vt:lpstr>
      <vt:lpstr>'Div 5'!OSRRefP22_4x_0</vt:lpstr>
      <vt:lpstr>'Div 6'!OSRRefP22_4x_0</vt:lpstr>
      <vt:lpstr>Summary!OSRRefP22_4x_0</vt:lpstr>
      <vt:lpstr>'201'!OSRRefP22_5x_0</vt:lpstr>
      <vt:lpstr>'202'!OSRRefP22_5x_0</vt:lpstr>
      <vt:lpstr>'203'!OSRRefP22_5x_0</vt:lpstr>
      <vt:lpstr>'204'!OSRRefP22_5x_0</vt:lpstr>
      <vt:lpstr>'205'!OSRRefP22_5x_0</vt:lpstr>
      <vt:lpstr>'206'!OSRRefP22_5x_0</vt:lpstr>
      <vt:lpstr>'300'!OSRRefP22_5x_0</vt:lpstr>
      <vt:lpstr>'300 &amp; 317'!OSRRefP22_5x_0</vt:lpstr>
      <vt:lpstr>'301'!OSRRefP22_5x_0</vt:lpstr>
      <vt:lpstr>'306'!OSRRefP22_5x_0</vt:lpstr>
      <vt:lpstr>'307'!OSRRefP22_5x_0</vt:lpstr>
      <vt:lpstr>'308'!OSRRefP22_5x_0</vt:lpstr>
      <vt:lpstr>'309'!OSRRefP22_5x_0</vt:lpstr>
      <vt:lpstr>'310'!OSRRefP22_5x_0</vt:lpstr>
      <vt:lpstr>'310 &amp; 491'!OSRRefP22_5x_0</vt:lpstr>
      <vt:lpstr>'311'!OSRRefP22_5x_0</vt:lpstr>
      <vt:lpstr>'313'!OSRRefP22_5x_0</vt:lpstr>
      <vt:lpstr>'314'!OSRRefP22_5x_0</vt:lpstr>
      <vt:lpstr>'315'!OSRRefP22_5x_0</vt:lpstr>
      <vt:lpstr>'316'!OSRRefP22_5x_0</vt:lpstr>
      <vt:lpstr>'317'!OSRRefP22_5x_0</vt:lpstr>
      <vt:lpstr>'320'!OSRRefP22_5x_0</vt:lpstr>
      <vt:lpstr>'321'!OSRRefP22_5x_0</vt:lpstr>
      <vt:lpstr>'322'!OSRRefP22_5x_0</vt:lpstr>
      <vt:lpstr>'326'!OSRRefP22_5x_0</vt:lpstr>
      <vt:lpstr>'330'!OSRRefP22_5x_0</vt:lpstr>
      <vt:lpstr>'331'!OSRRefP22_5x_0</vt:lpstr>
      <vt:lpstr>'332'!OSRRefP22_5x_0</vt:lpstr>
      <vt:lpstr>'405'!OSRRefP22_5x_0</vt:lpstr>
      <vt:lpstr>'406'!OSRRefP22_5x_0</vt:lpstr>
      <vt:lpstr>'411'!OSRRefP22_5x_0</vt:lpstr>
      <vt:lpstr>'412'!OSRRefP22_5x_0</vt:lpstr>
      <vt:lpstr>'413'!OSRRefP22_5x_0</vt:lpstr>
      <vt:lpstr>'414'!OSRRefP22_5x_0</vt:lpstr>
      <vt:lpstr>'415'!OSRRefP22_5x_0</vt:lpstr>
      <vt:lpstr>'418'!OSRRefP22_5x_0</vt:lpstr>
      <vt:lpstr>'420'!OSRRefP22_5x_0</vt:lpstr>
      <vt:lpstr>'423'!OSRRefP22_5x_0</vt:lpstr>
      <vt:lpstr>'424'!OSRRefP22_5x_0</vt:lpstr>
      <vt:lpstr>'425'!OSRRefP22_5x_0</vt:lpstr>
      <vt:lpstr>'430'!OSRRefP22_5x_0</vt:lpstr>
      <vt:lpstr>'433'!OSRRefP22_5x_0</vt:lpstr>
      <vt:lpstr>'435'!OSRRefP22_5x_0</vt:lpstr>
      <vt:lpstr>'444'!OSRRefP22_5x_0</vt:lpstr>
      <vt:lpstr>'450'!OSRRefP22_5x_0</vt:lpstr>
      <vt:lpstr>'491'!OSRRefP22_5x_0</vt:lpstr>
      <vt:lpstr>'492'!OSRRefP22_5x_0</vt:lpstr>
      <vt:lpstr>'501'!OSRRefP22_5x_0</vt:lpstr>
      <vt:lpstr>'Div 2'!OSRRefP22_5x_0</vt:lpstr>
      <vt:lpstr>'Div 3'!OSRRefP22_5x_0</vt:lpstr>
      <vt:lpstr>'Div 4'!OSRRefP22_5x_0</vt:lpstr>
      <vt:lpstr>'Div 5'!OSRRefP22_5x_0</vt:lpstr>
      <vt:lpstr>'Div 6'!OSRRefP22_5x_0</vt:lpstr>
      <vt:lpstr>Summary!OSRRefP22_5x_0</vt:lpstr>
      <vt:lpstr>'201'!OSRRefP22_6x_0</vt:lpstr>
      <vt:lpstr>'202'!OSRRefP22_6x_0</vt:lpstr>
      <vt:lpstr>'203'!OSRRefP22_6x_0</vt:lpstr>
      <vt:lpstr>'204'!OSRRefP22_6x_0</vt:lpstr>
      <vt:lpstr>'205'!OSRRefP22_6x_0</vt:lpstr>
      <vt:lpstr>'206'!OSRRefP22_6x_0</vt:lpstr>
      <vt:lpstr>'300'!OSRRefP22_6x_0</vt:lpstr>
      <vt:lpstr>'300 &amp; 317'!OSRRefP22_6x_0</vt:lpstr>
      <vt:lpstr>'301'!OSRRefP22_6x_0</vt:lpstr>
      <vt:lpstr>'306'!OSRRefP22_6x_0</vt:lpstr>
      <vt:lpstr>'307'!OSRRefP22_6x_0</vt:lpstr>
      <vt:lpstr>'308'!OSRRefP22_6x_0</vt:lpstr>
      <vt:lpstr>'309'!OSRRefP22_6x_0</vt:lpstr>
      <vt:lpstr>'310'!OSRRefP22_6x_0</vt:lpstr>
      <vt:lpstr>'310 &amp; 491'!OSRRefP22_6x_0</vt:lpstr>
      <vt:lpstr>'311'!OSRRefP22_6x_0</vt:lpstr>
      <vt:lpstr>'313'!OSRRefP22_6x_0</vt:lpstr>
      <vt:lpstr>'314'!OSRRefP22_6x_0</vt:lpstr>
      <vt:lpstr>'315'!OSRRefP22_6x_0</vt:lpstr>
      <vt:lpstr>'316'!OSRRefP22_6x_0</vt:lpstr>
      <vt:lpstr>'317'!OSRRefP22_6x_0</vt:lpstr>
      <vt:lpstr>'320'!OSRRefP22_6x_0</vt:lpstr>
      <vt:lpstr>'321'!OSRRefP22_6x_0</vt:lpstr>
      <vt:lpstr>'322'!OSRRefP22_6x_0</vt:lpstr>
      <vt:lpstr>'326'!OSRRefP22_6x_0</vt:lpstr>
      <vt:lpstr>'330'!OSRRefP22_6x_0</vt:lpstr>
      <vt:lpstr>'331'!OSRRefP22_6x_0</vt:lpstr>
      <vt:lpstr>'332'!OSRRefP22_6x_0</vt:lpstr>
      <vt:lpstr>'405'!OSRRefP22_6x_0</vt:lpstr>
      <vt:lpstr>'406'!OSRRefP22_6x_0</vt:lpstr>
      <vt:lpstr>'411'!OSRRefP22_6x_0</vt:lpstr>
      <vt:lpstr>'412'!OSRRefP22_6x_0</vt:lpstr>
      <vt:lpstr>'413'!OSRRefP22_6x_0</vt:lpstr>
      <vt:lpstr>'414'!OSRRefP22_6x_0</vt:lpstr>
      <vt:lpstr>'415'!OSRRefP22_6x_0</vt:lpstr>
      <vt:lpstr>'418'!OSRRefP22_6x_0</vt:lpstr>
      <vt:lpstr>'420'!OSRRefP22_6x_0</vt:lpstr>
      <vt:lpstr>'423'!OSRRefP22_6x_0</vt:lpstr>
      <vt:lpstr>'424'!OSRRefP22_6x_0</vt:lpstr>
      <vt:lpstr>'425'!OSRRefP22_6x_0</vt:lpstr>
      <vt:lpstr>'430'!OSRRefP22_6x_0</vt:lpstr>
      <vt:lpstr>'433'!OSRRefP22_6x_0</vt:lpstr>
      <vt:lpstr>'435'!OSRRefP22_6x_0</vt:lpstr>
      <vt:lpstr>'444'!OSRRefP22_6x_0</vt:lpstr>
      <vt:lpstr>'450'!OSRRefP22_6x_0</vt:lpstr>
      <vt:lpstr>'491'!OSRRefP22_6x_0</vt:lpstr>
      <vt:lpstr>'492'!OSRRefP22_6x_0</vt:lpstr>
      <vt:lpstr>'501'!OSRRefP22_6x_0</vt:lpstr>
      <vt:lpstr>'Div 2'!OSRRefP22_6x_0</vt:lpstr>
      <vt:lpstr>'Div 3'!OSRRefP22_6x_0</vt:lpstr>
      <vt:lpstr>'Div 4'!OSRRefP22_6x_0</vt:lpstr>
      <vt:lpstr>'Div 5'!OSRRefP22_6x_0</vt:lpstr>
      <vt:lpstr>'Div 6'!OSRRefP22_6x_0</vt:lpstr>
      <vt:lpstr>Summary!OSRRefP22_6x_0</vt:lpstr>
      <vt:lpstr>'201'!OSRRefP22_7x_0</vt:lpstr>
      <vt:lpstr>'202'!OSRRefP22_7x_0</vt:lpstr>
      <vt:lpstr>'203'!OSRRefP22_7x_0</vt:lpstr>
      <vt:lpstr>'204'!OSRRefP22_7x_0</vt:lpstr>
      <vt:lpstr>'205'!OSRRefP22_7x_0</vt:lpstr>
      <vt:lpstr>'206'!OSRRefP22_7x_0</vt:lpstr>
      <vt:lpstr>'300'!OSRRefP22_7x_0</vt:lpstr>
      <vt:lpstr>'300 &amp; 317'!OSRRefP22_7x_0</vt:lpstr>
      <vt:lpstr>'301'!OSRRefP22_7x_0</vt:lpstr>
      <vt:lpstr>'306'!OSRRefP22_7x_0</vt:lpstr>
      <vt:lpstr>'307'!OSRRefP22_7x_0</vt:lpstr>
      <vt:lpstr>'308'!OSRRefP22_7x_0</vt:lpstr>
      <vt:lpstr>'309'!OSRRefP22_7x_0</vt:lpstr>
      <vt:lpstr>'310'!OSRRefP22_7x_0</vt:lpstr>
      <vt:lpstr>'310 &amp; 491'!OSRRefP22_7x_0</vt:lpstr>
      <vt:lpstr>'311'!OSRRefP22_7x_0</vt:lpstr>
      <vt:lpstr>'313'!OSRRefP22_7x_0</vt:lpstr>
      <vt:lpstr>'314'!OSRRefP22_7x_0</vt:lpstr>
      <vt:lpstr>'315'!OSRRefP22_7x_0</vt:lpstr>
      <vt:lpstr>'316'!OSRRefP22_7x_0</vt:lpstr>
      <vt:lpstr>'317'!OSRRefP22_7x_0</vt:lpstr>
      <vt:lpstr>'320'!OSRRefP22_7x_0</vt:lpstr>
      <vt:lpstr>'321'!OSRRefP22_7x_0</vt:lpstr>
      <vt:lpstr>'322'!OSRRefP22_7x_0</vt:lpstr>
      <vt:lpstr>'326'!OSRRefP22_7x_0</vt:lpstr>
      <vt:lpstr>'330'!OSRRefP22_7x_0</vt:lpstr>
      <vt:lpstr>'331'!OSRRefP22_7x_0</vt:lpstr>
      <vt:lpstr>'332'!OSRRefP22_7x_0</vt:lpstr>
      <vt:lpstr>'405'!OSRRefP22_7x_0</vt:lpstr>
      <vt:lpstr>'406'!OSRRefP22_7x_0</vt:lpstr>
      <vt:lpstr>'411'!OSRRefP22_7x_0</vt:lpstr>
      <vt:lpstr>'412'!OSRRefP22_7x_0</vt:lpstr>
      <vt:lpstr>'413'!OSRRefP22_7x_0</vt:lpstr>
      <vt:lpstr>'414'!OSRRefP22_7x_0</vt:lpstr>
      <vt:lpstr>'415'!OSRRefP22_7x_0</vt:lpstr>
      <vt:lpstr>'418'!OSRRefP22_7x_0</vt:lpstr>
      <vt:lpstr>'420'!OSRRefP22_7x_0</vt:lpstr>
      <vt:lpstr>'424'!OSRRefP22_7x_0</vt:lpstr>
      <vt:lpstr>'425'!OSRRefP22_7x_0</vt:lpstr>
      <vt:lpstr>'430'!OSRRefP22_7x_0</vt:lpstr>
      <vt:lpstr>'433'!OSRRefP22_7x_0</vt:lpstr>
      <vt:lpstr>'435'!OSRRefP22_7x_0</vt:lpstr>
      <vt:lpstr>'444'!OSRRefP22_7x_0</vt:lpstr>
      <vt:lpstr>'450'!OSRRefP22_7x_0</vt:lpstr>
      <vt:lpstr>'491'!OSRRefP22_7x_0</vt:lpstr>
      <vt:lpstr>'492'!OSRRefP22_7x_0</vt:lpstr>
      <vt:lpstr>'501'!OSRRefP22_7x_0</vt:lpstr>
      <vt:lpstr>'Div 2'!OSRRefP22_7x_0</vt:lpstr>
      <vt:lpstr>'Div 3'!OSRRefP22_7x_0</vt:lpstr>
      <vt:lpstr>'Div 4'!OSRRefP22_7x_0</vt:lpstr>
      <vt:lpstr>'Div 5'!OSRRefP22_7x_0</vt:lpstr>
      <vt:lpstr>'Div 6'!OSRRefP22_7x_0</vt:lpstr>
      <vt:lpstr>Summary!OSRRefP22_7x_0</vt:lpstr>
      <vt:lpstr>'201'!OSRRefP22_8x_0</vt:lpstr>
      <vt:lpstr>'202'!OSRRefP22_8x_0</vt:lpstr>
      <vt:lpstr>'203'!OSRRefP22_8x_0</vt:lpstr>
      <vt:lpstr>'204'!OSRRefP22_8x_0</vt:lpstr>
      <vt:lpstr>'205'!OSRRefP22_8x_0</vt:lpstr>
      <vt:lpstr>'206'!OSRRefP22_8x_0</vt:lpstr>
      <vt:lpstr>'300'!OSRRefP22_8x_0</vt:lpstr>
      <vt:lpstr>'300 &amp; 317'!OSRRefP22_8x_0</vt:lpstr>
      <vt:lpstr>'301'!OSRRefP22_8x_0</vt:lpstr>
      <vt:lpstr>'306'!OSRRefP22_8x_0</vt:lpstr>
      <vt:lpstr>'307'!OSRRefP22_8x_0</vt:lpstr>
      <vt:lpstr>'308'!OSRRefP22_8x_0</vt:lpstr>
      <vt:lpstr>'309'!OSRRefP22_8x_0</vt:lpstr>
      <vt:lpstr>'310'!OSRRefP22_8x_0</vt:lpstr>
      <vt:lpstr>'310 &amp; 491'!OSRRefP22_8x_0</vt:lpstr>
      <vt:lpstr>'311'!OSRRefP22_8x_0</vt:lpstr>
      <vt:lpstr>'313'!OSRRefP22_8x_0</vt:lpstr>
      <vt:lpstr>'314'!OSRRefP22_8x_0</vt:lpstr>
      <vt:lpstr>'315'!OSRRefP22_8x_0</vt:lpstr>
      <vt:lpstr>'316'!OSRRefP22_8x_0</vt:lpstr>
      <vt:lpstr>'317'!OSRRefP22_8x_0</vt:lpstr>
      <vt:lpstr>'320'!OSRRefP22_8x_0</vt:lpstr>
      <vt:lpstr>'321'!OSRRefP22_8x_0</vt:lpstr>
      <vt:lpstr>'322'!OSRRefP22_8x_0</vt:lpstr>
      <vt:lpstr>'326'!OSRRefP22_8x_0</vt:lpstr>
      <vt:lpstr>'330'!OSRRefP22_8x_0</vt:lpstr>
      <vt:lpstr>'331'!OSRRefP22_8x_0</vt:lpstr>
      <vt:lpstr>'332'!OSRRefP22_8x_0</vt:lpstr>
      <vt:lpstr>'405'!OSRRefP22_8x_0</vt:lpstr>
      <vt:lpstr>'406'!OSRRefP22_8x_0</vt:lpstr>
      <vt:lpstr>'411'!OSRRefP22_8x_0</vt:lpstr>
      <vt:lpstr>'412'!OSRRefP22_8x_0</vt:lpstr>
      <vt:lpstr>'413'!OSRRefP22_8x_0</vt:lpstr>
      <vt:lpstr>'414'!OSRRefP22_8x_0</vt:lpstr>
      <vt:lpstr>'415'!OSRRefP22_8x_0</vt:lpstr>
      <vt:lpstr>'418'!OSRRefP22_8x_0</vt:lpstr>
      <vt:lpstr>'424'!OSRRefP22_8x_0</vt:lpstr>
      <vt:lpstr>'425'!OSRRefP22_8x_0</vt:lpstr>
      <vt:lpstr>'430'!OSRRefP22_8x_0</vt:lpstr>
      <vt:lpstr>'433'!OSRRefP22_8x_0</vt:lpstr>
      <vt:lpstr>'435'!OSRRefP22_8x_0</vt:lpstr>
      <vt:lpstr>'444'!OSRRefP22_8x_0</vt:lpstr>
      <vt:lpstr>'450'!OSRRefP22_8x_0</vt:lpstr>
      <vt:lpstr>'491'!OSRRefP22_8x_0</vt:lpstr>
      <vt:lpstr>'492'!OSRRefP22_8x_0</vt:lpstr>
      <vt:lpstr>'501'!OSRRefP22_8x_0</vt:lpstr>
      <vt:lpstr>'Div 2'!OSRRefP22_8x_0</vt:lpstr>
      <vt:lpstr>'Div 3'!OSRRefP22_8x_0</vt:lpstr>
      <vt:lpstr>'Div 4'!OSRRefP22_8x_0</vt:lpstr>
      <vt:lpstr>'Div 5'!OSRRefP22_8x_0</vt:lpstr>
      <vt:lpstr>'Div 6'!OSRRefP22_8x_0</vt:lpstr>
      <vt:lpstr>Summary!OSRRefP22_8x_0</vt:lpstr>
      <vt:lpstr>'201'!OSRRefP22_9x_0</vt:lpstr>
      <vt:lpstr>'202'!OSRRefP22_9x_0</vt:lpstr>
      <vt:lpstr>'203'!OSRRefP22_9x_0</vt:lpstr>
      <vt:lpstr>'204'!OSRRefP22_9x_0</vt:lpstr>
      <vt:lpstr>'205'!OSRRefP22_9x_0</vt:lpstr>
      <vt:lpstr>'206'!OSRRefP22_9x_0</vt:lpstr>
      <vt:lpstr>'300'!OSRRefP22_9x_0</vt:lpstr>
      <vt:lpstr>'300 &amp; 317'!OSRRefP22_9x_0</vt:lpstr>
      <vt:lpstr>'301'!OSRRefP22_9x_0</vt:lpstr>
      <vt:lpstr>'306'!OSRRefP22_9x_0</vt:lpstr>
      <vt:lpstr>'307'!OSRRefP22_9x_0</vt:lpstr>
      <vt:lpstr>'308'!OSRRefP22_9x_0</vt:lpstr>
      <vt:lpstr>'309'!OSRRefP22_9x_0</vt:lpstr>
      <vt:lpstr>'310'!OSRRefP22_9x_0</vt:lpstr>
      <vt:lpstr>'310 &amp; 491'!OSRRefP22_9x_0</vt:lpstr>
      <vt:lpstr>'311'!OSRRefP22_9x_0</vt:lpstr>
      <vt:lpstr>'313'!OSRRefP22_9x_0</vt:lpstr>
      <vt:lpstr>'314'!OSRRefP22_9x_0</vt:lpstr>
      <vt:lpstr>'315'!OSRRefP22_9x_0</vt:lpstr>
      <vt:lpstr>'316'!OSRRefP22_9x_0</vt:lpstr>
      <vt:lpstr>'317'!OSRRefP22_9x_0</vt:lpstr>
      <vt:lpstr>'321'!OSRRefP22_9x_0</vt:lpstr>
      <vt:lpstr>'322'!OSRRefP22_9x_0</vt:lpstr>
      <vt:lpstr>'326'!OSRRefP22_9x_0</vt:lpstr>
      <vt:lpstr>'330'!OSRRefP22_9x_0</vt:lpstr>
      <vt:lpstr>'331'!OSRRefP22_9x_0</vt:lpstr>
      <vt:lpstr>'332'!OSRRefP22_9x_0</vt:lpstr>
      <vt:lpstr>'405'!OSRRefP22_9x_0</vt:lpstr>
      <vt:lpstr>'406'!OSRRefP22_9x_0</vt:lpstr>
      <vt:lpstr>'411'!OSRRefP22_9x_0</vt:lpstr>
      <vt:lpstr>'412'!OSRRefP22_9x_0</vt:lpstr>
      <vt:lpstr>'413'!OSRRefP22_9x_0</vt:lpstr>
      <vt:lpstr>'414'!OSRRefP22_9x_0</vt:lpstr>
      <vt:lpstr>'415'!OSRRefP22_9x_0</vt:lpstr>
      <vt:lpstr>'418'!OSRRefP22_9x_0</vt:lpstr>
      <vt:lpstr>'424'!OSRRefP22_9x_0</vt:lpstr>
      <vt:lpstr>'425'!OSRRefP22_9x_0</vt:lpstr>
      <vt:lpstr>'430'!OSRRefP22_9x_0</vt:lpstr>
      <vt:lpstr>'433'!OSRRefP22_9x_0</vt:lpstr>
      <vt:lpstr>'444'!OSRRefP22_9x_0</vt:lpstr>
      <vt:lpstr>'450'!OSRRefP22_9x_0</vt:lpstr>
      <vt:lpstr>'491'!OSRRefP22_9x_0</vt:lpstr>
      <vt:lpstr>'492'!OSRRefP22_9x_0</vt:lpstr>
      <vt:lpstr>'501'!OSRRefP22_9x_0</vt:lpstr>
      <vt:lpstr>'Div 2'!OSRRefP22_9x_0</vt:lpstr>
      <vt:lpstr>'Div 3'!OSRRefP22_9x_0</vt:lpstr>
      <vt:lpstr>'Div 4'!OSRRefP22_9x_0</vt:lpstr>
      <vt:lpstr>'Div 5'!OSRRefP22_9x_0</vt:lpstr>
      <vt:lpstr>'Div 6'!OSRRefP22_9x_0</vt:lpstr>
      <vt:lpstr>Summary!OSRRefP22_9x_0</vt:lpstr>
      <vt:lpstr>'200'!OSRRefP22x_0</vt:lpstr>
      <vt:lpstr>'201'!OSRRefP22x_0</vt:lpstr>
      <vt:lpstr>'202'!OSRRefP22x_0</vt:lpstr>
      <vt:lpstr>'203'!OSRRefP22x_0</vt:lpstr>
      <vt:lpstr>'204'!OSRRefP22x_0</vt:lpstr>
      <vt:lpstr>'205'!OSRRefP22x_0</vt:lpstr>
      <vt:lpstr>'206'!OSRRefP22x_0</vt:lpstr>
      <vt:lpstr>'300'!OSRRefP22x_0</vt:lpstr>
      <vt:lpstr>'300 &amp; 317'!OSRRefP22x_0</vt:lpstr>
      <vt:lpstr>'301'!OSRRefP22x_0</vt:lpstr>
      <vt:lpstr>'306'!OSRRefP22x_0</vt:lpstr>
      <vt:lpstr>'307'!OSRRefP22x_0</vt:lpstr>
      <vt:lpstr>'308'!OSRRefP22x_0</vt:lpstr>
      <vt:lpstr>'309'!OSRRefP22x_0</vt:lpstr>
      <vt:lpstr>'310'!OSRRefP22x_0</vt:lpstr>
      <vt:lpstr>'310 &amp; 491'!OSRRefP22x_0</vt:lpstr>
      <vt:lpstr>'311'!OSRRefP22x_0</vt:lpstr>
      <vt:lpstr>'313'!OSRRefP22x_0</vt:lpstr>
      <vt:lpstr>'314'!OSRRefP22x_0</vt:lpstr>
      <vt:lpstr>'315'!OSRRefP22x_0</vt:lpstr>
      <vt:lpstr>'316'!OSRRefP22x_0</vt:lpstr>
      <vt:lpstr>'317'!OSRRefP22x_0</vt:lpstr>
      <vt:lpstr>'320'!OSRRefP22x_0</vt:lpstr>
      <vt:lpstr>'321'!OSRRefP22x_0</vt:lpstr>
      <vt:lpstr>'322'!OSRRefP22x_0</vt:lpstr>
      <vt:lpstr>'326'!OSRRefP22x_0</vt:lpstr>
      <vt:lpstr>'327'!OSRRefP22x_0</vt:lpstr>
      <vt:lpstr>'330'!OSRRefP22x_0</vt:lpstr>
      <vt:lpstr>'331'!OSRRefP22x_0</vt:lpstr>
      <vt:lpstr>'332'!OSRRefP22x_0</vt:lpstr>
      <vt:lpstr>'405'!OSRRefP22x_0</vt:lpstr>
      <vt:lpstr>'406'!OSRRefP22x_0</vt:lpstr>
      <vt:lpstr>'411'!OSRRefP22x_0</vt:lpstr>
      <vt:lpstr>'412'!OSRRefP22x_0</vt:lpstr>
      <vt:lpstr>'413'!OSRRefP22x_0</vt:lpstr>
      <vt:lpstr>'414'!OSRRefP22x_0</vt:lpstr>
      <vt:lpstr>'415'!OSRRefP22x_0</vt:lpstr>
      <vt:lpstr>'418'!OSRRefP22x_0</vt:lpstr>
      <vt:lpstr>'420'!OSRRefP22x_0</vt:lpstr>
      <vt:lpstr>'423'!OSRRefP22x_0</vt:lpstr>
      <vt:lpstr>'424'!OSRRefP22x_0</vt:lpstr>
      <vt:lpstr>'425'!OSRRefP22x_0</vt:lpstr>
      <vt:lpstr>'430'!OSRRefP22x_0</vt:lpstr>
      <vt:lpstr>'433'!OSRRefP22x_0</vt:lpstr>
      <vt:lpstr>'435'!OSRRefP22x_0</vt:lpstr>
      <vt:lpstr>'444'!OSRRefP22x_0</vt:lpstr>
      <vt:lpstr>'450'!OSRRefP22x_0</vt:lpstr>
      <vt:lpstr>'455'!OSRRefP22x_0</vt:lpstr>
      <vt:lpstr>'491'!OSRRefP22x_0</vt:lpstr>
      <vt:lpstr>'492'!OSRRefP22x_0</vt:lpstr>
      <vt:lpstr>'501'!OSRRefP22x_0</vt:lpstr>
      <vt:lpstr>'Div 2'!OSRRefP22x_0</vt:lpstr>
      <vt:lpstr>'Div 3'!OSRRefP22x_0</vt:lpstr>
      <vt:lpstr>'Div 4'!OSRRefP22x_0</vt:lpstr>
      <vt:lpstr>'Div 5'!OSRRefP22x_0</vt:lpstr>
      <vt:lpstr>'Div 6'!OSRRefP22x_0</vt:lpstr>
      <vt:lpstr>Summary!OSRRefP22x_0</vt:lpstr>
      <vt:lpstr>'300'!OSRRefP25x_0</vt:lpstr>
      <vt:lpstr>'300 &amp; 317'!OSRRefP25x_0</vt:lpstr>
      <vt:lpstr>'301'!OSRRefP25x_0</vt:lpstr>
      <vt:lpstr>'307'!OSRRefP25x_0</vt:lpstr>
      <vt:lpstr>'308'!OSRRefP25x_0</vt:lpstr>
      <vt:lpstr>'310 &amp; 491'!OSRRefP25x_0</vt:lpstr>
      <vt:lpstr>'311'!OSRRefP25x_0</vt:lpstr>
      <vt:lpstr>'315'!OSRRefP25x_0</vt:lpstr>
      <vt:lpstr>'316'!OSRRefP25x_0</vt:lpstr>
      <vt:lpstr>'317'!OSRRefP25x_0</vt:lpstr>
      <vt:lpstr>'320'!OSRRefP25x_0</vt:lpstr>
      <vt:lpstr>'330'!OSRRefP25x_0</vt:lpstr>
      <vt:lpstr>'331'!OSRRefP25x_0</vt:lpstr>
      <vt:lpstr>'332'!OSRRefP25x_0</vt:lpstr>
      <vt:lpstr>'411'!OSRRefP25x_0</vt:lpstr>
      <vt:lpstr>'413'!OSRRefP25x_0</vt:lpstr>
      <vt:lpstr>'415'!OSRRefP25x_0</vt:lpstr>
      <vt:lpstr>'423'!OSRRefP25x_0</vt:lpstr>
      <vt:lpstr>'424'!OSRRefP25x_0</vt:lpstr>
      <vt:lpstr>'425'!OSRRefP25x_0</vt:lpstr>
      <vt:lpstr>'455'!OSRRefP25x_0</vt:lpstr>
      <vt:lpstr>'491'!OSRRefP25x_0</vt:lpstr>
      <vt:lpstr>'501'!OSRRefP25x_0</vt:lpstr>
      <vt:lpstr>'Div 3'!OSRRefP25x_0</vt:lpstr>
      <vt:lpstr>'Div 4'!OSRRefP25x_0</vt:lpstr>
      <vt:lpstr>'Div 5'!OSRRefP25x_0</vt:lpstr>
      <vt:lpstr>'Div 6'!OSRRefP25x_0</vt:lpstr>
      <vt:lpstr>Summary!OSRRefP25x_0</vt:lpstr>
      <vt:lpstr>'204'!OSRRefT13x_0</vt:lpstr>
      <vt:lpstr>'300'!OSRRefT13x_0</vt:lpstr>
      <vt:lpstr>'300 &amp; 317'!OSRRefT13x_0</vt:lpstr>
      <vt:lpstr>'307'!OSRRefT13x_0</vt:lpstr>
      <vt:lpstr>'308'!OSRRefT13x_0</vt:lpstr>
      <vt:lpstr>'309'!OSRRefT13x_0</vt:lpstr>
      <vt:lpstr>'310'!OSRRefT13x_0</vt:lpstr>
      <vt:lpstr>'310 &amp; 491'!OSRRefT13x_0</vt:lpstr>
      <vt:lpstr>'311'!OSRRefT13x_0</vt:lpstr>
      <vt:lpstr>'313'!OSRRefT13x_0</vt:lpstr>
      <vt:lpstr>'314'!OSRRefT13x_0</vt:lpstr>
      <vt:lpstr>'315'!OSRRefT13x_0</vt:lpstr>
      <vt:lpstr>'316'!OSRRefT13x_0</vt:lpstr>
      <vt:lpstr>'317'!OSRRefT13x_0</vt:lpstr>
      <vt:lpstr>'320'!OSRRefT13x_0</vt:lpstr>
      <vt:lpstr>'321'!OSRRefT13x_0</vt:lpstr>
      <vt:lpstr>'322'!OSRRefT13x_0</vt:lpstr>
      <vt:lpstr>'324'!OSRRefT13x_0</vt:lpstr>
      <vt:lpstr>'326'!OSRRefT13x_0</vt:lpstr>
      <vt:lpstr>'327'!OSRRefT13x_0</vt:lpstr>
      <vt:lpstr>'330'!OSRRefT13x_0</vt:lpstr>
      <vt:lpstr>'331'!OSRRefT13x_0</vt:lpstr>
      <vt:lpstr>'332'!OSRRefT13x_0</vt:lpstr>
      <vt:lpstr>'405'!OSRRefT13x_0</vt:lpstr>
      <vt:lpstr>'406'!OSRRefT13x_0</vt:lpstr>
      <vt:lpstr>'412'!OSRRefT13x_0</vt:lpstr>
      <vt:lpstr>'413'!OSRRefT13x_0</vt:lpstr>
      <vt:lpstr>'414'!OSRRefT13x_0</vt:lpstr>
      <vt:lpstr>'415'!OSRRefT13x_0</vt:lpstr>
      <vt:lpstr>'418'!OSRRefT13x_0</vt:lpstr>
      <vt:lpstr>'420'!OSRRefT13x_0</vt:lpstr>
      <vt:lpstr>'424'!OSRRefT13x_0</vt:lpstr>
      <vt:lpstr>'425'!OSRRefT13x_0</vt:lpstr>
      <vt:lpstr>'433'!OSRRefT13x_0</vt:lpstr>
      <vt:lpstr>'435'!OSRRefT13x_0</vt:lpstr>
      <vt:lpstr>'444'!OSRRefT13x_0</vt:lpstr>
      <vt:lpstr>'450'!OSRRefT13x_0</vt:lpstr>
      <vt:lpstr>'491'!OSRRefT13x_0</vt:lpstr>
      <vt:lpstr>'492'!OSRRefT13x_0</vt:lpstr>
      <vt:lpstr>'501'!OSRRefT13x_0</vt:lpstr>
      <vt:lpstr>'Div 2'!OSRRefT13x_0</vt:lpstr>
      <vt:lpstr>'Div 3'!OSRRefT13x_0</vt:lpstr>
      <vt:lpstr>'Div 4'!OSRRefT13x_0</vt:lpstr>
      <vt:lpstr>'Div 5'!OSRRefT13x_0</vt:lpstr>
      <vt:lpstr>'Div 6'!OSRRefT13x_0</vt:lpstr>
      <vt:lpstr>Summary!OSRRefT13x_0</vt:lpstr>
      <vt:lpstr>'300'!OSRRefT16x_0</vt:lpstr>
      <vt:lpstr>'300 &amp; 317'!OSRRefT16x_0</vt:lpstr>
      <vt:lpstr>'307'!OSRRefT16x_0</vt:lpstr>
      <vt:lpstr>'308'!OSRRefT16x_0</vt:lpstr>
      <vt:lpstr>'309'!OSRRefT16x_0</vt:lpstr>
      <vt:lpstr>'310'!OSRRefT16x_0</vt:lpstr>
      <vt:lpstr>'310 &amp; 491'!OSRRefT16x_0</vt:lpstr>
      <vt:lpstr>'311'!OSRRefT16x_0</vt:lpstr>
      <vt:lpstr>'313'!OSRRefT16x_0</vt:lpstr>
      <vt:lpstr>'314'!OSRRefT16x_0</vt:lpstr>
      <vt:lpstr>'315'!OSRRefT16x_0</vt:lpstr>
      <vt:lpstr>'317'!OSRRefT16x_0</vt:lpstr>
      <vt:lpstr>'320'!OSRRefT16x_0</vt:lpstr>
      <vt:lpstr>'321'!OSRRefT16x_0</vt:lpstr>
      <vt:lpstr>'322'!OSRRefT16x_0</vt:lpstr>
      <vt:lpstr>'324'!OSRRefT16x_0</vt:lpstr>
      <vt:lpstr>'326'!OSRRefT16x_0</vt:lpstr>
      <vt:lpstr>'327'!OSRRefT16x_0</vt:lpstr>
      <vt:lpstr>'330'!OSRRefT16x_0</vt:lpstr>
      <vt:lpstr>'331'!OSRRefT16x_0</vt:lpstr>
      <vt:lpstr>'332'!OSRRefT16x_0</vt:lpstr>
      <vt:lpstr>'405'!OSRRefT16x_0</vt:lpstr>
      <vt:lpstr>'406'!OSRRefT16x_0</vt:lpstr>
      <vt:lpstr>'412'!OSRRefT16x_0</vt:lpstr>
      <vt:lpstr>'413'!OSRRefT16x_0</vt:lpstr>
      <vt:lpstr>'414'!OSRRefT16x_0</vt:lpstr>
      <vt:lpstr>'415'!OSRRefT16x_0</vt:lpstr>
      <vt:lpstr>'418'!OSRRefT16x_0</vt:lpstr>
      <vt:lpstr>'420'!OSRRefT16x_0</vt:lpstr>
      <vt:lpstr>'423'!OSRRefT16x_0</vt:lpstr>
      <vt:lpstr>'424'!OSRRefT16x_0</vt:lpstr>
      <vt:lpstr>'425'!OSRRefT16x_0</vt:lpstr>
      <vt:lpstr>'433'!OSRRefT16x_0</vt:lpstr>
      <vt:lpstr>'435'!OSRRefT16x_0</vt:lpstr>
      <vt:lpstr>'444'!OSRRefT16x_0</vt:lpstr>
      <vt:lpstr>'450'!OSRRefT16x_0</vt:lpstr>
      <vt:lpstr>'491'!OSRRefT16x_0</vt:lpstr>
      <vt:lpstr>'492'!OSRRefT16x_0</vt:lpstr>
      <vt:lpstr>'Div 3'!OSRRefT16x_0</vt:lpstr>
      <vt:lpstr>'Div 4'!OSRRefT16x_0</vt:lpstr>
      <vt:lpstr>'Div 6'!OSRRefT16x_0</vt:lpstr>
      <vt:lpstr>Summary!OSRRefT16x_0</vt:lpstr>
      <vt:lpstr>'200'!OSRRefT22_0x_0</vt:lpstr>
      <vt:lpstr>'201'!OSRRefT22_0x_0</vt:lpstr>
      <vt:lpstr>'202'!OSRRefT22_0x_0</vt:lpstr>
      <vt:lpstr>'203'!OSRRefT22_0x_0</vt:lpstr>
      <vt:lpstr>'204'!OSRRefT22_0x_0</vt:lpstr>
      <vt:lpstr>'205'!OSRRefT22_0x_0</vt:lpstr>
      <vt:lpstr>'206'!OSRRefT22_0x_0</vt:lpstr>
      <vt:lpstr>'300'!OSRRefT22_0x_0</vt:lpstr>
      <vt:lpstr>'300 &amp; 317'!OSRRefT22_0x_0</vt:lpstr>
      <vt:lpstr>'301'!OSRRefT22_0x_0</vt:lpstr>
      <vt:lpstr>'306'!OSRRefT22_0x_0</vt:lpstr>
      <vt:lpstr>'307'!OSRRefT22_0x_0</vt:lpstr>
      <vt:lpstr>'308'!OSRRefT22_0x_0</vt:lpstr>
      <vt:lpstr>'309'!OSRRefT22_0x_0</vt:lpstr>
      <vt:lpstr>'310'!OSRRefT22_0x_0</vt:lpstr>
      <vt:lpstr>'310 &amp; 491'!OSRRefT22_0x_0</vt:lpstr>
      <vt:lpstr>'311'!OSRRefT22_0x_0</vt:lpstr>
      <vt:lpstr>'313'!OSRRefT22_0x_0</vt:lpstr>
      <vt:lpstr>'314'!OSRRefT22_0x_0</vt:lpstr>
      <vt:lpstr>'315'!OSRRefT22_0x_0</vt:lpstr>
      <vt:lpstr>'316'!OSRRefT22_0x_0</vt:lpstr>
      <vt:lpstr>'317'!OSRRefT22_0x_0</vt:lpstr>
      <vt:lpstr>'320'!OSRRefT22_0x_0</vt:lpstr>
      <vt:lpstr>'321'!OSRRefT22_0x_0</vt:lpstr>
      <vt:lpstr>'322'!OSRRefT22_0x_0</vt:lpstr>
      <vt:lpstr>'326'!OSRRefT22_0x_0</vt:lpstr>
      <vt:lpstr>'327'!OSRRefT22_0x_0</vt:lpstr>
      <vt:lpstr>'330'!OSRRefT22_0x_0</vt:lpstr>
      <vt:lpstr>'331'!OSRRefT22_0x_0</vt:lpstr>
      <vt:lpstr>'332'!OSRRefT22_0x_0</vt:lpstr>
      <vt:lpstr>'405'!OSRRefT22_0x_0</vt:lpstr>
      <vt:lpstr>'406'!OSRRefT22_0x_0</vt:lpstr>
      <vt:lpstr>'411'!OSRRefT22_0x_0</vt:lpstr>
      <vt:lpstr>'412'!OSRRefT22_0x_0</vt:lpstr>
      <vt:lpstr>'413'!OSRRefT22_0x_0</vt:lpstr>
      <vt:lpstr>'414'!OSRRefT22_0x_0</vt:lpstr>
      <vt:lpstr>'415'!OSRRefT22_0x_0</vt:lpstr>
      <vt:lpstr>'418'!OSRRefT22_0x_0</vt:lpstr>
      <vt:lpstr>'420'!OSRRefT22_0x_0</vt:lpstr>
      <vt:lpstr>'423'!OSRRefT22_0x_0</vt:lpstr>
      <vt:lpstr>'424'!OSRRefT22_0x_0</vt:lpstr>
      <vt:lpstr>'425'!OSRRefT22_0x_0</vt:lpstr>
      <vt:lpstr>'430'!OSRRefT22_0x_0</vt:lpstr>
      <vt:lpstr>'433'!OSRRefT22_0x_0</vt:lpstr>
      <vt:lpstr>'435'!OSRRefT22_0x_0</vt:lpstr>
      <vt:lpstr>'444'!OSRRefT22_0x_0</vt:lpstr>
      <vt:lpstr>'450'!OSRRefT22_0x_0</vt:lpstr>
      <vt:lpstr>'455'!OSRRefT22_0x_0</vt:lpstr>
      <vt:lpstr>'491'!OSRRefT22_0x_0</vt:lpstr>
      <vt:lpstr>'492'!OSRRefT22_0x_0</vt:lpstr>
      <vt:lpstr>'501'!OSRRefT22_0x_0</vt:lpstr>
      <vt:lpstr>'Div 2'!OSRRefT22_0x_0</vt:lpstr>
      <vt:lpstr>'Div 3'!OSRRefT22_0x_0</vt:lpstr>
      <vt:lpstr>'Div 4'!OSRRefT22_0x_0</vt:lpstr>
      <vt:lpstr>'Div 5'!OSRRefT22_0x_0</vt:lpstr>
      <vt:lpstr>'Div 6'!OSRRefT22_0x_0</vt:lpstr>
      <vt:lpstr>Summary!OSRRefT22_0x_0</vt:lpstr>
      <vt:lpstr>'201'!OSRRefT22_10x_0</vt:lpstr>
      <vt:lpstr>'202'!OSRRefT22_10x_0</vt:lpstr>
      <vt:lpstr>'203'!OSRRefT22_10x_0</vt:lpstr>
      <vt:lpstr>'204'!OSRRefT22_10x_0</vt:lpstr>
      <vt:lpstr>'206'!OSRRefT22_10x_0</vt:lpstr>
      <vt:lpstr>'300'!OSRRefT22_10x_0</vt:lpstr>
      <vt:lpstr>'300 &amp; 317'!OSRRefT22_10x_0</vt:lpstr>
      <vt:lpstr>'301'!OSRRefT22_10x_0</vt:lpstr>
      <vt:lpstr>'306'!OSRRefT22_10x_0</vt:lpstr>
      <vt:lpstr>'307'!OSRRefT22_10x_0</vt:lpstr>
      <vt:lpstr>'308'!OSRRefT22_10x_0</vt:lpstr>
      <vt:lpstr>'309'!OSRRefT22_10x_0</vt:lpstr>
      <vt:lpstr>'310'!OSRRefT22_10x_0</vt:lpstr>
      <vt:lpstr>'310 &amp; 491'!OSRRefT22_10x_0</vt:lpstr>
      <vt:lpstr>'311'!OSRRefT22_10x_0</vt:lpstr>
      <vt:lpstr>'313'!OSRRefT22_10x_0</vt:lpstr>
      <vt:lpstr>'314'!OSRRefT22_10x_0</vt:lpstr>
      <vt:lpstr>'315'!OSRRefT22_10x_0</vt:lpstr>
      <vt:lpstr>'316'!OSRRefT22_10x_0</vt:lpstr>
      <vt:lpstr>'317'!OSRRefT22_10x_0</vt:lpstr>
      <vt:lpstr>'321'!OSRRefT22_10x_0</vt:lpstr>
      <vt:lpstr>'322'!OSRRefT22_10x_0</vt:lpstr>
      <vt:lpstr>'326'!OSRRefT22_10x_0</vt:lpstr>
      <vt:lpstr>'330'!OSRRefT22_10x_0</vt:lpstr>
      <vt:lpstr>'331'!OSRRefT22_10x_0</vt:lpstr>
      <vt:lpstr>'332'!OSRRefT22_10x_0</vt:lpstr>
      <vt:lpstr>'405'!OSRRefT22_10x_0</vt:lpstr>
      <vt:lpstr>'406'!OSRRefT22_10x_0</vt:lpstr>
      <vt:lpstr>'411'!OSRRefT22_10x_0</vt:lpstr>
      <vt:lpstr>'412'!OSRRefT22_10x_0</vt:lpstr>
      <vt:lpstr>'413'!OSRRefT22_10x_0</vt:lpstr>
      <vt:lpstr>'414'!OSRRefT22_10x_0</vt:lpstr>
      <vt:lpstr>'415'!OSRRefT22_10x_0</vt:lpstr>
      <vt:lpstr>'418'!OSRRefT22_10x_0</vt:lpstr>
      <vt:lpstr>'424'!OSRRefT22_10x_0</vt:lpstr>
      <vt:lpstr>'425'!OSRRefT22_10x_0</vt:lpstr>
      <vt:lpstr>'430'!OSRRefT22_10x_0</vt:lpstr>
      <vt:lpstr>'433'!OSRRefT22_10x_0</vt:lpstr>
      <vt:lpstr>'444'!OSRRefT22_10x_0</vt:lpstr>
      <vt:lpstr>'450'!OSRRefT22_10x_0</vt:lpstr>
      <vt:lpstr>'491'!OSRRefT22_10x_0</vt:lpstr>
      <vt:lpstr>'492'!OSRRefT22_10x_0</vt:lpstr>
      <vt:lpstr>'501'!OSRRefT22_10x_0</vt:lpstr>
      <vt:lpstr>'Div 2'!OSRRefT22_10x_0</vt:lpstr>
      <vt:lpstr>'Div 3'!OSRRefT22_10x_0</vt:lpstr>
      <vt:lpstr>'Div 4'!OSRRefT22_10x_0</vt:lpstr>
      <vt:lpstr>'Div 5'!OSRRefT22_10x_0</vt:lpstr>
      <vt:lpstr>'Div 6'!OSRRefT22_10x_0</vt:lpstr>
      <vt:lpstr>Summary!OSRRefT22_10x_0</vt:lpstr>
      <vt:lpstr>'201'!OSRRefT22_11x_0</vt:lpstr>
      <vt:lpstr>'202'!OSRRefT22_11x_0</vt:lpstr>
      <vt:lpstr>'203'!OSRRefT22_11x_0</vt:lpstr>
      <vt:lpstr>'204'!OSRRefT22_11x_0</vt:lpstr>
      <vt:lpstr>'300'!OSRRefT22_11x_0</vt:lpstr>
      <vt:lpstr>'300 &amp; 317'!OSRRefT22_11x_0</vt:lpstr>
      <vt:lpstr>'301'!OSRRefT22_11x_0</vt:lpstr>
      <vt:lpstr>'307'!OSRRefT22_11x_0</vt:lpstr>
      <vt:lpstr>'308'!OSRRefT22_11x_0</vt:lpstr>
      <vt:lpstr>'309'!OSRRefT22_11x_0</vt:lpstr>
      <vt:lpstr>'310'!OSRRefT22_11x_0</vt:lpstr>
      <vt:lpstr>'310 &amp; 491'!OSRRefT22_11x_0</vt:lpstr>
      <vt:lpstr>'311'!OSRRefT22_11x_0</vt:lpstr>
      <vt:lpstr>'313'!OSRRefT22_11x_0</vt:lpstr>
      <vt:lpstr>'315'!OSRRefT22_11x_0</vt:lpstr>
      <vt:lpstr>'316'!OSRRefT22_11x_0</vt:lpstr>
      <vt:lpstr>'317'!OSRRefT22_11x_0</vt:lpstr>
      <vt:lpstr>'321'!OSRRefT22_11x_0</vt:lpstr>
      <vt:lpstr>'322'!OSRRefT22_11x_0</vt:lpstr>
      <vt:lpstr>'326'!OSRRefT22_11x_0</vt:lpstr>
      <vt:lpstr>'330'!OSRRefT22_11x_0</vt:lpstr>
      <vt:lpstr>'331'!OSRRefT22_11x_0</vt:lpstr>
      <vt:lpstr>'332'!OSRRefT22_11x_0</vt:lpstr>
      <vt:lpstr>'405'!OSRRefT22_11x_0</vt:lpstr>
      <vt:lpstr>'406'!OSRRefT22_11x_0</vt:lpstr>
      <vt:lpstr>'411'!OSRRefT22_11x_0</vt:lpstr>
      <vt:lpstr>'412'!OSRRefT22_11x_0</vt:lpstr>
      <vt:lpstr>'413'!OSRRefT22_11x_0</vt:lpstr>
      <vt:lpstr>'414'!OSRRefT22_11x_0</vt:lpstr>
      <vt:lpstr>'415'!OSRRefT22_11x_0</vt:lpstr>
      <vt:lpstr>'418'!OSRRefT22_11x_0</vt:lpstr>
      <vt:lpstr>'424'!OSRRefT22_11x_0</vt:lpstr>
      <vt:lpstr>'425'!OSRRefT22_11x_0</vt:lpstr>
      <vt:lpstr>'433'!OSRRefT22_11x_0</vt:lpstr>
      <vt:lpstr>'444'!OSRRefT22_11x_0</vt:lpstr>
      <vt:lpstr>'450'!OSRRefT22_11x_0</vt:lpstr>
      <vt:lpstr>'491'!OSRRefT22_11x_0</vt:lpstr>
      <vt:lpstr>'492'!OSRRefT22_11x_0</vt:lpstr>
      <vt:lpstr>'501'!OSRRefT22_11x_0</vt:lpstr>
      <vt:lpstr>'Div 2'!OSRRefT22_11x_0</vt:lpstr>
      <vt:lpstr>'Div 3'!OSRRefT22_11x_0</vt:lpstr>
      <vt:lpstr>'Div 4'!OSRRefT22_11x_0</vt:lpstr>
      <vt:lpstr>'Div 5'!OSRRefT22_11x_0</vt:lpstr>
      <vt:lpstr>'Div 6'!OSRRefT22_11x_0</vt:lpstr>
      <vt:lpstr>Summary!OSRRefT22_11x_0</vt:lpstr>
      <vt:lpstr>'201'!OSRRefT22_12x_0</vt:lpstr>
      <vt:lpstr>'202'!OSRRefT22_12x_0</vt:lpstr>
      <vt:lpstr>'203'!OSRRefT22_12x_0</vt:lpstr>
      <vt:lpstr>'204'!OSRRefT22_12x_0</vt:lpstr>
      <vt:lpstr>'300'!OSRRefT22_12x_0</vt:lpstr>
      <vt:lpstr>'300 &amp; 317'!OSRRefT22_12x_0</vt:lpstr>
      <vt:lpstr>'301'!OSRRefT22_12x_0</vt:lpstr>
      <vt:lpstr>'307'!OSRRefT22_12x_0</vt:lpstr>
      <vt:lpstr>'308'!OSRRefT22_12x_0</vt:lpstr>
      <vt:lpstr>'309'!OSRRefT22_12x_0</vt:lpstr>
      <vt:lpstr>'310'!OSRRefT22_12x_0</vt:lpstr>
      <vt:lpstr>'310 &amp; 491'!OSRRefT22_12x_0</vt:lpstr>
      <vt:lpstr>'311'!OSRRefT22_12x_0</vt:lpstr>
      <vt:lpstr>'313'!OSRRefT22_12x_0</vt:lpstr>
      <vt:lpstr>'315'!OSRRefT22_12x_0</vt:lpstr>
      <vt:lpstr>'316'!OSRRefT22_12x_0</vt:lpstr>
      <vt:lpstr>'317'!OSRRefT22_12x_0</vt:lpstr>
      <vt:lpstr>'321'!OSRRefT22_12x_0</vt:lpstr>
      <vt:lpstr>'326'!OSRRefT22_12x_0</vt:lpstr>
      <vt:lpstr>'330'!OSRRefT22_12x_0</vt:lpstr>
      <vt:lpstr>'331'!OSRRefT22_12x_0</vt:lpstr>
      <vt:lpstr>'332'!OSRRefT22_12x_0</vt:lpstr>
      <vt:lpstr>'405'!OSRRefT22_12x_0</vt:lpstr>
      <vt:lpstr>'406'!OSRRefT22_12x_0</vt:lpstr>
      <vt:lpstr>'411'!OSRRefT22_12x_0</vt:lpstr>
      <vt:lpstr>'412'!OSRRefT22_12x_0</vt:lpstr>
      <vt:lpstr>'413'!OSRRefT22_12x_0</vt:lpstr>
      <vt:lpstr>'414'!OSRRefT22_12x_0</vt:lpstr>
      <vt:lpstr>'415'!OSRRefT22_12x_0</vt:lpstr>
      <vt:lpstr>'418'!OSRRefT22_12x_0</vt:lpstr>
      <vt:lpstr>'424'!OSRRefT22_12x_0</vt:lpstr>
      <vt:lpstr>'425'!OSRRefT22_12x_0</vt:lpstr>
      <vt:lpstr>'433'!OSRRefT22_12x_0</vt:lpstr>
      <vt:lpstr>'444'!OSRRefT22_12x_0</vt:lpstr>
      <vt:lpstr>'450'!OSRRefT22_12x_0</vt:lpstr>
      <vt:lpstr>'491'!OSRRefT22_12x_0</vt:lpstr>
      <vt:lpstr>'492'!OSRRefT22_12x_0</vt:lpstr>
      <vt:lpstr>'501'!OSRRefT22_12x_0</vt:lpstr>
      <vt:lpstr>'Div 2'!OSRRefT22_12x_0</vt:lpstr>
      <vt:lpstr>'Div 3'!OSRRefT22_12x_0</vt:lpstr>
      <vt:lpstr>'Div 4'!OSRRefT22_12x_0</vt:lpstr>
      <vt:lpstr>'Div 5'!OSRRefT22_12x_0</vt:lpstr>
      <vt:lpstr>'Div 6'!OSRRefT22_12x_0</vt:lpstr>
      <vt:lpstr>Summary!OSRRefT22_12x_0</vt:lpstr>
      <vt:lpstr>'201'!OSRRefT22_13x_0</vt:lpstr>
      <vt:lpstr>'202'!OSRRefT22_13x_0</vt:lpstr>
      <vt:lpstr>'203'!OSRRefT22_13x_0</vt:lpstr>
      <vt:lpstr>'300'!OSRRefT22_13x_0</vt:lpstr>
      <vt:lpstr>'300 &amp; 317'!OSRRefT22_13x_0</vt:lpstr>
      <vt:lpstr>'301'!OSRRefT22_13x_0</vt:lpstr>
      <vt:lpstr>'308'!OSRRefT22_13x_0</vt:lpstr>
      <vt:lpstr>'309'!OSRRefT22_13x_0</vt:lpstr>
      <vt:lpstr>'310'!OSRRefT22_13x_0</vt:lpstr>
      <vt:lpstr>'310 &amp; 491'!OSRRefT22_13x_0</vt:lpstr>
      <vt:lpstr>'311'!OSRRefT22_13x_0</vt:lpstr>
      <vt:lpstr>'313'!OSRRefT22_13x_0</vt:lpstr>
      <vt:lpstr>'315'!OSRRefT22_13x_0</vt:lpstr>
      <vt:lpstr>'316'!OSRRefT22_13x_0</vt:lpstr>
      <vt:lpstr>'317'!OSRRefT22_13x_0</vt:lpstr>
      <vt:lpstr>'321'!OSRRefT22_13x_0</vt:lpstr>
      <vt:lpstr>'326'!OSRRefT22_13x_0</vt:lpstr>
      <vt:lpstr>'330'!OSRRefT22_13x_0</vt:lpstr>
      <vt:lpstr>'331'!OSRRefT22_13x_0</vt:lpstr>
      <vt:lpstr>'332'!OSRRefT22_13x_0</vt:lpstr>
      <vt:lpstr>'405'!OSRRefT22_13x_0</vt:lpstr>
      <vt:lpstr>'406'!OSRRefT22_13x_0</vt:lpstr>
      <vt:lpstr>'411'!OSRRefT22_13x_0</vt:lpstr>
      <vt:lpstr>'412'!OSRRefT22_13x_0</vt:lpstr>
      <vt:lpstr>'413'!OSRRefT22_13x_0</vt:lpstr>
      <vt:lpstr>'414'!OSRRefT22_13x_0</vt:lpstr>
      <vt:lpstr>'415'!OSRRefT22_13x_0</vt:lpstr>
      <vt:lpstr>'418'!OSRRefT22_13x_0</vt:lpstr>
      <vt:lpstr>'425'!OSRRefT22_13x_0</vt:lpstr>
      <vt:lpstr>'433'!OSRRefT22_13x_0</vt:lpstr>
      <vt:lpstr>'444'!OSRRefT22_13x_0</vt:lpstr>
      <vt:lpstr>'450'!OSRRefT22_13x_0</vt:lpstr>
      <vt:lpstr>'491'!OSRRefT22_13x_0</vt:lpstr>
      <vt:lpstr>'492'!OSRRefT22_13x_0</vt:lpstr>
      <vt:lpstr>'501'!OSRRefT22_13x_0</vt:lpstr>
      <vt:lpstr>'Div 2'!OSRRefT22_13x_0</vt:lpstr>
      <vt:lpstr>'Div 3'!OSRRefT22_13x_0</vt:lpstr>
      <vt:lpstr>'Div 4'!OSRRefT22_13x_0</vt:lpstr>
      <vt:lpstr>'Div 5'!OSRRefT22_13x_0</vt:lpstr>
      <vt:lpstr>'Div 6'!OSRRefT22_13x_0</vt:lpstr>
      <vt:lpstr>Summary!OSRRefT22_13x_0</vt:lpstr>
      <vt:lpstr>'201'!OSRRefT22_14x_0</vt:lpstr>
      <vt:lpstr>'202'!OSRRefT22_14x_0</vt:lpstr>
      <vt:lpstr>'203'!OSRRefT22_14x_0</vt:lpstr>
      <vt:lpstr>'300'!OSRRefT22_14x_0</vt:lpstr>
      <vt:lpstr>'300 &amp; 317'!OSRRefT22_14x_0</vt:lpstr>
      <vt:lpstr>'301'!OSRRefT22_14x_0</vt:lpstr>
      <vt:lpstr>'308'!OSRRefT22_14x_0</vt:lpstr>
      <vt:lpstr>'310'!OSRRefT22_14x_0</vt:lpstr>
      <vt:lpstr>'310 &amp; 491'!OSRRefT22_14x_0</vt:lpstr>
      <vt:lpstr>'311'!OSRRefT22_14x_0</vt:lpstr>
      <vt:lpstr>'313'!OSRRefT22_14x_0</vt:lpstr>
      <vt:lpstr>'315'!OSRRefT22_14x_0</vt:lpstr>
      <vt:lpstr>'321'!OSRRefT22_14x_0</vt:lpstr>
      <vt:lpstr>'326'!OSRRefT22_14x_0</vt:lpstr>
      <vt:lpstr>'330'!OSRRefT22_14x_0</vt:lpstr>
      <vt:lpstr>'331'!OSRRefT22_14x_0</vt:lpstr>
      <vt:lpstr>'332'!OSRRefT22_14x_0</vt:lpstr>
      <vt:lpstr>'405'!OSRRefT22_14x_0</vt:lpstr>
      <vt:lpstr>'406'!OSRRefT22_14x_0</vt:lpstr>
      <vt:lpstr>'411'!OSRRefT22_14x_0</vt:lpstr>
      <vt:lpstr>'412'!OSRRefT22_14x_0</vt:lpstr>
      <vt:lpstr>'414'!OSRRefT22_14x_0</vt:lpstr>
      <vt:lpstr>'415'!OSRRefT22_14x_0</vt:lpstr>
      <vt:lpstr>'418'!OSRRefT22_14x_0</vt:lpstr>
      <vt:lpstr>'425'!OSRRefT22_14x_0</vt:lpstr>
      <vt:lpstr>'433'!OSRRefT22_14x_0</vt:lpstr>
      <vt:lpstr>'444'!OSRRefT22_14x_0</vt:lpstr>
      <vt:lpstr>'450'!OSRRefT22_14x_0</vt:lpstr>
      <vt:lpstr>'491'!OSRRefT22_14x_0</vt:lpstr>
      <vt:lpstr>'492'!OSRRefT22_14x_0</vt:lpstr>
      <vt:lpstr>'501'!OSRRefT22_14x_0</vt:lpstr>
      <vt:lpstr>'Div 2'!OSRRefT22_14x_0</vt:lpstr>
      <vt:lpstr>'Div 3'!OSRRefT22_14x_0</vt:lpstr>
      <vt:lpstr>'Div 4'!OSRRefT22_14x_0</vt:lpstr>
      <vt:lpstr>'Div 5'!OSRRefT22_14x_0</vt:lpstr>
      <vt:lpstr>Summary!OSRRefT22_14x_0</vt:lpstr>
      <vt:lpstr>'201'!OSRRefT22_15x_0</vt:lpstr>
      <vt:lpstr>'202'!OSRRefT22_15x_0</vt:lpstr>
      <vt:lpstr>'203'!OSRRefT22_15x_0</vt:lpstr>
      <vt:lpstr>'300'!OSRRefT22_15x_0</vt:lpstr>
      <vt:lpstr>'300 &amp; 317'!OSRRefT22_15x_0</vt:lpstr>
      <vt:lpstr>'301'!OSRRefT22_15x_0</vt:lpstr>
      <vt:lpstr>'310'!OSRRefT22_15x_0</vt:lpstr>
      <vt:lpstr>'310 &amp; 491'!OSRRefT22_15x_0</vt:lpstr>
      <vt:lpstr>'315'!OSRRefT22_15x_0</vt:lpstr>
      <vt:lpstr>'326'!OSRRefT22_15x_0</vt:lpstr>
      <vt:lpstr>'330'!OSRRefT22_15x_0</vt:lpstr>
      <vt:lpstr>'331'!OSRRefT22_15x_0</vt:lpstr>
      <vt:lpstr>'405'!OSRRefT22_15x_0</vt:lpstr>
      <vt:lpstr>'411'!OSRRefT22_15x_0</vt:lpstr>
      <vt:lpstr>'412'!OSRRefT22_15x_0</vt:lpstr>
      <vt:lpstr>'414'!OSRRefT22_15x_0</vt:lpstr>
      <vt:lpstr>'415'!OSRRefT22_15x_0</vt:lpstr>
      <vt:lpstr>'418'!OSRRefT22_15x_0</vt:lpstr>
      <vt:lpstr>'425'!OSRRefT22_15x_0</vt:lpstr>
      <vt:lpstr>'433'!OSRRefT22_15x_0</vt:lpstr>
      <vt:lpstr>'444'!OSRRefT22_15x_0</vt:lpstr>
      <vt:lpstr>'450'!OSRRefT22_15x_0</vt:lpstr>
      <vt:lpstr>'491'!OSRRefT22_15x_0</vt:lpstr>
      <vt:lpstr>'492'!OSRRefT22_15x_0</vt:lpstr>
      <vt:lpstr>'Div 2'!OSRRefT22_15x_0</vt:lpstr>
      <vt:lpstr>'Div 3'!OSRRefT22_15x_0</vt:lpstr>
      <vt:lpstr>'Div 4'!OSRRefT22_15x_0</vt:lpstr>
      <vt:lpstr>Summary!OSRRefT22_15x_0</vt:lpstr>
      <vt:lpstr>'201'!OSRRefT22_16x_0</vt:lpstr>
      <vt:lpstr>'202'!OSRRefT22_16x_0</vt:lpstr>
      <vt:lpstr>'300'!OSRRefT22_16x_0</vt:lpstr>
      <vt:lpstr>'300 &amp; 317'!OSRRefT22_16x_0</vt:lpstr>
      <vt:lpstr>'301'!OSRRefT22_16x_0</vt:lpstr>
      <vt:lpstr>'310'!OSRRefT22_16x_0</vt:lpstr>
      <vt:lpstr>'310 &amp; 491'!OSRRefT22_16x_0</vt:lpstr>
      <vt:lpstr>'326'!OSRRefT22_16x_0</vt:lpstr>
      <vt:lpstr>'331'!OSRRefT22_16x_0</vt:lpstr>
      <vt:lpstr>'405'!OSRRefT22_16x_0</vt:lpstr>
      <vt:lpstr>'411'!OSRRefT22_16x_0</vt:lpstr>
      <vt:lpstr>'415'!OSRRefT22_16x_0</vt:lpstr>
      <vt:lpstr>'418'!OSRRefT22_16x_0</vt:lpstr>
      <vt:lpstr>'425'!OSRRefT22_16x_0</vt:lpstr>
      <vt:lpstr>'444'!OSRRefT22_16x_0</vt:lpstr>
      <vt:lpstr>'450'!OSRRefT22_16x_0</vt:lpstr>
      <vt:lpstr>'491'!OSRRefT22_16x_0</vt:lpstr>
      <vt:lpstr>'492'!OSRRefT22_16x_0</vt:lpstr>
      <vt:lpstr>'Div 2'!OSRRefT22_16x_0</vt:lpstr>
      <vt:lpstr>'Div 3'!OSRRefT22_16x_0</vt:lpstr>
      <vt:lpstr>'Div 4'!OSRRefT22_16x_0</vt:lpstr>
      <vt:lpstr>Summary!OSRRefT22_16x_0</vt:lpstr>
      <vt:lpstr>'300'!OSRRefT22_17x_0</vt:lpstr>
      <vt:lpstr>'300 &amp; 317'!OSRRefT22_17x_0</vt:lpstr>
      <vt:lpstr>'301'!OSRRefT22_17x_0</vt:lpstr>
      <vt:lpstr>'310'!OSRRefT22_17x_0</vt:lpstr>
      <vt:lpstr>'310 &amp; 491'!OSRRefT22_17x_0</vt:lpstr>
      <vt:lpstr>'326'!OSRRefT22_17x_0</vt:lpstr>
      <vt:lpstr>'331'!OSRRefT22_17x_0</vt:lpstr>
      <vt:lpstr>'405'!OSRRefT22_17x_0</vt:lpstr>
      <vt:lpstr>'411'!OSRRefT22_17x_0</vt:lpstr>
      <vt:lpstr>'415'!OSRRefT22_17x_0</vt:lpstr>
      <vt:lpstr>'418'!OSRRefT22_17x_0</vt:lpstr>
      <vt:lpstr>'450'!OSRRefT22_17x_0</vt:lpstr>
      <vt:lpstr>'491'!OSRRefT22_17x_0</vt:lpstr>
      <vt:lpstr>'492'!OSRRefT22_17x_0</vt:lpstr>
      <vt:lpstr>'Div 2'!OSRRefT22_17x_0</vt:lpstr>
      <vt:lpstr>'Div 3'!OSRRefT22_17x_0</vt:lpstr>
      <vt:lpstr>'Div 4'!OSRRefT22_17x_0</vt:lpstr>
      <vt:lpstr>Summary!OSRRefT22_17x_0</vt:lpstr>
      <vt:lpstr>'300'!OSRRefT22_18x_0</vt:lpstr>
      <vt:lpstr>'300 &amp; 317'!OSRRefT22_18x_0</vt:lpstr>
      <vt:lpstr>'301'!OSRRefT22_18x_0</vt:lpstr>
      <vt:lpstr>'310'!OSRRefT22_18x_0</vt:lpstr>
      <vt:lpstr>'310 &amp; 491'!OSRRefT22_18x_0</vt:lpstr>
      <vt:lpstr>'326'!OSRRefT22_18x_0</vt:lpstr>
      <vt:lpstr>'331'!OSRRefT22_18x_0</vt:lpstr>
      <vt:lpstr>'405'!OSRRefT22_18x_0</vt:lpstr>
      <vt:lpstr>'411'!OSRRefT22_18x_0</vt:lpstr>
      <vt:lpstr>'415'!OSRRefT22_18x_0</vt:lpstr>
      <vt:lpstr>'491'!OSRRefT22_18x_0</vt:lpstr>
      <vt:lpstr>'492'!OSRRefT22_18x_0</vt:lpstr>
      <vt:lpstr>'Div 2'!OSRRefT22_18x_0</vt:lpstr>
      <vt:lpstr>'Div 3'!OSRRefT22_18x_0</vt:lpstr>
      <vt:lpstr>'Div 4'!OSRRefT22_18x_0</vt:lpstr>
      <vt:lpstr>Summary!OSRRefT22_18x_0</vt:lpstr>
      <vt:lpstr>'300'!OSRRefT22_19x_0</vt:lpstr>
      <vt:lpstr>'300 &amp; 317'!OSRRefT22_19x_0</vt:lpstr>
      <vt:lpstr>'301'!OSRRefT22_19x_0</vt:lpstr>
      <vt:lpstr>'310'!OSRRefT22_19x_0</vt:lpstr>
      <vt:lpstr>'310 &amp; 491'!OSRRefT22_19x_0</vt:lpstr>
      <vt:lpstr>'326'!OSRRefT22_19x_0</vt:lpstr>
      <vt:lpstr>'331'!OSRRefT22_19x_0</vt:lpstr>
      <vt:lpstr>'405'!OSRRefT22_19x_0</vt:lpstr>
      <vt:lpstr>'411'!OSRRefT22_19x_0</vt:lpstr>
      <vt:lpstr>'491'!OSRRefT22_19x_0</vt:lpstr>
      <vt:lpstr>'Div 2'!OSRRefT22_19x_0</vt:lpstr>
      <vt:lpstr>'Div 3'!OSRRefT22_19x_0</vt:lpstr>
      <vt:lpstr>'Div 4'!OSRRefT22_19x_0</vt:lpstr>
      <vt:lpstr>Summary!OSRRefT22_19x_0</vt:lpstr>
      <vt:lpstr>'200'!OSRRefT22_1x_0</vt:lpstr>
      <vt:lpstr>'201'!OSRRefT22_1x_0</vt:lpstr>
      <vt:lpstr>'202'!OSRRefT22_1x_0</vt:lpstr>
      <vt:lpstr>'203'!OSRRefT22_1x_0</vt:lpstr>
      <vt:lpstr>'204'!OSRRefT22_1x_0</vt:lpstr>
      <vt:lpstr>'205'!OSRRefT22_1x_0</vt:lpstr>
      <vt:lpstr>'206'!OSRRefT22_1x_0</vt:lpstr>
      <vt:lpstr>'300'!OSRRefT22_1x_0</vt:lpstr>
      <vt:lpstr>'300 &amp; 317'!OSRRefT22_1x_0</vt:lpstr>
      <vt:lpstr>'301'!OSRRefT22_1x_0</vt:lpstr>
      <vt:lpstr>'306'!OSRRefT22_1x_0</vt:lpstr>
      <vt:lpstr>'307'!OSRRefT22_1x_0</vt:lpstr>
      <vt:lpstr>'308'!OSRRefT22_1x_0</vt:lpstr>
      <vt:lpstr>'309'!OSRRefT22_1x_0</vt:lpstr>
      <vt:lpstr>'310'!OSRRefT22_1x_0</vt:lpstr>
      <vt:lpstr>'310 &amp; 491'!OSRRefT22_1x_0</vt:lpstr>
      <vt:lpstr>'311'!OSRRefT22_1x_0</vt:lpstr>
      <vt:lpstr>'313'!OSRRefT22_1x_0</vt:lpstr>
      <vt:lpstr>'314'!OSRRefT22_1x_0</vt:lpstr>
      <vt:lpstr>'315'!OSRRefT22_1x_0</vt:lpstr>
      <vt:lpstr>'316'!OSRRefT22_1x_0</vt:lpstr>
      <vt:lpstr>'317'!OSRRefT22_1x_0</vt:lpstr>
      <vt:lpstr>'320'!OSRRefT22_1x_0</vt:lpstr>
      <vt:lpstr>'321'!OSRRefT22_1x_0</vt:lpstr>
      <vt:lpstr>'322'!OSRRefT22_1x_0</vt:lpstr>
      <vt:lpstr>'326'!OSRRefT22_1x_0</vt:lpstr>
      <vt:lpstr>'327'!OSRRefT22_1x_0</vt:lpstr>
      <vt:lpstr>'330'!OSRRefT22_1x_0</vt:lpstr>
      <vt:lpstr>'331'!OSRRefT22_1x_0</vt:lpstr>
      <vt:lpstr>'332'!OSRRefT22_1x_0</vt:lpstr>
      <vt:lpstr>'405'!OSRRefT22_1x_0</vt:lpstr>
      <vt:lpstr>'406'!OSRRefT22_1x_0</vt:lpstr>
      <vt:lpstr>'411'!OSRRefT22_1x_0</vt:lpstr>
      <vt:lpstr>'412'!OSRRefT22_1x_0</vt:lpstr>
      <vt:lpstr>'413'!OSRRefT22_1x_0</vt:lpstr>
      <vt:lpstr>'414'!OSRRefT22_1x_0</vt:lpstr>
      <vt:lpstr>'415'!OSRRefT22_1x_0</vt:lpstr>
      <vt:lpstr>'418'!OSRRefT22_1x_0</vt:lpstr>
      <vt:lpstr>'420'!OSRRefT22_1x_0</vt:lpstr>
      <vt:lpstr>'423'!OSRRefT22_1x_0</vt:lpstr>
      <vt:lpstr>'424'!OSRRefT22_1x_0</vt:lpstr>
      <vt:lpstr>'425'!OSRRefT22_1x_0</vt:lpstr>
      <vt:lpstr>'430'!OSRRefT22_1x_0</vt:lpstr>
      <vt:lpstr>'433'!OSRRefT22_1x_0</vt:lpstr>
      <vt:lpstr>'435'!OSRRefT22_1x_0</vt:lpstr>
      <vt:lpstr>'444'!OSRRefT22_1x_0</vt:lpstr>
      <vt:lpstr>'450'!OSRRefT22_1x_0</vt:lpstr>
      <vt:lpstr>'455'!OSRRefT22_1x_0</vt:lpstr>
      <vt:lpstr>'491'!OSRRefT22_1x_0</vt:lpstr>
      <vt:lpstr>'492'!OSRRefT22_1x_0</vt:lpstr>
      <vt:lpstr>'501'!OSRRefT22_1x_0</vt:lpstr>
      <vt:lpstr>'Div 2'!OSRRefT22_1x_0</vt:lpstr>
      <vt:lpstr>'Div 3'!OSRRefT22_1x_0</vt:lpstr>
      <vt:lpstr>'Div 4'!OSRRefT22_1x_0</vt:lpstr>
      <vt:lpstr>'Div 5'!OSRRefT22_1x_0</vt:lpstr>
      <vt:lpstr>'Div 6'!OSRRefT22_1x_0</vt:lpstr>
      <vt:lpstr>Summary!OSRRefT22_1x_0</vt:lpstr>
      <vt:lpstr>'300'!OSRRefT22_20x_0</vt:lpstr>
      <vt:lpstr>'300 &amp; 317'!OSRRefT22_20x_0</vt:lpstr>
      <vt:lpstr>'301'!OSRRefT22_20x_0</vt:lpstr>
      <vt:lpstr>'310'!OSRRefT22_20x_0</vt:lpstr>
      <vt:lpstr>'310 &amp; 491'!OSRRefT22_20x_0</vt:lpstr>
      <vt:lpstr>'326'!OSRRefT22_20x_0</vt:lpstr>
      <vt:lpstr>'331'!OSRRefT22_20x_0</vt:lpstr>
      <vt:lpstr>'491'!OSRRefT22_20x_0</vt:lpstr>
      <vt:lpstr>'Div 2'!OSRRefT22_20x_0</vt:lpstr>
      <vt:lpstr>'Div 3'!OSRRefT22_20x_0</vt:lpstr>
      <vt:lpstr>'Div 4'!OSRRefT22_20x_0</vt:lpstr>
      <vt:lpstr>Summary!OSRRefT22_20x_0</vt:lpstr>
      <vt:lpstr>'300'!OSRRefT22_21x_0</vt:lpstr>
      <vt:lpstr>'300 &amp; 317'!OSRRefT22_21x_0</vt:lpstr>
      <vt:lpstr>'301'!OSRRefT22_21x_0</vt:lpstr>
      <vt:lpstr>'310'!OSRRefT22_21x_0</vt:lpstr>
      <vt:lpstr>'310 &amp; 491'!OSRRefT22_21x_0</vt:lpstr>
      <vt:lpstr>'331'!OSRRefT22_21x_0</vt:lpstr>
      <vt:lpstr>'491'!OSRRefT22_21x_0</vt:lpstr>
      <vt:lpstr>'Div 3'!OSRRefT22_21x_0</vt:lpstr>
      <vt:lpstr>'Div 4'!OSRRefT22_21x_0</vt:lpstr>
      <vt:lpstr>Summary!OSRRefT22_21x_0</vt:lpstr>
      <vt:lpstr>'300'!OSRRefT22_22x_0</vt:lpstr>
      <vt:lpstr>'300 &amp; 317'!OSRRefT22_22x_0</vt:lpstr>
      <vt:lpstr>'301'!OSRRefT22_22x_0</vt:lpstr>
      <vt:lpstr>'310'!OSRRefT22_22x_0</vt:lpstr>
      <vt:lpstr>'310 &amp; 491'!OSRRefT22_22x_0</vt:lpstr>
      <vt:lpstr>'331'!OSRRefT22_22x_0</vt:lpstr>
      <vt:lpstr>'491'!OSRRefT22_22x_0</vt:lpstr>
      <vt:lpstr>'Div 3'!OSRRefT22_22x_0</vt:lpstr>
      <vt:lpstr>'Div 4'!OSRRefT22_22x_0</vt:lpstr>
      <vt:lpstr>Summary!OSRRefT22_22x_0</vt:lpstr>
      <vt:lpstr>'300'!OSRRefT22_23x_0</vt:lpstr>
      <vt:lpstr>'300 &amp; 317'!OSRRefT22_23x_0</vt:lpstr>
      <vt:lpstr>'301'!OSRRefT22_23x_0</vt:lpstr>
      <vt:lpstr>'310'!OSRRefT22_23x_0</vt:lpstr>
      <vt:lpstr>'310 &amp; 491'!OSRRefT22_23x_0</vt:lpstr>
      <vt:lpstr>'491'!OSRRefT22_23x_0</vt:lpstr>
      <vt:lpstr>'Div 3'!OSRRefT22_23x_0</vt:lpstr>
      <vt:lpstr>'Div 4'!OSRRefT22_23x_0</vt:lpstr>
      <vt:lpstr>Summary!OSRRefT22_23x_0</vt:lpstr>
      <vt:lpstr>'300'!OSRRefT22_24x_0</vt:lpstr>
      <vt:lpstr>'300 &amp; 317'!OSRRefT22_24x_0</vt:lpstr>
      <vt:lpstr>'310 &amp; 491'!OSRRefT22_24x_0</vt:lpstr>
      <vt:lpstr>'491'!OSRRefT22_24x_0</vt:lpstr>
      <vt:lpstr>'Div 3'!OSRRefT22_24x_0</vt:lpstr>
      <vt:lpstr>'Div 4'!OSRRefT22_24x_0</vt:lpstr>
      <vt:lpstr>Summary!OSRRefT22_24x_0</vt:lpstr>
      <vt:lpstr>'310 &amp; 491'!OSRRefT22_25x_0</vt:lpstr>
      <vt:lpstr>'Div 3'!OSRRefT22_25x_0</vt:lpstr>
      <vt:lpstr>'Div 4'!OSRRefT22_25x_0</vt:lpstr>
      <vt:lpstr>Summary!OSRRefT22_25x_0</vt:lpstr>
      <vt:lpstr>'Div 3'!OSRRefT22_26x_0</vt:lpstr>
      <vt:lpstr>Summary!OSRRefT22_26x_0</vt:lpstr>
      <vt:lpstr>'200'!OSRRefT22_2x_0</vt:lpstr>
      <vt:lpstr>'201'!OSRRefT22_2x_0</vt:lpstr>
      <vt:lpstr>'202'!OSRRefT22_2x_0</vt:lpstr>
      <vt:lpstr>'203'!OSRRefT22_2x_0</vt:lpstr>
      <vt:lpstr>'204'!OSRRefT22_2x_0</vt:lpstr>
      <vt:lpstr>'205'!OSRRefT22_2x_0</vt:lpstr>
      <vt:lpstr>'206'!OSRRefT22_2x_0</vt:lpstr>
      <vt:lpstr>'300'!OSRRefT22_2x_0</vt:lpstr>
      <vt:lpstr>'300 &amp; 317'!OSRRefT22_2x_0</vt:lpstr>
      <vt:lpstr>'301'!OSRRefT22_2x_0</vt:lpstr>
      <vt:lpstr>'306'!OSRRefT22_2x_0</vt:lpstr>
      <vt:lpstr>'307'!OSRRefT22_2x_0</vt:lpstr>
      <vt:lpstr>'308'!OSRRefT22_2x_0</vt:lpstr>
      <vt:lpstr>'309'!OSRRefT22_2x_0</vt:lpstr>
      <vt:lpstr>'310'!OSRRefT22_2x_0</vt:lpstr>
      <vt:lpstr>'310 &amp; 491'!OSRRefT22_2x_0</vt:lpstr>
      <vt:lpstr>'311'!OSRRefT22_2x_0</vt:lpstr>
      <vt:lpstr>'313'!OSRRefT22_2x_0</vt:lpstr>
      <vt:lpstr>'314'!OSRRefT22_2x_0</vt:lpstr>
      <vt:lpstr>'315'!OSRRefT22_2x_0</vt:lpstr>
      <vt:lpstr>'316'!OSRRefT22_2x_0</vt:lpstr>
      <vt:lpstr>'317'!OSRRefT22_2x_0</vt:lpstr>
      <vt:lpstr>'320'!OSRRefT22_2x_0</vt:lpstr>
      <vt:lpstr>'321'!OSRRefT22_2x_0</vt:lpstr>
      <vt:lpstr>'322'!OSRRefT22_2x_0</vt:lpstr>
      <vt:lpstr>'326'!OSRRefT22_2x_0</vt:lpstr>
      <vt:lpstr>'327'!OSRRefT22_2x_0</vt:lpstr>
      <vt:lpstr>'330'!OSRRefT22_2x_0</vt:lpstr>
      <vt:lpstr>'331'!OSRRefT22_2x_0</vt:lpstr>
      <vt:lpstr>'332'!OSRRefT22_2x_0</vt:lpstr>
      <vt:lpstr>'405'!OSRRefT22_2x_0</vt:lpstr>
      <vt:lpstr>'406'!OSRRefT22_2x_0</vt:lpstr>
      <vt:lpstr>'411'!OSRRefT22_2x_0</vt:lpstr>
      <vt:lpstr>'412'!OSRRefT22_2x_0</vt:lpstr>
      <vt:lpstr>'413'!OSRRefT22_2x_0</vt:lpstr>
      <vt:lpstr>'414'!OSRRefT22_2x_0</vt:lpstr>
      <vt:lpstr>'415'!OSRRefT22_2x_0</vt:lpstr>
      <vt:lpstr>'418'!OSRRefT22_2x_0</vt:lpstr>
      <vt:lpstr>'420'!OSRRefT22_2x_0</vt:lpstr>
      <vt:lpstr>'423'!OSRRefT22_2x_0</vt:lpstr>
      <vt:lpstr>'424'!OSRRefT22_2x_0</vt:lpstr>
      <vt:lpstr>'425'!OSRRefT22_2x_0</vt:lpstr>
      <vt:lpstr>'430'!OSRRefT22_2x_0</vt:lpstr>
      <vt:lpstr>'433'!OSRRefT22_2x_0</vt:lpstr>
      <vt:lpstr>'435'!OSRRefT22_2x_0</vt:lpstr>
      <vt:lpstr>'444'!OSRRefT22_2x_0</vt:lpstr>
      <vt:lpstr>'450'!OSRRefT22_2x_0</vt:lpstr>
      <vt:lpstr>'491'!OSRRefT22_2x_0</vt:lpstr>
      <vt:lpstr>'492'!OSRRefT22_2x_0</vt:lpstr>
      <vt:lpstr>'501'!OSRRefT22_2x_0</vt:lpstr>
      <vt:lpstr>'Div 2'!OSRRefT22_2x_0</vt:lpstr>
      <vt:lpstr>'Div 3'!OSRRefT22_2x_0</vt:lpstr>
      <vt:lpstr>'Div 4'!OSRRefT22_2x_0</vt:lpstr>
      <vt:lpstr>'Div 5'!OSRRefT22_2x_0</vt:lpstr>
      <vt:lpstr>'Div 6'!OSRRefT22_2x_0</vt:lpstr>
      <vt:lpstr>Summary!OSRRefT22_2x_0</vt:lpstr>
      <vt:lpstr>'200'!OSRRefT22_3x_0</vt:lpstr>
      <vt:lpstr>'201'!OSRRefT22_3x_0</vt:lpstr>
      <vt:lpstr>'202'!OSRRefT22_3x_0</vt:lpstr>
      <vt:lpstr>'203'!OSRRefT22_3x_0</vt:lpstr>
      <vt:lpstr>'204'!OSRRefT22_3x_0</vt:lpstr>
      <vt:lpstr>'205'!OSRRefT22_3x_0</vt:lpstr>
      <vt:lpstr>'206'!OSRRefT22_3x_0</vt:lpstr>
      <vt:lpstr>'300'!OSRRefT22_3x_0</vt:lpstr>
      <vt:lpstr>'300 &amp; 317'!OSRRefT22_3x_0</vt:lpstr>
      <vt:lpstr>'301'!OSRRefT22_3x_0</vt:lpstr>
      <vt:lpstr>'306'!OSRRefT22_3x_0</vt:lpstr>
      <vt:lpstr>'307'!OSRRefT22_3x_0</vt:lpstr>
      <vt:lpstr>'308'!OSRRefT22_3x_0</vt:lpstr>
      <vt:lpstr>'309'!OSRRefT22_3x_0</vt:lpstr>
      <vt:lpstr>'310'!OSRRefT22_3x_0</vt:lpstr>
      <vt:lpstr>'310 &amp; 491'!OSRRefT22_3x_0</vt:lpstr>
      <vt:lpstr>'311'!OSRRefT22_3x_0</vt:lpstr>
      <vt:lpstr>'313'!OSRRefT22_3x_0</vt:lpstr>
      <vt:lpstr>'314'!OSRRefT22_3x_0</vt:lpstr>
      <vt:lpstr>'315'!OSRRefT22_3x_0</vt:lpstr>
      <vt:lpstr>'316'!OSRRefT22_3x_0</vt:lpstr>
      <vt:lpstr>'317'!OSRRefT22_3x_0</vt:lpstr>
      <vt:lpstr>'320'!OSRRefT22_3x_0</vt:lpstr>
      <vt:lpstr>'321'!OSRRefT22_3x_0</vt:lpstr>
      <vt:lpstr>'322'!OSRRefT22_3x_0</vt:lpstr>
      <vt:lpstr>'326'!OSRRefT22_3x_0</vt:lpstr>
      <vt:lpstr>'330'!OSRRefT22_3x_0</vt:lpstr>
      <vt:lpstr>'331'!OSRRefT22_3x_0</vt:lpstr>
      <vt:lpstr>'332'!OSRRefT22_3x_0</vt:lpstr>
      <vt:lpstr>'405'!OSRRefT22_3x_0</vt:lpstr>
      <vt:lpstr>'406'!OSRRefT22_3x_0</vt:lpstr>
      <vt:lpstr>'411'!OSRRefT22_3x_0</vt:lpstr>
      <vt:lpstr>'412'!OSRRefT22_3x_0</vt:lpstr>
      <vt:lpstr>'413'!OSRRefT22_3x_0</vt:lpstr>
      <vt:lpstr>'414'!OSRRefT22_3x_0</vt:lpstr>
      <vt:lpstr>'415'!OSRRefT22_3x_0</vt:lpstr>
      <vt:lpstr>'418'!OSRRefT22_3x_0</vt:lpstr>
      <vt:lpstr>'420'!OSRRefT22_3x_0</vt:lpstr>
      <vt:lpstr>'423'!OSRRefT22_3x_0</vt:lpstr>
      <vt:lpstr>'424'!OSRRefT22_3x_0</vt:lpstr>
      <vt:lpstr>'425'!OSRRefT22_3x_0</vt:lpstr>
      <vt:lpstr>'430'!OSRRefT22_3x_0</vt:lpstr>
      <vt:lpstr>'433'!OSRRefT22_3x_0</vt:lpstr>
      <vt:lpstr>'435'!OSRRefT22_3x_0</vt:lpstr>
      <vt:lpstr>'444'!OSRRefT22_3x_0</vt:lpstr>
      <vt:lpstr>'450'!OSRRefT22_3x_0</vt:lpstr>
      <vt:lpstr>'491'!OSRRefT22_3x_0</vt:lpstr>
      <vt:lpstr>'492'!OSRRefT22_3x_0</vt:lpstr>
      <vt:lpstr>'501'!OSRRefT22_3x_0</vt:lpstr>
      <vt:lpstr>'Div 2'!OSRRefT22_3x_0</vt:lpstr>
      <vt:lpstr>'Div 3'!OSRRefT22_3x_0</vt:lpstr>
      <vt:lpstr>'Div 4'!OSRRefT22_3x_0</vt:lpstr>
      <vt:lpstr>'Div 5'!OSRRefT22_3x_0</vt:lpstr>
      <vt:lpstr>'Div 6'!OSRRefT22_3x_0</vt:lpstr>
      <vt:lpstr>Summary!OSRRefT22_3x_0</vt:lpstr>
      <vt:lpstr>'200'!OSRRefT22_4x_0</vt:lpstr>
      <vt:lpstr>'201'!OSRRefT22_4x_0</vt:lpstr>
      <vt:lpstr>'202'!OSRRefT22_4x_0</vt:lpstr>
      <vt:lpstr>'203'!OSRRefT22_4x_0</vt:lpstr>
      <vt:lpstr>'204'!OSRRefT22_4x_0</vt:lpstr>
      <vt:lpstr>'205'!OSRRefT22_4x_0</vt:lpstr>
      <vt:lpstr>'206'!OSRRefT22_4x_0</vt:lpstr>
      <vt:lpstr>'300'!OSRRefT22_4x_0</vt:lpstr>
      <vt:lpstr>'300 &amp; 317'!OSRRefT22_4x_0</vt:lpstr>
      <vt:lpstr>'301'!OSRRefT22_4x_0</vt:lpstr>
      <vt:lpstr>'306'!OSRRefT22_4x_0</vt:lpstr>
      <vt:lpstr>'307'!OSRRefT22_4x_0</vt:lpstr>
      <vt:lpstr>'308'!OSRRefT22_4x_0</vt:lpstr>
      <vt:lpstr>'309'!OSRRefT22_4x_0</vt:lpstr>
      <vt:lpstr>'310'!OSRRefT22_4x_0</vt:lpstr>
      <vt:lpstr>'310 &amp; 491'!OSRRefT22_4x_0</vt:lpstr>
      <vt:lpstr>'311'!OSRRefT22_4x_0</vt:lpstr>
      <vt:lpstr>'313'!OSRRefT22_4x_0</vt:lpstr>
      <vt:lpstr>'314'!OSRRefT22_4x_0</vt:lpstr>
      <vt:lpstr>'315'!OSRRefT22_4x_0</vt:lpstr>
      <vt:lpstr>'316'!OSRRefT22_4x_0</vt:lpstr>
      <vt:lpstr>'317'!OSRRefT22_4x_0</vt:lpstr>
      <vt:lpstr>'320'!OSRRefT22_4x_0</vt:lpstr>
      <vt:lpstr>'321'!OSRRefT22_4x_0</vt:lpstr>
      <vt:lpstr>'322'!OSRRefT22_4x_0</vt:lpstr>
      <vt:lpstr>'326'!OSRRefT22_4x_0</vt:lpstr>
      <vt:lpstr>'330'!OSRRefT22_4x_0</vt:lpstr>
      <vt:lpstr>'331'!OSRRefT22_4x_0</vt:lpstr>
      <vt:lpstr>'332'!OSRRefT22_4x_0</vt:lpstr>
      <vt:lpstr>'405'!OSRRefT22_4x_0</vt:lpstr>
      <vt:lpstr>'406'!OSRRefT22_4x_0</vt:lpstr>
      <vt:lpstr>'411'!OSRRefT22_4x_0</vt:lpstr>
      <vt:lpstr>'412'!OSRRefT22_4x_0</vt:lpstr>
      <vt:lpstr>'413'!OSRRefT22_4x_0</vt:lpstr>
      <vt:lpstr>'414'!OSRRefT22_4x_0</vt:lpstr>
      <vt:lpstr>'415'!OSRRefT22_4x_0</vt:lpstr>
      <vt:lpstr>'418'!OSRRefT22_4x_0</vt:lpstr>
      <vt:lpstr>'420'!OSRRefT22_4x_0</vt:lpstr>
      <vt:lpstr>'423'!OSRRefT22_4x_0</vt:lpstr>
      <vt:lpstr>'424'!OSRRefT22_4x_0</vt:lpstr>
      <vt:lpstr>'425'!OSRRefT22_4x_0</vt:lpstr>
      <vt:lpstr>'430'!OSRRefT22_4x_0</vt:lpstr>
      <vt:lpstr>'433'!OSRRefT22_4x_0</vt:lpstr>
      <vt:lpstr>'435'!OSRRefT22_4x_0</vt:lpstr>
      <vt:lpstr>'444'!OSRRefT22_4x_0</vt:lpstr>
      <vt:lpstr>'450'!OSRRefT22_4x_0</vt:lpstr>
      <vt:lpstr>'491'!OSRRefT22_4x_0</vt:lpstr>
      <vt:lpstr>'492'!OSRRefT22_4x_0</vt:lpstr>
      <vt:lpstr>'501'!OSRRefT22_4x_0</vt:lpstr>
      <vt:lpstr>'Div 2'!OSRRefT22_4x_0</vt:lpstr>
      <vt:lpstr>'Div 3'!OSRRefT22_4x_0</vt:lpstr>
      <vt:lpstr>'Div 4'!OSRRefT22_4x_0</vt:lpstr>
      <vt:lpstr>'Div 5'!OSRRefT22_4x_0</vt:lpstr>
      <vt:lpstr>'Div 6'!OSRRefT22_4x_0</vt:lpstr>
      <vt:lpstr>Summary!OSRRefT22_4x_0</vt:lpstr>
      <vt:lpstr>'201'!OSRRefT22_5x_0</vt:lpstr>
      <vt:lpstr>'202'!OSRRefT22_5x_0</vt:lpstr>
      <vt:lpstr>'203'!OSRRefT22_5x_0</vt:lpstr>
      <vt:lpstr>'204'!OSRRefT22_5x_0</vt:lpstr>
      <vt:lpstr>'205'!OSRRefT22_5x_0</vt:lpstr>
      <vt:lpstr>'206'!OSRRefT22_5x_0</vt:lpstr>
      <vt:lpstr>'300'!OSRRefT22_5x_0</vt:lpstr>
      <vt:lpstr>'300 &amp; 317'!OSRRefT22_5x_0</vt:lpstr>
      <vt:lpstr>'301'!OSRRefT22_5x_0</vt:lpstr>
      <vt:lpstr>'306'!OSRRefT22_5x_0</vt:lpstr>
      <vt:lpstr>'307'!OSRRefT22_5x_0</vt:lpstr>
      <vt:lpstr>'308'!OSRRefT22_5x_0</vt:lpstr>
      <vt:lpstr>'309'!OSRRefT22_5x_0</vt:lpstr>
      <vt:lpstr>'310'!OSRRefT22_5x_0</vt:lpstr>
      <vt:lpstr>'310 &amp; 491'!OSRRefT22_5x_0</vt:lpstr>
      <vt:lpstr>'311'!OSRRefT22_5x_0</vt:lpstr>
      <vt:lpstr>'313'!OSRRefT22_5x_0</vt:lpstr>
      <vt:lpstr>'314'!OSRRefT22_5x_0</vt:lpstr>
      <vt:lpstr>'315'!OSRRefT22_5x_0</vt:lpstr>
      <vt:lpstr>'316'!OSRRefT22_5x_0</vt:lpstr>
      <vt:lpstr>'317'!OSRRefT22_5x_0</vt:lpstr>
      <vt:lpstr>'320'!OSRRefT22_5x_0</vt:lpstr>
      <vt:lpstr>'321'!OSRRefT22_5x_0</vt:lpstr>
      <vt:lpstr>'322'!OSRRefT22_5x_0</vt:lpstr>
      <vt:lpstr>'326'!OSRRefT22_5x_0</vt:lpstr>
      <vt:lpstr>'330'!OSRRefT22_5x_0</vt:lpstr>
      <vt:lpstr>'331'!OSRRefT22_5x_0</vt:lpstr>
      <vt:lpstr>'332'!OSRRefT22_5x_0</vt:lpstr>
      <vt:lpstr>'405'!OSRRefT22_5x_0</vt:lpstr>
      <vt:lpstr>'406'!OSRRefT22_5x_0</vt:lpstr>
      <vt:lpstr>'411'!OSRRefT22_5x_0</vt:lpstr>
      <vt:lpstr>'412'!OSRRefT22_5x_0</vt:lpstr>
      <vt:lpstr>'413'!OSRRefT22_5x_0</vt:lpstr>
      <vt:lpstr>'414'!OSRRefT22_5x_0</vt:lpstr>
      <vt:lpstr>'415'!OSRRefT22_5x_0</vt:lpstr>
      <vt:lpstr>'418'!OSRRefT22_5x_0</vt:lpstr>
      <vt:lpstr>'420'!OSRRefT22_5x_0</vt:lpstr>
      <vt:lpstr>'423'!OSRRefT22_5x_0</vt:lpstr>
      <vt:lpstr>'424'!OSRRefT22_5x_0</vt:lpstr>
      <vt:lpstr>'425'!OSRRefT22_5x_0</vt:lpstr>
      <vt:lpstr>'430'!OSRRefT22_5x_0</vt:lpstr>
      <vt:lpstr>'433'!OSRRefT22_5x_0</vt:lpstr>
      <vt:lpstr>'435'!OSRRefT22_5x_0</vt:lpstr>
      <vt:lpstr>'444'!OSRRefT22_5x_0</vt:lpstr>
      <vt:lpstr>'450'!OSRRefT22_5x_0</vt:lpstr>
      <vt:lpstr>'491'!OSRRefT22_5x_0</vt:lpstr>
      <vt:lpstr>'492'!OSRRefT22_5x_0</vt:lpstr>
      <vt:lpstr>'501'!OSRRefT22_5x_0</vt:lpstr>
      <vt:lpstr>'Div 2'!OSRRefT22_5x_0</vt:lpstr>
      <vt:lpstr>'Div 3'!OSRRefT22_5x_0</vt:lpstr>
      <vt:lpstr>'Div 4'!OSRRefT22_5x_0</vt:lpstr>
      <vt:lpstr>'Div 5'!OSRRefT22_5x_0</vt:lpstr>
      <vt:lpstr>'Div 6'!OSRRefT22_5x_0</vt:lpstr>
      <vt:lpstr>Summary!OSRRefT22_5x_0</vt:lpstr>
      <vt:lpstr>'201'!OSRRefT22_6x_0</vt:lpstr>
      <vt:lpstr>'202'!OSRRefT22_6x_0</vt:lpstr>
      <vt:lpstr>'203'!OSRRefT22_6x_0</vt:lpstr>
      <vt:lpstr>'204'!OSRRefT22_6x_0</vt:lpstr>
      <vt:lpstr>'205'!OSRRefT22_6x_0</vt:lpstr>
      <vt:lpstr>'206'!OSRRefT22_6x_0</vt:lpstr>
      <vt:lpstr>'300'!OSRRefT22_6x_0</vt:lpstr>
      <vt:lpstr>'300 &amp; 317'!OSRRefT22_6x_0</vt:lpstr>
      <vt:lpstr>'301'!OSRRefT22_6x_0</vt:lpstr>
      <vt:lpstr>'306'!OSRRefT22_6x_0</vt:lpstr>
      <vt:lpstr>'307'!OSRRefT22_6x_0</vt:lpstr>
      <vt:lpstr>'308'!OSRRefT22_6x_0</vt:lpstr>
      <vt:lpstr>'309'!OSRRefT22_6x_0</vt:lpstr>
      <vt:lpstr>'310'!OSRRefT22_6x_0</vt:lpstr>
      <vt:lpstr>'310 &amp; 491'!OSRRefT22_6x_0</vt:lpstr>
      <vt:lpstr>'311'!OSRRefT22_6x_0</vt:lpstr>
      <vt:lpstr>'313'!OSRRefT22_6x_0</vt:lpstr>
      <vt:lpstr>'314'!OSRRefT22_6x_0</vt:lpstr>
      <vt:lpstr>'315'!OSRRefT22_6x_0</vt:lpstr>
      <vt:lpstr>'316'!OSRRefT22_6x_0</vt:lpstr>
      <vt:lpstr>'317'!OSRRefT22_6x_0</vt:lpstr>
      <vt:lpstr>'320'!OSRRefT22_6x_0</vt:lpstr>
      <vt:lpstr>'321'!OSRRefT22_6x_0</vt:lpstr>
      <vt:lpstr>'322'!OSRRefT22_6x_0</vt:lpstr>
      <vt:lpstr>'326'!OSRRefT22_6x_0</vt:lpstr>
      <vt:lpstr>'330'!OSRRefT22_6x_0</vt:lpstr>
      <vt:lpstr>'331'!OSRRefT22_6x_0</vt:lpstr>
      <vt:lpstr>'332'!OSRRefT22_6x_0</vt:lpstr>
      <vt:lpstr>'405'!OSRRefT22_6x_0</vt:lpstr>
      <vt:lpstr>'406'!OSRRefT22_6x_0</vt:lpstr>
      <vt:lpstr>'411'!OSRRefT22_6x_0</vt:lpstr>
      <vt:lpstr>'412'!OSRRefT22_6x_0</vt:lpstr>
      <vt:lpstr>'413'!OSRRefT22_6x_0</vt:lpstr>
      <vt:lpstr>'414'!OSRRefT22_6x_0</vt:lpstr>
      <vt:lpstr>'415'!OSRRefT22_6x_0</vt:lpstr>
      <vt:lpstr>'418'!OSRRefT22_6x_0</vt:lpstr>
      <vt:lpstr>'420'!OSRRefT22_6x_0</vt:lpstr>
      <vt:lpstr>'423'!OSRRefT22_6x_0</vt:lpstr>
      <vt:lpstr>'424'!OSRRefT22_6x_0</vt:lpstr>
      <vt:lpstr>'425'!OSRRefT22_6x_0</vt:lpstr>
      <vt:lpstr>'430'!OSRRefT22_6x_0</vt:lpstr>
      <vt:lpstr>'433'!OSRRefT22_6x_0</vt:lpstr>
      <vt:lpstr>'435'!OSRRefT22_6x_0</vt:lpstr>
      <vt:lpstr>'444'!OSRRefT22_6x_0</vt:lpstr>
      <vt:lpstr>'450'!OSRRefT22_6x_0</vt:lpstr>
      <vt:lpstr>'491'!OSRRefT22_6x_0</vt:lpstr>
      <vt:lpstr>'492'!OSRRefT22_6x_0</vt:lpstr>
      <vt:lpstr>'501'!OSRRefT22_6x_0</vt:lpstr>
      <vt:lpstr>'Div 2'!OSRRefT22_6x_0</vt:lpstr>
      <vt:lpstr>'Div 3'!OSRRefT22_6x_0</vt:lpstr>
      <vt:lpstr>'Div 4'!OSRRefT22_6x_0</vt:lpstr>
      <vt:lpstr>'Div 5'!OSRRefT22_6x_0</vt:lpstr>
      <vt:lpstr>'Div 6'!OSRRefT22_6x_0</vt:lpstr>
      <vt:lpstr>Summary!OSRRefT22_6x_0</vt:lpstr>
      <vt:lpstr>'201'!OSRRefT22_7x_0</vt:lpstr>
      <vt:lpstr>'202'!OSRRefT22_7x_0</vt:lpstr>
      <vt:lpstr>'203'!OSRRefT22_7x_0</vt:lpstr>
      <vt:lpstr>'204'!OSRRefT22_7x_0</vt:lpstr>
      <vt:lpstr>'205'!OSRRefT22_7x_0</vt:lpstr>
      <vt:lpstr>'206'!OSRRefT22_7x_0</vt:lpstr>
      <vt:lpstr>'300'!OSRRefT22_7x_0</vt:lpstr>
      <vt:lpstr>'300 &amp; 317'!OSRRefT22_7x_0</vt:lpstr>
      <vt:lpstr>'301'!OSRRefT22_7x_0</vt:lpstr>
      <vt:lpstr>'306'!OSRRefT22_7x_0</vt:lpstr>
      <vt:lpstr>'307'!OSRRefT22_7x_0</vt:lpstr>
      <vt:lpstr>'308'!OSRRefT22_7x_0</vt:lpstr>
      <vt:lpstr>'309'!OSRRefT22_7x_0</vt:lpstr>
      <vt:lpstr>'310'!OSRRefT22_7x_0</vt:lpstr>
      <vt:lpstr>'310 &amp; 491'!OSRRefT22_7x_0</vt:lpstr>
      <vt:lpstr>'311'!OSRRefT22_7x_0</vt:lpstr>
      <vt:lpstr>'313'!OSRRefT22_7x_0</vt:lpstr>
      <vt:lpstr>'314'!OSRRefT22_7x_0</vt:lpstr>
      <vt:lpstr>'315'!OSRRefT22_7x_0</vt:lpstr>
      <vt:lpstr>'316'!OSRRefT22_7x_0</vt:lpstr>
      <vt:lpstr>'317'!OSRRefT22_7x_0</vt:lpstr>
      <vt:lpstr>'320'!OSRRefT22_7x_0</vt:lpstr>
      <vt:lpstr>'321'!OSRRefT22_7x_0</vt:lpstr>
      <vt:lpstr>'322'!OSRRefT22_7x_0</vt:lpstr>
      <vt:lpstr>'326'!OSRRefT22_7x_0</vt:lpstr>
      <vt:lpstr>'330'!OSRRefT22_7x_0</vt:lpstr>
      <vt:lpstr>'331'!OSRRefT22_7x_0</vt:lpstr>
      <vt:lpstr>'332'!OSRRefT22_7x_0</vt:lpstr>
      <vt:lpstr>'405'!OSRRefT22_7x_0</vt:lpstr>
      <vt:lpstr>'406'!OSRRefT22_7x_0</vt:lpstr>
      <vt:lpstr>'411'!OSRRefT22_7x_0</vt:lpstr>
      <vt:lpstr>'412'!OSRRefT22_7x_0</vt:lpstr>
      <vt:lpstr>'413'!OSRRefT22_7x_0</vt:lpstr>
      <vt:lpstr>'414'!OSRRefT22_7x_0</vt:lpstr>
      <vt:lpstr>'415'!OSRRefT22_7x_0</vt:lpstr>
      <vt:lpstr>'418'!OSRRefT22_7x_0</vt:lpstr>
      <vt:lpstr>'420'!OSRRefT22_7x_0</vt:lpstr>
      <vt:lpstr>'424'!OSRRefT22_7x_0</vt:lpstr>
      <vt:lpstr>'425'!OSRRefT22_7x_0</vt:lpstr>
      <vt:lpstr>'430'!OSRRefT22_7x_0</vt:lpstr>
      <vt:lpstr>'433'!OSRRefT22_7x_0</vt:lpstr>
      <vt:lpstr>'435'!OSRRefT22_7x_0</vt:lpstr>
      <vt:lpstr>'444'!OSRRefT22_7x_0</vt:lpstr>
      <vt:lpstr>'450'!OSRRefT22_7x_0</vt:lpstr>
      <vt:lpstr>'491'!OSRRefT22_7x_0</vt:lpstr>
      <vt:lpstr>'492'!OSRRefT22_7x_0</vt:lpstr>
      <vt:lpstr>'501'!OSRRefT22_7x_0</vt:lpstr>
      <vt:lpstr>'Div 2'!OSRRefT22_7x_0</vt:lpstr>
      <vt:lpstr>'Div 3'!OSRRefT22_7x_0</vt:lpstr>
      <vt:lpstr>'Div 4'!OSRRefT22_7x_0</vt:lpstr>
      <vt:lpstr>'Div 5'!OSRRefT22_7x_0</vt:lpstr>
      <vt:lpstr>'Div 6'!OSRRefT22_7x_0</vt:lpstr>
      <vt:lpstr>Summary!OSRRefT22_7x_0</vt:lpstr>
      <vt:lpstr>'201'!OSRRefT22_8x_0</vt:lpstr>
      <vt:lpstr>'202'!OSRRefT22_8x_0</vt:lpstr>
      <vt:lpstr>'203'!OSRRefT22_8x_0</vt:lpstr>
      <vt:lpstr>'204'!OSRRefT22_8x_0</vt:lpstr>
      <vt:lpstr>'205'!OSRRefT22_8x_0</vt:lpstr>
      <vt:lpstr>'206'!OSRRefT22_8x_0</vt:lpstr>
      <vt:lpstr>'300'!OSRRefT22_8x_0</vt:lpstr>
      <vt:lpstr>'300 &amp; 317'!OSRRefT22_8x_0</vt:lpstr>
      <vt:lpstr>'301'!OSRRefT22_8x_0</vt:lpstr>
      <vt:lpstr>'306'!OSRRefT22_8x_0</vt:lpstr>
      <vt:lpstr>'307'!OSRRefT22_8x_0</vt:lpstr>
      <vt:lpstr>'308'!OSRRefT22_8x_0</vt:lpstr>
      <vt:lpstr>'309'!OSRRefT22_8x_0</vt:lpstr>
      <vt:lpstr>'310'!OSRRefT22_8x_0</vt:lpstr>
      <vt:lpstr>'310 &amp; 491'!OSRRefT22_8x_0</vt:lpstr>
      <vt:lpstr>'311'!OSRRefT22_8x_0</vt:lpstr>
      <vt:lpstr>'313'!OSRRefT22_8x_0</vt:lpstr>
      <vt:lpstr>'314'!OSRRefT22_8x_0</vt:lpstr>
      <vt:lpstr>'315'!OSRRefT22_8x_0</vt:lpstr>
      <vt:lpstr>'316'!OSRRefT22_8x_0</vt:lpstr>
      <vt:lpstr>'317'!OSRRefT22_8x_0</vt:lpstr>
      <vt:lpstr>'320'!OSRRefT22_8x_0</vt:lpstr>
      <vt:lpstr>'321'!OSRRefT22_8x_0</vt:lpstr>
      <vt:lpstr>'322'!OSRRefT22_8x_0</vt:lpstr>
      <vt:lpstr>'326'!OSRRefT22_8x_0</vt:lpstr>
      <vt:lpstr>'330'!OSRRefT22_8x_0</vt:lpstr>
      <vt:lpstr>'331'!OSRRefT22_8x_0</vt:lpstr>
      <vt:lpstr>'332'!OSRRefT22_8x_0</vt:lpstr>
      <vt:lpstr>'405'!OSRRefT22_8x_0</vt:lpstr>
      <vt:lpstr>'406'!OSRRefT22_8x_0</vt:lpstr>
      <vt:lpstr>'411'!OSRRefT22_8x_0</vt:lpstr>
      <vt:lpstr>'412'!OSRRefT22_8x_0</vt:lpstr>
      <vt:lpstr>'413'!OSRRefT22_8x_0</vt:lpstr>
      <vt:lpstr>'414'!OSRRefT22_8x_0</vt:lpstr>
      <vt:lpstr>'415'!OSRRefT22_8x_0</vt:lpstr>
      <vt:lpstr>'418'!OSRRefT22_8x_0</vt:lpstr>
      <vt:lpstr>'424'!OSRRefT22_8x_0</vt:lpstr>
      <vt:lpstr>'425'!OSRRefT22_8x_0</vt:lpstr>
      <vt:lpstr>'430'!OSRRefT22_8x_0</vt:lpstr>
      <vt:lpstr>'433'!OSRRefT22_8x_0</vt:lpstr>
      <vt:lpstr>'435'!OSRRefT22_8x_0</vt:lpstr>
      <vt:lpstr>'444'!OSRRefT22_8x_0</vt:lpstr>
      <vt:lpstr>'450'!OSRRefT22_8x_0</vt:lpstr>
      <vt:lpstr>'491'!OSRRefT22_8x_0</vt:lpstr>
      <vt:lpstr>'492'!OSRRefT22_8x_0</vt:lpstr>
      <vt:lpstr>'501'!OSRRefT22_8x_0</vt:lpstr>
      <vt:lpstr>'Div 2'!OSRRefT22_8x_0</vt:lpstr>
      <vt:lpstr>'Div 3'!OSRRefT22_8x_0</vt:lpstr>
      <vt:lpstr>'Div 4'!OSRRefT22_8x_0</vt:lpstr>
      <vt:lpstr>'Div 5'!OSRRefT22_8x_0</vt:lpstr>
      <vt:lpstr>'Div 6'!OSRRefT22_8x_0</vt:lpstr>
      <vt:lpstr>Summary!OSRRefT22_8x_0</vt:lpstr>
      <vt:lpstr>'201'!OSRRefT22_9x_0</vt:lpstr>
      <vt:lpstr>'202'!OSRRefT22_9x_0</vt:lpstr>
      <vt:lpstr>'203'!OSRRefT22_9x_0</vt:lpstr>
      <vt:lpstr>'204'!OSRRefT22_9x_0</vt:lpstr>
      <vt:lpstr>'205'!OSRRefT22_9x_0</vt:lpstr>
      <vt:lpstr>'206'!OSRRefT22_9x_0</vt:lpstr>
      <vt:lpstr>'300'!OSRRefT22_9x_0</vt:lpstr>
      <vt:lpstr>'300 &amp; 317'!OSRRefT22_9x_0</vt:lpstr>
      <vt:lpstr>'301'!OSRRefT22_9x_0</vt:lpstr>
      <vt:lpstr>'306'!OSRRefT22_9x_0</vt:lpstr>
      <vt:lpstr>'307'!OSRRefT22_9x_0</vt:lpstr>
      <vt:lpstr>'308'!OSRRefT22_9x_0</vt:lpstr>
      <vt:lpstr>'309'!OSRRefT22_9x_0</vt:lpstr>
      <vt:lpstr>'310'!OSRRefT22_9x_0</vt:lpstr>
      <vt:lpstr>'310 &amp; 491'!OSRRefT22_9x_0</vt:lpstr>
      <vt:lpstr>'311'!OSRRefT22_9x_0</vt:lpstr>
      <vt:lpstr>'313'!OSRRefT22_9x_0</vt:lpstr>
      <vt:lpstr>'314'!OSRRefT22_9x_0</vt:lpstr>
      <vt:lpstr>'315'!OSRRefT22_9x_0</vt:lpstr>
      <vt:lpstr>'316'!OSRRefT22_9x_0</vt:lpstr>
      <vt:lpstr>'317'!OSRRefT22_9x_0</vt:lpstr>
      <vt:lpstr>'321'!OSRRefT22_9x_0</vt:lpstr>
      <vt:lpstr>'322'!OSRRefT22_9x_0</vt:lpstr>
      <vt:lpstr>'326'!OSRRefT22_9x_0</vt:lpstr>
      <vt:lpstr>'330'!OSRRefT22_9x_0</vt:lpstr>
      <vt:lpstr>'331'!OSRRefT22_9x_0</vt:lpstr>
      <vt:lpstr>'332'!OSRRefT22_9x_0</vt:lpstr>
      <vt:lpstr>'405'!OSRRefT22_9x_0</vt:lpstr>
      <vt:lpstr>'406'!OSRRefT22_9x_0</vt:lpstr>
      <vt:lpstr>'411'!OSRRefT22_9x_0</vt:lpstr>
      <vt:lpstr>'412'!OSRRefT22_9x_0</vt:lpstr>
      <vt:lpstr>'413'!OSRRefT22_9x_0</vt:lpstr>
      <vt:lpstr>'414'!OSRRefT22_9x_0</vt:lpstr>
      <vt:lpstr>'415'!OSRRefT22_9x_0</vt:lpstr>
      <vt:lpstr>'418'!OSRRefT22_9x_0</vt:lpstr>
      <vt:lpstr>'424'!OSRRefT22_9x_0</vt:lpstr>
      <vt:lpstr>'425'!OSRRefT22_9x_0</vt:lpstr>
      <vt:lpstr>'430'!OSRRefT22_9x_0</vt:lpstr>
      <vt:lpstr>'433'!OSRRefT22_9x_0</vt:lpstr>
      <vt:lpstr>'444'!OSRRefT22_9x_0</vt:lpstr>
      <vt:lpstr>'450'!OSRRefT22_9x_0</vt:lpstr>
      <vt:lpstr>'491'!OSRRefT22_9x_0</vt:lpstr>
      <vt:lpstr>'492'!OSRRefT22_9x_0</vt:lpstr>
      <vt:lpstr>'501'!OSRRefT22_9x_0</vt:lpstr>
      <vt:lpstr>'Div 2'!OSRRefT22_9x_0</vt:lpstr>
      <vt:lpstr>'Div 3'!OSRRefT22_9x_0</vt:lpstr>
      <vt:lpstr>'Div 4'!OSRRefT22_9x_0</vt:lpstr>
      <vt:lpstr>'Div 5'!OSRRefT22_9x_0</vt:lpstr>
      <vt:lpstr>'Div 6'!OSRRefT22_9x_0</vt:lpstr>
      <vt:lpstr>Summary!OSRRefT22_9x_0</vt:lpstr>
      <vt:lpstr>'200'!OSRRefT22x_0</vt:lpstr>
      <vt:lpstr>'201'!OSRRefT22x_0</vt:lpstr>
      <vt:lpstr>'202'!OSRRefT22x_0</vt:lpstr>
      <vt:lpstr>'203'!OSRRefT22x_0</vt:lpstr>
      <vt:lpstr>'204'!OSRRefT22x_0</vt:lpstr>
      <vt:lpstr>'205'!OSRRefT22x_0</vt:lpstr>
      <vt:lpstr>'206'!OSRRefT22x_0</vt:lpstr>
      <vt:lpstr>'300'!OSRRefT22x_0</vt:lpstr>
      <vt:lpstr>'300 &amp; 317'!OSRRefT22x_0</vt:lpstr>
      <vt:lpstr>'301'!OSRRefT22x_0</vt:lpstr>
      <vt:lpstr>'306'!OSRRefT22x_0</vt:lpstr>
      <vt:lpstr>'307'!OSRRefT22x_0</vt:lpstr>
      <vt:lpstr>'308'!OSRRefT22x_0</vt:lpstr>
      <vt:lpstr>'309'!OSRRefT22x_0</vt:lpstr>
      <vt:lpstr>'310'!OSRRefT22x_0</vt:lpstr>
      <vt:lpstr>'310 &amp; 491'!OSRRefT22x_0</vt:lpstr>
      <vt:lpstr>'311'!OSRRefT22x_0</vt:lpstr>
      <vt:lpstr>'313'!OSRRefT22x_0</vt:lpstr>
      <vt:lpstr>'314'!OSRRefT22x_0</vt:lpstr>
      <vt:lpstr>'315'!OSRRefT22x_0</vt:lpstr>
      <vt:lpstr>'316'!OSRRefT22x_0</vt:lpstr>
      <vt:lpstr>'317'!OSRRefT22x_0</vt:lpstr>
      <vt:lpstr>'320'!OSRRefT22x_0</vt:lpstr>
      <vt:lpstr>'321'!OSRRefT22x_0</vt:lpstr>
      <vt:lpstr>'322'!OSRRefT22x_0</vt:lpstr>
      <vt:lpstr>'326'!OSRRefT22x_0</vt:lpstr>
      <vt:lpstr>'327'!OSRRefT22x_0</vt:lpstr>
      <vt:lpstr>'330'!OSRRefT22x_0</vt:lpstr>
      <vt:lpstr>'331'!OSRRefT22x_0</vt:lpstr>
      <vt:lpstr>'332'!OSRRefT22x_0</vt:lpstr>
      <vt:lpstr>'405'!OSRRefT22x_0</vt:lpstr>
      <vt:lpstr>'406'!OSRRefT22x_0</vt:lpstr>
      <vt:lpstr>'411'!OSRRefT22x_0</vt:lpstr>
      <vt:lpstr>'412'!OSRRefT22x_0</vt:lpstr>
      <vt:lpstr>'413'!OSRRefT22x_0</vt:lpstr>
      <vt:lpstr>'414'!OSRRefT22x_0</vt:lpstr>
      <vt:lpstr>'415'!OSRRefT22x_0</vt:lpstr>
      <vt:lpstr>'418'!OSRRefT22x_0</vt:lpstr>
      <vt:lpstr>'420'!OSRRefT22x_0</vt:lpstr>
      <vt:lpstr>'423'!OSRRefT22x_0</vt:lpstr>
      <vt:lpstr>'424'!OSRRefT22x_0</vt:lpstr>
      <vt:lpstr>'425'!OSRRefT22x_0</vt:lpstr>
      <vt:lpstr>'430'!OSRRefT22x_0</vt:lpstr>
      <vt:lpstr>'433'!OSRRefT22x_0</vt:lpstr>
      <vt:lpstr>'435'!OSRRefT22x_0</vt:lpstr>
      <vt:lpstr>'444'!OSRRefT22x_0</vt:lpstr>
      <vt:lpstr>'450'!OSRRefT22x_0</vt:lpstr>
      <vt:lpstr>'455'!OSRRefT22x_0</vt:lpstr>
      <vt:lpstr>'491'!OSRRefT22x_0</vt:lpstr>
      <vt:lpstr>'492'!OSRRefT22x_0</vt:lpstr>
      <vt:lpstr>'501'!OSRRefT22x_0</vt:lpstr>
      <vt:lpstr>'Div 2'!OSRRefT22x_0</vt:lpstr>
      <vt:lpstr>'Div 3'!OSRRefT22x_0</vt:lpstr>
      <vt:lpstr>'Div 4'!OSRRefT22x_0</vt:lpstr>
      <vt:lpstr>'Div 5'!OSRRefT22x_0</vt:lpstr>
      <vt:lpstr>'Div 6'!OSRRefT22x_0</vt:lpstr>
      <vt:lpstr>Summary!OSRRefT22x_0</vt:lpstr>
      <vt:lpstr>'300'!OSRRefT25x_0</vt:lpstr>
      <vt:lpstr>'300 &amp; 317'!OSRRefT25x_0</vt:lpstr>
      <vt:lpstr>'301'!OSRRefT25x_0</vt:lpstr>
      <vt:lpstr>'307'!OSRRefT25x_0</vt:lpstr>
      <vt:lpstr>'308'!OSRRefT25x_0</vt:lpstr>
      <vt:lpstr>'310 &amp; 491'!OSRRefT25x_0</vt:lpstr>
      <vt:lpstr>'311'!OSRRefT25x_0</vt:lpstr>
      <vt:lpstr>'315'!OSRRefT25x_0</vt:lpstr>
      <vt:lpstr>'316'!OSRRefT25x_0</vt:lpstr>
      <vt:lpstr>'317'!OSRRefT25x_0</vt:lpstr>
      <vt:lpstr>'320'!OSRRefT25x_0</vt:lpstr>
      <vt:lpstr>'330'!OSRRefT25x_0</vt:lpstr>
      <vt:lpstr>'331'!OSRRefT25x_0</vt:lpstr>
      <vt:lpstr>'332'!OSRRefT25x_0</vt:lpstr>
      <vt:lpstr>'411'!OSRRefT25x_0</vt:lpstr>
      <vt:lpstr>'413'!OSRRefT25x_0</vt:lpstr>
      <vt:lpstr>'415'!OSRRefT25x_0</vt:lpstr>
      <vt:lpstr>'423'!OSRRefT25x_0</vt:lpstr>
      <vt:lpstr>'424'!OSRRefT25x_0</vt:lpstr>
      <vt:lpstr>'425'!OSRRefT25x_0</vt:lpstr>
      <vt:lpstr>'455'!OSRRefT25x_0</vt:lpstr>
      <vt:lpstr>'491'!OSRRefT25x_0</vt:lpstr>
      <vt:lpstr>'501'!OSRRefT25x_0</vt:lpstr>
      <vt:lpstr>'Div 3'!OSRRefT25x_0</vt:lpstr>
      <vt:lpstr>'Div 4'!OSRRefT25x_0</vt:lpstr>
      <vt:lpstr>'Div 5'!OSRRefT25x_0</vt:lpstr>
      <vt:lpstr>'Div 6'!OSRRefT25x_0</vt:lpstr>
      <vt:lpstr>Summary!OSRRefT25x_0</vt:lpstr>
      <vt:lpstr>'100'!Print_Area</vt:lpstr>
      <vt:lpstr>'200'!Print_Area</vt:lpstr>
      <vt:lpstr>'201'!Print_Area</vt:lpstr>
      <vt:lpstr>'202'!Print_Area</vt:lpstr>
      <vt:lpstr>'203'!Print_Area</vt:lpstr>
      <vt:lpstr>'204'!Print_Area</vt:lpstr>
      <vt:lpstr>'205'!Print_Area</vt:lpstr>
      <vt:lpstr>'206'!Print_Area</vt:lpstr>
      <vt:lpstr>'300'!Print_Area</vt:lpstr>
      <vt:lpstr>'300 &amp; 317'!Print_Area</vt:lpstr>
      <vt:lpstr>'301'!Print_Area</vt:lpstr>
      <vt:lpstr>'306'!Print_Area</vt:lpstr>
      <vt:lpstr>'307'!Print_Area</vt:lpstr>
      <vt:lpstr>'308'!Print_Area</vt:lpstr>
      <vt:lpstr>'309'!Print_Area</vt:lpstr>
      <vt:lpstr>'310'!Print_Area</vt:lpstr>
      <vt:lpstr>'310 &amp; 491'!Print_Area</vt:lpstr>
      <vt:lpstr>'311'!Print_Area</vt:lpstr>
      <vt:lpstr>'313'!Print_Area</vt:lpstr>
      <vt:lpstr>'314'!Print_Area</vt:lpstr>
      <vt:lpstr>'315'!Print_Area</vt:lpstr>
      <vt:lpstr>'316'!Print_Area</vt:lpstr>
      <vt:lpstr>'317'!Print_Area</vt:lpstr>
      <vt:lpstr>'320'!Print_Area</vt:lpstr>
      <vt:lpstr>'321'!Print_Area</vt:lpstr>
      <vt:lpstr>'322'!Print_Area</vt:lpstr>
      <vt:lpstr>'323'!Print_Area</vt:lpstr>
      <vt:lpstr>'324'!Print_Area</vt:lpstr>
      <vt:lpstr>'326'!Print_Area</vt:lpstr>
      <vt:lpstr>'327'!Print_Area</vt:lpstr>
      <vt:lpstr>'330'!Print_Area</vt:lpstr>
      <vt:lpstr>'331'!Print_Area</vt:lpstr>
      <vt:lpstr>'332'!Print_Area</vt:lpstr>
      <vt:lpstr>'405'!Print_Area</vt:lpstr>
      <vt:lpstr>'406'!Print_Area</vt:lpstr>
      <vt:lpstr>'411'!Print_Area</vt:lpstr>
      <vt:lpstr>'412'!Print_Area</vt:lpstr>
      <vt:lpstr>'413'!Print_Area</vt:lpstr>
      <vt:lpstr>'414'!Print_Area</vt:lpstr>
      <vt:lpstr>'415'!Print_Area</vt:lpstr>
      <vt:lpstr>'418'!Print_Area</vt:lpstr>
      <vt:lpstr>'420'!Print_Area</vt:lpstr>
      <vt:lpstr>'423'!Print_Area</vt:lpstr>
      <vt:lpstr>'424'!Print_Area</vt:lpstr>
      <vt:lpstr>'425'!Print_Area</vt:lpstr>
      <vt:lpstr>'430'!Print_Area</vt:lpstr>
      <vt:lpstr>'433'!Print_Area</vt:lpstr>
      <vt:lpstr>'435'!Print_Area</vt:lpstr>
      <vt:lpstr>'444'!Print_Area</vt:lpstr>
      <vt:lpstr>'445'!Print_Area</vt:lpstr>
      <vt:lpstr>'450'!Print_Area</vt:lpstr>
      <vt:lpstr>'455'!Print_Area</vt:lpstr>
      <vt:lpstr>'491'!Print_Area</vt:lpstr>
      <vt:lpstr>'492'!Print_Area</vt:lpstr>
      <vt:lpstr>'501'!Print_Area</vt:lpstr>
      <vt:lpstr>Dept!Print_Area</vt:lpstr>
      <vt:lpstr>'Div 1'!Print_Area</vt:lpstr>
      <vt:lpstr>'Div 2'!Print_Area</vt:lpstr>
      <vt:lpstr>'Div 3'!Print_Area</vt:lpstr>
      <vt:lpstr>'Div 4'!Print_Area</vt:lpstr>
      <vt:lpstr>'Div 5'!Print_Area</vt:lpstr>
      <vt:lpstr>'Div 6'!Print_Area</vt:lpstr>
      <vt:lpstr>'OSR_300 &amp; 317_1C00ID4'!Print_Area</vt:lpstr>
      <vt:lpstr>'OSR_300 (2)_...6aa5a22d_14M6XO4'!Print_Area</vt:lpstr>
      <vt:lpstr>'OSR_300 (2)_7...54cb56fc_UFX0O2'!Print_Area</vt:lpstr>
      <vt:lpstr>'OSR_300 (2)_e...5d0da5bf_6BPGAO'!Print_Area</vt:lpstr>
      <vt:lpstr>OSR_300_IYZXI6!Print_Area</vt:lpstr>
      <vt:lpstr>'OSR_308 (2)_...47685838_1YQW4QY'!Print_Area</vt:lpstr>
      <vt:lpstr>OSR_308_UAWDAG!Print_Area</vt:lpstr>
      <vt:lpstr>'OSR_310 &amp; 491_1NGRCS9'!Print_Area</vt:lpstr>
      <vt:lpstr>'OSR_310 (2)_...6e684f08_1FLCNJG'!Print_Area</vt:lpstr>
      <vt:lpstr>'OSR_310 (2)_...8cac1423_1JTU33X'!Print_Area</vt:lpstr>
      <vt:lpstr>'OSR_310 (2)_5...3d931dee_QNK8R2'!Print_Area</vt:lpstr>
      <vt:lpstr>OSR_310_1CMTOSB!Print_Area</vt:lpstr>
      <vt:lpstr>'OSR_330 (2)_...8a14c83e_1NSH7XI'!Print_Area</vt:lpstr>
      <vt:lpstr>OSR_330_10VFP5Y!Print_Area</vt:lpstr>
      <vt:lpstr>'OSR_331 (2)_...7280af70_1P5SPLT'!Print_Area</vt:lpstr>
      <vt:lpstr>OSR_331_10VKQAJ!Print_Area</vt:lpstr>
      <vt:lpstr>OSR_332_6NDVBW!Print_Area</vt:lpstr>
      <vt:lpstr>'OSR_491 (2)_...853a34aa_1UNC34K'!Print_Area</vt:lpstr>
      <vt:lpstr>OSR_491_9Z9JH5!Print_Area</vt:lpstr>
      <vt:lpstr>'OSR_492 (2)_...cd97c6a6_13HYXEV'!Print_Area</vt:lpstr>
      <vt:lpstr>OSR_492_943FP1!Print_Area</vt:lpstr>
      <vt:lpstr>'OSR_Current ...69b7dd8c_1IEQKFK'!Print_Area</vt:lpstr>
      <vt:lpstr>OSR_Dept_Y0WUKY!Print_Area</vt:lpstr>
      <vt:lpstr>'OSR_Div 1 (2)...789fe994_2NV3KA'!Print_Area</vt:lpstr>
      <vt:lpstr>'OSR_Div 1_7H47HR'!Print_Area</vt:lpstr>
      <vt:lpstr>'OSR_Div 2_1PQ800A'!Print_Area</vt:lpstr>
      <vt:lpstr>'OSR_Div 3 (2)...4cb81c06_PBSMLS'!Print_Area</vt:lpstr>
      <vt:lpstr>'OSR_Div 3_18723PH'!Print_Area</vt:lpstr>
      <vt:lpstr>'OSR_Div 4 (2)...1a9a4454_CQFRNE'!Print_Area</vt:lpstr>
      <vt:lpstr>'OSR_Div 4 (2...2533da42_174R6QX'!Print_Area</vt:lpstr>
      <vt:lpstr>'OSR_Div 4_1740TMT'!Print_Area</vt:lpstr>
      <vt:lpstr>'OSR_Div 5 (2)...32d16c57_IVJ1QO'!Print_Area</vt:lpstr>
      <vt:lpstr>'OSR_Div 5_16NAZO2'!Print_Area</vt:lpstr>
      <vt:lpstr>'OSR_Div 6_P37YY7'!Print_Area</vt:lpstr>
      <vt:lpstr>'OSR_Summary (...56e5d78f_5JEYZH'!Print_Area</vt:lpstr>
      <vt:lpstr>OSR_Summary_18VAVWG!Print_Area</vt:lpstr>
      <vt:lpstr>Summary!Print_Area</vt:lpstr>
      <vt:lpstr>'100'!Print_Titles</vt:lpstr>
      <vt:lpstr>'200'!Print_Titles</vt:lpstr>
      <vt:lpstr>'201'!Print_Titles</vt:lpstr>
      <vt:lpstr>'202'!Print_Titles</vt:lpstr>
      <vt:lpstr>'203'!Print_Titles</vt:lpstr>
      <vt:lpstr>'204'!Print_Titles</vt:lpstr>
      <vt:lpstr>'205'!Print_Titles</vt:lpstr>
      <vt:lpstr>'206'!Print_Titles</vt:lpstr>
      <vt:lpstr>'300'!Print_Titles</vt:lpstr>
      <vt:lpstr>'300 &amp; 317'!Print_Titles</vt:lpstr>
      <vt:lpstr>'301'!Print_Titles</vt:lpstr>
      <vt:lpstr>'306'!Print_Titles</vt:lpstr>
      <vt:lpstr>'307'!Print_Titles</vt:lpstr>
      <vt:lpstr>'308'!Print_Titles</vt:lpstr>
      <vt:lpstr>'309'!Print_Titles</vt:lpstr>
      <vt:lpstr>'310'!Print_Titles</vt:lpstr>
      <vt:lpstr>'310 &amp; 491'!Print_Titles</vt:lpstr>
      <vt:lpstr>'311'!Print_Titles</vt:lpstr>
      <vt:lpstr>'313'!Print_Titles</vt:lpstr>
      <vt:lpstr>'314'!Print_Titles</vt:lpstr>
      <vt:lpstr>'315'!Print_Titles</vt:lpstr>
      <vt:lpstr>'316'!Print_Titles</vt:lpstr>
      <vt:lpstr>'317'!Print_Titles</vt:lpstr>
      <vt:lpstr>'320'!Print_Titles</vt:lpstr>
      <vt:lpstr>'321'!Print_Titles</vt:lpstr>
      <vt:lpstr>'322'!Print_Titles</vt:lpstr>
      <vt:lpstr>'323'!Print_Titles</vt:lpstr>
      <vt:lpstr>'324'!Print_Titles</vt:lpstr>
      <vt:lpstr>'326'!Print_Titles</vt:lpstr>
      <vt:lpstr>'327'!Print_Titles</vt:lpstr>
      <vt:lpstr>'330'!Print_Titles</vt:lpstr>
      <vt:lpstr>'331'!Print_Titles</vt:lpstr>
      <vt:lpstr>'332'!Print_Titles</vt:lpstr>
      <vt:lpstr>'405'!Print_Titles</vt:lpstr>
      <vt:lpstr>'406'!Print_Titles</vt:lpstr>
      <vt:lpstr>'411'!Print_Titles</vt:lpstr>
      <vt:lpstr>'412'!Print_Titles</vt:lpstr>
      <vt:lpstr>'413'!Print_Titles</vt:lpstr>
      <vt:lpstr>'414'!Print_Titles</vt:lpstr>
      <vt:lpstr>'415'!Print_Titles</vt:lpstr>
      <vt:lpstr>'418'!Print_Titles</vt:lpstr>
      <vt:lpstr>'420'!Print_Titles</vt:lpstr>
      <vt:lpstr>'423'!Print_Titles</vt:lpstr>
      <vt:lpstr>'424'!Print_Titles</vt:lpstr>
      <vt:lpstr>'425'!Print_Titles</vt:lpstr>
      <vt:lpstr>'430'!Print_Titles</vt:lpstr>
      <vt:lpstr>'433'!Print_Titles</vt:lpstr>
      <vt:lpstr>'435'!Print_Titles</vt:lpstr>
      <vt:lpstr>'444'!Print_Titles</vt:lpstr>
      <vt:lpstr>'445'!Print_Titles</vt:lpstr>
      <vt:lpstr>'450'!Print_Titles</vt:lpstr>
      <vt:lpstr>'455'!Print_Titles</vt:lpstr>
      <vt:lpstr>'491'!Print_Titles</vt:lpstr>
      <vt:lpstr>'492'!Print_Titles</vt:lpstr>
      <vt:lpstr>'501'!Print_Titles</vt:lpstr>
      <vt:lpstr>Dept!Print_Titles</vt:lpstr>
      <vt:lpstr>'Div 1'!Print_Titles</vt:lpstr>
      <vt:lpstr>'Div 2'!Print_Titles</vt:lpstr>
      <vt:lpstr>'Div 3'!Print_Titles</vt:lpstr>
      <vt:lpstr>'Div 4'!Print_Titles</vt:lpstr>
      <vt:lpstr>'Div 5'!Print_Titles</vt:lpstr>
      <vt:lpstr>'Div 6'!Print_Titles</vt:lpstr>
      <vt:lpstr>'OSR_300 &amp; 317_1C00ID4'!Print_Titles</vt:lpstr>
      <vt:lpstr>'OSR_300 (2)_...6aa5a22d_14M6XO4'!Print_Titles</vt:lpstr>
      <vt:lpstr>'OSR_300 (2)_7...54cb56fc_UFX0O2'!Print_Titles</vt:lpstr>
      <vt:lpstr>'OSR_300 (2)_e...5d0da5bf_6BPGAO'!Print_Titles</vt:lpstr>
      <vt:lpstr>OSR_300_IYZXI6!Print_Titles</vt:lpstr>
      <vt:lpstr>'OSR_308 (2)_...47685838_1YQW4QY'!Print_Titles</vt:lpstr>
      <vt:lpstr>OSR_308_UAWDAG!Print_Titles</vt:lpstr>
      <vt:lpstr>'OSR_310 &amp; 491_1NGRCS9'!Print_Titles</vt:lpstr>
      <vt:lpstr>'OSR_310 (2)_...6e684f08_1FLCNJG'!Print_Titles</vt:lpstr>
      <vt:lpstr>'OSR_310 (2)_...8cac1423_1JTU33X'!Print_Titles</vt:lpstr>
      <vt:lpstr>'OSR_310 (2)_5...3d931dee_QNK8R2'!Print_Titles</vt:lpstr>
      <vt:lpstr>OSR_310_1CMTOSB!Print_Titles</vt:lpstr>
      <vt:lpstr>'OSR_330 (2)_...8a14c83e_1NSH7XI'!Print_Titles</vt:lpstr>
      <vt:lpstr>OSR_330_10VFP5Y!Print_Titles</vt:lpstr>
      <vt:lpstr>'OSR_331 (2)_...7280af70_1P5SPLT'!Print_Titles</vt:lpstr>
      <vt:lpstr>OSR_331_10VKQAJ!Print_Titles</vt:lpstr>
      <vt:lpstr>OSR_332_6NDVBW!Print_Titles</vt:lpstr>
      <vt:lpstr>'OSR_491 (2)_...853a34aa_1UNC34K'!Print_Titles</vt:lpstr>
      <vt:lpstr>OSR_491_9Z9JH5!Print_Titles</vt:lpstr>
      <vt:lpstr>'OSR_492 (2)_...cd97c6a6_13HYXEV'!Print_Titles</vt:lpstr>
      <vt:lpstr>OSR_492_943FP1!Print_Titles</vt:lpstr>
      <vt:lpstr>'OSR_Current ...69b7dd8c_1IEQKFK'!Print_Titles</vt:lpstr>
      <vt:lpstr>OSR_Dept_Y0WUKY!Print_Titles</vt:lpstr>
      <vt:lpstr>'OSR_Div 1 (2)...789fe994_2NV3KA'!Print_Titles</vt:lpstr>
      <vt:lpstr>'OSR_Div 1_7H47HR'!Print_Titles</vt:lpstr>
      <vt:lpstr>'OSR_Div 2_1PQ800A'!Print_Titles</vt:lpstr>
      <vt:lpstr>'OSR_Div 3 (2)...4cb81c06_PBSMLS'!Print_Titles</vt:lpstr>
      <vt:lpstr>'OSR_Div 3_18723PH'!Print_Titles</vt:lpstr>
      <vt:lpstr>'OSR_Div 4 (2)...1a9a4454_CQFRNE'!Print_Titles</vt:lpstr>
      <vt:lpstr>'OSR_Div 4 (2...2533da42_174R6QX'!Print_Titles</vt:lpstr>
      <vt:lpstr>'OSR_Div 4_1740TMT'!Print_Titles</vt:lpstr>
      <vt:lpstr>'OSR_Div 5 (2)...32d16c57_IVJ1QO'!Print_Titles</vt:lpstr>
      <vt:lpstr>'OSR_Div 5_16NAZO2'!Print_Titles</vt:lpstr>
      <vt:lpstr>'OSR_Div 6_P37YY7'!Print_Titles</vt:lpstr>
      <vt:lpstr>'OSR_Summary (...56e5d78f_5JEYZH'!Print_Titles</vt:lpstr>
      <vt:lpstr>OSR_Summary_18VAVWG!Print_Titles</vt:lpstr>
      <vt:lpstr>Summary!Print_Titles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Tess Monzon</cp:lastModifiedBy>
  <dcterms:modified xsi:type="dcterms:W3CDTF">2020-06-10T16:33:26Z</dcterms:modified>
</cp:coreProperties>
</file>